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G:\Shared drives\FINANCE\ADAM\Adam  Accounts\Investments schedule\2023 Investment Schedules\"/>
    </mc:Choice>
  </mc:AlternateContent>
  <bookViews>
    <workbookView xWindow="0" yWindow="0" windowWidth="15300" windowHeight="6440" tabRatio="552" firstSheet="4" activeTab="4"/>
  </bookViews>
  <sheets>
    <sheet name="LIEN 2022" sheetId="490" r:id="rId1"/>
    <sheet name="investment funds" sheetId="491" state="hidden" r:id="rId2"/>
    <sheet name="DATE" sheetId="251" r:id="rId3"/>
    <sheet name="INVESTMENT INCOME REPORT" sheetId="242" r:id="rId4"/>
    <sheet name="BONDS HELD (3)" sheetId="489" r:id="rId5"/>
    <sheet name="TBILLS" sheetId="367" r:id="rId6"/>
    <sheet name="BANK DEPOSITS" sheetId="479" r:id="rId7"/>
    <sheet name="EQUITIES-GEN " sheetId="237" r:id="rId8"/>
    <sheet name="EQUITIES-LIFE " sheetId="238" r:id="rId9"/>
    <sheet name="REITs" sheetId="492" r:id="rId10"/>
  </sheets>
  <externalReferences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</externalReferences>
  <definedNames>
    <definedName name="_______________FEB2010" localSheetId="4" hidden="1">#REF!</definedName>
    <definedName name="_______________FEB2010" localSheetId="1" hidden="1">#REF!</definedName>
    <definedName name="_______________FEB2010" localSheetId="0" hidden="1">#REF!</definedName>
    <definedName name="_______________FEB2010" localSheetId="9" hidden="1">#REF!</definedName>
    <definedName name="_______________FEB2010" hidden="1">#REF!</definedName>
    <definedName name="_____________FEB2010" localSheetId="4" hidden="1">#REF!</definedName>
    <definedName name="_____________FEB2010" localSheetId="1" hidden="1">#REF!</definedName>
    <definedName name="_____________FEB2010" localSheetId="0" hidden="1">#REF!</definedName>
    <definedName name="_____________FEB2010" localSheetId="9" hidden="1">#REF!</definedName>
    <definedName name="_____________FEB2010" hidden="1">#REF!</definedName>
    <definedName name="___________FEB2010" localSheetId="4" hidden="1">#REF!</definedName>
    <definedName name="___________FEB2010" localSheetId="1" hidden="1">#REF!</definedName>
    <definedName name="___________FEB2010" localSheetId="0" hidden="1">#REF!</definedName>
    <definedName name="___________FEB2010" localSheetId="9" hidden="1">#REF!</definedName>
    <definedName name="___________FEB2010" hidden="1">#REF!</definedName>
    <definedName name="__________FEB2010" localSheetId="4" hidden="1">#REF!</definedName>
    <definedName name="__________FEB2010" localSheetId="1" hidden="1">#REF!</definedName>
    <definedName name="__________FEB2010" localSheetId="0" hidden="1">#REF!</definedName>
    <definedName name="__________FEB2010" localSheetId="9" hidden="1">#REF!</definedName>
    <definedName name="__________FEB2010" hidden="1">#REF!</definedName>
    <definedName name="_________FEB2010" localSheetId="4" hidden="1">#REF!</definedName>
    <definedName name="_________FEB2010" localSheetId="1" hidden="1">#REF!</definedName>
    <definedName name="_________FEB2010" localSheetId="0" hidden="1">#REF!</definedName>
    <definedName name="_________FEB2010" localSheetId="9" hidden="1">#REF!</definedName>
    <definedName name="_________FEB2010" hidden="1">#REF!</definedName>
    <definedName name="_______FEB2010" localSheetId="4" hidden="1">#REF!</definedName>
    <definedName name="_______FEB2010" localSheetId="1" hidden="1">#REF!</definedName>
    <definedName name="_______FEB2010" localSheetId="0" hidden="1">#REF!</definedName>
    <definedName name="_______FEB2010" localSheetId="9" hidden="1">#REF!</definedName>
    <definedName name="_______FEB2010" hidden="1">#REF!</definedName>
    <definedName name="_____FEB2010" localSheetId="4" hidden="1">#REF!</definedName>
    <definedName name="_____FEB2010" localSheetId="1" hidden="1">#REF!</definedName>
    <definedName name="_____FEB2010" localSheetId="0" hidden="1">#REF!</definedName>
    <definedName name="_____FEB2010" localSheetId="9" hidden="1">#REF!</definedName>
    <definedName name="_____FEB2010" hidden="1">#REF!</definedName>
    <definedName name="____FEB2010" localSheetId="4" hidden="1">#REF!</definedName>
    <definedName name="____FEB2010" localSheetId="1" hidden="1">#REF!</definedName>
    <definedName name="____FEB2010" localSheetId="0" hidden="1">#REF!</definedName>
    <definedName name="____FEB2010" localSheetId="9" hidden="1">#REF!</definedName>
    <definedName name="____FEB2010" hidden="1">#REF!</definedName>
    <definedName name="___FEB2010" localSheetId="4" hidden="1">#REF!</definedName>
    <definedName name="___FEB2010" localSheetId="1" hidden="1">#REF!</definedName>
    <definedName name="___FEB2010" localSheetId="0" hidden="1">#REF!</definedName>
    <definedName name="___FEB2010" localSheetId="9" hidden="1">#REF!</definedName>
    <definedName name="___FEB2010" hidden="1">#REF!</definedName>
    <definedName name="__ias12" localSheetId="9">'[1]INC. STATE. SUM'!#REF!</definedName>
    <definedName name="__ias12">'[1]INC. STATE. SUM'!#REF!</definedName>
    <definedName name="__ias17" localSheetId="9">'[1]INC. STATE. SUM'!#REF!</definedName>
    <definedName name="__ias17">'[1]INC. STATE. SUM'!#REF!</definedName>
    <definedName name="__jan08" hidden="1">{#N/A,#N/A,FALSE,"Cover";#N/A,#N/A,FALSE,"Contents";#N/A,#N/A,FALSE,"5 year review";#N/A,#N/A,FALSE,"Group P&amp;L";#N/A,#N/A,FALSE,"Group Bal sheet";#N/A,#N/A,FALSE,"Co Bal Sheet";#N/A,#N/A,FALSE,"Socie";#N/A,#N/A,FALSE,"Cashflow";#N/A,#N/A,FALSE,"Note 1";#N/A,#N/A,FALSE,"Note 2 onwards "}</definedName>
    <definedName name="__NV2" localSheetId="9">IF([2]!Loan_Amount*[2]!Interest_Rate*[2]!Loan_Years*[2]!Loan_Start&gt;0,1,0)</definedName>
    <definedName name="__NV2">IF([2]!Loan_Amount*[2]!Interest_Rate*[2]!Loan_Years*[2]!Loan_Start&gt;0,1,0)</definedName>
    <definedName name="__TB2">[3]TB!$A$1:$H$996</definedName>
    <definedName name="_FEB2010" localSheetId="6" hidden="1">#REF!</definedName>
    <definedName name="_FEB2010" localSheetId="0" hidden="1">#REF!</definedName>
    <definedName name="_FEB2010" localSheetId="9" hidden="1">#REF!</definedName>
    <definedName name="_FEB2010" localSheetId="5" hidden="1">#REF!</definedName>
    <definedName name="_FEB2010" hidden="1">#REF!</definedName>
    <definedName name="_ias12" localSheetId="9">'[1]INC. STATE. SUM'!#REF!</definedName>
    <definedName name="_ias12">'[1]INC. STATE. SUM'!#REF!</definedName>
    <definedName name="_ias17" localSheetId="9">'[1]INC. STATE. SUM'!#REF!</definedName>
    <definedName name="_ias17">'[1]INC. STATE. SUM'!#REF!</definedName>
    <definedName name="_jan08" hidden="1">{#N/A,#N/A,FALSE,"Cover";#N/A,#N/A,FALSE,"Contents";#N/A,#N/A,FALSE,"5 year review";#N/A,#N/A,FALSE,"Group P&amp;L";#N/A,#N/A,FALSE,"Group Bal sheet";#N/A,#N/A,FALSE,"Co Bal Sheet";#N/A,#N/A,FALSE,"Socie";#N/A,#N/A,FALSE,"Cashflow";#N/A,#N/A,FALSE,"Note 1";#N/A,#N/A,FALSE,"Note 2 onwards "}</definedName>
    <definedName name="_NV2" localSheetId="9">IF(REITs!Loan_Amount*REITs!Interest_Rate*REITs!Loan_Years*REITs!Loan_Start&gt;0,1,0)</definedName>
    <definedName name="_NV2">IF(Loan_Amount*Interest_Rate*Loan_Years*Loan_Start&gt;0,1,0)</definedName>
    <definedName name="_Order1">0</definedName>
    <definedName name="_Order2">255</definedName>
    <definedName name="_TB2">[3]TB!$A$1:$H$996</definedName>
    <definedName name="aaa" hidden="1">{#N/A,#N/A,TRUE,"Board";#N/A,#N/A,TRUE,"Assumptions";#N/A,#N/A,TRUE,"Statistica abstract";#N/A,#N/A,TRUE,"INC. STATE. SUM";#N/A,#N/A,TRUE,"INC.ST. IND LIFE";#N/A,#N/A,TRUE,"INC.ST. CB";#N/A,#N/A,TRUE,"BS";#N/A,#N/A,TRUE,"Cashflow";#N/A,#N/A,TRUE,"Accepted_Biz";#N/A,#N/A,TRUE,"BP";#N/A,#N/A,TRUE,"Note3";#N/A,#N/A,TRUE,"NOTES 1";#N/A,#N/A,TRUE,"Variances";#N/A,#N/A,TRUE,"Snap shot";#N/A,#N/A,TRUE,"Staff Compliment";#N/A,#N/A,TRUE,"Capex report"}</definedName>
    <definedName name="Accepted_FFP">'[4]Bgt file size'!$A$163:$B$164</definedName>
    <definedName name="Accepted_WP">'[4]Bgt file size'!$A$165:$B$166</definedName>
    <definedName name="acceptedfffp">'[4]Control Sheet'!$A$102:$A$103</definedName>
    <definedName name="AccessDatabase">"D:\Compensation\comp data 2001.xls"</definedName>
    <definedName name="account">'[4]snap shot'!$I$6</definedName>
    <definedName name="Accumulated_depreciation">[5]criteria!$B$1119:$E$1120</definedName>
    <definedName name="acs_Colmn">[1]Expenses!$A$6:$A$5000</definedName>
    <definedName name="Active_new.ffp">'[4]Bgt file size'!$A$311:$B$312</definedName>
    <definedName name="active_new.wp">'[4]Bgt file size'!$A$313:$B$314</definedName>
    <definedName name="activenewbusiness" localSheetId="9">'[1]New Business'!#REF!</definedName>
    <definedName name="activenewbusiness">'[1]New Business'!#REF!</definedName>
    <definedName name="acturialfee.bgt">'[6]citeria budget'!$B$49:$R$50</definedName>
    <definedName name="acturialfee2.da" localSheetId="9">[1]criteria!#REF!</definedName>
    <definedName name="acturialfee2.da">[1]criteria!#REF!</definedName>
    <definedName name="acturialfees.exp">[6]criteria!$B$604:$E$605</definedName>
    <definedName name="Address" localSheetId="4">#REF!</definedName>
    <definedName name="Address" localSheetId="1">#REF!</definedName>
    <definedName name="Address" localSheetId="3">#REF!</definedName>
    <definedName name="Address" localSheetId="0">#REF!</definedName>
    <definedName name="Address" localSheetId="9">#REF!</definedName>
    <definedName name="Address" localSheetId="5">#REF!</definedName>
    <definedName name="Address">#REF!</definedName>
    <definedName name="ADMINISTARTIONBGT.CUMMULATIVE" localSheetId="9">#REF!</definedName>
    <definedName name="ADMINISTARTIONBGT.CUMMULATIVE">#REF!</definedName>
    <definedName name="administrationbgt.cummulative">'[6]Administration budget'!$A$294:$Q$580</definedName>
    <definedName name="administrationbgt.month" localSheetId="9">#REF!</definedName>
    <definedName name="administrationbgt.month">#REF!</definedName>
    <definedName name="admittedassets" localSheetId="9">#REF!</definedName>
    <definedName name="admittedassets">#REF!</definedName>
    <definedName name="Admunitbudget" localSheetId="9">#REF!</definedName>
    <definedName name="Admunitbudget">#REF!</definedName>
    <definedName name="advertising.bgt">'[6]citeria budget'!$B$71:$R$72</definedName>
    <definedName name="advertising.exp">[6]criteria!$B$631:$E$632</definedName>
    <definedName name="agency" localSheetId="9">#REF!</definedName>
    <definedName name="agency">#REF!</definedName>
    <definedName name="Agency_development_fund">[5]criteria!$B$1084:$E$1085</definedName>
    <definedName name="agencytb">[6]AgencyTB!$A$1:$H$998</definedName>
    <definedName name="alacharges.exp">[6]criteria!$B$602:$E$603</definedName>
    <definedName name="alagroupcharges.bgt">'[6]citeria budget'!$B$47:$R$48</definedName>
    <definedName name="alloc_Colmn">[1]Expenses!$X$6:$X$5000</definedName>
    <definedName name="anscount">6</definedName>
    <definedName name="api" localSheetId="9">#REF!</definedName>
    <definedName name="api">#REF!</definedName>
    <definedName name="API_creditor">[5]criteria!$B$1101:$E$1102</definedName>
    <definedName name="API_debtor">[5]criteria!$B$1078:$E$1079</definedName>
    <definedName name="APIcommission" localSheetId="9">'[1]NOTES 1'!#REF!</definedName>
    <definedName name="APIcommission">'[1]NOTES 1'!#REF!</definedName>
    <definedName name="apitax" localSheetId="9">'[1]NOTES 1'!#REF!</definedName>
    <definedName name="apitax">'[1]NOTES 1'!#REF!</definedName>
    <definedName name="april">'[4]cashflow forecast'!$A$127:$H$128</definedName>
    <definedName name="AS2DocOpenMode">"AS2DocumentEdit"</definedName>
    <definedName name="AS2ReportLS">1</definedName>
    <definedName name="AS2SyncStepLS">0</definedName>
    <definedName name="AS2VersionLS">300</definedName>
    <definedName name="Assumptions">[4]Assumptions!$A$6:$R$28</definedName>
    <definedName name="audit">[7]criteria!$B$539:$G$540</definedName>
    <definedName name="auditfee.bgt">'[6]citeria budget'!$B$51:$R$52</definedName>
    <definedName name="auditfees.exp">[6]criteria!$B$606:$E$607</definedName>
    <definedName name="august">'[4]cashflow forecast'!$A$135:$H$136</definedName>
    <definedName name="az" localSheetId="9">#REF!</definedName>
    <definedName name="az">#REF!</definedName>
    <definedName name="B_VND">0.05</definedName>
    <definedName name="B_YEN">0.1</definedName>
    <definedName name="Bank_balance">[5]criteria!$B$1086:$E$1087</definedName>
    <definedName name="bankcharges.bgt">'[6]citeria budget'!$B$25:$R$26</definedName>
    <definedName name="bankcharges.exp">[6]criteria!$B$580:$E$581</definedName>
    <definedName name="bankod.bgt">'[6]citeria budget'!$B$27:$R$28</definedName>
    <definedName name="bankod.exp">[6]criteria!$B$582:$E$583</definedName>
    <definedName name="basicpay">[4]criteria!$B$864:$E$865</definedName>
    <definedName name="Beg_Bal" localSheetId="9">#REF!</definedName>
    <definedName name="Beg_Bal">#REF!</definedName>
    <definedName name="benefitpayment.bgt">[4]criteria!$G$345:$J$346</definedName>
    <definedName name="BENEFITPAYMENT.UP" localSheetId="9">#REF!</definedName>
    <definedName name="BENEFITPAYMENT.UP">#REF!</definedName>
    <definedName name="BG_Del">15</definedName>
    <definedName name="BG_Ins">4</definedName>
    <definedName name="BG_Mod">6</definedName>
    <definedName name="BGT_05" localSheetId="9">#REF!</definedName>
    <definedName name="BGT_05">#REF!</definedName>
    <definedName name="BGT_06" localSheetId="9">#REF!</definedName>
    <definedName name="BGT_06">#REF!</definedName>
    <definedName name="BGT_07" localSheetId="9">#REF!</definedName>
    <definedName name="BGT_07">#REF!</definedName>
    <definedName name="BGT_08" localSheetId="9">#REF!</definedName>
    <definedName name="BGT_08">#REF!</definedName>
    <definedName name="Bgt_Colmn">[1]Expenses!$P$6:$P$5000</definedName>
    <definedName name="BGT_unit_Costs_07" localSheetId="9">#REF!</definedName>
    <definedName name="BGT_unit_Costs_07">#REF!</definedName>
    <definedName name="Bgt06_Colmn">[1]Expenses!$S$6:$S$5000</definedName>
    <definedName name="bgtlife" localSheetId="9">#REF!</definedName>
    <definedName name="bgtlife">#REF!</definedName>
    <definedName name="bgtunit.adm" localSheetId="9">#REF!</definedName>
    <definedName name="bgtunit.adm">#REF!</definedName>
    <definedName name="bgtunitcosts">[4]expenses!$B$2:$H$3000</definedName>
    <definedName name="bgtunitcosts.adm" localSheetId="9">[4]Assumptions!#REF!</definedName>
    <definedName name="bgtunitcosts.adm">[4]Assumptions!#REF!</definedName>
    <definedName name="bgtunitcosts.mkt">'[4]Marketing Expenses'!$B$3:$B$1077</definedName>
    <definedName name="bgtunits.mkt" localSheetId="9">#REF!</definedName>
    <definedName name="bgtunits.mkt">#REF!</definedName>
    <definedName name="bonuses">[8]Criteria!$B$145:$E$147</definedName>
    <definedName name="Budget2004.adm">'[4]AR-Administration'!$A$65:$H$720</definedName>
    <definedName name="budget2004.mkt">'[4]AR-Marketing'!$A$61:$H$1006</definedName>
    <definedName name="budgetadm2003" localSheetId="9">'[4]AR-Administration'!#REF!</definedName>
    <definedName name="budgetadm2003">'[4]AR-Administration'!#REF!</definedName>
    <definedName name="BudgetHo" localSheetId="9">#REF!</definedName>
    <definedName name="BudgetHo">#REF!</definedName>
    <definedName name="budgetmarketing" localSheetId="9">#REF!</definedName>
    <definedName name="budgetmarketing">#REF!</definedName>
    <definedName name="Building_Depreciation">[5]criteria!$B$1117:$E$1118</definedName>
    <definedName name="buildingdepn.bgt">'[6]citeria budget'!$B$115:$R$116</definedName>
    <definedName name="buildingdepn.exp">[6]criteria!$B$675:$E$676</definedName>
    <definedName name="Buildings">[5]criteria!$B$1031:$E$1032</definedName>
    <definedName name="Business" localSheetId="9">#REF!</definedName>
    <definedName name="Business">#REF!</definedName>
    <definedName name="Button_1">"netplgtool2_Calculations_List"</definedName>
    <definedName name="Button_2">"netplgtool2_Calculations_List"</definedName>
    <definedName name="Button_3">"Invoice_Register_CHECK_List"</definedName>
    <definedName name="Button_4">"Invoice_Register_CHECK_List"</definedName>
    <definedName name="C_" localSheetId="9">#REF!</definedName>
    <definedName name="C_">#REF!</definedName>
    <definedName name="C_VND">0.03</definedName>
    <definedName name="C_YEN">0.1</definedName>
    <definedName name="calendar">'[5]Contol Sheet'!$A$16:$I$28</definedName>
    <definedName name="calendar2">'[4]Control Sheet'!$A$158:$B$169</definedName>
    <definedName name="Cancellation_New.FFP">'[4]Bgt file size'!$A$246:$B$247</definedName>
    <definedName name="Cancellation_New.WP">'[4]Bgt file size'!$A$248:$B$249</definedName>
    <definedName name="cancellationfffp">'[4]Control Sheet'!$A$56:$B$57</definedName>
    <definedName name="cancellationpaic">'[4]Control Sheet'!$A$54:$B$55</definedName>
    <definedName name="cancellationwp">'[4]Control Sheet'!$A$58:$B$59</definedName>
    <definedName name="Capex.finance" localSheetId="9">#REF!</definedName>
    <definedName name="Capex.finance">#REF!</definedName>
    <definedName name="capex2" localSheetId="9">#REF!</definedName>
    <definedName name="capex2">#REF!</definedName>
    <definedName name="carloanallowance">[4]criteria!$B$870:$E$871</definedName>
    <definedName name="cash_bonus">[4]criteria!$B$147:$E$148</definedName>
    <definedName name="cashflowCB" localSheetId="9">#REF!</definedName>
    <definedName name="cashflowCB">#REF!</definedName>
    <definedName name="cashinlieu">[4]criteria!$B$894:$E$895</definedName>
    <definedName name="CELLREF" localSheetId="9">[4]expenses!#REF!</definedName>
    <definedName name="CELLREF">[4]expenses!#REF!</definedName>
    <definedName name="CHITO" localSheetId="4">#REF!</definedName>
    <definedName name="CHITO" localSheetId="1">#REF!</definedName>
    <definedName name="CHITO" localSheetId="0">#REF!</definedName>
    <definedName name="CHITO" localSheetId="9">#REF!</definedName>
    <definedName name="CHITO">#REF!</definedName>
    <definedName name="chung">66</definedName>
    <definedName name="City" localSheetId="4">#REF!</definedName>
    <definedName name="City" localSheetId="1">#REF!</definedName>
    <definedName name="City" localSheetId="3">#REF!</definedName>
    <definedName name="City" localSheetId="0">#REF!</definedName>
    <definedName name="City" localSheetId="9">#REF!</definedName>
    <definedName name="City" localSheetId="5">#REF!</definedName>
    <definedName name="City">#REF!</definedName>
    <definedName name="citycentre.bgt">[4]criteria!$G$327:$J$328</definedName>
    <definedName name="citycentre.up" localSheetId="9">#REF!</definedName>
    <definedName name="citycentre.up">#REF!</definedName>
    <definedName name="Claim_budget">'[4]Renewal Api'!$A$61:$U$72</definedName>
    <definedName name="Claim_expense">[8]Criteria!$B$140:$E$144</definedName>
    <definedName name="Claim_recoverable_debtor">[5]criteria!$B$1082:$E$1083</definedName>
    <definedName name="Claims">[3]Criteria!$B$130:$E$131</definedName>
    <definedName name="CLeric" localSheetId="9">'[1]Cop Prm inc'!#REF!</definedName>
    <definedName name="CLeric">'[1]Cop Prm inc'!#REF!</definedName>
    <definedName name="Closingtb" localSheetId="9">#REF!</definedName>
    <definedName name="Closingtb">#REF!</definedName>
    <definedName name="club">[6]criteria!$B$665:$E$666</definedName>
    <definedName name="club.bgt">'[6]citeria budget'!$B$105:$R$106</definedName>
    <definedName name="Code" localSheetId="6" hidden="1">#REF!</definedName>
    <definedName name="Code" localSheetId="4" hidden="1">#REF!</definedName>
    <definedName name="Code" localSheetId="7" hidden="1">#REF!</definedName>
    <definedName name="Code" localSheetId="8" hidden="1">#REF!</definedName>
    <definedName name="Code" localSheetId="3" hidden="1">#REF!</definedName>
    <definedName name="Code" localSheetId="0" hidden="1">#REF!</definedName>
    <definedName name="Code" localSheetId="9" hidden="1">#REF!</definedName>
    <definedName name="Code" localSheetId="5" hidden="1">#REF!</definedName>
    <definedName name="Code" hidden="1">#REF!</definedName>
    <definedName name="code1" localSheetId="6" hidden="1">#REF!</definedName>
    <definedName name="code1" localSheetId="0" hidden="1">#REF!</definedName>
    <definedName name="code1" localSheetId="9" hidden="1">#REF!</definedName>
    <definedName name="code1" localSheetId="5" hidden="1">#REF!</definedName>
    <definedName name="code1" hidden="1">#REF!</definedName>
    <definedName name="Col_cost_ctr" localSheetId="9">#REF!</definedName>
    <definedName name="Col_cost_ctr">#REF!</definedName>
    <definedName name="commercial_paper">[5]criteria!$B$1046:$E$1047</definedName>
    <definedName name="Commissions">[3]Criteria!$B$93:$E$97</definedName>
    <definedName name="Comn_06" localSheetId="9">#REF!</definedName>
    <definedName name="Comn_06">#REF!</definedName>
    <definedName name="Company" localSheetId="4">#REF!</definedName>
    <definedName name="Company" localSheetId="1">#REF!</definedName>
    <definedName name="Company" localSheetId="3">#REF!</definedName>
    <definedName name="Company" localSheetId="0">#REF!</definedName>
    <definedName name="Company" localSheetId="9">#REF!</definedName>
    <definedName name="Company" localSheetId="5">#REF!</definedName>
    <definedName name="Company">#REF!</definedName>
    <definedName name="companysubscription.bgt">'[6]citeria budget'!$B$93:$R$94</definedName>
    <definedName name="compdepn.exp">[6]criteria!$B$564:$E$565</definedName>
    <definedName name="computedapicollectioncharges" localSheetId="9">'[1]NOTES 1'!#REF!</definedName>
    <definedName name="computedapicollectioncharges">'[1]NOTES 1'!#REF!</definedName>
    <definedName name="computedapicommission" localSheetId="9">'[1]NOTES 1'!#REF!</definedName>
    <definedName name="computedapicommission">'[1]NOTES 1'!#REF!</definedName>
    <definedName name="computedapicreditor" localSheetId="9">'[1]NOTES 1'!#REF!</definedName>
    <definedName name="computedapicreditor">'[1]NOTES 1'!#REF!</definedName>
    <definedName name="computedAPIdebtor" localSheetId="9">'[1]NOTES 1'!#REF!</definedName>
    <definedName name="computedAPIdebtor">'[1]NOTES 1'!#REF!</definedName>
    <definedName name="computedapioveride" localSheetId="9">'[1]NOTES 1'!#REF!</definedName>
    <definedName name="computedapioveride">'[1]NOTES 1'!#REF!</definedName>
    <definedName name="computedapipremium" localSheetId="9">'[1]NOTES 1'!#REF!</definedName>
    <definedName name="computedapipremium">'[1]NOTES 1'!#REF!</definedName>
    <definedName name="computedapitax" localSheetId="9">'[1]NOTES 1'!#REF!</definedName>
    <definedName name="computedapitax">'[1]NOTES 1'!#REF!</definedName>
    <definedName name="computerconsumable">[6]criteria!$B$647:$E$648</definedName>
    <definedName name="computerconsumables.bgt">'[6]citeria budget'!$B$87:$R$88</definedName>
    <definedName name="computerdepn.bgt">'[6]citeria budget'!$B$8:$R$9</definedName>
    <definedName name="computermaintainance">[6]criteria!$B$639:$E$640</definedName>
    <definedName name="computermaintenance.bgt">'[6]citeria budget'!$B$79:$R$80</definedName>
    <definedName name="contents" localSheetId="9">#REF!</definedName>
    <definedName name="contents">#REF!</definedName>
    <definedName name="cop">[4]criteria!$G$361:$M$362</definedName>
    <definedName name="COP_EXP" localSheetId="9">[1]Variances!#REF!</definedName>
    <definedName name="COP_EXP">[1]Variances!#REF!</definedName>
    <definedName name="copexpbudget" localSheetId="9">#REF!</definedName>
    <definedName name="copexpbudget">#REF!</definedName>
    <definedName name="CORPORATE_PREMIUM">[4]corporateburget2005!$A$4:$Q$69</definedName>
    <definedName name="corporatebgt.cummulative" localSheetId="9">'[1]budget-corporate'!#REF!</definedName>
    <definedName name="corporatebgt.cummulative">'[1]budget-corporate'!#REF!</definedName>
    <definedName name="Corporatebgt.month" localSheetId="9">'[1]budget-corporate'!#REF!</definedName>
    <definedName name="Corporatebgt.month">'[1]budget-corporate'!#REF!</definedName>
    <definedName name="Cost_CTR" localSheetId="9">#REF!</definedName>
    <definedName name="Cost_CTR">#REF!</definedName>
    <definedName name="Countries" localSheetId="9">#REF!</definedName>
    <definedName name="Countries">#REF!</definedName>
    <definedName name="Country" localSheetId="4">#REF!</definedName>
    <definedName name="Country" localSheetId="1">#REF!</definedName>
    <definedName name="Country" localSheetId="3">#REF!</definedName>
    <definedName name="Country" localSheetId="0">#REF!</definedName>
    <definedName name="Country" localSheetId="9">#REF!</definedName>
    <definedName name="Country" localSheetId="5">#REF!</definedName>
    <definedName name="Country">#REF!</definedName>
    <definedName name="courier.bgt">'[6]citeria budget'!$B$69:$R$70</definedName>
    <definedName name="courier.exp">[6]criteria!$B$629:$E$630</definedName>
    <definedName name="CP">[9]Criteria!$B$463:$E$467</definedName>
    <definedName name="creditors">[5]criteria!$B$1064:$E$1070</definedName>
    <definedName name="_xlnm.Criteria" localSheetId="9">#REF!</definedName>
    <definedName name="_xlnm.Criteria">#REF!</definedName>
    <definedName name="critre" localSheetId="9">[1]Company_TB!#REF!</definedName>
    <definedName name="critre">[1]Company_TB!#REF!</definedName>
    <definedName name="crore">10000000</definedName>
    <definedName name="csDesignMode">1</definedName>
    <definedName name="ctrl">'[4]cashflow forecast'!$Q$16:$Q$17</definedName>
    <definedName name="Cum_Int">'[10]Account 1'!$J$15:$J$494</definedName>
    <definedName name="Current_waiting.FFP">'[4]Bgt file size'!$A$171:$B$172</definedName>
    <definedName name="Current_Waiting.WP">'[4]Bgt file size'!$A$173:$B$174</definedName>
    <definedName name="Current_waiting_aftermonth.FFP">'[4]Bgt file size'!$A$184:$B$185</definedName>
    <definedName name="Current_waiting_aftermonth.WP">'[4]Bgt file size'!$A$186:$B$187</definedName>
    <definedName name="custodyfee.exp">[6]criteria!$B$584:$E$585</definedName>
    <definedName name="custodyfees.bgt">'[6]citeria budget'!$B$29:$R$30</definedName>
    <definedName name="customerservice.bgt">[4]criteria!$G$341:$J$342</definedName>
    <definedName name="CUSTOMERSERVICE.UP" localSheetId="9">#REF!</definedName>
    <definedName name="CUSTOMERSERVICE.UP">#REF!</definedName>
    <definedName name="DA_TB">[5]DA_tb!$A$1:$F$997</definedName>
    <definedName name="dam">78000</definedName>
    <definedName name="Data" localSheetId="9">#REF!</definedName>
    <definedName name="Data">#REF!</definedName>
    <definedName name="data1" localSheetId="4" hidden="1">#REF!</definedName>
    <definedName name="data1" localSheetId="1" hidden="1">#REF!</definedName>
    <definedName name="data1" localSheetId="3" hidden="1">#REF!</definedName>
    <definedName name="data1" localSheetId="0" hidden="1">#REF!</definedName>
    <definedName name="data1" localSheetId="9" hidden="1">#REF!</definedName>
    <definedName name="data1" localSheetId="5" hidden="1">#REF!</definedName>
    <definedName name="data1" hidden="1">#REF!</definedName>
    <definedName name="data2" localSheetId="4" hidden="1">#REF!</definedName>
    <definedName name="data2" localSheetId="1" hidden="1">#REF!</definedName>
    <definedName name="data2" localSheetId="3" hidden="1">#REF!</definedName>
    <definedName name="data2" localSheetId="0" hidden="1">#REF!</definedName>
    <definedName name="data2" localSheetId="9" hidden="1">#REF!</definedName>
    <definedName name="data2" localSheetId="5" hidden="1">#REF!</definedName>
    <definedName name="data2" hidden="1">#REF!</definedName>
    <definedName name="data3" localSheetId="6" hidden="1">#REF!</definedName>
    <definedName name="data3" localSheetId="4" hidden="1">#REF!</definedName>
    <definedName name="data3" localSheetId="7" hidden="1">#REF!</definedName>
    <definedName name="data3" localSheetId="8" hidden="1">#REF!</definedName>
    <definedName name="data3" localSheetId="3" hidden="1">#REF!</definedName>
    <definedName name="data3" localSheetId="0" hidden="1">#REF!</definedName>
    <definedName name="data3" localSheetId="9" hidden="1">#REF!</definedName>
    <definedName name="data3" localSheetId="5" hidden="1">#REF!</definedName>
    <definedName name="data3" hidden="1">#REF!</definedName>
    <definedName name="Date">'[11]Original Budget'!$I$2:$N$13</definedName>
    <definedName name="DAVID" hidden="1">{#N/A,#N/A,TRUE,"Cover";#N/A,#N/A,TRUE,"Index";#N/A,#N/A,TRUE,"Stats";#N/A,#N/A,TRUE,"Commentary";#N/A,#N/A,TRUE,"Income Statement";#N/A,#N/A,TRUE,"Balance Sheet";#N/A,#N/A,TRUE,"Changes in Equity";#N/A,#N/A,TRUE,"Notes1";#N/A,#N/A,TRUE,"Notes2";#N/A,#N/A,TRUE,"Notes3";#N/A,#N/A,TRUE,"Notes4";#N/A,#N/A,TRUE,"Notes5";#N/A,#N/A,TRUE,"Notes6";#N/A,#N/A,TRUE,"Notes7";#N/A,#N/A,TRUE,"Notes8";#N/A,#N/A,TRUE,"Notes10-12";#N/A,#N/A,TRUE,"Notes13-15";#N/A,#N/A,TRUE,"Notes16-19";#N/A,#N/A,TRUE,"Notes20-22";#N/A,#N/A,TRUE,"Notes23";#N/A,#N/A,TRUE,"Notes23";#N/A,#N/A,TRUE,"Unit costs";#N/A,#N/A,TRUE,"ShlderAssets";#N/A,#N/A,TRUE,"Questionairre";#N/A,#N/A,TRUE,"Subsidiaries and Ass."}</definedName>
    <definedName name="Death_new.FFP">'[4]Bgt file size'!$A$240:$B$241</definedName>
    <definedName name="Death_New.WP">'[4]Bgt file size'!$A$242:$B$243</definedName>
    <definedName name="debtors">[5]criteria!$B$1057:$E$1063</definedName>
    <definedName name="december">'[4]cashflow forecast'!$A$143:$H$144</definedName>
    <definedName name="dede" localSheetId="6" hidden="1">#REF!</definedName>
    <definedName name="dede" localSheetId="0" hidden="1">#REF!</definedName>
    <definedName name="dede" localSheetId="9" hidden="1">#REF!</definedName>
    <definedName name="dede" localSheetId="5" hidden="1">#REF!</definedName>
    <definedName name="dede" hidden="1">#REF!</definedName>
    <definedName name="defferedtaxprovision">[7]criteria!$B$452:$G$453</definedName>
    <definedName name="Details" localSheetId="9">#REF!</definedName>
    <definedName name="Details">#REF!</definedName>
    <definedName name="dfdf" localSheetId="6" hidden="1">#REF!</definedName>
    <definedName name="dfdf" localSheetId="4" hidden="1">#REF!</definedName>
    <definedName name="dfdf" localSheetId="7" hidden="1">#REF!</definedName>
    <definedName name="dfdf" localSheetId="8" hidden="1">#REF!</definedName>
    <definedName name="dfdf" localSheetId="3" hidden="1">#REF!</definedName>
    <definedName name="dfdf" localSheetId="0" hidden="1">#REF!</definedName>
    <definedName name="dfdf" localSheetId="9" hidden="1">#REF!</definedName>
    <definedName name="dfdf" localSheetId="5" hidden="1">#REF!</definedName>
    <definedName name="dfdf" hidden="1">#REF!</definedName>
    <definedName name="dfg">38183.3875462963</definedName>
    <definedName name="DIA_BGT" localSheetId="9">#REF!</definedName>
    <definedName name="DIA_BGT">#REF!</definedName>
    <definedName name="DIA_PYA" localSheetId="9">#REF!</definedName>
    <definedName name="DIA_PYA">#REF!</definedName>
    <definedName name="DISC1">0</definedName>
    <definedName name="Discount" localSheetId="6" hidden="1">#REF!</definedName>
    <definedName name="Discount" localSheetId="4" hidden="1">#REF!</definedName>
    <definedName name="Discount" localSheetId="7" hidden="1">#REF!</definedName>
    <definedName name="Discount" localSheetId="8" hidden="1">#REF!</definedName>
    <definedName name="Discount" localSheetId="3" hidden="1">#REF!</definedName>
    <definedName name="Discount" localSheetId="0" hidden="1">#REF!</definedName>
    <definedName name="Discount" localSheetId="9" hidden="1">#REF!</definedName>
    <definedName name="Discount" localSheetId="5" hidden="1">#REF!</definedName>
    <definedName name="Discount" hidden="1">#REF!</definedName>
    <definedName name="display_area_2" localSheetId="4" hidden="1">#REF!</definedName>
    <definedName name="display_area_2" localSheetId="1" hidden="1">#REF!</definedName>
    <definedName name="display_area_2" localSheetId="3" hidden="1">#REF!</definedName>
    <definedName name="display_area_2" localSheetId="0" hidden="1">#REF!</definedName>
    <definedName name="display_area_2" localSheetId="9" hidden="1">#REF!</definedName>
    <definedName name="display_area_2" localSheetId="5" hidden="1">#REF!</definedName>
    <definedName name="display_area_2" hidden="1">#REF!</definedName>
    <definedName name="disposal_loss">[8]Criteria!$B$98:$E$99</definedName>
    <definedName name="donations">[4]criteria!$B$904:$E$905</definedName>
    <definedName name="E" localSheetId="9">IF(REITs!Loan_Amount*REITs!Interest_Rate*REITs!Loan_Years*REITs!Loan_Start&gt;0,1,0)</definedName>
    <definedName name="E">IF(Loan_Amount*Interest_Rate*Loan_Years*Loan_Start&gt;0,1,0)</definedName>
    <definedName name="E1_Channels">30</definedName>
    <definedName name="educationallowance">[4]criteria!$B$878:$E$879</definedName>
    <definedName name="educationexpenses">[4]criteria!$B$820:$E$821</definedName>
    <definedName name="eldoret.bgt">[4]criteria!$G$315:$J$316</definedName>
    <definedName name="eldoret.up" localSheetId="9">#REF!</definedName>
    <definedName name="eldoret.up">#REF!</definedName>
    <definedName name="electricity.bgt">'[6]citeria budget'!$B$19:$R$20</definedName>
    <definedName name="Email" localSheetId="4">#REF!</definedName>
    <definedName name="Email" localSheetId="1">#REF!</definedName>
    <definedName name="Email" localSheetId="3">#REF!</definedName>
    <definedName name="Email" localSheetId="0">#REF!</definedName>
    <definedName name="Email" localSheetId="9">#REF!</definedName>
    <definedName name="Email" localSheetId="5">#REF!</definedName>
    <definedName name="Email">#REF!</definedName>
    <definedName name="embu.bgt">[4]criteria!$G$323:$J$324</definedName>
    <definedName name="embu.up" localSheetId="9">#REF!</definedName>
    <definedName name="embu.up">#REF!</definedName>
    <definedName name="End_Bal" localSheetId="9">#REF!</definedName>
    <definedName name="End_Bal">#REF!</definedName>
    <definedName name="entertainment.bgt">'[6]citeria budget'!$B$67:$R$68</definedName>
    <definedName name="entertainment.exp">[6]criteria!$B$627:$E$628</definedName>
    <definedName name="EQUI" localSheetId="9">MATCH(0.01,REITs!End_Bal,-1)+1</definedName>
    <definedName name="EQUI">MATCH(0.01,End_Bal,-1)+1</definedName>
    <definedName name="equipmentmaintainance">[6]criteria!$B$641:$E$642</definedName>
    <definedName name="equipmentmainteinance.bgt">'[6]citeria budget'!$B$81:$R$82</definedName>
    <definedName name="EQUITIES" localSheetId="9">OFFSET(REITs!Full_Print,0,0,[0]!Last_Row)</definedName>
    <definedName name="EQUITIES">OFFSET(Full_Print,0,0,Last_Row)</definedName>
    <definedName name="Equity">'[12]Notes13-15'!$H$30</definedName>
    <definedName name="EV__LASTREFTIME__">39434.4275694444</definedName>
    <definedName name="Exceptional.item.gd" localSheetId="9">#REF!</definedName>
    <definedName name="Exceptional.item.gd">#REF!</definedName>
    <definedName name="exceptional.item.life" localSheetId="9">#REF!</definedName>
    <definedName name="exceptional.item.life">#REF!</definedName>
    <definedName name="excutive.bgt">[4]criteria!$G$335:$J$336</definedName>
    <definedName name="excutiverecharge.exp">[6]criteria!$B$616:$E$617</definedName>
    <definedName name="executive.up" localSheetId="9">#REF!</definedName>
    <definedName name="executive.up">#REF!</definedName>
    <definedName name="exist" hidden="1">{#N/A,#N/A,TRUE,"Cover";#N/A,#N/A,TRUE,"INDEX";#N/A,#N/A,TRUE,"Revenue Account";#N/A,#N/A,TRUE,"Balance Sheet";#N/A,#N/A,TRUE,"Note(1-3)";#N/A,#N/A,TRUE,"note(4-6)";#N/A,#N/A,TRUE,"Note(7-8)";#N/A,#N/A,TRUE,"Note(9-10)";#N/A,#N/A,TRUE,"Note(11-13)";#N/A,#N/A,TRUE,"Note(14-15)";#N/A,#N/A,TRUE,"Note(16-18)";#N/A,#N/A,TRUE,"Note(19-23)";#N/A,#N/A,TRUE,"Note 24";#N/A,#N/A,TRUE,"Tax computation"}</definedName>
    <definedName name="Exit_old.FFP">'[4]Bgt file size'!$A$319:$B$320</definedName>
    <definedName name="Exit_old.Paic">'[4]Bgt file size'!$A$317:$B$318</definedName>
    <definedName name="Exit_old.WP">'[4]Bgt file size'!$A$321:$B$322</definedName>
    <definedName name="Exit_prior" localSheetId="9">#REF!</definedName>
    <definedName name="Exit_prior">#REF!</definedName>
    <definedName name="EXP_BGT" localSheetId="9">#REF!</definedName>
    <definedName name="EXP_BGT">#REF!</definedName>
    <definedName name="EXP_BGT.corporate" localSheetId="9">#REF!</definedName>
    <definedName name="EXP_BGT.corporate">#REF!</definedName>
    <definedName name="Expense_Budget_06" localSheetId="9">#REF!</definedName>
    <definedName name="Expense_Budget_06">#REF!</definedName>
    <definedName name="expensebgt" localSheetId="9">#REF!</definedName>
    <definedName name="expensebgt">#REF!</definedName>
    <definedName name="expensebudget">[4]expenses!$A$1:$H$3000</definedName>
    <definedName name="expensebudget.adm">'[4]Adm Expenses'!$A$1:$H$3965</definedName>
    <definedName name="expensebudget.mkt">'[4]Marketing Expenses'!$A$1:$H$1077</definedName>
    <definedName name="Expenses">[8]Criteria!$B$88:$E$91</definedName>
    <definedName name="Extra_Pay" localSheetId="9">#REF!</definedName>
    <definedName name="Extra_Pay">#REF!</definedName>
    <definedName name="FA_Addns" localSheetId="9">[13]FA!#REF!</definedName>
    <definedName name="FA_Addns">[13]FA!#REF!</definedName>
    <definedName name="FA_Sales" localSheetId="9">[13]FA!#REF!</definedName>
    <definedName name="FA_Sales">[13]FA!#REF!</definedName>
    <definedName name="Fax" localSheetId="4">#REF!</definedName>
    <definedName name="Fax" localSheetId="1">#REF!</definedName>
    <definedName name="Fax" localSheetId="3">#REF!</definedName>
    <definedName name="Fax" localSheetId="0">#REF!</definedName>
    <definedName name="Fax" localSheetId="9">#REF!</definedName>
    <definedName name="Fax" localSheetId="5">#REF!</definedName>
    <definedName name="Fax">#REF!</definedName>
    <definedName name="FCode" localSheetId="4" hidden="1">#REF!</definedName>
    <definedName name="FCode" localSheetId="1" hidden="1">#REF!</definedName>
    <definedName name="FCode" localSheetId="3" hidden="1">#REF!</definedName>
    <definedName name="FCode" localSheetId="0" hidden="1">#REF!</definedName>
    <definedName name="FCode" localSheetId="9" hidden="1">#REF!</definedName>
    <definedName name="FCode" localSheetId="5" hidden="1">#REF!</definedName>
    <definedName name="FCode" hidden="1">#REF!</definedName>
    <definedName name="FD">[9]Criteria!$B$468:$E$476</definedName>
    <definedName name="feb" hidden="1">{#N/A,#N/A,TRUE,"Cover";#N/A,#N/A,TRUE,"Index";#N/A,#N/A,TRUE,"Stats";#N/A,#N/A,TRUE,"Commentary";#N/A,#N/A,TRUE,"Income Statement";#N/A,#N/A,TRUE,"Balance Sheet";#N/A,#N/A,TRUE,"Changes in Equity";#N/A,#N/A,TRUE,"Notes1";#N/A,#N/A,TRUE,"Notes2";#N/A,#N/A,TRUE,"Notes3";#N/A,#N/A,TRUE,"Notes4";#N/A,#N/A,TRUE,"Notes5";#N/A,#N/A,TRUE,"Notes6";#N/A,#N/A,TRUE,"Notes7";#N/A,#N/A,TRUE,"Notes8";#N/A,#N/A,TRUE,"Notes10-12";#N/A,#N/A,TRUE,"Notes13-15";#N/A,#N/A,TRUE,"Notes16-19";#N/A,#N/A,TRUE,"Notes20-22";#N/A,#N/A,TRUE,"Notes23";#N/A,#N/A,TRUE,"Notes23";#N/A,#N/A,TRUE,"Unit costs";#N/A,#N/A,TRUE,"ShlderAssets";#N/A,#N/A,TRUE,"Questionairre";#N/A,#N/A,TRUE,"Subsidiaries and Ass."}</definedName>
    <definedName name="February">'[4]cashflow forecast'!$A$123:$H$124</definedName>
    <definedName name="fffdepn.bgt">'[6]citeria budget'!$B$6:$R$7</definedName>
    <definedName name="fffdepn.exp">[6]criteria!$B$562:$E$563</definedName>
    <definedName name="FFFPpremium">'[4]citeria budget'!$B$193:$C$194</definedName>
    <definedName name="FFP_API_NEW" localSheetId="9">'[1]NOTES 1'!#REF!</definedName>
    <definedName name="FFP_API_NEW">'[1]NOTES 1'!#REF!</definedName>
    <definedName name="filesize.prioryear" localSheetId="9">#REF!</definedName>
    <definedName name="filesize.prioryear">#REF!</definedName>
    <definedName name="filesizecosts" localSheetId="9">[1]Unit_cost!#REF!</definedName>
    <definedName name="filesizecosts">[1]Unit_cost!#REF!</definedName>
    <definedName name="finance.bgt">[4]criteria!$G$349:$J$350</definedName>
    <definedName name="finance.up" localSheetId="9">#REF!</definedName>
    <definedName name="finance.up">#REF!</definedName>
    <definedName name="financerechargeDA">[4]criteria!$B$439:$E$440</definedName>
    <definedName name="First">121968</definedName>
    <definedName name="First_Band">121968</definedName>
    <definedName name="Fixed_assets">[5]criteria!$B$1029:$E$1030</definedName>
    <definedName name="Fixed_deposits">[5]criteria!$B$1044:$E$1045</definedName>
    <definedName name="Forein_Stocks">[9]Criteria!$B$495:$E$499</definedName>
    <definedName name="FS.open">'[14]File Size'!$A$212:$C$213</definedName>
    <definedName name="FSFFP.open">'[14]File Size'!$G$212:$I$213</definedName>
    <definedName name="FSPAIC.open">'[14]File Size'!$D$212:$F$213</definedName>
    <definedName name="FSWP.open">'[14]File Size'!$J$212:$L$213</definedName>
    <definedName name="Full_Print" localSheetId="9">#REF!</definedName>
    <definedName name="Full_Print">#REF!</definedName>
    <definedName name="Full_year">'[4]citeria budget'!$A$244:$A$256</definedName>
    <definedName name="Funeralplan">'[4]premium flow'!$A$45:$O$72</definedName>
    <definedName name="G" localSheetId="9">OFFSET(REITs!Full_Print,0,0,[0]!Last_Row)</definedName>
    <definedName name="G">OFFSET(Full_Print,0,0,Last_Row)</definedName>
    <definedName name="Gain_loss">[15]Criteria!$B$68:$E$69</definedName>
    <definedName name="Gain_loss_real">[15]Criteria!$B$70:$E$72</definedName>
    <definedName name="GD" localSheetId="9">#REF!</definedName>
    <definedName name="GD">#REF!</definedName>
    <definedName name="General_fund">[1]criteria!$B$1030:$E$1031</definedName>
    <definedName name="gf" localSheetId="9">#REF!</definedName>
    <definedName name="gf">#REF!</definedName>
    <definedName name="GFG" localSheetId="6" hidden="1">#REF!</definedName>
    <definedName name="GFG" localSheetId="4" hidden="1">#REF!</definedName>
    <definedName name="GFG" localSheetId="7" hidden="1">#REF!</definedName>
    <definedName name="GFG" localSheetId="8" hidden="1">#REF!</definedName>
    <definedName name="GFG" localSheetId="3" hidden="1">#REF!</definedName>
    <definedName name="GFG" localSheetId="0" hidden="1">#REF!</definedName>
    <definedName name="GFG" localSheetId="9" hidden="1">#REF!</definedName>
    <definedName name="GFG" localSheetId="5" hidden="1">#REF!</definedName>
    <definedName name="GFG" hidden="1">#REF!</definedName>
    <definedName name="ggg" localSheetId="9">OFFSET(REITs!Full_Print,0,0,[0]!Last_Row)</definedName>
    <definedName name="ggg">OFFSET(Full_Print,0,0,Last_Row)</definedName>
    <definedName name="ghghfg" localSheetId="6" hidden="1">#REF!</definedName>
    <definedName name="ghghfg" localSheetId="4" hidden="1">#REF!</definedName>
    <definedName name="ghghfg" localSheetId="7" hidden="1">#REF!</definedName>
    <definedName name="ghghfg" localSheetId="8" hidden="1">#REF!</definedName>
    <definedName name="ghghfg" localSheetId="3" hidden="1">#REF!</definedName>
    <definedName name="ghghfg" localSheetId="0" hidden="1">#REF!</definedName>
    <definedName name="ghghfg" localSheetId="9" hidden="1">#REF!</definedName>
    <definedName name="ghghfg" localSheetId="5" hidden="1">#REF!</definedName>
    <definedName name="ghghfg" hidden="1">#REF!</definedName>
    <definedName name="GL_TB">[5]GL_Tb!$A$1:$F$600</definedName>
    <definedName name="gratuity">[4]criteria!$B$896:$E$897</definedName>
    <definedName name="Gross_File.FFP">'[4]Bgt file size'!$A$228:$B$229</definedName>
    <definedName name="Gross_File.Paic">'[4]Bgt file size'!$A$226:$B$227</definedName>
    <definedName name="Gross_File.WP">'[4]Bgt file size'!$A$230:$B$231</definedName>
    <definedName name="groupannuity">[16]criteria!$B$148:$G$149</definedName>
    <definedName name="groupanticipatedclaims">[16]criteria!$B$150:$G$151</definedName>
    <definedName name="grouplife.exp">[4]criteria!$B$890:$E$891</definedName>
    <definedName name="groupmaturity">[16]criteria!$B$152:$G$153</definedName>
    <definedName name="Header_Row" localSheetId="9">ROW(#REF!)</definedName>
    <definedName name="Header_Row">ROW(#REF!)</definedName>
    <definedName name="HiddenRows" localSheetId="4" hidden="1">#REF!</definedName>
    <definedName name="HiddenRows" localSheetId="1" hidden="1">#REF!</definedName>
    <definedName name="HiddenRows" localSheetId="3" hidden="1">#REF!</definedName>
    <definedName name="HiddenRows" localSheetId="0" hidden="1">#REF!</definedName>
    <definedName name="HiddenRows" localSheetId="9" hidden="1">#REF!</definedName>
    <definedName name="HiddenRows" localSheetId="5" hidden="1">#REF!</definedName>
    <definedName name="HiddenRows" hidden="1">#REF!</definedName>
    <definedName name="ho" localSheetId="9">#REF!</definedName>
    <definedName name="ho">#REF!</definedName>
    <definedName name="hoc">55000</definedName>
    <definedName name="home" localSheetId="9">#REF!</definedName>
    <definedName name="home">#REF!</definedName>
    <definedName name="houseallowance">[4]criteria!$B$872:$E$873</definedName>
    <definedName name="Hr_Corporate">[4]criteria!$B$194:$E$195</definedName>
    <definedName name="HR2corporate">[4]criteria!$B$910:$E$911</definedName>
    <definedName name="hrm.bgt">[4]criteria!$G$353:$J$354</definedName>
    <definedName name="hrm.up" localSheetId="9">#REF!</definedName>
    <definedName name="hrm.up">#REF!</definedName>
    <definedName name="HTML_CodePage">1252</definedName>
    <definedName name="HTML_Control">{"'Sheet1'!$L$16"}</definedName>
    <definedName name="HTML_Description">"IBN Products"</definedName>
    <definedName name="HTML_Email">""</definedName>
    <definedName name="HTML_Header">"Edit"</definedName>
    <definedName name="HTML_LastUpdate">"24/05/97"</definedName>
    <definedName name="HTML_LineAfter">FALSE</definedName>
    <definedName name="HTML_LineBefore">TRUE</definedName>
    <definedName name="HTML_Name">"Mike Bibbings"</definedName>
    <definedName name="HTML_OBDlg2">TRUE</definedName>
    <definedName name="HTML_OBDlg4">TRUE</definedName>
    <definedName name="HTML_OS">0</definedName>
    <definedName name="HTML_PathFile">"C:\My Documents\mmelHTML.htm"</definedName>
    <definedName name="HTML_Title">"Master Edit List"</definedName>
    <definedName name="hurligham.bgt">[4]criteria!$G$329:$J$330</definedName>
    <definedName name="huy">{"'Sheet1'!$L$16"}</definedName>
    <definedName name="i" localSheetId="9">'[1]INC. STATE. SUM'!#REF!</definedName>
    <definedName name="i">'[1]INC. STATE. SUM'!#REF!</definedName>
    <definedName name="IL_TB">[5]IL_tb!$A$1:$H$1021</definedName>
    <definedName name="insurance.bgt">'[6]citeria budget'!$B$75:$R$76</definedName>
    <definedName name="insurance.exp">[6]criteria!$B$635:$E$636</definedName>
    <definedName name="Int" localSheetId="9">#REF!</definedName>
    <definedName name="Int">#REF!</definedName>
    <definedName name="Interest_Rate" localSheetId="9">#REF!</definedName>
    <definedName name="Interest_Rate">#REF!</definedName>
    <definedName name="intraco.bgt">'[6]citeria budget'!$B$57:$R$58</definedName>
    <definedName name="intraco.exp">[6]criteria!$B$612:$E$613</definedName>
    <definedName name="INV_property">[5]criteria!$B$1027:$E$1028</definedName>
    <definedName name="Invest_income">[8]Criteria!$B$85:$E$86</definedName>
    <definedName name="Investment.income.gd" localSheetId="9">#REF!</definedName>
    <definedName name="Investment.income.gd">#REF!</definedName>
    <definedName name="investment.income.gd.previous" localSheetId="9">#REF!</definedName>
    <definedName name="investment.income.gd.previous">#REF!</definedName>
    <definedName name="invproperty" localSheetId="9">#REF!</definedName>
    <definedName name="invproperty">#REF!</definedName>
    <definedName name="Issued_current_year.FFP">'[4]Bgt file size'!$A$214:$B$215</definedName>
    <definedName name="Issued_Current_Year.WP">'[4]Bgt file size'!$A$216:$B$217</definedName>
    <definedName name="Issued_previous.FFP">'[4]Bgt file size'!$A$220:$B$221</definedName>
    <definedName name="Issued_Previous.WP">'[4]Bgt file size'!$A$222:$B$223</definedName>
    <definedName name="IST_Corporate">[4]criteria!$B$196:$E$197</definedName>
    <definedName name="it.up" localSheetId="9">#REF!</definedName>
    <definedName name="it.up">#REF!</definedName>
    <definedName name="IT2corporate">[4]criteria!$B$907:$E$908</definedName>
    <definedName name="itconsulting.bgt">'[6]citeria budget'!$B$55:$R$56</definedName>
    <definedName name="itconsuting.exp">[6]criteria!$B$610:$E$611</definedName>
    <definedName name="january">'[4]cashflow forecast'!$A$121:$H$122</definedName>
    <definedName name="jkaranja" localSheetId="9">IF(REITs!Loan_Amount*REITs!Interest_Rate*REITs!Loan_Years*REITs!Loan_Start&gt;0,1,0)</definedName>
    <definedName name="jkaranja">IF(Loan_Amount*Interest_Rate*Loan_Years*Loan_Start&gt;0,1,0)</definedName>
    <definedName name="july">'[4]cashflow forecast'!$A$133:$H$134</definedName>
    <definedName name="june">'[4]cashflow forecast'!$A$131:$H$132</definedName>
    <definedName name="JUNE2008" localSheetId="6" hidden="1">#REF!</definedName>
    <definedName name="JUNE2008" localSheetId="4" hidden="1">#REF!</definedName>
    <definedName name="JUNE2008" localSheetId="7" hidden="1">#REF!</definedName>
    <definedName name="JUNE2008" localSheetId="8" hidden="1">#REF!</definedName>
    <definedName name="JUNE2008" localSheetId="3" hidden="1">#REF!</definedName>
    <definedName name="JUNE2008" localSheetId="0" hidden="1">#REF!</definedName>
    <definedName name="JUNE2008" localSheetId="9" hidden="1">#REF!</definedName>
    <definedName name="JUNE2008" localSheetId="5" hidden="1">#REF!</definedName>
    <definedName name="JUNE2008" hidden="1">#REF!</definedName>
    <definedName name="K" localSheetId="9">DATE(YEAR(REITs!Loan_Start),MONTH(REITs!Loan_Start)+Payment_Number,DAY(REITs!Loan_Start))</definedName>
    <definedName name="K">DATE(YEAR(Loan_Start),MONTH(Loan_Start)+Payment_Number,DAY(Loan_Start))</definedName>
    <definedName name="Kenya_GVT_security">[5]criteria!$B$1035:$E$1037</definedName>
    <definedName name="KGTD" localSheetId="6" hidden="1">#REF!</definedName>
    <definedName name="KGTD" localSheetId="0" hidden="1">#REF!</definedName>
    <definedName name="KGTD" localSheetId="9" hidden="1">#REF!</definedName>
    <definedName name="KGTD" localSheetId="5" hidden="1">#REF!</definedName>
    <definedName name="KGTD" hidden="1">#REF!</definedName>
    <definedName name="khac">2</definedName>
    <definedName name="kisii.bgt">[4]criteria!$G$317:$J$318</definedName>
    <definedName name="kisii.up" localSheetId="9">#REF!</definedName>
    <definedName name="kisii.up">#REF!</definedName>
    <definedName name="kisumu.bgt">[4]criteria!$G$313:$J$314</definedName>
    <definedName name="kisumu.up" localSheetId="9">#REF!</definedName>
    <definedName name="kisumu.up">#REF!</definedName>
    <definedName name="kjjmh" localSheetId="6" hidden="1">#REF!</definedName>
    <definedName name="kjjmh" localSheetId="4" hidden="1">#REF!</definedName>
    <definedName name="kjjmh" localSheetId="7" hidden="1">#REF!</definedName>
    <definedName name="kjjmh" localSheetId="8" hidden="1">#REF!</definedName>
    <definedName name="kjjmh" localSheetId="3" hidden="1">#REF!</definedName>
    <definedName name="kjjmh" localSheetId="0" hidden="1">#REF!</definedName>
    <definedName name="kjjmh" localSheetId="9" hidden="1">#REF!</definedName>
    <definedName name="kjjmh" localSheetId="5" hidden="1">#REF!</definedName>
    <definedName name="kjjmh" hidden="1">#REF!</definedName>
    <definedName name="L" localSheetId="9">IF(REITs!Loan_Amount*REITs!Interest_Rate*REITs!Loan_Years*REITs!Loan_Start&gt;0,1,0)</definedName>
    <definedName name="L">IF(Loan_Amount*Interest_Rate*Loan_Years*Loan_Start&gt;0,1,0)</definedName>
    <definedName name="land.amortise" localSheetId="9">[1]criteria!#REF!</definedName>
    <definedName name="land.amortise">[1]criteria!#REF!</definedName>
    <definedName name="land.depn" localSheetId="9">[1]criteria!#REF!</definedName>
    <definedName name="land.depn">[1]criteria!#REF!</definedName>
    <definedName name="Land_amortisation">[5]criteria!$B$1115:$E$1116</definedName>
    <definedName name="Land_valuation">[5]criteria!$B$1033:$E$1034</definedName>
    <definedName name="landamortise">[6]criteria!$B$673:$E$674</definedName>
    <definedName name="landamortise.bgt">'[6]citeria budget'!$B$113:$R$114</definedName>
    <definedName name="landwoff" localSheetId="9">'[7]Revenue Account'!#REF!</definedName>
    <definedName name="landwoff">'[7]Revenue Account'!#REF!</definedName>
    <definedName name="LAPEC">[4]criteria!$B$408:$E$409</definedName>
    <definedName name="Lapse_projected">[4]Assumptions!$R$21</definedName>
    <definedName name="Lapse_prov.FFP">'[4]premium flow'!$AD$68</definedName>
    <definedName name="Lapse_prov.WP">'[4]premium flow'!$AD$38</definedName>
    <definedName name="Lapse_rate">[4]Assumptions!$O$21</definedName>
    <definedName name="Last_Row">#N/A</definedName>
    <definedName name="lastexpense.exp">[4]criteria!$B$888:$E$889</definedName>
    <definedName name="leasedline">[6]criteria!$B$667:$E$668</definedName>
    <definedName name="leasedline.bgt">'[6]citeria budget'!$B$107:$R$108</definedName>
    <definedName name="legalfee.bgt">'[6]citeria budget'!$B$53:$R$54</definedName>
    <definedName name="legalfees.exp">[6]criteria!$B$608:$E$609</definedName>
    <definedName name="lf" localSheetId="9">#REF!</definedName>
    <definedName name="lf">#REF!</definedName>
    <definedName name="licence.exp">[6]criteria!$B$633:$E$634</definedName>
    <definedName name="lifefund" localSheetId="9">#REF!</definedName>
    <definedName name="lifefund">#REF!</definedName>
    <definedName name="lifemarketing.bgt">[4]criteria!$G$331:$J$332</definedName>
    <definedName name="lifemarketing.up" localSheetId="9">#REF!</definedName>
    <definedName name="lifemarketing.up">#REF!</definedName>
    <definedName name="lifeoperations.bgt">[4]criteria!$G$337:$J$338</definedName>
    <definedName name="lifeoperations.up" localSheetId="9">#REF!</definedName>
    <definedName name="lifeoperations.up">#REF!</definedName>
    <definedName name="limcount">2</definedName>
    <definedName name="lnlklk" localSheetId="9">#REF!</definedName>
    <definedName name="lnlklk">#REF!</definedName>
    <definedName name="Loan_Amount" localSheetId="9">#REF!</definedName>
    <definedName name="Loan_Amount">#REF!</definedName>
    <definedName name="Loan_Start" localSheetId="9">#REF!</definedName>
    <definedName name="Loan_Start">#REF!</definedName>
    <definedName name="Loan_Years" localSheetId="9">#REF!</definedName>
    <definedName name="Loan_Years">#REF!</definedName>
    <definedName name="longservice">[4]criteria!$B$898:$E$899</definedName>
    <definedName name="machakos.bgt">[4]criteria!$G$321:$J$322</definedName>
    <definedName name="machakos.up" localSheetId="9">#REF!</definedName>
    <definedName name="machakos.up">#REF!</definedName>
    <definedName name="march">'[4]cashflow forecast'!$A$125:$H$126</definedName>
    <definedName name="Marketing_expenses" localSheetId="9">#REF!</definedName>
    <definedName name="Marketing_expenses">#REF!</definedName>
    <definedName name="marketingbgt.cummulative" localSheetId="9">#REF!</definedName>
    <definedName name="marketingbgt.cummulative">#REF!</definedName>
    <definedName name="marketingbgt.month" localSheetId="9">#REF!</definedName>
    <definedName name="marketingbgt.month">#REF!</definedName>
    <definedName name="maturityfffp">'[4]Control Sheet'!$A$48:$B$49</definedName>
    <definedName name="maturityoslife" localSheetId="9">#REF!</definedName>
    <definedName name="maturityoslife">#REF!</definedName>
    <definedName name="maturitypaic">'[4]Control Sheet'!$A$46:$B$47</definedName>
    <definedName name="maturitywp">'[4]Control Sheet'!$A$50:$B$51</definedName>
    <definedName name="maycapex">'[4]cashflow forecast'!$A$129:$H$130</definedName>
    <definedName name="Memo">[5]criteria!$B$1097:$E$1098</definedName>
    <definedName name="meru.bgt">[4]criteria!$G$311:$J$312</definedName>
    <definedName name="meru.up" localSheetId="9">#REF!</definedName>
    <definedName name="meru.up">#REF!</definedName>
    <definedName name="million">1000000</definedName>
    <definedName name="MillionToCrore">10</definedName>
    <definedName name="misc.unitlinked">[4]criteria!$B$552:$E$553</definedName>
    <definedName name="MKT_EXP" localSheetId="9">[17]Variances!#REF!</definedName>
    <definedName name="MKT_EXP">[17]Variances!#REF!</definedName>
    <definedName name="mktbudget2003" localSheetId="9">'[4]AR-Marketing'!#REF!</definedName>
    <definedName name="mktbudget2003">'[4]AR-Marketing'!#REF!</definedName>
    <definedName name="mktgcummulativebgt" localSheetId="9">#REF!</definedName>
    <definedName name="mktgcummulativebgt">#REF!</definedName>
    <definedName name="mktgmonthlybgt" localSheetId="9">#REF!</definedName>
    <definedName name="mktgmonthlybgt">#REF!</definedName>
    <definedName name="MKTVALUE" localSheetId="9">#REF!</definedName>
    <definedName name="MKTVALUE">#REF!</definedName>
    <definedName name="mombasa.bgt">[4]criteria!$G$307:$J$308</definedName>
    <definedName name="mombasa.up" localSheetId="9">#REF!</definedName>
    <definedName name="mombasa.up">#REF!</definedName>
    <definedName name="month_in_year">12</definedName>
    <definedName name="MORTGAGE" localSheetId="6" hidden="1">#REF!</definedName>
    <definedName name="MORTGAGE" localSheetId="9" hidden="1">#REF!</definedName>
    <definedName name="MORTGAGE" hidden="1">#REF!</definedName>
    <definedName name="Mortgage_loan">[5]criteria!$B$1048:$E$1049</definedName>
    <definedName name="mortgageallowance">[4]criteria!$B$868:$E$869</definedName>
    <definedName name="mv.exp">[6]criteria!$B$657:$E$658</definedName>
    <definedName name="mvdepn.bgt">'[6]citeria budget'!$B$10:$R$11</definedName>
    <definedName name="mvdepn.exp">[6]criteria!$B$566:$E$567</definedName>
    <definedName name="mvexpenses.bgt">'[6]citeria budget'!$B$97:$R$98</definedName>
    <definedName name="nairobi3">[4]criteria!$B$319:$E$320</definedName>
    <definedName name="nairobi3.bgt">[4]criteria!$G$319:$J$320</definedName>
    <definedName name="nairobi3.up" localSheetId="9">#REF!</definedName>
    <definedName name="nairobi3.up">#REF!</definedName>
    <definedName name="nairobimetro.up" localSheetId="9">#REF!</definedName>
    <definedName name="nairobimetro.up">#REF!</definedName>
    <definedName name="nakuru.bgt">[4]criteria!$G$325:$J$326</definedName>
    <definedName name="nakuru.up" localSheetId="9">#REF!</definedName>
    <definedName name="nakuru.up">#REF!</definedName>
    <definedName name="Name" localSheetId="4">#REF!</definedName>
    <definedName name="Name" localSheetId="1">#REF!</definedName>
    <definedName name="Name" localSheetId="3">#REF!</definedName>
    <definedName name="Name" localSheetId="0">#REF!</definedName>
    <definedName name="Name" localSheetId="9">#REF!</definedName>
    <definedName name="Name" localSheetId="5">#REF!</definedName>
    <definedName name="Name">#REF!</definedName>
    <definedName name="NBAPICOMM" localSheetId="9">'[1]NOTES 1'!#REF!</definedName>
    <definedName name="NBAPICOMM">'[1]NOTES 1'!#REF!</definedName>
    <definedName name="Net_assets" localSheetId="9">[18]BS!#REF!</definedName>
    <definedName name="Net_assets">[18]BS!#REF!</definedName>
    <definedName name="netassets" localSheetId="9">#REF!</definedName>
    <definedName name="netassets">#REF!</definedName>
    <definedName name="netliabilities" localSheetId="9">#REF!</definedName>
    <definedName name="netliabilities">#REF!</definedName>
    <definedName name="newApi" localSheetId="9">'[1]Cop Prm inc'!#REF!</definedName>
    <definedName name="newApi">'[1]Cop Prm inc'!#REF!</definedName>
    <definedName name="newbusiness.bgt">[4]criteria!$G$347:$J$348</definedName>
    <definedName name="newbusiness.up" localSheetId="9">#REF!</definedName>
    <definedName name="newbusiness.up">#REF!</definedName>
    <definedName name="newbusinessapipremium" localSheetId="9">'[1]NOTES 1'!#REF!</definedName>
    <definedName name="newbusinessapipremium">'[1]NOTES 1'!#REF!</definedName>
    <definedName name="newfffp">'[4]Control Sheet'!$A$127:$B$128</definedName>
    <definedName name="newlapsefffp">'[4]Control Sheet'!$A$75:$B$76</definedName>
    <definedName name="newlapsepaic">'[4]Control Sheet'!$A$73:$B$74</definedName>
    <definedName name="newlapsewp">'[4]Control Sheet'!$A$77:$B$78</definedName>
    <definedName name="newpolicyexits">'[4]Control Sheet'!$A$96:$B$97</definedName>
    <definedName name="newspaper.bgt">'[6]citeria budget'!$B$65:$R$66</definedName>
    <definedName name="newspaper.exp">[6]criteria!$B$625:$E$626</definedName>
    <definedName name="newwp">'[4]Control Sheet'!$A$129:$B$130</definedName>
    <definedName name="nhif">[4]criteria!$B$882:$E$883</definedName>
    <definedName name="NON_KENYA_GVT_SECURITY">[5]criteria!$B$1038:$E$1039</definedName>
    <definedName name="NON_KENYA_STOCKS">[5]criteria!$B$1042:$E$1043</definedName>
    <definedName name="notes" localSheetId="9">[1]IL_tb!#REF!</definedName>
    <definedName name="notes">[1]IL_tb!#REF!</definedName>
    <definedName name="notes1" localSheetId="9">'[1]INC.ST. IND LIFE'!#REF!</definedName>
    <definedName name="notes1">'[1]INC.ST. IND LIFE'!#REF!</definedName>
    <definedName name="notes3" localSheetId="9">[1]IL_tb!#REF!</definedName>
    <definedName name="notes3">[1]IL_tb!#REF!</definedName>
    <definedName name="november">'[4]cashflow forecast'!$A$141:$H$142</definedName>
    <definedName name="nssf">[4]criteria!$B$884:$E$885</definedName>
    <definedName name="NTU.1H" localSheetId="9">[4]Assumptions!#REF!</definedName>
    <definedName name="NTU.1H">[4]Assumptions!#REF!</definedName>
    <definedName name="NTU.2H" localSheetId="9">[4]Assumptions!#REF!</definedName>
    <definedName name="NTU.2H">[4]Assumptions!#REF!</definedName>
    <definedName name="NTU.3H" localSheetId="9">[4]Assumptions!#REF!</definedName>
    <definedName name="NTU.3H">[4]Assumptions!#REF!</definedName>
    <definedName name="NTU.4H" localSheetId="9">[4]Assumptions!#REF!</definedName>
    <definedName name="NTU.4H">[4]Assumptions!#REF!</definedName>
    <definedName name="NTU_Current.FFP">'[4]Bgt file size'!$A$202:$B$203</definedName>
    <definedName name="NTU_Current.WP">'[4]Bgt file size'!$A$204:$B$205</definedName>
    <definedName name="NTU_Previous.FFP">'[4]Bgt file size'!$A$208:$B$209</definedName>
    <definedName name="NTU_Previous.WP">'[4]Bgt file size'!$A$210:$B$211</definedName>
    <definedName name="ntufffp">'[4]Control Sheet'!$A$118:$B$119</definedName>
    <definedName name="Num_Pmt_Per_Year" localSheetId="9">#REF!</definedName>
    <definedName name="Num_Pmt_Per_Year">#REF!</definedName>
    <definedName name="Number_of_Payments" localSheetId="9">MATCH(0.01,REITs!End_Bal,-1)+1</definedName>
    <definedName name="Number_of_Payments">MATCH(0.01,End_Bal,-1)+1</definedName>
    <definedName name="nyeri.bgt">[4]criteria!$G$309:$J$310</definedName>
    <definedName name="nyeri.up" localSheetId="9">#REF!</definedName>
    <definedName name="nyeri.up">#REF!</definedName>
    <definedName name="october">'[4]cashflow forecast'!$A$139:$H$140</definedName>
    <definedName name="officecleaning">[4]criteria!$B$902:$E$903</definedName>
    <definedName name="officeelectricity.exp">[6]criteria!$B$574:$E$575</definedName>
    <definedName name="officerent.bgt">'[6]citeria budget'!$B$12:$R$13</definedName>
    <definedName name="officerentdepn.exp">[6]criteria!$B$568:$E$569</definedName>
    <definedName name="officesecurity.exp">[6]criteria!$B$576:$E$577</definedName>
    <definedName name="officewater.bgt">'[6]citeria budget'!$B$17:$R$18</definedName>
    <definedName name="officewater.exp">[6]criteria!$B$572:$E$573</definedName>
    <definedName name="Old_lapse.FFP">'[4]Bgt file size'!$A$263:$B$264</definedName>
    <definedName name="olddeathfffp">'[4]Control Sheet'!$A$32:$B$33</definedName>
    <definedName name="oldlapsesfffp">'[4]Control Sheet'!$A$24:$B$25</definedName>
    <definedName name="oldsvfffp">'[4]Control Sheet'!$A$40:$B$41</definedName>
    <definedName name="openfffp">'[4]Control Sheet'!$A$16:$B$17</definedName>
    <definedName name="openpaic">'[4]Control Sheet'!$A$14:$A$15</definedName>
    <definedName name="openwp">'[4]Control Sheet'!$A$18:$B$19</definedName>
    <definedName name="Order" localSheetId="9">#REF!</definedName>
    <definedName name="Order">#REF!</definedName>
    <definedName name="OrderTable" localSheetId="6" hidden="1">#REF!</definedName>
    <definedName name="OrderTable" localSheetId="4" hidden="1">#REF!</definedName>
    <definedName name="OrderTable" localSheetId="7" hidden="1">#REF!</definedName>
    <definedName name="OrderTable" localSheetId="8" hidden="1">#REF!</definedName>
    <definedName name="OrderTable" localSheetId="3" hidden="1">#REF!</definedName>
    <definedName name="OrderTable" localSheetId="0" hidden="1">#REF!</definedName>
    <definedName name="OrderTable" localSheetId="9" hidden="1">#REF!</definedName>
    <definedName name="OrderTable" localSheetId="5" hidden="1">#REF!</definedName>
    <definedName name="OrderTable" hidden="1">#REF!</definedName>
    <definedName name="orfeo">[4]criteria!$B$232:$E$233</definedName>
    <definedName name="OS_claim">[5]criteria!$B$1109:$E$1110</definedName>
    <definedName name="OS_claim_release">[8]Criteria!$B$207:$E$208</definedName>
    <definedName name="osannuitylife" localSheetId="9">#REF!</definedName>
    <definedName name="osannuitylife">#REF!</definedName>
    <definedName name="osdeathlife" localSheetId="9">#REF!</definedName>
    <definedName name="osdeathlife">#REF!</definedName>
    <definedName name="osmaturitylife" localSheetId="9">#REF!</definedName>
    <definedName name="osmaturitylife">#REF!</definedName>
    <definedName name="osSVlife" localSheetId="9">#REF!</definedName>
    <definedName name="osSVlife">#REF!</definedName>
    <definedName name="Other">114912</definedName>
    <definedName name="Other_Bands">114912</definedName>
    <definedName name="Other_exit_new.FFP">'[4]Bgt file size'!$A$252:$B$253</definedName>
    <definedName name="Other_Exit_New.WP">'[4]Bgt file size'!$A$254:$B$255</definedName>
    <definedName name="Other_payable">[5]criteria!$B$1105:$E$1106</definedName>
    <definedName name="Other_receivable">[5]criteria!$B$1080:$E$1081</definedName>
    <definedName name="otherincome">[8]Criteria!$B$73:$E$74</definedName>
    <definedName name="Otherstatustoinforce">'[14]File Size'!$M$212:$O$213</definedName>
    <definedName name="PAIC_API_RB" localSheetId="9">'[1]NOTES 1'!#REF!</definedName>
    <definedName name="PAIC_API_RB">'[1]NOTES 1'!#REF!</definedName>
    <definedName name="paidupfffp">'[4]Control Sheet'!$A$64:$B$65</definedName>
    <definedName name="paiduppaic">'[4]Control Sheet'!$A$62:$B$63</definedName>
    <definedName name="paidupwp">'[4]Control Sheet'!$A$66:$B$67</definedName>
    <definedName name="Pay_Date" localSheetId="9">#REF!</definedName>
    <definedName name="Pay_Date">#REF!</definedName>
    <definedName name="Pay_Num" localSheetId="9">#REF!</definedName>
    <definedName name="Pay_Num">#REF!</definedName>
    <definedName name="Payment_Date" localSheetId="9">DATE(YEAR(REITs!Loan_Start),MONTH(REITs!Loan_Start)+Payment_Number,DAY(REITs!Loan_Start))</definedName>
    <definedName name="Payment_Date">DATE(YEAR(Loan_Start),MONTH(Loan_Start)+Payment_Number,DAY(Loan_Start))</definedName>
    <definedName name="pension.exp">[4]criteria!$B$886:$E$887</definedName>
    <definedName name="pension_claim">[8]Criteria!$B$115:$E$120</definedName>
    <definedName name="pension_contribution">[8]Criteria!$B$31:$E$32</definedName>
    <definedName name="Period">[19]Period!$A$1:$A$12</definedName>
    <definedName name="peroid" localSheetId="9">#REF!</definedName>
    <definedName name="peroid">#REF!</definedName>
    <definedName name="Petty_cash">[5]criteria!$B$1088:$E$1089</definedName>
    <definedName name="Phone" localSheetId="4">#REF!</definedName>
    <definedName name="Phone" localSheetId="1">#REF!</definedName>
    <definedName name="Phone" localSheetId="3">#REF!</definedName>
    <definedName name="Phone" localSheetId="0">#REF!</definedName>
    <definedName name="Phone" localSheetId="9">#REF!</definedName>
    <definedName name="Phone" localSheetId="5">#REF!</definedName>
    <definedName name="Phone">#REF!</definedName>
    <definedName name="photocophy.bgt">'[6]citeria budget'!$B$77:$R$78</definedName>
    <definedName name="photocophy.exp">[6]criteria!$B$637:$E$638</definedName>
    <definedName name="policy" localSheetId="9">#REF!</definedName>
    <definedName name="policy">#REF!</definedName>
    <definedName name="Policy_liabilities">[1]criteria!$B$1026:$E$1027</definedName>
    <definedName name="Policy_liabilities.PY">[1]criteria!$B$1028:$E$1029</definedName>
    <definedName name="Policy_loan">[5]criteria!$B$1050:$E$1051</definedName>
    <definedName name="Policy_loan_UL">[5]criteria!$B$1052:$E$1053</definedName>
    <definedName name="postage">[6]criteria!$B$659:$E$660</definedName>
    <definedName name="postage.bgt">'[6]citeria budget'!$B$99:$R$100</definedName>
    <definedName name="Predebit_debtor">[5]criteria!$B$1073:$E$1075</definedName>
    <definedName name="Premium_GL">[8]Criteria!$B$29:$E$30</definedName>
    <definedName name="Premium_IL">[8]Criteria!$B$23:$E$28</definedName>
    <definedName name="premiumadmin.up" localSheetId="9">#REF!</definedName>
    <definedName name="premiumadmin.up">#REF!</definedName>
    <definedName name="premiumadministration.bgt">[4]criteria!$G$343:$J$344</definedName>
    <definedName name="PREMIUMCOLL">[6]criteria!$B$681:$E$682</definedName>
    <definedName name="premiumcollectioncost.bgt">'[6]citeria budget'!$B$121:$R$122</definedName>
    <definedName name="premiumfinance">[7]criteria!$B$532:$G$533</definedName>
    <definedName name="premiumliason.bgt">[4]criteria!$G$339:$J$340</definedName>
    <definedName name="premiumliason.up" localSheetId="9">#REF!</definedName>
    <definedName name="premiumliason.up">#REF!</definedName>
    <definedName name="premiumtax" localSheetId="9">'[1]INC. STATE. SUM'!#REF!</definedName>
    <definedName name="premiumtax">'[1]INC. STATE. SUM'!#REF!</definedName>
    <definedName name="Previous_Waiting.FFP">'[4]Bgt file size'!$A$177:$B$178</definedName>
    <definedName name="Previous_Waiting.WP">'[4]Bgt file size'!$A$179:$B$180</definedName>
    <definedName name="Previous_waiting_aftermonth.FFP">'[4]Bgt file size'!$A$191:$B$192</definedName>
    <definedName name="Previous_waiting_aftermonth.WP">'[4]Bgt file size'!$A$193:$B$194</definedName>
    <definedName name="previoustb">'[16]previous year'!$A$1:$C$640</definedName>
    <definedName name="Princ" localSheetId="9">#REF!</definedName>
    <definedName name="Princ">#REF!</definedName>
    <definedName name="_xlnm.Print_Area" localSheetId="4">'BONDS HELD (3)'!$A$1:$V$547</definedName>
    <definedName name="_xlnm.Print_Area" localSheetId="7">'EQUITIES-GEN '!$A$1:$AO$32</definedName>
    <definedName name="_xlnm.Print_Area" localSheetId="8">'EQUITIES-LIFE '!$A$1:$AJ$32</definedName>
    <definedName name="_xlnm.Print_Area" localSheetId="1">'investment funds'!$A$1:$J$36</definedName>
    <definedName name="_xlnm.Print_Area" localSheetId="3">'INVESTMENT INCOME REPORT'!$A$1:$P$44</definedName>
    <definedName name="_xlnm.Print_Area" localSheetId="0">'LIEN 2022'!$B$1:$G$58</definedName>
    <definedName name="_xlnm.Print_Area" localSheetId="9">REITs!$A$1:$AM$16</definedName>
    <definedName name="_xlnm.Print_Area">#REF!</definedName>
    <definedName name="Print_Area_MI" localSheetId="9">#REF!</definedName>
    <definedName name="Print_Area_MI">#REF!</definedName>
    <definedName name="Print_Area_Reset" localSheetId="9">OFFSET(REITs!Full_Print,0,0,[0]!Last_Row)</definedName>
    <definedName name="Print_Area_Reset">OFFSET(Full_Print,0,0,Last_Row)</definedName>
    <definedName name="Print_Terms_Tatene">"Text 2"</definedName>
    <definedName name="_xlnm.Print_Titles" localSheetId="0">'LIEN 2022'!$C:$C</definedName>
    <definedName name="printing">[6]criteria!$B$649:$E$650</definedName>
    <definedName name="printing.bgt">'[6]citeria budget'!$B$89:$R$90</definedName>
    <definedName name="priorperiod" localSheetId="9">'[7]Revenue Account'!#REF!</definedName>
    <definedName name="priorperiod">'[7]Revenue Account'!#REF!</definedName>
    <definedName name="prioryear">'[4]INC.ST. IND LIFE'!$Q$101</definedName>
    <definedName name="prioryearagencytb" localSheetId="9">#REF!</definedName>
    <definedName name="prioryearagencytb">#REF!</definedName>
    <definedName name="prioryearrecoupment" localSheetId="9">'[1]INC.ST. IND LIFE'!#REF!</definedName>
    <definedName name="prioryearrecoupment">'[1]INC.ST. IND LIFE'!#REF!</definedName>
    <definedName name="prioryeartb" localSheetId="9">#REF!</definedName>
    <definedName name="prioryeartb">#REF!</definedName>
    <definedName name="pro.lapse.ffp">'[4]premium flow'!$J$454</definedName>
    <definedName name="pro.lapse.wp">'[4]premium flow'!$I$454</definedName>
    <definedName name="Pro_Colmn">[1]Expenses!$R$6:$R$5000</definedName>
    <definedName name="ProdForm" localSheetId="6" hidden="1">#REF!</definedName>
    <definedName name="ProdForm" localSheetId="4" hidden="1">#REF!</definedName>
    <definedName name="ProdForm" localSheetId="7" hidden="1">#REF!</definedName>
    <definedName name="ProdForm" localSheetId="8" hidden="1">#REF!</definedName>
    <definedName name="ProdForm" localSheetId="3" hidden="1">#REF!</definedName>
    <definedName name="ProdForm" localSheetId="0" hidden="1">#REF!</definedName>
    <definedName name="ProdForm" localSheetId="9" hidden="1">#REF!</definedName>
    <definedName name="ProdForm" localSheetId="5" hidden="1">#REF!</definedName>
    <definedName name="ProdForm" hidden="1">#REF!</definedName>
    <definedName name="Product" localSheetId="6" hidden="1">#REF!</definedName>
    <definedName name="Product" localSheetId="4" hidden="1">#REF!</definedName>
    <definedName name="Product" localSheetId="7" hidden="1">#REF!</definedName>
    <definedName name="Product" localSheetId="8" hidden="1">#REF!</definedName>
    <definedName name="Product" localSheetId="3" hidden="1">#REF!</definedName>
    <definedName name="Product" localSheetId="0" hidden="1">#REF!</definedName>
    <definedName name="Product" localSheetId="9" hidden="1">#REF!</definedName>
    <definedName name="Product" localSheetId="5" hidden="1">#REF!</definedName>
    <definedName name="Product" hidden="1">#REF!</definedName>
    <definedName name="professionalfee.bgt">'[6]citeria budget'!$B$63:$R$64</definedName>
    <definedName name="professionalfees.exp">[6]criteria!$B$623:$E$624</definedName>
    <definedName name="professionalsubscription.bgt">'[6]citeria budget'!$B$91:$R$92</definedName>
    <definedName name="Prop_very_FFP">'[4]Bgt file size'!$A$157:$B$158</definedName>
    <definedName name="Prop_very_WP">'[4]Bgt file size'!$A$159:$B$160</definedName>
    <definedName name="propertyFA" localSheetId="9">#REF!</definedName>
    <definedName name="propertyFA">#REF!</definedName>
    <definedName name="proposalscreated">'[4]sales budget'!$A$374:$P$482</definedName>
    <definedName name="proposalscreatedapi">'[4]sales budget'!$A$631:$P$700</definedName>
    <definedName name="provisioneducationallowance">[4]criteria!$B$866:$E$867</definedName>
    <definedName name="Ptax">'[20]note5-7'!$S$71</definedName>
    <definedName name="RCArea" localSheetId="6" hidden="1">#REF!</definedName>
    <definedName name="RCArea" localSheetId="4" hidden="1">#REF!</definedName>
    <definedName name="RCArea" localSheetId="7" hidden="1">#REF!</definedName>
    <definedName name="RCArea" localSheetId="8" hidden="1">#REF!</definedName>
    <definedName name="RCArea" localSheetId="3" hidden="1">#REF!</definedName>
    <definedName name="RCArea" localSheetId="0" hidden="1">#REF!</definedName>
    <definedName name="RCArea" localSheetId="9" hidden="1">#REF!</definedName>
    <definedName name="RCArea" localSheetId="5" hidden="1">#REF!</definedName>
    <definedName name="RCArea" hidden="1">#REF!</definedName>
    <definedName name="RCD">[8]Criteria!$B$43:$E$44</definedName>
    <definedName name="Receivables">[5]criteria!$B$1054:$E$1055</definedName>
    <definedName name="Recharge_ALA">[4]criteria!$B$822:$E$823</definedName>
    <definedName name="recharge_PA">[4]criteria!$B$198:$E$199</definedName>
    <definedName name="recharge2corporate">[6]criteria!$B$614:$E$615</definedName>
    <definedName name="recharge2holding">[6]criteria!$B$619:$E$620</definedName>
    <definedName name="recoupment" localSheetId="9">'[1]INC.ST. IND LIFE'!#REF!</definedName>
    <definedName name="recoupment">'[1]INC.ST. IND LIFE'!#REF!</definedName>
    <definedName name="Recovery">[8]Criteria!$B$45:$E$46</definedName>
    <definedName name="Rectangular" localSheetId="4">#REF!</definedName>
    <definedName name="Rectangular" localSheetId="1">#REF!</definedName>
    <definedName name="Rectangular" localSheetId="3">#REF!</definedName>
    <definedName name="Rectangular" localSheetId="0">#REF!</definedName>
    <definedName name="Rectangular" localSheetId="9">#REF!</definedName>
    <definedName name="Rectangular" localSheetId="5">#REF!</definedName>
    <definedName name="Rectangular">#REF!</definedName>
    <definedName name="Reinsurance_debtor">[5]criteria!$B$1076:$E$1077</definedName>
    <definedName name="Reinsurance_payable">[5]criteria!$B$1107:$E$1108</definedName>
    <definedName name="related_party" localSheetId="9">#REF!</definedName>
    <definedName name="related_party">#REF!</definedName>
    <definedName name="relatedpartycreditor1">[16]criteria!$B$344:$G$345</definedName>
    <definedName name="relatedpartydebtor">[7]criteria!$B$342:$G$343</definedName>
    <definedName name="renewal">'[4]Renewal Api'!$A$2:$O$15</definedName>
    <definedName name="Renewal_bgt" localSheetId="9">#REF!</definedName>
    <definedName name="Renewal_bgt">#REF!</definedName>
    <definedName name="renewal2004" localSheetId="9">#REF!</definedName>
    <definedName name="renewal2004">#REF!</definedName>
    <definedName name="renewalapi" localSheetId="9">#REF!</definedName>
    <definedName name="renewalapi">#REF!</definedName>
    <definedName name="renewalbudget">'[4]premium flow'!$A$113:$IV$227</definedName>
    <definedName name="RENEWALBUSINESSAPIPREMIUM" localSheetId="9">'[1]NOTES 1'!#REF!</definedName>
    <definedName name="RENEWALBUSINESSAPIPREMIUM">'[1]NOTES 1'!#REF!</definedName>
    <definedName name="renewalpremiumflow">'[4]citeria budget'!$B$196:$C$197</definedName>
    <definedName name="Rental_Creditor">[5]criteria!$B$1103:$E$1104</definedName>
    <definedName name="Rental_debtors">[5]criteria!$B$1071:$E$1072</definedName>
    <definedName name="Retained_earnings">[5]criteria!$B$1137:$E$1138</definedName>
    <definedName name="Revenue.transfer" localSheetId="9">#REF!</definedName>
    <definedName name="Revenue.transfer">#REF!</definedName>
    <definedName name="revenue.transfer.previous" localSheetId="9">#REF!</definedName>
    <definedName name="revenue.transfer.previous">#REF!</definedName>
    <definedName name="RIP_GL">[8]Criteria!$B$41:$E$42</definedName>
    <definedName name="RIP_IL">[8]Criteria!$B$39:$E$40</definedName>
    <definedName name="rrrr" localSheetId="6" hidden="1">#REF!</definedName>
    <definedName name="rrrr" localSheetId="4" hidden="1">#REF!</definedName>
    <definedName name="rrrr" localSheetId="7" hidden="1">#REF!</definedName>
    <definedName name="rrrr" localSheetId="8" hidden="1">#REF!</definedName>
    <definedName name="rrrr" localSheetId="3" hidden="1">#REF!</definedName>
    <definedName name="rrrr" localSheetId="0" hidden="1">#REF!</definedName>
    <definedName name="rrrr" localSheetId="9" hidden="1">#REF!</definedName>
    <definedName name="rrrr" localSheetId="5" hidden="1">#REF!</definedName>
    <definedName name="rrrr" hidden="1">#REF!</definedName>
    <definedName name="RTB">[4]Assumptions!$O$8</definedName>
    <definedName name="RTB_FFP">'[4]Bgt file size'!$A$151:$B$152</definedName>
    <definedName name="RTB_projected">[4]Assumptions!$R$8</definedName>
    <definedName name="RTB_wp">'[4]Bgt file size'!$A$153:$B$154</definedName>
    <definedName name="rtbfffp">'[4]Control Sheet'!$A$110:$B$111</definedName>
    <definedName name="SAPBEXrevision">2</definedName>
    <definedName name="SAPBEXsysID">"P13"</definedName>
    <definedName name="SAPBEXwbID">"3V01ICVFXKICWRZJYOSNW3BBT"</definedName>
    <definedName name="Sched_Pay" localSheetId="9">#REF!</definedName>
    <definedName name="Sched_Pay">#REF!</definedName>
    <definedName name="Scheduled_Extra_Payments" localSheetId="9">#REF!</definedName>
    <definedName name="Scheduled_Extra_Payments">#REF!</definedName>
    <definedName name="Scheduled_Interest_Rate" localSheetId="9">#REF!</definedName>
    <definedName name="Scheduled_Interest_Rate">#REF!</definedName>
    <definedName name="Scheduled_Monthly_Payment" localSheetId="9">#REF!</definedName>
    <definedName name="Scheduled_Monthly_Payment">#REF!</definedName>
    <definedName name="sckohili2" localSheetId="9">DATE(YEAR(REITs!Loan_Start),MONTH(REITs!Loan_Start)+Payment_Number,DAY(REITs!Loan_Start))</definedName>
    <definedName name="sckohili2">DATE(YEAR(Loan_Start),MONTH(Loan_Start)+Payment_Number,DAY(Loan_Start))</definedName>
    <definedName name="SDF" localSheetId="6" hidden="1">#REF!</definedName>
    <definedName name="SDF" localSheetId="4" hidden="1">#REF!</definedName>
    <definedName name="SDF" localSheetId="0" hidden="1">#REF!</definedName>
    <definedName name="SDF" localSheetId="9" hidden="1">#REF!</definedName>
    <definedName name="SDF" localSheetId="5" hidden="1">#REF!</definedName>
    <definedName name="SDF" hidden="1">#REF!</definedName>
    <definedName name="sdfe">38183.3875462963</definedName>
    <definedName name="SDFSD" localSheetId="4">#REF!</definedName>
    <definedName name="SDFSD" localSheetId="1">#REF!</definedName>
    <definedName name="SDFSD" localSheetId="0">#REF!</definedName>
    <definedName name="SDFSD" localSheetId="9">#REF!</definedName>
    <definedName name="SDFSD" localSheetId="5">#REF!</definedName>
    <definedName name="SDFSD">#REF!</definedName>
    <definedName name="security.bgt">'[6]citeria budget'!$B$21:$R$22</definedName>
    <definedName name="securityallowance">[4]criteria!$B$876:$E$877</definedName>
    <definedName name="seminar">[6]criteria!$B$643:$E$644</definedName>
    <definedName name="seminars.bgt">'[6]citeria budget'!$B$83:$R$84</definedName>
    <definedName name="sencount">2</definedName>
    <definedName name="september">'[4]cashflow forecast'!$A$137:$H$138</definedName>
    <definedName name="SH_TB">[5]SH_TB!$A$1:$F$998</definedName>
    <definedName name="Share_capital">[5]criteria!$B$1133:$E$1134</definedName>
    <definedName name="Share_premium">[5]criteria!$B$1135:$E$1136</definedName>
    <definedName name="software">[6]criteria!$B$669:$E$670</definedName>
    <definedName name="softwarelicence.bgt">'[6]citeria budget'!$B$109:$R$110</definedName>
    <definedName name="Source" localSheetId="9">#REF!</definedName>
    <definedName name="Source">#REF!</definedName>
    <definedName name="SpecialPrice" localSheetId="6" hidden="1">#REF!</definedName>
    <definedName name="SpecialPrice" localSheetId="4" hidden="1">#REF!</definedName>
    <definedName name="SpecialPrice" localSheetId="7" hidden="1">#REF!</definedName>
    <definedName name="SpecialPrice" localSheetId="8" hidden="1">#REF!</definedName>
    <definedName name="SpecialPrice" localSheetId="3" hidden="1">#REF!</definedName>
    <definedName name="SpecialPrice" localSheetId="0" hidden="1">#REF!</definedName>
    <definedName name="SpecialPrice" localSheetId="9" hidden="1">#REF!</definedName>
    <definedName name="SpecialPrice" localSheetId="5" hidden="1">#REF!</definedName>
    <definedName name="SpecialPrice" hidden="1">#REF!</definedName>
    <definedName name="staffbonuscop">[4]criteria!$B$721:$E$722</definedName>
    <definedName name="staffcost">'[4]staff compliment'!$A$78:$AM$213</definedName>
    <definedName name="staffcost.bgt">'[6]citeria budget'!$B$2:$R$5</definedName>
    <definedName name="staffcost.exp">[6]criteria!$B$558:$E$561</definedName>
    <definedName name="staffmedical">[4]criteria!$B$892:$E$893</definedName>
    <definedName name="staffpensionDA">[7]criteria!$B$487:$E$488</definedName>
    <definedName name="staffrecruitment">[4]criteria!$B$900:$E$901</definedName>
    <definedName name="staffwelfare.bgt">'[6]citeria budget'!$B$14:$R$16</definedName>
    <definedName name="staffwelfare.exp">[6]criteria!$B$570:$E$571</definedName>
    <definedName name="State" localSheetId="4">#REF!</definedName>
    <definedName name="State" localSheetId="1">#REF!</definedName>
    <definedName name="State" localSheetId="3">#REF!</definedName>
    <definedName name="State" localSheetId="0">#REF!</definedName>
    <definedName name="State" localSheetId="9">#REF!</definedName>
    <definedName name="State" localSheetId="5">#REF!</definedName>
    <definedName name="State">#REF!</definedName>
    <definedName name="stocks">[5]criteria!$B$1040:$E$1041</definedName>
    <definedName name="strategicplanning">[6]criteria!$B$621:$E$622</definedName>
    <definedName name="subscriptionsco">[6]criteria!$B$653:$E$654</definedName>
    <definedName name="subscriptionspro">[6]criteria!$B$651:$E$652</definedName>
    <definedName name="subsidy.bgt" localSheetId="9">'[1]INC.ST. IND LIFE'!#REF!</definedName>
    <definedName name="subsidy.bgt">'[1]INC.ST. IND LIFE'!#REF!</definedName>
    <definedName name="SV_annuity">[8]Criteria!$B$133:$E$139</definedName>
    <definedName name="t" localSheetId="9">OFFSET(REITs!Full_Print,0,0,[0]!Last_Row)</definedName>
    <definedName name="t">OFFSET(Full_Print,0,0,Last_Row)</definedName>
    <definedName name="TableName">"Dummy"</definedName>
    <definedName name="tax">[6]criteria!$B$187:$E$188</definedName>
    <definedName name="Tax_liability">[5]criteria!$B$1111:$E$1112</definedName>
    <definedName name="TaxTV">10%</definedName>
    <definedName name="TaxXL">5%</definedName>
    <definedName name="tb">[8]TB!$A$1:$H$996</definedName>
    <definedName name="tb.prioryear">'[9]prior year'!$A$1:$H$1660</definedName>
    <definedName name="TB_all">[8]TB!$A$1:$O$525</definedName>
    <definedName name="tbl_ProdInfo" localSheetId="6" hidden="1">#REF!</definedName>
    <definedName name="tbl_ProdInfo" localSheetId="4" hidden="1">#REF!</definedName>
    <definedName name="tbl_ProdInfo" localSheetId="7" hidden="1">#REF!</definedName>
    <definedName name="tbl_ProdInfo" localSheetId="8" hidden="1">#REF!</definedName>
    <definedName name="tbl_ProdInfo" localSheetId="3" hidden="1">#REF!</definedName>
    <definedName name="tbl_ProdInfo" localSheetId="0" hidden="1">#REF!</definedName>
    <definedName name="tbl_ProdInfo" localSheetId="9" hidden="1">#REF!</definedName>
    <definedName name="tbl_ProdInfo" localSheetId="5" hidden="1">#REF!</definedName>
    <definedName name="tbl_ProdInfo" hidden="1">#REF!</definedName>
    <definedName name="tbx" localSheetId="9">[1]Company_TB!#REF!</definedName>
    <definedName name="tbx">[1]Company_TB!#REF!</definedName>
    <definedName name="telephone">[6]criteria!$B$661:$E$662</definedName>
    <definedName name="telephone.bgt">'[6]citeria budget'!$B$101:$R$102</definedName>
    <definedName name="telephoneallowance">[4]criteria!$B$874:$E$875</definedName>
    <definedName name="TextRefCopy11">'[21]Bonds Dec 2012'!$L$24</definedName>
    <definedName name="TextRefCopy13">'[22]Tax Computation'!$H$16</definedName>
    <definedName name="TextRefCopy15">'[21]Bonds Dec 2012'!$N$22</definedName>
    <definedName name="TextRefCopy2">'[21]Bonds Dec 2012'!$J$24</definedName>
    <definedName name="TextRefCopy27">'[21]Bonds Dec 2012'!$K$46</definedName>
    <definedName name="TextRefCopy28">'[21]Bonds Dec 2012'!$L$27</definedName>
    <definedName name="TextRefCopy47">'[22]Tax Computation'!$M$110</definedName>
    <definedName name="TextRefCopyRangeCount">7</definedName>
    <definedName name="thika.bgt">[4]criteria!$G$333:$J$334</definedName>
    <definedName name="thika.up" localSheetId="9">#REF!</definedName>
    <definedName name="thika.up">#REF!</definedName>
    <definedName name="THOUSAND">1000</definedName>
    <definedName name="thue">6</definedName>
    <definedName name="Total_Interest" localSheetId="9">#REF!</definedName>
    <definedName name="Total_Interest">#REF!</definedName>
    <definedName name="Total_Pay" localSheetId="9">#REF!</definedName>
    <definedName name="Total_Pay">#REF!</definedName>
    <definedName name="Total_Payment" localSheetId="9">Scheduled_Payment+Extra_Payment</definedName>
    <definedName name="Total_Payment">Scheduled_Payment+Extra_Payment</definedName>
    <definedName name="Total_Payment2" localSheetId="9">Scheduled_Payment+Extra_Payment</definedName>
    <definedName name="Total_Payment2">Scheduled_Payment+Extra_Payment</definedName>
    <definedName name="totalassets" localSheetId="9">#REF!</definedName>
    <definedName name="totalassets">#REF!</definedName>
    <definedName name="tradecreditor" localSheetId="9">[1]Company_TB!#REF!</definedName>
    <definedName name="tradecreditor">[1]Company_TB!#REF!</definedName>
    <definedName name="tradelicence.bgt">'[6]citeria budget'!$B$73:$R$74</definedName>
    <definedName name="training.bgt">'[6]citeria budget'!$B$103:$R$104</definedName>
    <definedName name="trainingpro">[6]criteria!$B$663:$E$664</definedName>
    <definedName name="travel">[6]criteria!$B$655:$E$656</definedName>
    <definedName name="travel.bgt">'[6]citeria budget'!$B$95:$R$96</definedName>
    <definedName name="travelallowance">[4]criteria!$B$880:$E$881</definedName>
    <definedName name="UG_Stocks.IL">[4]criteria!$B$919:$E$920</definedName>
    <definedName name="UL_API_NEW" localSheetId="9">'[1]NOTES 1'!#REF!</definedName>
    <definedName name="UL_API_NEW">'[1]NOTES 1'!#REF!</definedName>
    <definedName name="UL_API_RB" localSheetId="9">'[1]NOTES 1'!#REF!</definedName>
    <definedName name="UL_API_RB">'[1]NOTES 1'!#REF!</definedName>
    <definedName name="UL_gr" localSheetId="9">[18]BS!#REF!</definedName>
    <definedName name="UL_gr">[18]BS!#REF!</definedName>
    <definedName name="UL_TB">[5]UL_TB!$A$1:$F$1000</definedName>
    <definedName name="Un_processed_premium">[5]criteria!$B$1099:$E$1100</definedName>
    <definedName name="unit">[4]list!$A$120:$B$143</definedName>
    <definedName name="UNIT_Budget_06" localSheetId="9">#REF!</definedName>
    <definedName name="UNIT_Budget_06">#REF!</definedName>
    <definedName name="Unit_costs_07" localSheetId="9">#REF!</definedName>
    <definedName name="Unit_costs_07">#REF!</definedName>
    <definedName name="UNIT_LIST" localSheetId="9">#REF!</definedName>
    <definedName name="UNIT_LIST">#REF!</definedName>
    <definedName name="Unit_packs_07" localSheetId="9">#REF!</definedName>
    <definedName name="Unit_packs_07">#REF!</definedName>
    <definedName name="unitbudget" localSheetId="9">#REF!</definedName>
    <definedName name="unitbudget">#REF!</definedName>
    <definedName name="UNITCODE" localSheetId="9">#REF!</definedName>
    <definedName name="UNITCODE">#REF!</definedName>
    <definedName name="Unitcost.COP" localSheetId="9">#REF!</definedName>
    <definedName name="Unitcost.COP">#REF!</definedName>
    <definedName name="unitcosts.mkt" localSheetId="9">#REF!</definedName>
    <definedName name="unitcosts.mkt">#REF!</definedName>
    <definedName name="unitcosts2.mkt" localSheetId="9">[1]Variances!#REF!</definedName>
    <definedName name="unitcosts2.mkt">[1]Variances!#REF!</definedName>
    <definedName name="units" localSheetId="9">[4]Assumptions!#REF!</definedName>
    <definedName name="units">[4]Assumptions!#REF!</definedName>
    <definedName name="Update" localSheetId="9">#REF!</definedName>
    <definedName name="Update">#REF!</definedName>
    <definedName name="Values_Entered" localSheetId="9">IF(REITs!Loan_Amount*REITs!Interest_Rate*REITs!Loan_Years*REITs!Loan_Start&gt;0,1,0)</definedName>
    <definedName name="Values_Entered">IF(Loan_Amount*Interest_Rate*Loan_Years*Loan_Start&gt;0,1,0)</definedName>
    <definedName name="Variation" localSheetId="9">#REF!</definedName>
    <definedName name="Variation">#REF!</definedName>
    <definedName name="waitingpremium.FFP">'[14]File Size'!$G$244:$I$247</definedName>
    <definedName name="Waitingpremium.paic">'[14]File Size'!$D$244:$F$245</definedName>
    <definedName name="waitingpremium.WP">'[14]File Size'!$J$244:$L$247</definedName>
    <definedName name="wealthprovider">'[4]premium flow'!$A$13:$O$43</definedName>
    <definedName name="WPNEWMONTH">'[4]citeria budget'!$B$154:$C$155</definedName>
    <definedName name="wppremium">'[4]citeria budget'!$B$191:$C$192</definedName>
    <definedName name="wrn.Aging._.and._.Trend._.Analysis." hidden="1">{#N/A,#N/A,FALSE,"Aging Summary";#N/A,#N/A,FALSE,"Ratio Analysis";#N/A,#N/A,FALSE,"Test 120 Day Accts";#N/A,#N/A,FALSE,"Tickmarks"}</definedName>
    <definedName name="wrn.ALA._.Reports." hidden="1">{#N/A,#N/A,TRUE,"Cover";#N/A,#N/A,TRUE,"Index";#N/A,#N/A,TRUE,"Stats";#N/A,#N/A,TRUE,"Commentary";#N/A,#N/A,TRUE,"Income Statement";#N/A,#N/A,TRUE,"Balance Sheet";#N/A,#N/A,TRUE,"Changes in Equity";#N/A,#N/A,TRUE,"Notes1";#N/A,#N/A,TRUE,"Notes2";#N/A,#N/A,TRUE,"Notes3";#N/A,#N/A,TRUE,"Notes4";#N/A,#N/A,TRUE,"Notes5";#N/A,#N/A,TRUE,"Notes6";#N/A,#N/A,TRUE,"Notes7";#N/A,#N/A,TRUE,"Notes8";#N/A,#N/A,TRUE,"Notes10-12";#N/A,#N/A,TRUE,"Notes13-15";#N/A,#N/A,TRUE,"Notes16-19";#N/A,#N/A,TRUE,"Notes20-22";#N/A,#N/A,TRUE,"Notes23";#N/A,#N/A,TRUE,"Notes23";#N/A,#N/A,TRUE,"Unit costs";#N/A,#N/A,TRUE,"ShlderAssets";#N/A,#N/A,TRUE,"Questionairre";#N/A,#N/A,TRUE,"Subsidiaries and Ass."}</definedName>
    <definedName name="wrn.Budget." hidden="1">{#N/A,#N/A,TRUE,"Board";#N/A,#N/A,TRUE,"Assumptions";#N/A,#N/A,TRUE,"Statistica abstract";#N/A,#N/A,TRUE,"INC. STATE. SUM";#N/A,#N/A,TRUE,"INC.ST. IND LIFE";#N/A,#N/A,TRUE,"INC.ST. CB";#N/A,#N/A,TRUE,"BS";#N/A,#N/A,TRUE,"Cashflow";#N/A,#N/A,TRUE,"Accepted_Biz";#N/A,#N/A,TRUE,"BP";#N/A,#N/A,TRUE,"Note3";#N/A,#N/A,TRUE,"NOTES 1";#N/A,#N/A,TRUE,"Variances";#N/A,#N/A,TRUE,"Snap shot";#N/A,#N/A,TRUE,"Staff Compliment";#N/A,#N/A,TRUE,"Capex report"}</definedName>
    <definedName name="wrn.Financial._.Report." hidden="1">{#N/A,#N/A,TRUE,"Cover";#N/A,#N/A,TRUE,"INDEX";#N/A,#N/A,TRUE,"Revenue Account";#N/A,#N/A,TRUE,"Balance Sheet";#N/A,#N/A,TRUE,"Note(1-3)";#N/A,#N/A,TRUE,"note(4-6)";#N/A,#N/A,TRUE,"Note(7-8)";#N/A,#N/A,TRUE,"Note(9-10)";#N/A,#N/A,TRUE,"Note(11-13)";#N/A,#N/A,TRUE,"Note(14-15)";#N/A,#N/A,TRUE,"Note(16-18)";#N/A,#N/A,TRUE,"Note(19-23)";#N/A,#N/A,TRUE,"Note 24";#N/A,#N/A,TRUE,"Tax computation"}</definedName>
    <definedName name="wrn.Group._.accounts." hidden="1">{#N/A,#N/A,FALSE,"Cover";#N/A,#N/A,FALSE,"Contents";#N/A,#N/A,FALSE,"5 year review";#N/A,#N/A,FALSE,"Group P&amp;L";#N/A,#N/A,FALSE,"Group Bal sheet";#N/A,#N/A,FALSE,"Co Bal Sheet";#N/A,#N/A,FALSE,"Socie";#N/A,#N/A,FALSE,"Cashflow";#N/A,#N/A,FALSE,"Note 1";#N/A,#N/A,FALSE,"Note 2 onwards "}</definedName>
    <definedName name="wrn.Mgt._.Accounts." hidden="1">{#N/A,#N/A,TRUE,"Contents";#N/A,#N/A,TRUE,"Summary";#N/A,#N/A,TRUE,"INC. STATE. SUM";#N/A,#N/A,TRUE,"Total inc. St.";#N/A,#N/A,TRUE,"INC.ST. IND LIFE";#N/A,#N/A,TRUE,"INC.ST. CB";#N/A,#N/A,TRUE,"NOTES 1";#N/A,#N/A,TRUE,"note2";#N/A,#N/A,TRUE,"Note3";#N/A,#N/A,TRUE,"snap shot";#N/A,#N/A,TRUE,"NOTES(4-6)";#N/A,#N/A,TRUE,"AR-Administration";#N/A,#N/A,TRUE,"INDIVIDUAL LIFE EXP";#N/A,#N/A,TRUE,"AR-Marketing";#N/A,#N/A,TRUE,"marketing costs";#N/A,#N/A,TRUE,"AR-Corporate";#N/A,#N/A,TRUE,"premiums";#N/A,#N/A,TRUE,"premium flow";#N/A,#N/A,TRUE,"Bgt file size";#N/A,#N/A,TRUE,"corporateburget2004";#N/A,#N/A,TRUE,"Analysis of capex";#N/A,#N/A,TRUE,"staffcosts";#N/A,#N/A,TRUE,"Holding company"}</definedName>
    <definedName name="wrn.Published._.Accounts." hidden="1">{#N/A,#N/A,FALSE,"content";#N/A,#N/A,FALSE,"Revenue account";#N/A,#N/A,FALSE,"Bs";#N/A,#N/A,FALSE,"Scie";#N/A,#N/A,FALSE,"note 1-3";#N/A,#N/A,FALSE,"nootes 4-6";#N/A,#N/A,FALSE,"note 7-8";#N/A,#N/A,FALSE,"note 9-10";#N/A,#N/A,FALSE,"note 11-13";#N/A,#N/A,FALSE,"note 14-15";#N/A,#N/A,FALSE,"note 16-18";#N/A,#N/A,FALSE,"note 19-23";#N/A,#N/A,FALSE,"note 24"}</definedName>
    <definedName name="wrnk.budget" hidden="1">{#N/A,#N/A,TRUE,"Board";#N/A,#N/A,TRUE,"Assumptions";#N/A,#N/A,TRUE,"Statistica abstract";#N/A,#N/A,TRUE,"INC. STATE. SUM";#N/A,#N/A,TRUE,"INC.ST. IND LIFE";#N/A,#N/A,TRUE,"INC.ST. CB";#N/A,#N/A,TRUE,"BS";#N/A,#N/A,TRUE,"Cashflow";#N/A,#N/A,TRUE,"Accepted_Biz";#N/A,#N/A,TRUE,"BP";#N/A,#N/A,TRUE,"Note3";#N/A,#N/A,TRUE,"NOTES 1";#N/A,#N/A,TRUE,"Variances";#N/A,#N/A,TRUE,"Snap shot";#N/A,#N/A,TRUE,"Staff Compliment";#N/A,#N/A,TRUE,"Capex report"}</definedName>
    <definedName name="ww" localSheetId="9">IF([2]!Loan_Amount*[2]!Interest_Rate*[2]!Loan_Years*[2]!Loan_Start&gt;0,1,0)</definedName>
    <definedName name="ww">IF([2]!Loan_Amount*[2]!Interest_Rate*[2]!Loan_Years*[2]!Loan_Start&gt;0,1,0)</definedName>
    <definedName name="X_rate" localSheetId="9">[1]Unit_cost!#REF!</definedName>
    <definedName name="X_rate">[1]Unit_cost!#REF!</definedName>
    <definedName name="xxx">39433.3974189815</definedName>
    <definedName name="Y">[23]Summary!$A$164:$C$214</definedName>
    <definedName name="z">[24]Period!$A$1:$A$12</definedName>
    <definedName name="Zip" localSheetId="4">#REF!</definedName>
    <definedName name="Zip" localSheetId="1">#REF!</definedName>
    <definedName name="Zip" localSheetId="3">#REF!</definedName>
    <definedName name="Zip" localSheetId="0">#REF!</definedName>
    <definedName name="Zip" localSheetId="9">#REF!</definedName>
    <definedName name="Zip" localSheetId="5">#REF!</definedName>
    <definedName name="Zip">#REF!</definedName>
  </definedNames>
  <calcPr calcId="152511"/>
</workbook>
</file>

<file path=xl/calcChain.xml><?xml version="1.0" encoding="utf-8"?>
<calcChain xmlns="http://schemas.openxmlformats.org/spreadsheetml/2006/main">
  <c r="H36" i="491" l="1"/>
  <c r="H28" i="491"/>
  <c r="H27" i="491"/>
  <c r="H26" i="491"/>
  <c r="H25" i="491"/>
  <c r="H24" i="491"/>
  <c r="H23" i="491"/>
  <c r="H22" i="491"/>
  <c r="H21" i="491"/>
  <c r="H31" i="491"/>
  <c r="Q186" i="479"/>
  <c r="Q187" i="479"/>
  <c r="Q188" i="479"/>
  <c r="Q189" i="479"/>
  <c r="Q190" i="479"/>
  <c r="Q185" i="479"/>
  <c r="Q42" i="479"/>
  <c r="Q43" i="479"/>
  <c r="Q44" i="479"/>
  <c r="Q45" i="479"/>
  <c r="Q41" i="479"/>
  <c r="W485" i="489" l="1"/>
  <c r="N89" i="479" l="1"/>
  <c r="N87" i="479"/>
  <c r="N85" i="479"/>
  <c r="N83" i="479"/>
  <c r="N114" i="479"/>
  <c r="N112" i="479"/>
  <c r="N110" i="479"/>
  <c r="N108" i="479"/>
  <c r="N106" i="479"/>
  <c r="N235" i="479"/>
  <c r="N233" i="479"/>
  <c r="N231" i="479"/>
  <c r="N229" i="479"/>
  <c r="N223" i="479"/>
  <c r="N221" i="479"/>
  <c r="N219" i="479"/>
  <c r="N217" i="479"/>
  <c r="N215" i="479"/>
  <c r="N213" i="479"/>
  <c r="N266" i="479"/>
  <c r="N25" i="479" l="1"/>
  <c r="O13" i="479"/>
  <c r="P13" i="479"/>
  <c r="O226" i="479"/>
  <c r="O253" i="479"/>
  <c r="P253" i="479"/>
  <c r="O117" i="479"/>
  <c r="T514" i="489"/>
  <c r="T543" i="489"/>
  <c r="H92" i="479" l="1"/>
  <c r="G92" i="479"/>
  <c r="H89" i="479" l="1"/>
  <c r="H117" i="479"/>
  <c r="G117" i="479"/>
  <c r="H114" i="479"/>
  <c r="H121" i="479"/>
  <c r="H22" i="479"/>
  <c r="L326" i="489" l="1"/>
  <c r="O238" i="479" l="1"/>
  <c r="H238" i="479"/>
  <c r="I238" i="479"/>
  <c r="J238" i="479"/>
  <c r="K238" i="479"/>
  <c r="L238" i="479"/>
  <c r="G238" i="479"/>
  <c r="H157" i="479"/>
  <c r="E157" i="479"/>
  <c r="J157" i="479" l="1"/>
  <c r="R223" i="489"/>
  <c r="O223" i="489"/>
  <c r="K223" i="489"/>
  <c r="J223" i="489"/>
  <c r="G223" i="489"/>
  <c r="R222" i="489"/>
  <c r="K222" i="489"/>
  <c r="J222" i="489"/>
  <c r="G222" i="489" s="1"/>
  <c r="O222" i="489" s="1"/>
  <c r="R221" i="489"/>
  <c r="K221" i="489"/>
  <c r="J221" i="489"/>
  <c r="G221" i="489"/>
  <c r="O221" i="489" s="1"/>
  <c r="R220" i="489"/>
  <c r="K220" i="489"/>
  <c r="J220" i="489"/>
  <c r="G220" i="489"/>
  <c r="O220" i="489" s="1"/>
  <c r="R219" i="489"/>
  <c r="K219" i="489"/>
  <c r="J219" i="489"/>
  <c r="G219" i="489" s="1"/>
  <c r="O219" i="489" s="1"/>
  <c r="R218" i="489"/>
  <c r="N218" i="489"/>
  <c r="K218" i="489"/>
  <c r="J218" i="489"/>
  <c r="G218" i="489" s="1"/>
  <c r="O218" i="489" s="1"/>
  <c r="R217" i="489"/>
  <c r="N217" i="489"/>
  <c r="K217" i="489"/>
  <c r="J217" i="489"/>
  <c r="G217" i="489" s="1"/>
  <c r="O217" i="489" s="1"/>
  <c r="R216" i="489"/>
  <c r="K216" i="489"/>
  <c r="J216" i="489"/>
  <c r="G216" i="489"/>
  <c r="O216" i="489" s="1"/>
  <c r="R215" i="489"/>
  <c r="K215" i="489"/>
  <c r="J215" i="489"/>
  <c r="G215" i="489" s="1"/>
  <c r="O215" i="489" s="1"/>
  <c r="R155" i="489"/>
  <c r="K155" i="489"/>
  <c r="J155" i="489"/>
  <c r="H155" i="489"/>
  <c r="G155" i="489"/>
  <c r="O155" i="489" s="1"/>
  <c r="R154" i="489"/>
  <c r="O154" i="489"/>
  <c r="K154" i="489"/>
  <c r="J154" i="489"/>
  <c r="I154" i="489"/>
  <c r="H154" i="489"/>
  <c r="G154" i="489"/>
  <c r="R153" i="489"/>
  <c r="K153" i="489"/>
  <c r="J153" i="489"/>
  <c r="G153" i="489" s="1"/>
  <c r="H153" i="489"/>
  <c r="R152" i="489"/>
  <c r="K152" i="489"/>
  <c r="J152" i="489"/>
  <c r="G152" i="489" s="1"/>
  <c r="H152" i="489"/>
  <c r="R151" i="489"/>
  <c r="O151" i="489"/>
  <c r="K151" i="489"/>
  <c r="J151" i="489"/>
  <c r="H151" i="489"/>
  <c r="G151" i="489"/>
  <c r="I151" i="489" s="1"/>
  <c r="R150" i="489"/>
  <c r="O150" i="489"/>
  <c r="K150" i="489"/>
  <c r="J150" i="489"/>
  <c r="H150" i="489"/>
  <c r="G150" i="489"/>
  <c r="I150" i="489" s="1"/>
  <c r="R149" i="489"/>
  <c r="K149" i="489"/>
  <c r="J149" i="489"/>
  <c r="G149" i="489" s="1"/>
  <c r="H149" i="489"/>
  <c r="R148" i="489"/>
  <c r="K148" i="489"/>
  <c r="J148" i="489"/>
  <c r="H148" i="489"/>
  <c r="G148" i="489"/>
  <c r="O148" i="489" s="1"/>
  <c r="R147" i="489"/>
  <c r="K147" i="489"/>
  <c r="J147" i="489"/>
  <c r="H147" i="489"/>
  <c r="G147" i="489"/>
  <c r="O147" i="489" s="1"/>
  <c r="R146" i="489"/>
  <c r="O146" i="489"/>
  <c r="K146" i="489"/>
  <c r="J146" i="489"/>
  <c r="I146" i="489"/>
  <c r="H146" i="489"/>
  <c r="G146" i="489"/>
  <c r="R145" i="489"/>
  <c r="K145" i="489"/>
  <c r="J145" i="489"/>
  <c r="G145" i="489" s="1"/>
  <c r="H145" i="489"/>
  <c r="R144" i="489"/>
  <c r="O144" i="489"/>
  <c r="K144" i="489"/>
  <c r="I144" i="489"/>
  <c r="H144" i="489"/>
  <c r="G144" i="489"/>
  <c r="R143" i="489"/>
  <c r="O143" i="489"/>
  <c r="K143" i="489"/>
  <c r="I143" i="489"/>
  <c r="H143" i="489"/>
  <c r="G143" i="489"/>
  <c r="R142" i="489"/>
  <c r="K142" i="489"/>
  <c r="J142" i="489"/>
  <c r="G142" i="489" s="1"/>
  <c r="H142" i="489"/>
  <c r="R141" i="489"/>
  <c r="O141" i="489"/>
  <c r="K141" i="489"/>
  <c r="J141" i="489"/>
  <c r="H141" i="489"/>
  <c r="G141" i="489"/>
  <c r="I141" i="489" s="1"/>
  <c r="R140" i="489"/>
  <c r="O140" i="489"/>
  <c r="K140" i="489"/>
  <c r="J140" i="489"/>
  <c r="H140" i="489"/>
  <c r="G140" i="489"/>
  <c r="I140" i="489" s="1"/>
  <c r="L214" i="489"/>
  <c r="R214" i="489" s="1"/>
  <c r="K214" i="489"/>
  <c r="J214" i="489"/>
  <c r="G214" i="489"/>
  <c r="L213" i="489"/>
  <c r="R213" i="489" s="1"/>
  <c r="K213" i="489"/>
  <c r="J213" i="489"/>
  <c r="G213" i="489"/>
  <c r="L212" i="489"/>
  <c r="R212" i="489" s="1"/>
  <c r="K212" i="489"/>
  <c r="J212" i="489"/>
  <c r="G212" i="489"/>
  <c r="L139" i="489"/>
  <c r="R139" i="489" s="1"/>
  <c r="K139" i="489"/>
  <c r="J139" i="489"/>
  <c r="G139" i="489" s="1"/>
  <c r="H139" i="489"/>
  <c r="L138" i="489"/>
  <c r="R138" i="489" s="1"/>
  <c r="K138" i="489"/>
  <c r="J138" i="489"/>
  <c r="G138" i="489" s="1"/>
  <c r="I138" i="489" s="1"/>
  <c r="H138" i="489"/>
  <c r="L137" i="489"/>
  <c r="K137" i="489"/>
  <c r="J137" i="489"/>
  <c r="H137" i="489"/>
  <c r="G137" i="489"/>
  <c r="I137" i="489" s="1"/>
  <c r="R136" i="489"/>
  <c r="L136" i="489"/>
  <c r="K136" i="489"/>
  <c r="J136" i="489"/>
  <c r="H136" i="489"/>
  <c r="G136" i="489"/>
  <c r="O136" i="489" s="1"/>
  <c r="I235" i="479"/>
  <c r="J235" i="479" s="1"/>
  <c r="H235" i="479"/>
  <c r="E235" i="479"/>
  <c r="G28" i="242"/>
  <c r="J26" i="242"/>
  <c r="G26" i="242"/>
  <c r="G19" i="242"/>
  <c r="G18" i="242"/>
  <c r="J16" i="242"/>
  <c r="G16" i="242"/>
  <c r="I142" i="489" l="1"/>
  <c r="O142" i="489"/>
  <c r="I153" i="489"/>
  <c r="O153" i="489"/>
  <c r="I145" i="489"/>
  <c r="O145" i="489"/>
  <c r="O149" i="489"/>
  <c r="I149" i="489"/>
  <c r="I152" i="489"/>
  <c r="O152" i="489"/>
  <c r="I147" i="489"/>
  <c r="I155" i="489"/>
  <c r="I148" i="489"/>
  <c r="O137" i="489"/>
  <c r="O212" i="489"/>
  <c r="O213" i="489"/>
  <c r="O214" i="489"/>
  <c r="I139" i="489"/>
  <c r="R137" i="489"/>
  <c r="I136" i="489"/>
  <c r="O138" i="489"/>
  <c r="O139" i="489"/>
  <c r="J92" i="479"/>
  <c r="K92" i="479"/>
  <c r="L92" i="479"/>
  <c r="M92" i="479"/>
  <c r="G262" i="479" l="1"/>
  <c r="I262" i="479" s="1"/>
  <c r="H190" i="479"/>
  <c r="G190" i="479"/>
  <c r="I190" i="479" s="1"/>
  <c r="E190" i="479"/>
  <c r="H155" i="479"/>
  <c r="E155" i="479"/>
  <c r="H33" i="479"/>
  <c r="H45" i="479"/>
  <c r="H44" i="479"/>
  <c r="R135" i="489"/>
  <c r="K135" i="489"/>
  <c r="J135" i="489"/>
  <c r="H135" i="489"/>
  <c r="G135" i="489"/>
  <c r="O135" i="489" s="1"/>
  <c r="R134" i="489"/>
  <c r="K134" i="489"/>
  <c r="J134" i="489"/>
  <c r="G134" i="489" s="1"/>
  <c r="H134" i="489"/>
  <c r="R133" i="489"/>
  <c r="K133" i="489"/>
  <c r="J133" i="489"/>
  <c r="H133" i="489"/>
  <c r="G133" i="489"/>
  <c r="I133" i="489" s="1"/>
  <c r="R132" i="489"/>
  <c r="K132" i="489"/>
  <c r="J132" i="489"/>
  <c r="G132" i="489" s="1"/>
  <c r="H132" i="489"/>
  <c r="R131" i="489"/>
  <c r="K131" i="489"/>
  <c r="J131" i="489"/>
  <c r="G131" i="489" s="1"/>
  <c r="H131" i="489"/>
  <c r="R130" i="489"/>
  <c r="K130" i="489"/>
  <c r="J130" i="489"/>
  <c r="G130" i="489" s="1"/>
  <c r="H130" i="489"/>
  <c r="R129" i="489"/>
  <c r="K129" i="489"/>
  <c r="J129" i="489"/>
  <c r="G129" i="489" s="1"/>
  <c r="H129" i="489"/>
  <c r="R128" i="489"/>
  <c r="K128" i="489"/>
  <c r="J128" i="489"/>
  <c r="G128" i="489" s="1"/>
  <c r="I128" i="489" s="1"/>
  <c r="H128" i="489"/>
  <c r="R127" i="489"/>
  <c r="K127" i="489"/>
  <c r="J127" i="489"/>
  <c r="G127" i="489" s="1"/>
  <c r="O127" i="489" s="1"/>
  <c r="H127" i="489"/>
  <c r="R126" i="489"/>
  <c r="K126" i="489"/>
  <c r="J126" i="489"/>
  <c r="G126" i="489" s="1"/>
  <c r="H126" i="489"/>
  <c r="R211" i="489"/>
  <c r="K211" i="489"/>
  <c r="J211" i="489"/>
  <c r="G211" i="489"/>
  <c r="O211" i="489" s="1"/>
  <c r="R210" i="489"/>
  <c r="K210" i="489"/>
  <c r="J210" i="489"/>
  <c r="G210" i="489" s="1"/>
  <c r="O210" i="489" s="1"/>
  <c r="L425" i="489"/>
  <c r="R209" i="489"/>
  <c r="K209" i="489"/>
  <c r="J209" i="489"/>
  <c r="G209" i="489"/>
  <c r="O209" i="489" s="1"/>
  <c r="R208" i="489"/>
  <c r="K208" i="489"/>
  <c r="J208" i="489"/>
  <c r="G208" i="489"/>
  <c r="O208" i="489" s="1"/>
  <c r="R207" i="489"/>
  <c r="K207" i="489"/>
  <c r="J207" i="489"/>
  <c r="G207" i="489" s="1"/>
  <c r="O207" i="489" s="1"/>
  <c r="R206" i="489"/>
  <c r="K206" i="489"/>
  <c r="J206" i="489"/>
  <c r="G206" i="489"/>
  <c r="O206" i="489" s="1"/>
  <c r="R205" i="489"/>
  <c r="K205" i="489"/>
  <c r="J205" i="489"/>
  <c r="G205" i="489"/>
  <c r="O205" i="489" s="1"/>
  <c r="R204" i="489"/>
  <c r="K204" i="489"/>
  <c r="J204" i="489"/>
  <c r="G204" i="489" s="1"/>
  <c r="O204" i="489" s="1"/>
  <c r="R203" i="489"/>
  <c r="K203" i="489"/>
  <c r="J203" i="489"/>
  <c r="G203" i="489"/>
  <c r="O203" i="489" s="1"/>
  <c r="R202" i="489"/>
  <c r="K202" i="489"/>
  <c r="J202" i="489"/>
  <c r="G202" i="489" s="1"/>
  <c r="O202" i="489" s="1"/>
  <c r="R201" i="489"/>
  <c r="K201" i="489"/>
  <c r="J201" i="489"/>
  <c r="G201" i="489"/>
  <c r="O201" i="489" s="1"/>
  <c r="R200" i="489"/>
  <c r="K200" i="489"/>
  <c r="J200" i="489"/>
  <c r="G200" i="489"/>
  <c r="O200" i="489" s="1"/>
  <c r="R199" i="489"/>
  <c r="K199" i="489"/>
  <c r="J199" i="489"/>
  <c r="G199" i="489" s="1"/>
  <c r="O199" i="489" s="1"/>
  <c r="R198" i="489"/>
  <c r="L198" i="489"/>
  <c r="K198" i="489"/>
  <c r="J198" i="489"/>
  <c r="G198" i="489" s="1"/>
  <c r="O198" i="489" s="1"/>
  <c r="R125" i="489"/>
  <c r="K125" i="489"/>
  <c r="J125" i="489"/>
  <c r="G125" i="489" s="1"/>
  <c r="H125" i="489"/>
  <c r="R124" i="489"/>
  <c r="K124" i="489"/>
  <c r="J124" i="489"/>
  <c r="G124" i="489" s="1"/>
  <c r="O124" i="489" s="1"/>
  <c r="H124" i="489"/>
  <c r="R123" i="489"/>
  <c r="K123" i="489"/>
  <c r="J123" i="489"/>
  <c r="G123" i="489" s="1"/>
  <c r="H123" i="489"/>
  <c r="R122" i="489"/>
  <c r="K122" i="489"/>
  <c r="J122" i="489"/>
  <c r="G122" i="489" s="1"/>
  <c r="H122" i="489"/>
  <c r="R121" i="489"/>
  <c r="K121" i="489"/>
  <c r="J121" i="489"/>
  <c r="G121" i="489" s="1"/>
  <c r="H121" i="489"/>
  <c r="R120" i="489"/>
  <c r="K120" i="489"/>
  <c r="J120" i="489"/>
  <c r="G120" i="489" s="1"/>
  <c r="O120" i="489" s="1"/>
  <c r="H120" i="489"/>
  <c r="R119" i="489"/>
  <c r="K119" i="489"/>
  <c r="J119" i="489"/>
  <c r="H119" i="489"/>
  <c r="G119" i="489"/>
  <c r="O119" i="489" s="1"/>
  <c r="R118" i="489"/>
  <c r="K118" i="489"/>
  <c r="J118" i="489"/>
  <c r="H118" i="489"/>
  <c r="G118" i="489"/>
  <c r="O118" i="489" s="1"/>
  <c r="R117" i="489"/>
  <c r="K117" i="489"/>
  <c r="J117" i="489"/>
  <c r="G117" i="489" s="1"/>
  <c r="H117" i="489"/>
  <c r="R116" i="489"/>
  <c r="K116" i="489"/>
  <c r="J116" i="489"/>
  <c r="H116" i="489"/>
  <c r="G116" i="489"/>
  <c r="O116" i="489" s="1"/>
  <c r="R115" i="489"/>
  <c r="K115" i="489"/>
  <c r="J115" i="489"/>
  <c r="G115" i="489" s="1"/>
  <c r="H115" i="489"/>
  <c r="R114" i="489"/>
  <c r="K114" i="489"/>
  <c r="J114" i="489"/>
  <c r="G114" i="489" s="1"/>
  <c r="H114" i="489"/>
  <c r="R113" i="489"/>
  <c r="K113" i="489"/>
  <c r="J113" i="489"/>
  <c r="G113" i="489" s="1"/>
  <c r="H113" i="489"/>
  <c r="R112" i="489"/>
  <c r="K112" i="489"/>
  <c r="J112" i="489"/>
  <c r="G112" i="489" s="1"/>
  <c r="O112" i="489" s="1"/>
  <c r="H112" i="489"/>
  <c r="R111" i="489"/>
  <c r="K111" i="489"/>
  <c r="J111" i="489"/>
  <c r="G111" i="489" s="1"/>
  <c r="O111" i="489" s="1"/>
  <c r="H111" i="489"/>
  <c r="R110" i="489"/>
  <c r="K110" i="489"/>
  <c r="J110" i="489"/>
  <c r="G110" i="489" s="1"/>
  <c r="O110" i="489" s="1"/>
  <c r="H110" i="489"/>
  <c r="R109" i="489"/>
  <c r="K109" i="489"/>
  <c r="J109" i="489"/>
  <c r="G109" i="489" s="1"/>
  <c r="H109" i="489"/>
  <c r="R108" i="489"/>
  <c r="K108" i="489"/>
  <c r="J108" i="489"/>
  <c r="G108" i="489" s="1"/>
  <c r="O108" i="489" s="1"/>
  <c r="H108" i="489"/>
  <c r="R107" i="489"/>
  <c r="K107" i="489"/>
  <c r="J107" i="489"/>
  <c r="G107" i="489" s="1"/>
  <c r="H107" i="489"/>
  <c r="R106" i="489"/>
  <c r="K106" i="489"/>
  <c r="J106" i="489"/>
  <c r="G106" i="489" s="1"/>
  <c r="O106" i="489" s="1"/>
  <c r="H106" i="489"/>
  <c r="R105" i="489"/>
  <c r="K105" i="489"/>
  <c r="J105" i="489"/>
  <c r="G105" i="489" s="1"/>
  <c r="H105" i="489"/>
  <c r="R104" i="489"/>
  <c r="K104" i="489"/>
  <c r="J104" i="489"/>
  <c r="G104" i="489" s="1"/>
  <c r="O104" i="489" s="1"/>
  <c r="H104" i="489"/>
  <c r="R103" i="489"/>
  <c r="K103" i="489"/>
  <c r="J103" i="489"/>
  <c r="G103" i="489" s="1"/>
  <c r="H103" i="489"/>
  <c r="R102" i="489"/>
  <c r="K102" i="489"/>
  <c r="J102" i="489"/>
  <c r="H102" i="489"/>
  <c r="G102" i="489"/>
  <c r="O102" i="489" s="1"/>
  <c r="R101" i="489"/>
  <c r="K101" i="489"/>
  <c r="J101" i="489"/>
  <c r="G101" i="489" s="1"/>
  <c r="H101" i="489"/>
  <c r="R100" i="489"/>
  <c r="K100" i="489"/>
  <c r="J100" i="489"/>
  <c r="H100" i="489"/>
  <c r="G100" i="489"/>
  <c r="O100" i="489" s="1"/>
  <c r="L99" i="489"/>
  <c r="R99" i="489" s="1"/>
  <c r="K99" i="489"/>
  <c r="J99" i="489"/>
  <c r="H99" i="489"/>
  <c r="G99" i="489"/>
  <c r="O99" i="489" s="1"/>
  <c r="R197" i="489"/>
  <c r="K197" i="489"/>
  <c r="J197" i="489"/>
  <c r="G197" i="489"/>
  <c r="O197" i="489" s="1"/>
  <c r="R196" i="489"/>
  <c r="K196" i="489"/>
  <c r="J196" i="489"/>
  <c r="G196" i="489"/>
  <c r="O196" i="489" s="1"/>
  <c r="R195" i="489"/>
  <c r="K195" i="489"/>
  <c r="J195" i="489"/>
  <c r="G195" i="489" s="1"/>
  <c r="O195" i="489" s="1"/>
  <c r="R194" i="489"/>
  <c r="K194" i="489"/>
  <c r="J194" i="489"/>
  <c r="G194" i="489"/>
  <c r="O194" i="489" s="1"/>
  <c r="R193" i="489"/>
  <c r="K193" i="489"/>
  <c r="J193" i="489"/>
  <c r="G193" i="489" s="1"/>
  <c r="O193" i="489" s="1"/>
  <c r="R192" i="489"/>
  <c r="K192" i="489"/>
  <c r="J192" i="489"/>
  <c r="G192" i="489"/>
  <c r="O192" i="489" s="1"/>
  <c r="R191" i="489"/>
  <c r="K191" i="489"/>
  <c r="J191" i="489"/>
  <c r="G191" i="489" s="1"/>
  <c r="O191" i="489" s="1"/>
  <c r="R98" i="489"/>
  <c r="K98" i="489"/>
  <c r="H98" i="489"/>
  <c r="G98" i="489"/>
  <c r="I98" i="489" s="1"/>
  <c r="R97" i="489"/>
  <c r="K97" i="489"/>
  <c r="J97" i="489"/>
  <c r="G97" i="489" s="1"/>
  <c r="H97" i="489"/>
  <c r="R96" i="489"/>
  <c r="K96" i="489"/>
  <c r="J96" i="489"/>
  <c r="G96" i="489" s="1"/>
  <c r="H96" i="489"/>
  <c r="R95" i="489"/>
  <c r="K95" i="489"/>
  <c r="J95" i="489"/>
  <c r="G95" i="489" s="1"/>
  <c r="H95" i="489"/>
  <c r="R94" i="489"/>
  <c r="K94" i="489"/>
  <c r="J94" i="489"/>
  <c r="H94" i="489"/>
  <c r="G94" i="489"/>
  <c r="O94" i="489" s="1"/>
  <c r="R93" i="489"/>
  <c r="K93" i="489"/>
  <c r="J93" i="489"/>
  <c r="G93" i="489" s="1"/>
  <c r="H93" i="489"/>
  <c r="R92" i="489"/>
  <c r="K92" i="489"/>
  <c r="J92" i="489"/>
  <c r="G92" i="489" s="1"/>
  <c r="H92" i="489"/>
  <c r="R91" i="489"/>
  <c r="K91" i="489"/>
  <c r="J91" i="489"/>
  <c r="G91" i="489" s="1"/>
  <c r="H91" i="489"/>
  <c r="R90" i="489"/>
  <c r="K90" i="489"/>
  <c r="J90" i="489"/>
  <c r="H90" i="489"/>
  <c r="G90" i="489"/>
  <c r="O90" i="489" s="1"/>
  <c r="R89" i="489"/>
  <c r="K89" i="489"/>
  <c r="J89" i="489"/>
  <c r="H89" i="489"/>
  <c r="G89" i="489"/>
  <c r="R88" i="489"/>
  <c r="K88" i="489"/>
  <c r="J88" i="489"/>
  <c r="G88" i="489" s="1"/>
  <c r="H88" i="489"/>
  <c r="R543" i="489"/>
  <c r="O543" i="489"/>
  <c r="K543" i="489"/>
  <c r="J543" i="489"/>
  <c r="G543" i="489"/>
  <c r="R542" i="489"/>
  <c r="K542" i="489"/>
  <c r="J542" i="489"/>
  <c r="G542" i="489" s="1"/>
  <c r="O542" i="489" s="1"/>
  <c r="R541" i="489"/>
  <c r="L541" i="489"/>
  <c r="K541" i="489"/>
  <c r="J541" i="489"/>
  <c r="G541" i="489" s="1"/>
  <c r="O541" i="489" s="1"/>
  <c r="R540" i="489"/>
  <c r="L540" i="489"/>
  <c r="K540" i="489"/>
  <c r="J540" i="489"/>
  <c r="G540" i="489" s="1"/>
  <c r="O540" i="489" s="1"/>
  <c r="R539" i="489"/>
  <c r="L539" i="489"/>
  <c r="K539" i="489"/>
  <c r="J539" i="489"/>
  <c r="G539" i="489" s="1"/>
  <c r="O539" i="489" s="1"/>
  <c r="R538" i="489"/>
  <c r="L538" i="489"/>
  <c r="K538" i="489"/>
  <c r="J538" i="489"/>
  <c r="G538" i="489" s="1"/>
  <c r="O538" i="489" s="1"/>
  <c r="R537" i="489"/>
  <c r="K537" i="489"/>
  <c r="J537" i="489"/>
  <c r="G537" i="489"/>
  <c r="O537" i="489" s="1"/>
  <c r="R536" i="489"/>
  <c r="O536" i="489"/>
  <c r="K536" i="489"/>
  <c r="J536" i="489"/>
  <c r="G536" i="489"/>
  <c r="R535" i="489"/>
  <c r="K535" i="489"/>
  <c r="J535" i="489"/>
  <c r="G535" i="489" s="1"/>
  <c r="O535" i="489" s="1"/>
  <c r="R534" i="489"/>
  <c r="K534" i="489"/>
  <c r="J534" i="489"/>
  <c r="G534" i="489"/>
  <c r="O534" i="489" s="1"/>
  <c r="R533" i="489"/>
  <c r="K533" i="489"/>
  <c r="J533" i="489"/>
  <c r="G533" i="489"/>
  <c r="O533" i="489" s="1"/>
  <c r="R532" i="489"/>
  <c r="O532" i="489"/>
  <c r="L532" i="489"/>
  <c r="K532" i="489"/>
  <c r="J532" i="489"/>
  <c r="G532" i="489"/>
  <c r="R514" i="489"/>
  <c r="K514" i="489"/>
  <c r="J514" i="489"/>
  <c r="G514" i="489"/>
  <c r="O514" i="489" s="1"/>
  <c r="R513" i="489"/>
  <c r="K513" i="489"/>
  <c r="J513" i="489"/>
  <c r="G513" i="489"/>
  <c r="O513" i="489" s="1"/>
  <c r="L512" i="489"/>
  <c r="R512" i="489" s="1"/>
  <c r="K512" i="489"/>
  <c r="J512" i="489"/>
  <c r="G512" i="489"/>
  <c r="L511" i="489"/>
  <c r="R511" i="489" s="1"/>
  <c r="K511" i="489"/>
  <c r="J511" i="489"/>
  <c r="G511" i="489"/>
  <c r="L510" i="489"/>
  <c r="R510" i="489" s="1"/>
  <c r="K510" i="489"/>
  <c r="J510" i="489"/>
  <c r="G510" i="489"/>
  <c r="L509" i="489"/>
  <c r="R509" i="489" s="1"/>
  <c r="K509" i="489"/>
  <c r="J509" i="489"/>
  <c r="G509" i="489"/>
  <c r="R508" i="489"/>
  <c r="K508" i="489"/>
  <c r="J508" i="489"/>
  <c r="G508" i="489" s="1"/>
  <c r="O508" i="489" s="1"/>
  <c r="R507" i="489"/>
  <c r="K507" i="489"/>
  <c r="J507" i="489"/>
  <c r="G507" i="489"/>
  <c r="O507" i="489" s="1"/>
  <c r="R506" i="489"/>
  <c r="K506" i="489"/>
  <c r="J506" i="489"/>
  <c r="G506" i="489"/>
  <c r="O506" i="489" s="1"/>
  <c r="R505" i="489"/>
  <c r="O505" i="489"/>
  <c r="K505" i="489"/>
  <c r="J505" i="489"/>
  <c r="G505" i="489"/>
  <c r="R504" i="489"/>
  <c r="K504" i="489"/>
  <c r="J504" i="489"/>
  <c r="G504" i="489" s="1"/>
  <c r="O504" i="489" s="1"/>
  <c r="R503" i="489"/>
  <c r="L503" i="489"/>
  <c r="K503" i="489"/>
  <c r="J503" i="489"/>
  <c r="G503" i="489" s="1"/>
  <c r="I233" i="479"/>
  <c r="H233" i="479"/>
  <c r="E233" i="479"/>
  <c r="I231" i="479"/>
  <c r="J231" i="479" s="1"/>
  <c r="H231" i="479"/>
  <c r="E231" i="479"/>
  <c r="H87" i="479"/>
  <c r="H112" i="479"/>
  <c r="H120" i="479"/>
  <c r="I100" i="489" l="1"/>
  <c r="I131" i="489"/>
  <c r="O131" i="489"/>
  <c r="I99" i="489"/>
  <c r="I116" i="489"/>
  <c r="O128" i="489"/>
  <c r="I106" i="489"/>
  <c r="I108" i="489"/>
  <c r="I124" i="489"/>
  <c r="J155" i="479"/>
  <c r="O129" i="489"/>
  <c r="I129" i="489"/>
  <c r="O126" i="489"/>
  <c r="I126" i="489"/>
  <c r="O134" i="489"/>
  <c r="I134" i="489"/>
  <c r="O130" i="489"/>
  <c r="I130" i="489"/>
  <c r="I132" i="489"/>
  <c r="O132" i="489"/>
  <c r="I127" i="489"/>
  <c r="I135" i="489"/>
  <c r="O133" i="489"/>
  <c r="I119" i="489"/>
  <c r="I111" i="489"/>
  <c r="I89" i="489"/>
  <c r="O101" i="489"/>
  <c r="I101" i="489"/>
  <c r="I121" i="489"/>
  <c r="O121" i="489"/>
  <c r="I105" i="489"/>
  <c r="O105" i="489"/>
  <c r="I115" i="489"/>
  <c r="O115" i="489"/>
  <c r="O125" i="489"/>
  <c r="I125" i="489"/>
  <c r="I123" i="489"/>
  <c r="O123" i="489"/>
  <c r="O103" i="489"/>
  <c r="I103" i="489"/>
  <c r="I113" i="489"/>
  <c r="O113" i="489"/>
  <c r="I107" i="489"/>
  <c r="O107" i="489"/>
  <c r="O117" i="489"/>
  <c r="I117" i="489"/>
  <c r="I122" i="489"/>
  <c r="O122" i="489"/>
  <c r="O109" i="489"/>
  <c r="I109" i="489"/>
  <c r="I114" i="489"/>
  <c r="O114" i="489"/>
  <c r="I102" i="489"/>
  <c r="I110" i="489"/>
  <c r="I118" i="489"/>
  <c r="I104" i="489"/>
  <c r="I112" i="489"/>
  <c r="I120" i="489"/>
  <c r="O89" i="489"/>
  <c r="O98" i="489"/>
  <c r="I91" i="489"/>
  <c r="O91" i="489"/>
  <c r="I95" i="489"/>
  <c r="O95" i="489"/>
  <c r="O97" i="489"/>
  <c r="I97" i="489"/>
  <c r="O88" i="489"/>
  <c r="I88" i="489"/>
  <c r="I93" i="489"/>
  <c r="O93" i="489"/>
  <c r="O92" i="489"/>
  <c r="I92" i="489"/>
  <c r="O96" i="489"/>
  <c r="I96" i="489"/>
  <c r="I94" i="489"/>
  <c r="I90" i="489"/>
  <c r="O503" i="489"/>
  <c r="O509" i="489"/>
  <c r="O510" i="489"/>
  <c r="O511" i="489"/>
  <c r="O512" i="489"/>
  <c r="J233" i="479"/>
  <c r="Z13" i="238"/>
  <c r="Z17" i="238"/>
  <c r="Z26" i="238"/>
  <c r="AJ17" i="238"/>
  <c r="AJ18" i="237"/>
  <c r="G251" i="479" l="1"/>
  <c r="I251" i="479" s="1"/>
  <c r="G140" i="479"/>
  <c r="I140" i="479" s="1"/>
  <c r="E140" i="479"/>
  <c r="G261" i="479"/>
  <c r="I261" i="479" s="1"/>
  <c r="G189" i="479"/>
  <c r="I189" i="479" s="1"/>
  <c r="E189" i="479"/>
  <c r="J140" i="479" l="1"/>
  <c r="H140" i="479"/>
  <c r="H189" i="479"/>
  <c r="H153" i="479"/>
  <c r="E153" i="479"/>
  <c r="J153" i="479" l="1"/>
  <c r="I188" i="479"/>
  <c r="H188" i="479"/>
  <c r="E188" i="479"/>
  <c r="J175" i="479"/>
  <c r="H175" i="479"/>
  <c r="E175" i="479"/>
  <c r="G21" i="479"/>
  <c r="L190" i="489"/>
  <c r="R190" i="489" s="1"/>
  <c r="K190" i="489"/>
  <c r="J190" i="489"/>
  <c r="G190" i="489" s="1"/>
  <c r="L189" i="489"/>
  <c r="R189" i="489" s="1"/>
  <c r="K189" i="489"/>
  <c r="J189" i="489"/>
  <c r="G189" i="489" s="1"/>
  <c r="O189" i="489" s="1"/>
  <c r="L188" i="489"/>
  <c r="R188" i="489" s="1"/>
  <c r="K188" i="489"/>
  <c r="J188" i="489"/>
  <c r="G188" i="489"/>
  <c r="O188" i="489" s="1"/>
  <c r="L187" i="489"/>
  <c r="R187" i="489" s="1"/>
  <c r="K187" i="489"/>
  <c r="J187" i="489"/>
  <c r="G187" i="489" s="1"/>
  <c r="O187" i="489" s="1"/>
  <c r="L186" i="489"/>
  <c r="R186" i="489" s="1"/>
  <c r="K186" i="489"/>
  <c r="J186" i="489"/>
  <c r="G186" i="489" s="1"/>
  <c r="O186" i="489" s="1"/>
  <c r="L185" i="489"/>
  <c r="R185" i="489" s="1"/>
  <c r="K185" i="489"/>
  <c r="J185" i="489"/>
  <c r="G185" i="489" s="1"/>
  <c r="O185" i="489" s="1"/>
  <c r="R184" i="489"/>
  <c r="N184" i="489"/>
  <c r="L184" i="489"/>
  <c r="K184" i="489"/>
  <c r="J184" i="489"/>
  <c r="G184" i="489" s="1"/>
  <c r="O184" i="489" s="1"/>
  <c r="R183" i="489"/>
  <c r="L183" i="489"/>
  <c r="K183" i="489"/>
  <c r="J183" i="489"/>
  <c r="G183" i="489" s="1"/>
  <c r="O183" i="489" s="1"/>
  <c r="R182" i="489"/>
  <c r="L182" i="489"/>
  <c r="K182" i="489"/>
  <c r="J182" i="489"/>
  <c r="G182" i="489" s="1"/>
  <c r="O182" i="489" s="1"/>
  <c r="R181" i="489"/>
  <c r="L181" i="489"/>
  <c r="K181" i="489"/>
  <c r="J181" i="489"/>
  <c r="G181" i="489" s="1"/>
  <c r="O181" i="489" s="1"/>
  <c r="R87" i="489"/>
  <c r="K87" i="489"/>
  <c r="J87" i="489"/>
  <c r="G87" i="489" s="1"/>
  <c r="H87" i="489"/>
  <c r="R86" i="489"/>
  <c r="K86" i="489"/>
  <c r="J86" i="489"/>
  <c r="G86" i="489" s="1"/>
  <c r="H86" i="489"/>
  <c r="R85" i="489"/>
  <c r="K85" i="489"/>
  <c r="J85" i="489"/>
  <c r="G85" i="489" s="1"/>
  <c r="H85" i="489"/>
  <c r="R84" i="489"/>
  <c r="K84" i="489"/>
  <c r="J84" i="489"/>
  <c r="G84" i="489" s="1"/>
  <c r="O84" i="489" s="1"/>
  <c r="H84" i="489"/>
  <c r="R83" i="489"/>
  <c r="K83" i="489"/>
  <c r="J83" i="489"/>
  <c r="G83" i="489" s="1"/>
  <c r="H83" i="489"/>
  <c r="R82" i="489"/>
  <c r="K82" i="489"/>
  <c r="J82" i="489"/>
  <c r="G82" i="489" s="1"/>
  <c r="O82" i="489" s="1"/>
  <c r="H82" i="489"/>
  <c r="R81" i="489"/>
  <c r="K81" i="489"/>
  <c r="J81" i="489"/>
  <c r="G81" i="489" s="1"/>
  <c r="O81" i="489" s="1"/>
  <c r="H81" i="489"/>
  <c r="R80" i="489"/>
  <c r="K80" i="489"/>
  <c r="J80" i="489"/>
  <c r="G80" i="489" s="1"/>
  <c r="H80" i="489"/>
  <c r="R79" i="489"/>
  <c r="K79" i="489"/>
  <c r="J79" i="489"/>
  <c r="G79" i="489" s="1"/>
  <c r="H79" i="489"/>
  <c r="L78" i="489"/>
  <c r="R78" i="489" s="1"/>
  <c r="K78" i="489"/>
  <c r="J78" i="489"/>
  <c r="G78" i="489" s="1"/>
  <c r="H78" i="489"/>
  <c r="L77" i="489"/>
  <c r="R77" i="489" s="1"/>
  <c r="K77" i="489"/>
  <c r="J77" i="489"/>
  <c r="G77" i="489" s="1"/>
  <c r="H77" i="489"/>
  <c r="R76" i="489"/>
  <c r="L76" i="489"/>
  <c r="K76" i="489"/>
  <c r="J76" i="489"/>
  <c r="G76" i="489" s="1"/>
  <c r="O76" i="489" s="1"/>
  <c r="H76" i="489"/>
  <c r="L75" i="489"/>
  <c r="R75" i="489" s="1"/>
  <c r="K75" i="489"/>
  <c r="J75" i="489"/>
  <c r="G75" i="489" s="1"/>
  <c r="H75" i="489"/>
  <c r="L74" i="489"/>
  <c r="R74" i="489" s="1"/>
  <c r="K74" i="489"/>
  <c r="J74" i="489"/>
  <c r="G74" i="489" s="1"/>
  <c r="H74" i="489"/>
  <c r="L73" i="489"/>
  <c r="R73" i="489" s="1"/>
  <c r="K73" i="489"/>
  <c r="J73" i="489"/>
  <c r="G73" i="489" s="1"/>
  <c r="H73" i="489"/>
  <c r="L72" i="489"/>
  <c r="K72" i="489"/>
  <c r="J72" i="489"/>
  <c r="G72" i="489" s="1"/>
  <c r="H72" i="489"/>
  <c r="R71" i="489"/>
  <c r="L71" i="489"/>
  <c r="K71" i="489"/>
  <c r="J71" i="489"/>
  <c r="G71" i="489" s="1"/>
  <c r="H71" i="489"/>
  <c r="L70" i="489"/>
  <c r="R70" i="489" s="1"/>
  <c r="K70" i="489"/>
  <c r="J70" i="489"/>
  <c r="G70" i="489" s="1"/>
  <c r="H70" i="489"/>
  <c r="L69" i="489"/>
  <c r="R69" i="489" s="1"/>
  <c r="K69" i="489"/>
  <c r="J69" i="489"/>
  <c r="G69" i="489" s="1"/>
  <c r="H69" i="489"/>
  <c r="L68" i="489"/>
  <c r="K68" i="489"/>
  <c r="J68" i="489"/>
  <c r="G68" i="489" s="1"/>
  <c r="I68" i="489" s="1"/>
  <c r="H68" i="489"/>
  <c r="R67" i="489"/>
  <c r="L67" i="489"/>
  <c r="K67" i="489"/>
  <c r="J67" i="489"/>
  <c r="G67" i="489" s="1"/>
  <c r="H67" i="489"/>
  <c r="L66" i="489"/>
  <c r="R66" i="489" s="1"/>
  <c r="K66" i="489"/>
  <c r="J66" i="489"/>
  <c r="G66" i="489" s="1"/>
  <c r="H66" i="489"/>
  <c r="L65" i="489"/>
  <c r="R65" i="489" s="1"/>
  <c r="K65" i="489"/>
  <c r="J65" i="489"/>
  <c r="H65" i="489"/>
  <c r="G65" i="489"/>
  <c r="I65" i="489" s="1"/>
  <c r="R180" i="489"/>
  <c r="K180" i="489"/>
  <c r="J180" i="489"/>
  <c r="G180" i="489" s="1"/>
  <c r="O180" i="489" s="1"/>
  <c r="R179" i="489"/>
  <c r="K179" i="489"/>
  <c r="J179" i="489"/>
  <c r="G179" i="489"/>
  <c r="O179" i="489" s="1"/>
  <c r="R178" i="489"/>
  <c r="K178" i="489"/>
  <c r="J178" i="489"/>
  <c r="G178" i="489"/>
  <c r="O178" i="489" s="1"/>
  <c r="R177" i="489"/>
  <c r="K177" i="489"/>
  <c r="J177" i="489"/>
  <c r="G177" i="489"/>
  <c r="O177" i="489" s="1"/>
  <c r="R64" i="489"/>
  <c r="K64" i="489"/>
  <c r="J64" i="489"/>
  <c r="G64" i="489" s="1"/>
  <c r="H64" i="489"/>
  <c r="R63" i="489"/>
  <c r="K63" i="489"/>
  <c r="J63" i="489"/>
  <c r="G63" i="489" s="1"/>
  <c r="O63" i="489" s="1"/>
  <c r="H63" i="489"/>
  <c r="R62" i="489"/>
  <c r="K62" i="489"/>
  <c r="J62" i="489"/>
  <c r="G62" i="489" s="1"/>
  <c r="H62" i="489"/>
  <c r="R61" i="489"/>
  <c r="K61" i="489"/>
  <c r="J61" i="489"/>
  <c r="G61" i="489" s="1"/>
  <c r="H61" i="489"/>
  <c r="R60" i="489"/>
  <c r="K60" i="489"/>
  <c r="J60" i="489"/>
  <c r="G60" i="489" s="1"/>
  <c r="H60" i="489"/>
  <c r="R59" i="489"/>
  <c r="K59" i="489"/>
  <c r="J59" i="489"/>
  <c r="G59" i="489" s="1"/>
  <c r="H59" i="489"/>
  <c r="R58" i="489"/>
  <c r="K58" i="489"/>
  <c r="J58" i="489"/>
  <c r="G58" i="489" s="1"/>
  <c r="H58" i="489"/>
  <c r="R57" i="489"/>
  <c r="K57" i="489"/>
  <c r="J57" i="489"/>
  <c r="G57" i="489" s="1"/>
  <c r="H57" i="489"/>
  <c r="R56" i="489"/>
  <c r="K56" i="489"/>
  <c r="J56" i="489"/>
  <c r="G56" i="489" s="1"/>
  <c r="H56" i="489"/>
  <c r="R55" i="489"/>
  <c r="K55" i="489"/>
  <c r="J55" i="489"/>
  <c r="H55" i="489"/>
  <c r="G55" i="489"/>
  <c r="O55" i="489" s="1"/>
  <c r="I223" i="479"/>
  <c r="J223" i="479" s="1"/>
  <c r="H223" i="479"/>
  <c r="E223" i="479"/>
  <c r="I229" i="479"/>
  <c r="H229" i="479"/>
  <c r="E229" i="479"/>
  <c r="I72" i="489" l="1"/>
  <c r="I59" i="489"/>
  <c r="I71" i="489"/>
  <c r="I73" i="489"/>
  <c r="I83" i="489"/>
  <c r="O72" i="489"/>
  <c r="I76" i="489"/>
  <c r="O68" i="489"/>
  <c r="I81" i="489"/>
  <c r="H21" i="479"/>
  <c r="I67" i="489"/>
  <c r="I69" i="489"/>
  <c r="I77" i="489"/>
  <c r="O190" i="489"/>
  <c r="I84" i="489"/>
  <c r="O79" i="489"/>
  <c r="I79" i="489"/>
  <c r="O71" i="489"/>
  <c r="O86" i="489"/>
  <c r="I86" i="489"/>
  <c r="I66" i="489"/>
  <c r="O66" i="489"/>
  <c r="I70" i="489"/>
  <c r="O70" i="489"/>
  <c r="O75" i="489"/>
  <c r="I75" i="489"/>
  <c r="I78" i="489"/>
  <c r="O78" i="489"/>
  <c r="O80" i="489"/>
  <c r="I80" i="489"/>
  <c r="I74" i="489"/>
  <c r="O74" i="489"/>
  <c r="I85" i="489"/>
  <c r="O85" i="489"/>
  <c r="O87" i="489"/>
  <c r="I87" i="489"/>
  <c r="O67" i="489"/>
  <c r="R68" i="489"/>
  <c r="R72" i="489"/>
  <c r="O65" i="489"/>
  <c r="O69" i="489"/>
  <c r="O73" i="489"/>
  <c r="O77" i="489"/>
  <c r="O83" i="489"/>
  <c r="I82" i="489"/>
  <c r="O64" i="489"/>
  <c r="I64" i="489"/>
  <c r="O57" i="489"/>
  <c r="I57" i="489"/>
  <c r="O56" i="489"/>
  <c r="I56" i="489"/>
  <c r="I61" i="489"/>
  <c r="O61" i="489"/>
  <c r="I58" i="489"/>
  <c r="O58" i="489"/>
  <c r="I60" i="489"/>
  <c r="O60" i="489"/>
  <c r="O62" i="489"/>
  <c r="I62" i="489"/>
  <c r="O59" i="489"/>
  <c r="I55" i="489"/>
  <c r="I63" i="489"/>
  <c r="J229" i="479"/>
  <c r="D23" i="491" l="1"/>
  <c r="C23" i="491"/>
  <c r="D16" i="491" l="1"/>
  <c r="O179" i="479" l="1"/>
  <c r="O264" i="479"/>
  <c r="AJ26" i="237" l="1"/>
  <c r="AJ26" i="238"/>
  <c r="W26" i="238" l="1"/>
  <c r="AJ13" i="238"/>
  <c r="AJ13" i="237"/>
  <c r="H43" i="479" l="1"/>
  <c r="H58" i="479"/>
  <c r="H20" i="479"/>
  <c r="H19" i="479"/>
  <c r="H31" i="479"/>
  <c r="H29" i="479"/>
  <c r="I250" i="479"/>
  <c r="E250" i="479"/>
  <c r="J151" i="479"/>
  <c r="H151" i="479"/>
  <c r="E151" i="479"/>
  <c r="G269" i="479"/>
  <c r="O200" i="479"/>
  <c r="J195" i="479"/>
  <c r="H195" i="479"/>
  <c r="E195" i="479"/>
  <c r="I266" i="479"/>
  <c r="I269" i="479" s="1"/>
  <c r="H266" i="479"/>
  <c r="H269" i="479" s="1"/>
  <c r="E266" i="479"/>
  <c r="I221" i="479"/>
  <c r="H221" i="479"/>
  <c r="E221" i="479"/>
  <c r="J250" i="479" l="1"/>
  <c r="H250" i="479"/>
  <c r="J266" i="479"/>
  <c r="J221" i="479"/>
  <c r="G187" i="479" l="1"/>
  <c r="I187" i="479" s="1"/>
  <c r="E187" i="479"/>
  <c r="H187" i="479" l="1"/>
  <c r="G249" i="479"/>
  <c r="G139" i="479"/>
  <c r="I139" i="479" s="1"/>
  <c r="E139" i="479"/>
  <c r="R54" i="489"/>
  <c r="K54" i="489"/>
  <c r="J54" i="489"/>
  <c r="H54" i="489"/>
  <c r="G54" i="489"/>
  <c r="O54" i="489" s="1"/>
  <c r="R53" i="489"/>
  <c r="K53" i="489"/>
  <c r="J53" i="489"/>
  <c r="G53" i="489" s="1"/>
  <c r="H53" i="489"/>
  <c r="R52" i="489"/>
  <c r="K52" i="489"/>
  <c r="J52" i="489"/>
  <c r="G52" i="489" s="1"/>
  <c r="H52" i="489"/>
  <c r="L51" i="489"/>
  <c r="R51" i="489" s="1"/>
  <c r="K51" i="489"/>
  <c r="J51" i="489"/>
  <c r="H51" i="489"/>
  <c r="G51" i="489"/>
  <c r="I51" i="489" s="1"/>
  <c r="R176" i="489"/>
  <c r="K176" i="489"/>
  <c r="G176" i="489"/>
  <c r="O176" i="489" s="1"/>
  <c r="R175" i="489"/>
  <c r="K175" i="489"/>
  <c r="J175" i="489"/>
  <c r="G175" i="489"/>
  <c r="O175" i="489" s="1"/>
  <c r="R50" i="489"/>
  <c r="K50" i="489"/>
  <c r="J50" i="489"/>
  <c r="G50" i="489" s="1"/>
  <c r="O50" i="489" s="1"/>
  <c r="H50" i="489"/>
  <c r="R49" i="489"/>
  <c r="K49" i="489"/>
  <c r="J49" i="489"/>
  <c r="G49" i="489" s="1"/>
  <c r="O49" i="489" s="1"/>
  <c r="H49" i="489"/>
  <c r="R48" i="489"/>
  <c r="K48" i="489"/>
  <c r="J48" i="489"/>
  <c r="G48" i="489" s="1"/>
  <c r="H48" i="489"/>
  <c r="R47" i="489"/>
  <c r="K47" i="489"/>
  <c r="J47" i="489"/>
  <c r="G47" i="489" s="1"/>
  <c r="H47" i="489"/>
  <c r="R46" i="489"/>
  <c r="K46" i="489"/>
  <c r="H46" i="489"/>
  <c r="G46" i="489"/>
  <c r="R45" i="489"/>
  <c r="K45" i="489"/>
  <c r="H45" i="489"/>
  <c r="G45" i="489"/>
  <c r="O45" i="489" s="1"/>
  <c r="J139" i="479" l="1"/>
  <c r="H139" i="479"/>
  <c r="O53" i="489"/>
  <c r="I53" i="489"/>
  <c r="I52" i="489"/>
  <c r="O52" i="489"/>
  <c r="O51" i="489"/>
  <c r="I54" i="489"/>
  <c r="I46" i="489"/>
  <c r="O46" i="489"/>
  <c r="I45" i="489"/>
  <c r="I47" i="489"/>
  <c r="O47" i="489"/>
  <c r="O48" i="489"/>
  <c r="I48" i="489"/>
  <c r="I49" i="489"/>
  <c r="I50" i="489"/>
  <c r="G215" i="479" l="1"/>
  <c r="G217" i="479"/>
  <c r="G213" i="479"/>
  <c r="G219" i="479"/>
  <c r="H149" i="479"/>
  <c r="E149" i="479"/>
  <c r="I186" i="479"/>
  <c r="H186" i="479"/>
  <c r="E186" i="479"/>
  <c r="J173" i="479"/>
  <c r="H173" i="479"/>
  <c r="E173" i="479"/>
  <c r="G171" i="479"/>
  <c r="H171" i="479" s="1"/>
  <c r="E171" i="479"/>
  <c r="G169" i="479"/>
  <c r="J169" i="479" s="1"/>
  <c r="E169" i="479"/>
  <c r="G167" i="479"/>
  <c r="E167" i="479"/>
  <c r="H56" i="479"/>
  <c r="H54" i="479"/>
  <c r="H52" i="479"/>
  <c r="H42" i="479"/>
  <c r="H18" i="479"/>
  <c r="R174" i="489"/>
  <c r="K174" i="489"/>
  <c r="J174" i="489"/>
  <c r="G174" i="489" s="1"/>
  <c r="O174" i="489" s="1"/>
  <c r="R173" i="489"/>
  <c r="K173" i="489"/>
  <c r="J173" i="489"/>
  <c r="G173" i="489" s="1"/>
  <c r="O173" i="489" s="1"/>
  <c r="R172" i="489"/>
  <c r="K172" i="489"/>
  <c r="J172" i="489"/>
  <c r="G172" i="489"/>
  <c r="O172" i="489" s="1"/>
  <c r="L171" i="489"/>
  <c r="K171" i="489"/>
  <c r="J171" i="489"/>
  <c r="G171" i="489" s="1"/>
  <c r="L170" i="489"/>
  <c r="R170" i="489" s="1"/>
  <c r="K170" i="489"/>
  <c r="J170" i="489"/>
  <c r="G170" i="489" s="1"/>
  <c r="R169" i="489"/>
  <c r="K169" i="489"/>
  <c r="J169" i="489"/>
  <c r="G169" i="489"/>
  <c r="O169" i="489" s="1"/>
  <c r="R168" i="489"/>
  <c r="K168" i="489"/>
  <c r="J168" i="489"/>
  <c r="G168" i="489" s="1"/>
  <c r="O168" i="489" s="1"/>
  <c r="R44" i="489"/>
  <c r="K44" i="489"/>
  <c r="J44" i="489"/>
  <c r="G44" i="489" s="1"/>
  <c r="H44" i="489"/>
  <c r="R43" i="489"/>
  <c r="K43" i="489"/>
  <c r="J43" i="489"/>
  <c r="G43" i="489" s="1"/>
  <c r="H43" i="489"/>
  <c r="R42" i="489"/>
  <c r="K42" i="489"/>
  <c r="J42" i="489"/>
  <c r="G42" i="489" s="1"/>
  <c r="H42" i="489"/>
  <c r="R41" i="489"/>
  <c r="K41" i="489"/>
  <c r="J41" i="489"/>
  <c r="G41" i="489" s="1"/>
  <c r="O41" i="489" s="1"/>
  <c r="H41" i="489"/>
  <c r="R40" i="489"/>
  <c r="K40" i="489"/>
  <c r="H40" i="489"/>
  <c r="G40" i="489"/>
  <c r="O40" i="489" s="1"/>
  <c r="R39" i="489"/>
  <c r="K39" i="489"/>
  <c r="H39" i="489"/>
  <c r="G39" i="489"/>
  <c r="O39" i="489" s="1"/>
  <c r="R38" i="489"/>
  <c r="K38" i="489"/>
  <c r="H38" i="489"/>
  <c r="G38" i="489"/>
  <c r="O38" i="489" s="1"/>
  <c r="R37" i="489"/>
  <c r="K37" i="489"/>
  <c r="H37" i="489"/>
  <c r="G37" i="489"/>
  <c r="O37" i="489" s="1"/>
  <c r="R36" i="489"/>
  <c r="K36" i="489"/>
  <c r="H36" i="489"/>
  <c r="G36" i="489"/>
  <c r="O36" i="489" s="1"/>
  <c r="R35" i="489"/>
  <c r="K35" i="489"/>
  <c r="H35" i="489"/>
  <c r="G35" i="489"/>
  <c r="O35" i="489" s="1"/>
  <c r="R34" i="489"/>
  <c r="K34" i="489"/>
  <c r="H34" i="489"/>
  <c r="G34" i="489"/>
  <c r="O34" i="489" s="1"/>
  <c r="R33" i="489"/>
  <c r="K33" i="489"/>
  <c r="H33" i="489"/>
  <c r="G33" i="489"/>
  <c r="O33" i="489" s="1"/>
  <c r="L32" i="489"/>
  <c r="K32" i="489"/>
  <c r="H32" i="489"/>
  <c r="G32" i="489"/>
  <c r="L31" i="489"/>
  <c r="K31" i="489"/>
  <c r="H31" i="489"/>
  <c r="G31" i="489"/>
  <c r="L30" i="489"/>
  <c r="R30" i="489" s="1"/>
  <c r="K30" i="489"/>
  <c r="H30" i="489"/>
  <c r="G30" i="489"/>
  <c r="L29" i="489"/>
  <c r="R29" i="489" s="1"/>
  <c r="K29" i="489"/>
  <c r="H29" i="489"/>
  <c r="G29" i="489"/>
  <c r="R28" i="489"/>
  <c r="L28" i="489"/>
  <c r="K28" i="489"/>
  <c r="H28" i="489"/>
  <c r="G28" i="489"/>
  <c r="O28" i="489" s="1"/>
  <c r="L27" i="489"/>
  <c r="R27" i="489" s="1"/>
  <c r="K27" i="489"/>
  <c r="J27" i="489"/>
  <c r="G27" i="489" s="1"/>
  <c r="H27" i="489"/>
  <c r="L26" i="489"/>
  <c r="R26" i="489" s="1"/>
  <c r="K26" i="489"/>
  <c r="J26" i="489"/>
  <c r="G26" i="489" s="1"/>
  <c r="H26" i="489"/>
  <c r="L25" i="489"/>
  <c r="K25" i="489"/>
  <c r="J25" i="489"/>
  <c r="G25" i="489" s="1"/>
  <c r="H25" i="489"/>
  <c r="L24" i="489"/>
  <c r="R24" i="489" s="1"/>
  <c r="K24" i="489"/>
  <c r="J24" i="489"/>
  <c r="G24" i="489" s="1"/>
  <c r="H24" i="489"/>
  <c r="L23" i="489"/>
  <c r="R23" i="489" s="1"/>
  <c r="K23" i="489"/>
  <c r="J23" i="489"/>
  <c r="G23" i="489" s="1"/>
  <c r="H23" i="489"/>
  <c r="L22" i="489"/>
  <c r="R22" i="489" s="1"/>
  <c r="K22" i="489"/>
  <c r="J22" i="489"/>
  <c r="G22" i="489" s="1"/>
  <c r="H22" i="489"/>
  <c r="R21" i="489"/>
  <c r="K21" i="489"/>
  <c r="H21" i="489"/>
  <c r="G21" i="489"/>
  <c r="O21" i="489" s="1"/>
  <c r="R167" i="489"/>
  <c r="K167" i="489"/>
  <c r="J167" i="489"/>
  <c r="G167" i="489" s="1"/>
  <c r="O167" i="489" s="1"/>
  <c r="R166" i="489"/>
  <c r="K166" i="489"/>
  <c r="J166" i="489"/>
  <c r="G166" i="489" s="1"/>
  <c r="O166" i="489" s="1"/>
  <c r="R165" i="489"/>
  <c r="K165" i="489"/>
  <c r="J165" i="489"/>
  <c r="G165" i="489" s="1"/>
  <c r="O165" i="489" s="1"/>
  <c r="R164" i="489"/>
  <c r="K164" i="489"/>
  <c r="J164" i="489"/>
  <c r="G164" i="489" s="1"/>
  <c r="O164" i="489" s="1"/>
  <c r="R20" i="489"/>
  <c r="K20" i="489"/>
  <c r="J20" i="489"/>
  <c r="G20" i="489" s="1"/>
  <c r="H20" i="489"/>
  <c r="R19" i="489"/>
  <c r="K19" i="489"/>
  <c r="J19" i="489"/>
  <c r="H19" i="489"/>
  <c r="G19" i="489"/>
  <c r="R18" i="489"/>
  <c r="K18" i="489"/>
  <c r="J18" i="489"/>
  <c r="G18" i="489" s="1"/>
  <c r="H18" i="489"/>
  <c r="R17" i="489"/>
  <c r="K17" i="489"/>
  <c r="J17" i="489"/>
  <c r="G17" i="489" s="1"/>
  <c r="H17" i="489"/>
  <c r="R16" i="489"/>
  <c r="K16" i="489"/>
  <c r="J16" i="489"/>
  <c r="G16" i="489" s="1"/>
  <c r="H16" i="489"/>
  <c r="R15" i="489"/>
  <c r="K15" i="489"/>
  <c r="J15" i="489"/>
  <c r="G15" i="489" s="1"/>
  <c r="H15" i="489"/>
  <c r="T531" i="489"/>
  <c r="R531" i="489"/>
  <c r="K531" i="489"/>
  <c r="J531" i="489"/>
  <c r="G531" i="489"/>
  <c r="O531" i="489" s="1"/>
  <c r="R530" i="489"/>
  <c r="K530" i="489"/>
  <c r="J530" i="489"/>
  <c r="G530" i="489" s="1"/>
  <c r="O530" i="489" s="1"/>
  <c r="L529" i="489"/>
  <c r="R529" i="489" s="1"/>
  <c r="K529" i="489"/>
  <c r="J529" i="489"/>
  <c r="G529" i="489"/>
  <c r="L528" i="489"/>
  <c r="R528" i="489" s="1"/>
  <c r="K528" i="489"/>
  <c r="J528" i="489"/>
  <c r="G528" i="489"/>
  <c r="L527" i="489"/>
  <c r="R527" i="489" s="1"/>
  <c r="K527" i="489"/>
  <c r="J527" i="489"/>
  <c r="G527" i="489"/>
  <c r="L526" i="489"/>
  <c r="R526" i="489" s="1"/>
  <c r="K526" i="489"/>
  <c r="J526" i="489"/>
  <c r="G526" i="489" s="1"/>
  <c r="R525" i="489"/>
  <c r="K525" i="489"/>
  <c r="J525" i="489"/>
  <c r="G525" i="489"/>
  <c r="O525" i="489" s="1"/>
  <c r="R524" i="489"/>
  <c r="K524" i="489"/>
  <c r="J524" i="489"/>
  <c r="G524" i="489" s="1"/>
  <c r="O524" i="489" s="1"/>
  <c r="R523" i="489"/>
  <c r="K523" i="489"/>
  <c r="J523" i="489"/>
  <c r="G523" i="489"/>
  <c r="O523" i="489" s="1"/>
  <c r="R522" i="489"/>
  <c r="K522" i="489"/>
  <c r="J522" i="489"/>
  <c r="G522" i="489" s="1"/>
  <c r="O522" i="489" s="1"/>
  <c r="R521" i="489"/>
  <c r="K521" i="489"/>
  <c r="J521" i="489"/>
  <c r="G521" i="489" s="1"/>
  <c r="O521" i="489" s="1"/>
  <c r="L520" i="489"/>
  <c r="R520" i="489" s="1"/>
  <c r="K520" i="489"/>
  <c r="J520" i="489"/>
  <c r="G520" i="489" s="1"/>
  <c r="T502" i="489"/>
  <c r="R502" i="489"/>
  <c r="K502" i="489"/>
  <c r="J502" i="489"/>
  <c r="G502" i="489" s="1"/>
  <c r="O502" i="489" s="1"/>
  <c r="R501" i="489"/>
  <c r="K501" i="489"/>
  <c r="J501" i="489"/>
  <c r="G501" i="489" s="1"/>
  <c r="O501" i="489" s="1"/>
  <c r="L500" i="489"/>
  <c r="R500" i="489" s="1"/>
  <c r="K500" i="489"/>
  <c r="J500" i="489"/>
  <c r="G500" i="489" s="1"/>
  <c r="O500" i="489" s="1"/>
  <c r="L499" i="489"/>
  <c r="R499" i="489" s="1"/>
  <c r="K499" i="489"/>
  <c r="J499" i="489"/>
  <c r="G499" i="489" s="1"/>
  <c r="L498" i="489"/>
  <c r="R498" i="489" s="1"/>
  <c r="K498" i="489"/>
  <c r="J498" i="489"/>
  <c r="G498" i="489"/>
  <c r="L497" i="489"/>
  <c r="R497" i="489" s="1"/>
  <c r="K497" i="489"/>
  <c r="J497" i="489"/>
  <c r="G497" i="489" s="1"/>
  <c r="R496" i="489"/>
  <c r="K496" i="489"/>
  <c r="J496" i="489"/>
  <c r="G496" i="489" s="1"/>
  <c r="O496" i="489" s="1"/>
  <c r="R495" i="489"/>
  <c r="K495" i="489"/>
  <c r="J495" i="489"/>
  <c r="G495" i="489" s="1"/>
  <c r="O495" i="489" s="1"/>
  <c r="R494" i="489"/>
  <c r="K494" i="489"/>
  <c r="J494" i="489"/>
  <c r="G494" i="489" s="1"/>
  <c r="O494" i="489" s="1"/>
  <c r="R493" i="489"/>
  <c r="K493" i="489"/>
  <c r="J493" i="489"/>
  <c r="G493" i="489"/>
  <c r="O493" i="489" s="1"/>
  <c r="R492" i="489"/>
  <c r="K492" i="489"/>
  <c r="J492" i="489"/>
  <c r="G492" i="489" s="1"/>
  <c r="O492" i="489" s="1"/>
  <c r="L491" i="489"/>
  <c r="R491" i="489" s="1"/>
  <c r="K491" i="489"/>
  <c r="J491" i="489"/>
  <c r="G491" i="489" s="1"/>
  <c r="G226" i="479" l="1"/>
  <c r="I30" i="489"/>
  <c r="I25" i="489"/>
  <c r="H169" i="479"/>
  <c r="O171" i="489"/>
  <c r="I33" i="489"/>
  <c r="R171" i="489"/>
  <c r="I38" i="489"/>
  <c r="O29" i="489"/>
  <c r="O32" i="489"/>
  <c r="R32" i="489"/>
  <c r="O497" i="489"/>
  <c r="L545" i="489"/>
  <c r="I27" i="489"/>
  <c r="I41" i="489"/>
  <c r="O170" i="489"/>
  <c r="I31" i="489"/>
  <c r="I40" i="489"/>
  <c r="I37" i="489"/>
  <c r="I36" i="489"/>
  <c r="O31" i="489"/>
  <c r="O25" i="489"/>
  <c r="I32" i="489"/>
  <c r="I35" i="489"/>
  <c r="I29" i="489"/>
  <c r="I42" i="489"/>
  <c r="I21" i="489"/>
  <c r="I34" i="489"/>
  <c r="I28" i="489"/>
  <c r="I39" i="489"/>
  <c r="J149" i="479"/>
  <c r="J167" i="479"/>
  <c r="J171" i="479"/>
  <c r="H167" i="479"/>
  <c r="I19" i="489"/>
  <c r="I23" i="489"/>
  <c r="I26" i="489"/>
  <c r="O26" i="489"/>
  <c r="O22" i="489"/>
  <c r="I22" i="489"/>
  <c r="O44" i="489"/>
  <c r="I44" i="489"/>
  <c r="O43" i="489"/>
  <c r="I43" i="489"/>
  <c r="I24" i="489"/>
  <c r="O24" i="489"/>
  <c r="R25" i="489"/>
  <c r="R31" i="489"/>
  <c r="O42" i="489"/>
  <c r="O23" i="489"/>
  <c r="O27" i="489"/>
  <c r="O30" i="489"/>
  <c r="O15" i="489"/>
  <c r="I15" i="489"/>
  <c r="I17" i="489"/>
  <c r="O17" i="489"/>
  <c r="I16" i="489"/>
  <c r="O16" i="489"/>
  <c r="O20" i="489"/>
  <c r="I20" i="489"/>
  <c r="I18" i="489"/>
  <c r="O18" i="489"/>
  <c r="O19" i="489"/>
  <c r="O499" i="489"/>
  <c r="O498" i="489"/>
  <c r="O520" i="489"/>
  <c r="O526" i="489"/>
  <c r="O527" i="489"/>
  <c r="O528" i="489"/>
  <c r="O529" i="489"/>
  <c r="O491" i="489"/>
  <c r="G246" i="479" l="1"/>
  <c r="G138" i="479"/>
  <c r="E138" i="479"/>
  <c r="H138" i="479" l="1"/>
  <c r="G144" i="479"/>
  <c r="I138" i="479"/>
  <c r="J138" i="479" l="1"/>
  <c r="I185" i="479"/>
  <c r="H185" i="479"/>
  <c r="E185" i="479"/>
  <c r="H147" i="479"/>
  <c r="E147" i="479"/>
  <c r="G165" i="479"/>
  <c r="E165" i="479"/>
  <c r="G10" i="479"/>
  <c r="P9" i="479"/>
  <c r="G8" i="479"/>
  <c r="H17" i="479"/>
  <c r="R163" i="489"/>
  <c r="K163" i="489"/>
  <c r="J163" i="489"/>
  <c r="G163" i="489" s="1"/>
  <c r="O163" i="489" s="1"/>
  <c r="R162" i="489"/>
  <c r="K162" i="489"/>
  <c r="J162" i="489"/>
  <c r="G162" i="489" s="1"/>
  <c r="O162" i="489" s="1"/>
  <c r="R161" i="489"/>
  <c r="K161" i="489"/>
  <c r="J161" i="489"/>
  <c r="G161" i="489" s="1"/>
  <c r="O161" i="489" s="1"/>
  <c r="R160" i="489"/>
  <c r="K160" i="489"/>
  <c r="J160" i="489"/>
  <c r="G160" i="489" s="1"/>
  <c r="O160" i="489" s="1"/>
  <c r="R14" i="489"/>
  <c r="K14" i="489"/>
  <c r="J14" i="489"/>
  <c r="G14" i="489" s="1"/>
  <c r="H14" i="489"/>
  <c r="R13" i="489"/>
  <c r="K13" i="489"/>
  <c r="J13" i="489"/>
  <c r="G13" i="489" s="1"/>
  <c r="H13" i="489"/>
  <c r="R12" i="489"/>
  <c r="K12" i="489"/>
  <c r="J12" i="489"/>
  <c r="G12" i="489" s="1"/>
  <c r="H12" i="489"/>
  <c r="R11" i="489"/>
  <c r="K11" i="489"/>
  <c r="J11" i="489"/>
  <c r="G11" i="489" s="1"/>
  <c r="H11" i="489"/>
  <c r="R10" i="489"/>
  <c r="K10" i="489"/>
  <c r="J10" i="489"/>
  <c r="G10" i="489" s="1"/>
  <c r="H10" i="489"/>
  <c r="R9" i="489"/>
  <c r="K9" i="489"/>
  <c r="J9" i="489"/>
  <c r="G9" i="489" s="1"/>
  <c r="O9" i="489" s="1"/>
  <c r="H9" i="489"/>
  <c r="G15" i="367"/>
  <c r="D15" i="367"/>
  <c r="F13" i="367"/>
  <c r="H13" i="367"/>
  <c r="I13" i="367"/>
  <c r="E13" i="367"/>
  <c r="G11" i="367"/>
  <c r="D11" i="367"/>
  <c r="G10" i="367"/>
  <c r="D10" i="367"/>
  <c r="G9" i="367"/>
  <c r="D9" i="367"/>
  <c r="G8" i="367"/>
  <c r="D8" i="367"/>
  <c r="G41" i="479"/>
  <c r="G25" i="479"/>
  <c r="H16" i="479"/>
  <c r="I248" i="479"/>
  <c r="J248" i="479" s="1"/>
  <c r="H248" i="479"/>
  <c r="E248" i="479"/>
  <c r="I247" i="479"/>
  <c r="J247" i="479" s="1"/>
  <c r="H247" i="479"/>
  <c r="E247" i="479"/>
  <c r="J147" i="479" l="1"/>
  <c r="J165" i="479"/>
  <c r="H165" i="479"/>
  <c r="H8" i="479"/>
  <c r="H10" i="479"/>
  <c r="I13" i="489"/>
  <c r="O13" i="489"/>
  <c r="I12" i="489"/>
  <c r="O12" i="489"/>
  <c r="I10" i="489"/>
  <c r="O10" i="489"/>
  <c r="O14" i="489"/>
  <c r="I14" i="489"/>
  <c r="I11" i="489"/>
  <c r="O11" i="489"/>
  <c r="I9" i="489"/>
  <c r="G13" i="367"/>
  <c r="H41" i="479"/>
  <c r="AA12" i="492"/>
  <c r="O269" i="479"/>
  <c r="H85" i="479" l="1"/>
  <c r="J483" i="489" l="1"/>
  <c r="G483" i="489" s="1"/>
  <c r="O483" i="489" s="1"/>
  <c r="R483" i="489"/>
  <c r="K483" i="489"/>
  <c r="J468" i="489"/>
  <c r="G468" i="489" s="1"/>
  <c r="O468" i="489" s="1"/>
  <c r="R468" i="489"/>
  <c r="K468" i="489"/>
  <c r="G260" i="479" l="1"/>
  <c r="G242" i="479"/>
  <c r="G241" i="479"/>
  <c r="L441" i="489" l="1"/>
  <c r="L440" i="489"/>
  <c r="L439" i="489"/>
  <c r="L366" i="489"/>
  <c r="L365" i="489"/>
  <c r="L364" i="489"/>
  <c r="L363" i="489"/>
  <c r="H96" i="479" l="1"/>
  <c r="H83" i="479" l="1"/>
  <c r="I245" i="479" l="1"/>
  <c r="J245" i="479" s="1"/>
  <c r="H245" i="479"/>
  <c r="E245" i="479"/>
  <c r="I244" i="479"/>
  <c r="E244" i="479"/>
  <c r="J244" i="479" l="1"/>
  <c r="H244" i="479"/>
  <c r="G243" i="479"/>
  <c r="J481" i="489" l="1"/>
  <c r="J480" i="489"/>
  <c r="J479" i="489"/>
  <c r="J478" i="489"/>
  <c r="J466" i="489"/>
  <c r="J465" i="489"/>
  <c r="J464" i="489"/>
  <c r="J463" i="489"/>
  <c r="K481" i="489"/>
  <c r="K480" i="489"/>
  <c r="K479" i="489"/>
  <c r="K478" i="489"/>
  <c r="K477" i="489"/>
  <c r="K466" i="489"/>
  <c r="K465" i="489"/>
  <c r="K464" i="489"/>
  <c r="K463" i="489"/>
  <c r="K462" i="489"/>
  <c r="K345" i="489"/>
  <c r="K344" i="489"/>
  <c r="K343" i="489"/>
  <c r="I219" i="479" l="1"/>
  <c r="E219" i="479"/>
  <c r="J219" i="479" l="1"/>
  <c r="H219" i="479"/>
  <c r="R436" i="489"/>
  <c r="K436" i="489"/>
  <c r="J436" i="489"/>
  <c r="G436" i="489" s="1"/>
  <c r="O436" i="489" s="1"/>
  <c r="R435" i="489"/>
  <c r="K435" i="489"/>
  <c r="J435" i="489"/>
  <c r="G435" i="489" s="1"/>
  <c r="O435" i="489" s="1"/>
  <c r="R434" i="489"/>
  <c r="K434" i="489"/>
  <c r="J434" i="489"/>
  <c r="G434" i="489" s="1"/>
  <c r="O434" i="489" s="1"/>
  <c r="J433" i="489"/>
  <c r="G433" i="489" s="1"/>
  <c r="R433" i="489"/>
  <c r="K433" i="489"/>
  <c r="R352" i="489"/>
  <c r="K352" i="489"/>
  <c r="J352" i="489"/>
  <c r="G352" i="489" s="1"/>
  <c r="H352" i="489"/>
  <c r="R351" i="489"/>
  <c r="K351" i="489"/>
  <c r="J351" i="489"/>
  <c r="G351" i="489" s="1"/>
  <c r="O351" i="489" s="1"/>
  <c r="H351" i="489"/>
  <c r="R350" i="489"/>
  <c r="K350" i="489"/>
  <c r="J350" i="489"/>
  <c r="G350" i="489" s="1"/>
  <c r="O350" i="489" s="1"/>
  <c r="H350" i="489"/>
  <c r="R349" i="489"/>
  <c r="K349" i="489"/>
  <c r="J349" i="489"/>
  <c r="G349" i="489" s="1"/>
  <c r="H349" i="489"/>
  <c r="R348" i="489"/>
  <c r="K348" i="489"/>
  <c r="J348" i="489"/>
  <c r="G348" i="489" s="1"/>
  <c r="H348" i="489"/>
  <c r="R347" i="489"/>
  <c r="K347" i="489"/>
  <c r="J347" i="489"/>
  <c r="G347" i="489" s="1"/>
  <c r="H347" i="489"/>
  <c r="J346" i="489"/>
  <c r="G346" i="489" s="1"/>
  <c r="R346" i="489"/>
  <c r="K346" i="489"/>
  <c r="H346" i="489"/>
  <c r="K467" i="489"/>
  <c r="J467" i="489"/>
  <c r="G467" i="489" s="1"/>
  <c r="R467" i="489"/>
  <c r="K482" i="489"/>
  <c r="J482" i="489"/>
  <c r="G482" i="489" s="1"/>
  <c r="O433" i="489" l="1"/>
  <c r="I352" i="489"/>
  <c r="O352" i="489"/>
  <c r="I351" i="489"/>
  <c r="I350" i="489"/>
  <c r="I349" i="489"/>
  <c r="O349" i="489"/>
  <c r="O348" i="489"/>
  <c r="I348" i="489"/>
  <c r="I347" i="489"/>
  <c r="O347" i="489"/>
  <c r="O346" i="489"/>
  <c r="I346" i="489"/>
  <c r="O467" i="489"/>
  <c r="O482" i="489"/>
  <c r="R482" i="489"/>
  <c r="L481" i="489" l="1"/>
  <c r="L480" i="489"/>
  <c r="L479" i="489"/>
  <c r="L478" i="489"/>
  <c r="L466" i="489"/>
  <c r="L465" i="489"/>
  <c r="L464" i="489"/>
  <c r="L463" i="489"/>
  <c r="L293" i="489" l="1"/>
  <c r="J117" i="479" l="1"/>
  <c r="K117" i="479"/>
  <c r="L117" i="479"/>
  <c r="L408" i="489"/>
  <c r="L294" i="489"/>
  <c r="L292" i="489"/>
  <c r="D28" i="491" l="1"/>
  <c r="H110" i="479" l="1"/>
  <c r="R345" i="489" l="1"/>
  <c r="J345" i="489"/>
  <c r="G345" i="489" s="1"/>
  <c r="H345" i="489"/>
  <c r="R344" i="489"/>
  <c r="J344" i="489"/>
  <c r="G344" i="489" s="1"/>
  <c r="O344" i="489" s="1"/>
  <c r="H344" i="489"/>
  <c r="J343" i="489"/>
  <c r="G343" i="489" s="1"/>
  <c r="O343" i="489" s="1"/>
  <c r="R343" i="489"/>
  <c r="H343" i="489"/>
  <c r="I345" i="489" l="1"/>
  <c r="O345" i="489"/>
  <c r="I344" i="489"/>
  <c r="I343" i="489"/>
  <c r="K401" i="489" l="1"/>
  <c r="K400" i="489"/>
  <c r="K272" i="489"/>
  <c r="K271" i="489"/>
  <c r="K270" i="489"/>
  <c r="K269" i="489"/>
  <c r="K461" i="489" l="1"/>
  <c r="K476" i="489"/>
  <c r="J477" i="489"/>
  <c r="G477" i="489" s="1"/>
  <c r="O477" i="489" s="1"/>
  <c r="R477" i="489"/>
  <c r="J462" i="489"/>
  <c r="R462" i="489"/>
  <c r="G462" i="489" l="1"/>
  <c r="O462" i="489" s="1"/>
  <c r="G106" i="479" l="1"/>
  <c r="Q143" i="479" l="1"/>
  <c r="Q24" i="479"/>
  <c r="H108" i="479" l="1"/>
  <c r="R450" i="489" l="1"/>
  <c r="K450" i="489"/>
  <c r="J450" i="489"/>
  <c r="G450" i="489" s="1"/>
  <c r="O450" i="489" s="1"/>
  <c r="R449" i="489"/>
  <c r="K449" i="489"/>
  <c r="J449" i="489"/>
  <c r="G449" i="489" s="1"/>
  <c r="O449" i="489" s="1"/>
  <c r="J448" i="489"/>
  <c r="G448" i="489" s="1"/>
  <c r="O448" i="489" s="1"/>
  <c r="R448" i="489"/>
  <c r="K448" i="489"/>
  <c r="R382" i="489"/>
  <c r="K382" i="489"/>
  <c r="J382" i="489"/>
  <c r="G382" i="489" s="1"/>
  <c r="O382" i="489" s="1"/>
  <c r="H382" i="489"/>
  <c r="R381" i="489"/>
  <c r="K381" i="489"/>
  <c r="J381" i="489"/>
  <c r="G381" i="489" s="1"/>
  <c r="O381" i="489" s="1"/>
  <c r="H381" i="489"/>
  <c r="R380" i="489"/>
  <c r="K380" i="489"/>
  <c r="J380" i="489"/>
  <c r="G380" i="489" s="1"/>
  <c r="H380" i="489"/>
  <c r="R379" i="489"/>
  <c r="K379" i="489"/>
  <c r="J379" i="489"/>
  <c r="G379" i="489" s="1"/>
  <c r="O379" i="489" s="1"/>
  <c r="H379" i="489"/>
  <c r="R378" i="489"/>
  <c r="K378" i="489"/>
  <c r="J378" i="489"/>
  <c r="G378" i="489" s="1"/>
  <c r="H378" i="489"/>
  <c r="R377" i="489"/>
  <c r="K377" i="489"/>
  <c r="J377" i="489"/>
  <c r="G377" i="489" s="1"/>
  <c r="H377" i="489"/>
  <c r="R376" i="489"/>
  <c r="K376" i="489"/>
  <c r="J376" i="489"/>
  <c r="G376" i="489" s="1"/>
  <c r="O376" i="489" s="1"/>
  <c r="H376" i="489"/>
  <c r="J375" i="489"/>
  <c r="G375" i="489" s="1"/>
  <c r="O375" i="489" s="1"/>
  <c r="R375" i="489"/>
  <c r="K375" i="489"/>
  <c r="H375" i="489"/>
  <c r="I382" i="489" l="1"/>
  <c r="I381" i="489"/>
  <c r="O380" i="489"/>
  <c r="I380" i="489"/>
  <c r="I379" i="489"/>
  <c r="I378" i="489"/>
  <c r="O378" i="489"/>
  <c r="O377" i="489"/>
  <c r="I377" i="489"/>
  <c r="I376" i="489"/>
  <c r="I375" i="489"/>
  <c r="H106" i="479" l="1"/>
  <c r="J476" i="489" l="1"/>
  <c r="G476" i="489" s="1"/>
  <c r="O476" i="489" s="1"/>
  <c r="R476" i="489"/>
  <c r="J461" i="489"/>
  <c r="G461" i="489" s="1"/>
  <c r="O461" i="489" s="1"/>
  <c r="R461" i="489"/>
  <c r="G264" i="479" l="1"/>
  <c r="K438" i="489" l="1"/>
  <c r="K362" i="489"/>
  <c r="K361" i="489"/>
  <c r="K360" i="489"/>
  <c r="K359" i="489"/>
  <c r="J25" i="479" l="1"/>
  <c r="K25" i="479"/>
  <c r="L25" i="479"/>
  <c r="M25" i="479"/>
  <c r="O25" i="479"/>
  <c r="K144" i="479"/>
  <c r="L144" i="479"/>
  <c r="M144" i="479"/>
  <c r="O144" i="479"/>
  <c r="J193" i="479"/>
  <c r="K193" i="479"/>
  <c r="L193" i="479"/>
  <c r="M193" i="479"/>
  <c r="O193" i="479"/>
  <c r="G253" i="479" l="1"/>
  <c r="R291" i="489"/>
  <c r="K291" i="489"/>
  <c r="J291" i="489"/>
  <c r="G291" i="489" s="1"/>
  <c r="H291" i="489"/>
  <c r="R290" i="489"/>
  <c r="K290" i="489"/>
  <c r="J290" i="489"/>
  <c r="G290" i="489" s="1"/>
  <c r="H290" i="489"/>
  <c r="R289" i="489"/>
  <c r="K289" i="489"/>
  <c r="J289" i="489"/>
  <c r="G289" i="489" s="1"/>
  <c r="H289" i="489"/>
  <c r="R288" i="489"/>
  <c r="K288" i="489"/>
  <c r="J288" i="489"/>
  <c r="G288" i="489" s="1"/>
  <c r="O288" i="489" s="1"/>
  <c r="H288" i="489"/>
  <c r="R287" i="489"/>
  <c r="K287" i="489"/>
  <c r="J287" i="489"/>
  <c r="G287" i="489" s="1"/>
  <c r="O287" i="489" s="1"/>
  <c r="H287" i="489"/>
  <c r="R286" i="489"/>
  <c r="K286" i="489"/>
  <c r="J286" i="489"/>
  <c r="G286" i="489" s="1"/>
  <c r="H286" i="489"/>
  <c r="K285" i="489"/>
  <c r="J285" i="489"/>
  <c r="G285" i="489" s="1"/>
  <c r="R285" i="489"/>
  <c r="H285" i="489"/>
  <c r="R407" i="489"/>
  <c r="K407" i="489"/>
  <c r="J407" i="489"/>
  <c r="G407" i="489" s="1"/>
  <c r="O407" i="489" s="1"/>
  <c r="K406" i="489"/>
  <c r="J406" i="489"/>
  <c r="G406" i="489" s="1"/>
  <c r="O406" i="489" s="1"/>
  <c r="R406" i="489"/>
  <c r="I291" i="489" l="1"/>
  <c r="O291" i="489"/>
  <c r="I290" i="489"/>
  <c r="O290" i="489"/>
  <c r="I289" i="489"/>
  <c r="O289" i="489"/>
  <c r="I288" i="489"/>
  <c r="I287" i="489"/>
  <c r="O286" i="489"/>
  <c r="I286" i="489"/>
  <c r="O285" i="489"/>
  <c r="I285" i="489"/>
  <c r="I241" i="479" l="1"/>
  <c r="E241" i="479"/>
  <c r="G193" i="479" l="1"/>
  <c r="J241" i="479"/>
  <c r="H241" i="479"/>
  <c r="I193" i="479"/>
  <c r="H193" i="479" l="1"/>
  <c r="R401" i="489" l="1"/>
  <c r="J401" i="489"/>
  <c r="G401" i="489" s="1"/>
  <c r="O401" i="489" s="1"/>
  <c r="J400" i="489"/>
  <c r="G400" i="489" s="1"/>
  <c r="O400" i="489" s="1"/>
  <c r="R400" i="489"/>
  <c r="R272" i="489"/>
  <c r="J272" i="489"/>
  <c r="G272" i="489" s="1"/>
  <c r="O272" i="489" s="1"/>
  <c r="H272" i="489"/>
  <c r="R271" i="489"/>
  <c r="J271" i="489"/>
  <c r="G271" i="489" s="1"/>
  <c r="H271" i="489"/>
  <c r="R270" i="489"/>
  <c r="J270" i="489"/>
  <c r="G270" i="489" s="1"/>
  <c r="O270" i="489" s="1"/>
  <c r="H270" i="489"/>
  <c r="J269" i="489"/>
  <c r="G269" i="489" s="1"/>
  <c r="R269" i="489"/>
  <c r="H269" i="489"/>
  <c r="I272" i="489" l="1"/>
  <c r="O271" i="489"/>
  <c r="I271" i="489"/>
  <c r="I270" i="489"/>
  <c r="O269" i="489"/>
  <c r="I269" i="489"/>
  <c r="L398" i="489" l="1"/>
  <c r="L397" i="489"/>
  <c r="L260" i="489"/>
  <c r="L259" i="489"/>
  <c r="L258" i="489"/>
  <c r="L257" i="489"/>
  <c r="L256" i="489"/>
  <c r="L255" i="489"/>
  <c r="L254" i="489"/>
  <c r="L253" i="489"/>
  <c r="L252" i="489"/>
  <c r="L251" i="489"/>
  <c r="L250" i="489"/>
  <c r="K394" i="489"/>
  <c r="K393" i="489"/>
  <c r="K392" i="489"/>
  <c r="K248" i="489"/>
  <c r="K247" i="489"/>
  <c r="K246" i="489"/>
  <c r="K245" i="489"/>
  <c r="H25" i="479" l="1"/>
  <c r="K390" i="489"/>
  <c r="K389" i="489"/>
  <c r="K388" i="489"/>
  <c r="K387" i="489"/>
  <c r="K242" i="489"/>
  <c r="K241" i="489"/>
  <c r="K240" i="489"/>
  <c r="K239" i="489"/>
  <c r="K238" i="489"/>
  <c r="K237" i="489"/>
  <c r="H144" i="479" l="1"/>
  <c r="I144" i="479" l="1"/>
  <c r="J144" i="479"/>
  <c r="G481" i="489"/>
  <c r="O481" i="489" s="1"/>
  <c r="R481" i="489"/>
  <c r="G466" i="489"/>
  <c r="O466" i="489" s="1"/>
  <c r="R466" i="489"/>
  <c r="D9" i="242" l="1"/>
  <c r="R362" i="489" l="1"/>
  <c r="J362" i="489"/>
  <c r="G362" i="489" s="1"/>
  <c r="O362" i="489" s="1"/>
  <c r="H362" i="489"/>
  <c r="R361" i="489"/>
  <c r="J361" i="489"/>
  <c r="G361" i="489" s="1"/>
  <c r="O361" i="489" s="1"/>
  <c r="H361" i="489"/>
  <c r="R360" i="489"/>
  <c r="J360" i="489"/>
  <c r="G360" i="489" s="1"/>
  <c r="O360" i="489" s="1"/>
  <c r="H360" i="489"/>
  <c r="J359" i="489"/>
  <c r="G359" i="489" s="1"/>
  <c r="O359" i="489" s="1"/>
  <c r="R359" i="489"/>
  <c r="H359" i="489"/>
  <c r="J438" i="489"/>
  <c r="G438" i="489" s="1"/>
  <c r="O438" i="489" s="1"/>
  <c r="R438" i="489"/>
  <c r="I362" i="489" l="1"/>
  <c r="I361" i="489"/>
  <c r="I360" i="489"/>
  <c r="I359" i="489"/>
  <c r="M13" i="367"/>
  <c r="K358" i="489" l="1"/>
  <c r="K357" i="489"/>
  <c r="K356" i="489"/>
  <c r="K355" i="489"/>
  <c r="K354" i="489"/>
  <c r="K353" i="489"/>
  <c r="I217" i="479" l="1"/>
  <c r="H217" i="479"/>
  <c r="E217" i="479"/>
  <c r="J217" i="479" l="1"/>
  <c r="I243" i="479" l="1"/>
  <c r="K437" i="489" l="1"/>
  <c r="R342" i="489" l="1"/>
  <c r="K342" i="489"/>
  <c r="J342" i="489"/>
  <c r="G342" i="489" s="1"/>
  <c r="H342" i="489"/>
  <c r="R341" i="489"/>
  <c r="K341" i="489"/>
  <c r="J341" i="489"/>
  <c r="G341" i="489" s="1"/>
  <c r="H341" i="489"/>
  <c r="R340" i="489"/>
  <c r="K340" i="489"/>
  <c r="J340" i="489"/>
  <c r="G340" i="489" s="1"/>
  <c r="O340" i="489" s="1"/>
  <c r="H340" i="489"/>
  <c r="R339" i="489"/>
  <c r="K339" i="489"/>
  <c r="J339" i="489"/>
  <c r="G339" i="489" s="1"/>
  <c r="O339" i="489" s="1"/>
  <c r="H339" i="489"/>
  <c r="R338" i="489"/>
  <c r="K338" i="489"/>
  <c r="J338" i="489"/>
  <c r="G338" i="489" s="1"/>
  <c r="H338" i="489"/>
  <c r="J337" i="489"/>
  <c r="G337" i="489" s="1"/>
  <c r="O337" i="489" s="1"/>
  <c r="R337" i="489"/>
  <c r="K337" i="489"/>
  <c r="H337" i="489"/>
  <c r="R432" i="489"/>
  <c r="K432" i="489"/>
  <c r="J432" i="489"/>
  <c r="G432" i="489" s="1"/>
  <c r="O432" i="489" s="1"/>
  <c r="R431" i="489"/>
  <c r="K431" i="489"/>
  <c r="J431" i="489"/>
  <c r="G431" i="489" s="1"/>
  <c r="O431" i="489" s="1"/>
  <c r="R430" i="489"/>
  <c r="K430" i="489"/>
  <c r="J430" i="489"/>
  <c r="G430" i="489" s="1"/>
  <c r="O430" i="489" s="1"/>
  <c r="R429" i="489"/>
  <c r="K429" i="489"/>
  <c r="J429" i="489"/>
  <c r="G429" i="489" s="1"/>
  <c r="O429" i="489" s="1"/>
  <c r="G403" i="489"/>
  <c r="J428" i="489"/>
  <c r="G428" i="489" s="1"/>
  <c r="O428" i="489" s="1"/>
  <c r="R428" i="489"/>
  <c r="K428" i="489"/>
  <c r="O342" i="489" l="1"/>
  <c r="I342" i="489"/>
  <c r="O341" i="489"/>
  <c r="I341" i="489"/>
  <c r="I340" i="489"/>
  <c r="I339" i="489"/>
  <c r="O338" i="489"/>
  <c r="I338" i="489"/>
  <c r="I337" i="489"/>
  <c r="K326" i="489" l="1"/>
  <c r="K475" i="489" l="1"/>
  <c r="K460" i="489"/>
  <c r="G123" i="479" l="1"/>
  <c r="G98" i="479"/>
  <c r="J20" i="242" l="1"/>
  <c r="I20" i="242"/>
  <c r="J123" i="479" l="1"/>
  <c r="K123" i="479"/>
  <c r="L123" i="479"/>
  <c r="M123" i="479"/>
  <c r="O123" i="479"/>
  <c r="J98" i="479"/>
  <c r="K98" i="479"/>
  <c r="L98" i="479"/>
  <c r="M98" i="479"/>
  <c r="O98" i="479"/>
  <c r="L305" i="489" l="1"/>
  <c r="L304" i="489"/>
  <c r="L303" i="489"/>
  <c r="L302" i="489"/>
  <c r="L301" i="489"/>
  <c r="L300" i="489"/>
  <c r="L299" i="489"/>
  <c r="L298" i="489"/>
  <c r="L297" i="489"/>
  <c r="L296" i="489"/>
  <c r="L295" i="489"/>
  <c r="L417" i="489"/>
  <c r="L416" i="489"/>
  <c r="L415" i="489"/>
  <c r="L414" i="489"/>
  <c r="L413" i="489"/>
  <c r="L412" i="489"/>
  <c r="L411" i="489"/>
  <c r="L410" i="489"/>
  <c r="R242" i="489" l="1"/>
  <c r="J242" i="489"/>
  <c r="G242" i="489" s="1"/>
  <c r="O242" i="489" s="1"/>
  <c r="H242" i="489"/>
  <c r="R241" i="489"/>
  <c r="J241" i="489"/>
  <c r="G241" i="489" s="1"/>
  <c r="H241" i="489"/>
  <c r="R240" i="489"/>
  <c r="J240" i="489"/>
  <c r="G240" i="489" s="1"/>
  <c r="H240" i="489"/>
  <c r="R239" i="489"/>
  <c r="J239" i="489"/>
  <c r="G239" i="489" s="1"/>
  <c r="H239" i="489"/>
  <c r="R238" i="489"/>
  <c r="J238" i="489"/>
  <c r="G238" i="489" s="1"/>
  <c r="O238" i="489" s="1"/>
  <c r="H238" i="489"/>
  <c r="J237" i="489"/>
  <c r="G237" i="489" s="1"/>
  <c r="R237" i="489"/>
  <c r="H237" i="489"/>
  <c r="R390" i="489"/>
  <c r="J390" i="489"/>
  <c r="G390" i="489" s="1"/>
  <c r="O390" i="489" s="1"/>
  <c r="R389" i="489"/>
  <c r="J389" i="489"/>
  <c r="G389" i="489" s="1"/>
  <c r="O389" i="489" s="1"/>
  <c r="R388" i="489"/>
  <c r="J388" i="489"/>
  <c r="G388" i="489" s="1"/>
  <c r="O388" i="489" s="1"/>
  <c r="J387" i="489"/>
  <c r="G387" i="489" s="1"/>
  <c r="O387" i="489" s="1"/>
  <c r="R387" i="489"/>
  <c r="R248" i="489"/>
  <c r="J248" i="489"/>
  <c r="G248" i="489" s="1"/>
  <c r="H248" i="489"/>
  <c r="R247" i="489"/>
  <c r="J247" i="489"/>
  <c r="G247" i="489" s="1"/>
  <c r="O247" i="489" s="1"/>
  <c r="H247" i="489"/>
  <c r="R246" i="489"/>
  <c r="J246" i="489"/>
  <c r="G246" i="489" s="1"/>
  <c r="O246" i="489" s="1"/>
  <c r="H246" i="489"/>
  <c r="J245" i="489"/>
  <c r="G245" i="489" s="1"/>
  <c r="O245" i="489" s="1"/>
  <c r="R245" i="489"/>
  <c r="H245" i="489"/>
  <c r="R394" i="489"/>
  <c r="J394" i="489"/>
  <c r="G394" i="489" s="1"/>
  <c r="O394" i="489" s="1"/>
  <c r="R393" i="489"/>
  <c r="J393" i="489"/>
  <c r="G393" i="489" s="1"/>
  <c r="O393" i="489" s="1"/>
  <c r="J392" i="489"/>
  <c r="G392" i="489" s="1"/>
  <c r="O392" i="489" s="1"/>
  <c r="R392" i="489"/>
  <c r="J475" i="489"/>
  <c r="G475" i="489" s="1"/>
  <c r="O475" i="489" s="1"/>
  <c r="R475" i="489"/>
  <c r="J460" i="489"/>
  <c r="G460" i="489" s="1"/>
  <c r="O460" i="489" s="1"/>
  <c r="R460" i="489"/>
  <c r="H98" i="479"/>
  <c r="H123" i="479" l="1"/>
  <c r="I242" i="489"/>
  <c r="O241" i="489"/>
  <c r="I241" i="489"/>
  <c r="O240" i="489"/>
  <c r="I240" i="489"/>
  <c r="O239" i="489"/>
  <c r="I239" i="489"/>
  <c r="I238" i="489"/>
  <c r="I237" i="489"/>
  <c r="O237" i="489"/>
  <c r="I248" i="489"/>
  <c r="O248" i="489"/>
  <c r="I247" i="489"/>
  <c r="I246" i="489"/>
  <c r="I245" i="489"/>
  <c r="Q47" i="479" l="1"/>
  <c r="I242" i="479" l="1"/>
  <c r="D23" i="490" l="1"/>
  <c r="D55" i="490" l="1"/>
  <c r="I213" i="479" l="1"/>
  <c r="R244" i="489"/>
  <c r="K244" i="489"/>
  <c r="J244" i="489"/>
  <c r="G244" i="489" s="1"/>
  <c r="O244" i="489" s="1"/>
  <c r="H244" i="489"/>
  <c r="K243" i="489"/>
  <c r="J243" i="489"/>
  <c r="G243" i="489" s="1"/>
  <c r="O243" i="489" s="1"/>
  <c r="R243" i="489"/>
  <c r="H243" i="489"/>
  <c r="K391" i="489"/>
  <c r="J391" i="489"/>
  <c r="G391" i="489" s="1"/>
  <c r="O391" i="489" s="1"/>
  <c r="R391" i="489"/>
  <c r="I215" i="479"/>
  <c r="H215" i="479"/>
  <c r="E215" i="479"/>
  <c r="K226" i="479"/>
  <c r="L226" i="479"/>
  <c r="M226" i="479"/>
  <c r="K474" i="489"/>
  <c r="K473" i="489"/>
  <c r="K459" i="489"/>
  <c r="K458" i="489"/>
  <c r="M545" i="489"/>
  <c r="N545" i="489"/>
  <c r="P545" i="489"/>
  <c r="Q545" i="489"/>
  <c r="S545" i="489"/>
  <c r="U545" i="489"/>
  <c r="M517" i="489"/>
  <c r="N517" i="489"/>
  <c r="P517" i="489"/>
  <c r="Q517" i="489"/>
  <c r="S517" i="489"/>
  <c r="U517" i="489"/>
  <c r="I226" i="479" l="1"/>
  <c r="L517" i="489"/>
  <c r="I244" i="489"/>
  <c r="I243" i="489"/>
  <c r="J215" i="479"/>
  <c r="AI15" i="237"/>
  <c r="M28" i="242" l="1"/>
  <c r="G31" i="242"/>
  <c r="M31" i="242" s="1"/>
  <c r="H31" i="242"/>
  <c r="I31" i="242"/>
  <c r="J31" i="242"/>
  <c r="K31" i="242"/>
  <c r="D29" i="242"/>
  <c r="D30" i="242"/>
  <c r="C31" i="242"/>
  <c r="B31" i="242"/>
  <c r="R358" i="489" l="1"/>
  <c r="J358" i="489"/>
  <c r="G358" i="489" s="1"/>
  <c r="H358" i="489"/>
  <c r="R357" i="489"/>
  <c r="J357" i="489"/>
  <c r="G357" i="489" s="1"/>
  <c r="H357" i="489"/>
  <c r="R356" i="489"/>
  <c r="J356" i="489"/>
  <c r="G356" i="489" s="1"/>
  <c r="H356" i="489"/>
  <c r="R355" i="489"/>
  <c r="J355" i="489"/>
  <c r="G355" i="489" s="1"/>
  <c r="H355" i="489"/>
  <c r="R354" i="489"/>
  <c r="J354" i="489"/>
  <c r="G354" i="489" s="1"/>
  <c r="H354" i="489"/>
  <c r="J353" i="489"/>
  <c r="G353" i="489" s="1"/>
  <c r="R353" i="489"/>
  <c r="H353" i="489"/>
  <c r="R437" i="489"/>
  <c r="J437" i="489"/>
  <c r="G437" i="489" s="1"/>
  <c r="O437" i="489" s="1"/>
  <c r="J474" i="489"/>
  <c r="G474" i="489" s="1"/>
  <c r="O474" i="489" s="1"/>
  <c r="R474" i="489"/>
  <c r="J459" i="489"/>
  <c r="G459" i="489" s="1"/>
  <c r="O459" i="489" s="1"/>
  <c r="R459" i="489"/>
  <c r="O358" i="489" l="1"/>
  <c r="I358" i="489"/>
  <c r="I357" i="489"/>
  <c r="O357" i="489"/>
  <c r="I356" i="489"/>
  <c r="O356" i="489"/>
  <c r="O355" i="489"/>
  <c r="I355" i="489"/>
  <c r="I354" i="489"/>
  <c r="O354" i="489"/>
  <c r="I353" i="489"/>
  <c r="O353" i="489"/>
  <c r="F20" i="242" l="1"/>
  <c r="C27" i="491" l="1"/>
  <c r="D27" i="491"/>
  <c r="E12" i="491"/>
  <c r="E27" i="491" s="1"/>
  <c r="I260" i="479" l="1"/>
  <c r="H260" i="479"/>
  <c r="E260" i="479"/>
  <c r="E242" i="479"/>
  <c r="J242" i="479" l="1"/>
  <c r="H242" i="479"/>
  <c r="I249" i="479" l="1"/>
  <c r="J473" i="489" l="1"/>
  <c r="G473" i="489" s="1"/>
  <c r="O473" i="489" s="1"/>
  <c r="R473" i="489"/>
  <c r="J458" i="489"/>
  <c r="G458" i="489" s="1"/>
  <c r="O458" i="489" s="1"/>
  <c r="R458" i="489"/>
  <c r="L472" i="489" l="1"/>
  <c r="L457" i="489"/>
  <c r="L470" i="489" l="1"/>
  <c r="M16" i="242" l="1"/>
  <c r="H19" i="242" l="1"/>
  <c r="L29" i="242"/>
  <c r="H18" i="242"/>
  <c r="D28" i="242"/>
  <c r="D31" i="242" s="1"/>
  <c r="L32" i="237"/>
  <c r="AH16" i="492"/>
  <c r="AC16" i="492"/>
  <c r="Y16" i="492"/>
  <c r="AD14" i="492"/>
  <c r="AD16" i="492" s="1"/>
  <c r="AB14" i="492"/>
  <c r="AB16" i="492" s="1"/>
  <c r="Z14" i="492"/>
  <c r="L14" i="492"/>
  <c r="L16" i="492" s="1"/>
  <c r="K14" i="492"/>
  <c r="K16" i="492" s="1"/>
  <c r="G14" i="492"/>
  <c r="G16" i="492" s="1"/>
  <c r="F14" i="492"/>
  <c r="F16" i="492" s="1"/>
  <c r="E14" i="492"/>
  <c r="E16" i="492" s="1"/>
  <c r="S12" i="492"/>
  <c r="R12" i="492"/>
  <c r="Q12" i="492"/>
  <c r="Q13" i="492" s="1"/>
  <c r="P12" i="492"/>
  <c r="P13" i="492" s="1"/>
  <c r="O12" i="492"/>
  <c r="O13" i="492" s="1"/>
  <c r="W12" i="492" l="1"/>
  <c r="W13" i="492"/>
  <c r="M14" i="492"/>
  <c r="M16" i="492" s="1"/>
  <c r="R13" i="492"/>
  <c r="R14" i="492" s="1"/>
  <c r="R16" i="492" s="1"/>
  <c r="S13" i="492"/>
  <c r="S14" i="492" s="1"/>
  <c r="S16" i="492" s="1"/>
  <c r="O14" i="492"/>
  <c r="O16" i="492" s="1"/>
  <c r="U13" i="492"/>
  <c r="AA13" i="492" s="1"/>
  <c r="Q14" i="492"/>
  <c r="Q16" i="492" s="1"/>
  <c r="U12" i="492"/>
  <c r="P14" i="492"/>
  <c r="P16" i="492" s="1"/>
  <c r="W14" i="492" l="1"/>
  <c r="W16" i="492" s="1"/>
  <c r="AJ16" i="492"/>
  <c r="AI16" i="492"/>
  <c r="AF13" i="492"/>
  <c r="AG13" i="492" s="1"/>
  <c r="V13" i="492"/>
  <c r="U14" i="492"/>
  <c r="U16" i="492" s="1"/>
  <c r="V12" i="492"/>
  <c r="F30" i="242" l="1"/>
  <c r="L30" i="242" s="1"/>
  <c r="AE13" i="492"/>
  <c r="AA14" i="492"/>
  <c r="AA16" i="492" s="1"/>
  <c r="AF12" i="492"/>
  <c r="X12" i="492"/>
  <c r="X13" i="492"/>
  <c r="V14" i="492"/>
  <c r="V16" i="492" s="1"/>
  <c r="K314" i="489"/>
  <c r="K313" i="489"/>
  <c r="K312" i="489"/>
  <c r="K311" i="489"/>
  <c r="K310" i="489"/>
  <c r="K309" i="489"/>
  <c r="K308" i="489"/>
  <c r="K307" i="489"/>
  <c r="K306" i="489"/>
  <c r="X14" i="492" l="1"/>
  <c r="X16" i="492" s="1"/>
  <c r="AF14" i="492"/>
  <c r="AF16" i="492" s="1"/>
  <c r="AG12" i="492"/>
  <c r="AG14" i="492" s="1"/>
  <c r="AG16" i="492" s="1"/>
  <c r="AE12" i="492"/>
  <c r="AE14" i="492" s="1"/>
  <c r="AE16" i="492" s="1"/>
  <c r="F28" i="242" s="1"/>
  <c r="F31" i="242" s="1"/>
  <c r="L28" i="242" l="1"/>
  <c r="P28" i="242" s="1"/>
  <c r="L31" i="242" l="1"/>
  <c r="M26" i="242"/>
  <c r="G12" i="491" l="1"/>
  <c r="G27" i="491" s="1"/>
  <c r="P31" i="242"/>
  <c r="E28" i="367"/>
  <c r="L278" i="489" l="1"/>
  <c r="K403" i="489" l="1"/>
  <c r="K277" i="489"/>
  <c r="K276" i="489"/>
  <c r="K275" i="489"/>
  <c r="K274" i="489"/>
  <c r="E249" i="479" l="1"/>
  <c r="J249" i="479" l="1"/>
  <c r="H249" i="479"/>
  <c r="O517" i="489" l="1"/>
  <c r="O545" i="489"/>
  <c r="R545" i="489"/>
  <c r="R517" i="489"/>
  <c r="G480" i="489" l="1"/>
  <c r="O480" i="489" s="1"/>
  <c r="R480" i="489"/>
  <c r="G465" i="489"/>
  <c r="O465" i="489" s="1"/>
  <c r="R465" i="489"/>
  <c r="W13" i="237" l="1"/>
  <c r="O161" i="479"/>
  <c r="M161" i="479"/>
  <c r="L161" i="479"/>
  <c r="K161" i="479"/>
  <c r="J161" i="479"/>
  <c r="I161" i="479"/>
  <c r="H161" i="479"/>
  <c r="G161" i="479"/>
  <c r="J277" i="489" l="1"/>
  <c r="G277" i="489" s="1"/>
  <c r="R277" i="489"/>
  <c r="H277" i="489"/>
  <c r="O403" i="489"/>
  <c r="R403" i="489"/>
  <c r="I277" i="489" l="1"/>
  <c r="O277" i="489"/>
  <c r="I28" i="367"/>
  <c r="F28" i="367"/>
  <c r="G28" i="367" l="1"/>
  <c r="K374" i="489" l="1"/>
  <c r="K373" i="489"/>
  <c r="K372" i="489"/>
  <c r="K371" i="489"/>
  <c r="K440" i="489" l="1"/>
  <c r="K441" i="489"/>
  <c r="R276" i="489" l="1"/>
  <c r="J276" i="489"/>
  <c r="G276" i="489" s="1"/>
  <c r="O276" i="489" s="1"/>
  <c r="H276" i="489"/>
  <c r="R275" i="489"/>
  <c r="J275" i="489"/>
  <c r="G275" i="489" s="1"/>
  <c r="H275" i="489"/>
  <c r="J274" i="489"/>
  <c r="G274" i="489" s="1"/>
  <c r="O274" i="489" s="1"/>
  <c r="R274" i="489"/>
  <c r="H274" i="489"/>
  <c r="I276" i="489" l="1"/>
  <c r="O275" i="489"/>
  <c r="I275" i="489"/>
  <c r="I274" i="489"/>
  <c r="K427" i="489" l="1"/>
  <c r="K426" i="489"/>
  <c r="R314" i="489" l="1"/>
  <c r="J314" i="489"/>
  <c r="G314" i="489" s="1"/>
  <c r="H314" i="489"/>
  <c r="R313" i="489"/>
  <c r="J313" i="489"/>
  <c r="G313" i="489" s="1"/>
  <c r="H313" i="489"/>
  <c r="R312" i="489"/>
  <c r="J312" i="489"/>
  <c r="G312" i="489" s="1"/>
  <c r="H312" i="489"/>
  <c r="R311" i="489"/>
  <c r="J311" i="489"/>
  <c r="G311" i="489" s="1"/>
  <c r="O311" i="489" s="1"/>
  <c r="H311" i="489"/>
  <c r="R310" i="489"/>
  <c r="J310" i="489"/>
  <c r="G310" i="489" s="1"/>
  <c r="H310" i="489"/>
  <c r="R309" i="489"/>
  <c r="J309" i="489"/>
  <c r="G309" i="489" s="1"/>
  <c r="H309" i="489"/>
  <c r="R308" i="489"/>
  <c r="J308" i="489"/>
  <c r="G308" i="489" s="1"/>
  <c r="O308" i="489" s="1"/>
  <c r="H308" i="489"/>
  <c r="R307" i="489"/>
  <c r="J307" i="489"/>
  <c r="G307" i="489" s="1"/>
  <c r="O307" i="489" s="1"/>
  <c r="H307" i="489"/>
  <c r="J306" i="489"/>
  <c r="G306" i="489" s="1"/>
  <c r="O306" i="489" s="1"/>
  <c r="R306" i="489"/>
  <c r="H306" i="489"/>
  <c r="O314" i="489" l="1"/>
  <c r="I314" i="489"/>
  <c r="O313" i="489"/>
  <c r="I313" i="489"/>
  <c r="O312" i="489"/>
  <c r="I312" i="489"/>
  <c r="I311" i="489"/>
  <c r="O310" i="489"/>
  <c r="I310" i="489"/>
  <c r="O309" i="489"/>
  <c r="I309" i="489"/>
  <c r="I308" i="489"/>
  <c r="I307" i="489"/>
  <c r="I306" i="489"/>
  <c r="K424" i="489"/>
  <c r="K423" i="489"/>
  <c r="K422" i="489"/>
  <c r="K421" i="489"/>
  <c r="K420" i="489"/>
  <c r="K419" i="489"/>
  <c r="E243" i="479" l="1"/>
  <c r="J243" i="479" l="1"/>
  <c r="H243" i="479"/>
  <c r="K336" i="489" l="1"/>
  <c r="K335" i="489"/>
  <c r="K334" i="489"/>
  <c r="K333" i="489"/>
  <c r="K332" i="489"/>
  <c r="K331" i="489"/>
  <c r="K330" i="489"/>
  <c r="K329" i="489"/>
  <c r="K328" i="489"/>
  <c r="K327" i="489"/>
  <c r="K325" i="489"/>
  <c r="K324" i="489"/>
  <c r="K323" i="489"/>
  <c r="K322" i="489"/>
  <c r="K321" i="489"/>
  <c r="K320" i="489"/>
  <c r="G464" i="489" l="1"/>
  <c r="O464" i="489" s="1"/>
  <c r="R464" i="489"/>
  <c r="G479" i="489"/>
  <c r="O479" i="489" s="1"/>
  <c r="R479" i="489"/>
  <c r="R336" i="489" l="1"/>
  <c r="J336" i="489"/>
  <c r="H336" i="489"/>
  <c r="R335" i="489"/>
  <c r="J335" i="489"/>
  <c r="G335" i="489" s="1"/>
  <c r="O335" i="489" s="1"/>
  <c r="H335" i="489"/>
  <c r="R334" i="489"/>
  <c r="J334" i="489"/>
  <c r="G334" i="489" s="1"/>
  <c r="H334" i="489"/>
  <c r="R333" i="489"/>
  <c r="J333" i="489"/>
  <c r="G333" i="489" s="1"/>
  <c r="O333" i="489" s="1"/>
  <c r="H333" i="489"/>
  <c r="R332" i="489"/>
  <c r="J332" i="489"/>
  <c r="G332" i="489" s="1"/>
  <c r="O332" i="489" s="1"/>
  <c r="H332" i="489"/>
  <c r="R331" i="489"/>
  <c r="J331" i="489"/>
  <c r="G331" i="489" s="1"/>
  <c r="H331" i="489"/>
  <c r="J330" i="489"/>
  <c r="G330" i="489" s="1"/>
  <c r="O330" i="489" s="1"/>
  <c r="R330" i="489"/>
  <c r="H330" i="489"/>
  <c r="G336" i="489" l="1"/>
  <c r="O336" i="489" s="1"/>
  <c r="I334" i="489"/>
  <c r="O334" i="489"/>
  <c r="I335" i="489"/>
  <c r="I333" i="489"/>
  <c r="I332" i="489"/>
  <c r="I331" i="489"/>
  <c r="O331" i="489"/>
  <c r="I330" i="489"/>
  <c r="I336" i="489" l="1"/>
  <c r="G478" i="489"/>
  <c r="O478" i="489" s="1"/>
  <c r="J472" i="489"/>
  <c r="G472" i="489" s="1"/>
  <c r="O472" i="489" s="1"/>
  <c r="G463" i="489"/>
  <c r="O463" i="489" s="1"/>
  <c r="J457" i="489"/>
  <c r="G457" i="489" s="1"/>
  <c r="O457" i="489" s="1"/>
  <c r="E11" i="491" l="1"/>
  <c r="V516" i="489" l="1"/>
  <c r="R374" i="489" l="1"/>
  <c r="J374" i="489"/>
  <c r="G374" i="489" s="1"/>
  <c r="O374" i="489" s="1"/>
  <c r="H374" i="489"/>
  <c r="R373" i="489"/>
  <c r="J373" i="489"/>
  <c r="G373" i="489" s="1"/>
  <c r="H373" i="489"/>
  <c r="J372" i="489"/>
  <c r="G372" i="489" s="1"/>
  <c r="O372" i="489" s="1"/>
  <c r="R372" i="489"/>
  <c r="H372" i="489"/>
  <c r="R329" i="489"/>
  <c r="J329" i="489"/>
  <c r="G329" i="489" s="1"/>
  <c r="H329" i="489"/>
  <c r="R328" i="489"/>
  <c r="J328" i="489"/>
  <c r="G328" i="489" s="1"/>
  <c r="H328" i="489"/>
  <c r="J327" i="489"/>
  <c r="G327" i="489" s="1"/>
  <c r="R327" i="489"/>
  <c r="H327" i="489"/>
  <c r="R427" i="489"/>
  <c r="J427" i="489"/>
  <c r="G427" i="489" s="1"/>
  <c r="O427" i="489" s="1"/>
  <c r="J426" i="489"/>
  <c r="G426" i="489" s="1"/>
  <c r="O426" i="489" s="1"/>
  <c r="R426" i="489"/>
  <c r="I374" i="489" l="1"/>
  <c r="O373" i="489"/>
  <c r="I373" i="489"/>
  <c r="I372" i="489"/>
  <c r="O329" i="489"/>
  <c r="I329" i="489"/>
  <c r="I328" i="489"/>
  <c r="O328" i="489"/>
  <c r="O327" i="489"/>
  <c r="I327" i="489"/>
  <c r="R268" i="489" l="1"/>
  <c r="K268" i="489"/>
  <c r="H268" i="489"/>
  <c r="G268" i="489"/>
  <c r="O268" i="489" s="1"/>
  <c r="R267" i="489"/>
  <c r="K267" i="489"/>
  <c r="H267" i="489"/>
  <c r="G267" i="489"/>
  <c r="O267" i="489" s="1"/>
  <c r="R266" i="489"/>
  <c r="K266" i="489"/>
  <c r="H266" i="489"/>
  <c r="G266" i="489"/>
  <c r="O266" i="489" s="1"/>
  <c r="R265" i="489"/>
  <c r="K265" i="489"/>
  <c r="H265" i="489"/>
  <c r="G265" i="489"/>
  <c r="O265" i="489" s="1"/>
  <c r="R264" i="489"/>
  <c r="K264" i="489"/>
  <c r="H264" i="489"/>
  <c r="G264" i="489"/>
  <c r="O264" i="489" s="1"/>
  <c r="R263" i="489"/>
  <c r="K263" i="489"/>
  <c r="H263" i="489"/>
  <c r="G263" i="489"/>
  <c r="R262" i="489"/>
  <c r="K262" i="489"/>
  <c r="H262" i="489"/>
  <c r="G262" i="489"/>
  <c r="O262" i="489" s="1"/>
  <c r="R261" i="489"/>
  <c r="K261" i="489"/>
  <c r="H261" i="489"/>
  <c r="G261" i="489"/>
  <c r="O261" i="489" s="1"/>
  <c r="M452" i="489"/>
  <c r="P452" i="489"/>
  <c r="Q452" i="489"/>
  <c r="S452" i="489"/>
  <c r="U452" i="489"/>
  <c r="J399" i="489"/>
  <c r="G399" i="489" s="1"/>
  <c r="O399" i="489" s="1"/>
  <c r="R399" i="489"/>
  <c r="K399" i="489"/>
  <c r="I268" i="489" l="1"/>
  <c r="I264" i="489"/>
  <c r="I267" i="489"/>
  <c r="I263" i="489"/>
  <c r="I266" i="489"/>
  <c r="I265" i="489"/>
  <c r="I262" i="489"/>
  <c r="O263" i="489"/>
  <c r="I261" i="489"/>
  <c r="K457" i="489" l="1"/>
  <c r="K472" i="489"/>
  <c r="R371" i="489" l="1"/>
  <c r="H371" i="489"/>
  <c r="G371" i="489"/>
  <c r="R325" i="489"/>
  <c r="H325" i="489"/>
  <c r="G325" i="489"/>
  <c r="O325" i="489" s="1"/>
  <c r="J424" i="489"/>
  <c r="G424" i="489" s="1"/>
  <c r="O424" i="489" s="1"/>
  <c r="R424" i="489"/>
  <c r="I371" i="489" l="1"/>
  <c r="O371" i="489"/>
  <c r="I325" i="489"/>
  <c r="O132" i="479" l="1"/>
  <c r="P132" i="479"/>
  <c r="R423" i="489" l="1"/>
  <c r="J423" i="489"/>
  <c r="G423" i="489" s="1"/>
  <c r="O423" i="489" s="1"/>
  <c r="R422" i="489"/>
  <c r="J422" i="489"/>
  <c r="G422" i="489" s="1"/>
  <c r="O422" i="489" s="1"/>
  <c r="R421" i="489"/>
  <c r="J421" i="489"/>
  <c r="G421" i="489" s="1"/>
  <c r="O421" i="489" s="1"/>
  <c r="R420" i="489"/>
  <c r="J420" i="489"/>
  <c r="G420" i="489" s="1"/>
  <c r="O420" i="489" s="1"/>
  <c r="J419" i="489"/>
  <c r="G419" i="489" s="1"/>
  <c r="O419" i="489" s="1"/>
  <c r="R419" i="489"/>
  <c r="R324" i="489"/>
  <c r="J324" i="489"/>
  <c r="G324" i="489" s="1"/>
  <c r="O324" i="489" s="1"/>
  <c r="H324" i="489"/>
  <c r="R323" i="489"/>
  <c r="J323" i="489"/>
  <c r="G323" i="489" s="1"/>
  <c r="H323" i="489"/>
  <c r="R322" i="489"/>
  <c r="J322" i="489"/>
  <c r="G322" i="489" s="1"/>
  <c r="H322" i="489"/>
  <c r="R321" i="489"/>
  <c r="J321" i="489"/>
  <c r="G321" i="489" s="1"/>
  <c r="H321" i="489"/>
  <c r="J320" i="489"/>
  <c r="G320" i="489" s="1"/>
  <c r="R320" i="489"/>
  <c r="H320" i="489"/>
  <c r="I324" i="489" l="1"/>
  <c r="O323" i="489"/>
  <c r="I323" i="489"/>
  <c r="O322" i="489"/>
  <c r="I322" i="489"/>
  <c r="I321" i="489"/>
  <c r="O321" i="489"/>
  <c r="O320" i="489"/>
  <c r="I320" i="489"/>
  <c r="F17" i="367"/>
  <c r="I17" i="367"/>
  <c r="E17" i="367"/>
  <c r="G17" i="367" l="1"/>
  <c r="R478" i="489" l="1"/>
  <c r="M470" i="489"/>
  <c r="N470" i="489"/>
  <c r="P470" i="489"/>
  <c r="Q470" i="489"/>
  <c r="S470" i="489"/>
  <c r="U470" i="489"/>
  <c r="R463" i="489"/>
  <c r="R405" i="489"/>
  <c r="K405" i="489"/>
  <c r="J405" i="489"/>
  <c r="G405" i="489" s="1"/>
  <c r="O405" i="489" s="1"/>
  <c r="J404" i="489"/>
  <c r="G404" i="489" s="1"/>
  <c r="O404" i="489" s="1"/>
  <c r="M384" i="489"/>
  <c r="N384" i="489"/>
  <c r="P384" i="489"/>
  <c r="Q384" i="489"/>
  <c r="S384" i="489"/>
  <c r="U384" i="489"/>
  <c r="R404" i="489"/>
  <c r="K404" i="489"/>
  <c r="R284" i="489"/>
  <c r="K284" i="489"/>
  <c r="J284" i="489"/>
  <c r="G284" i="489" s="1"/>
  <c r="O284" i="489" s="1"/>
  <c r="H284" i="489"/>
  <c r="R283" i="489"/>
  <c r="K283" i="489"/>
  <c r="J283" i="489"/>
  <c r="G283" i="489" s="1"/>
  <c r="H283" i="489"/>
  <c r="J282" i="489"/>
  <c r="G282" i="489" s="1"/>
  <c r="R282" i="489"/>
  <c r="K282" i="489"/>
  <c r="H282" i="489"/>
  <c r="I284" i="489" l="1"/>
  <c r="I283" i="489"/>
  <c r="O283" i="489"/>
  <c r="I282" i="489"/>
  <c r="O282" i="489"/>
  <c r="G13" i="491" l="1"/>
  <c r="C28" i="491"/>
  <c r="C26" i="491"/>
  <c r="C25" i="491"/>
  <c r="C24" i="491"/>
  <c r="C22" i="491"/>
  <c r="C21" i="491"/>
  <c r="C36" i="491" s="1"/>
  <c r="C19" i="491"/>
  <c r="C31" i="491" l="1"/>
  <c r="E29" i="491"/>
  <c r="D26" i="491"/>
  <c r="E26" i="491" s="1"/>
  <c r="D25" i="491"/>
  <c r="E25" i="491" s="1"/>
  <c r="G24" i="491"/>
  <c r="D24" i="491"/>
  <c r="E24" i="491" s="1"/>
  <c r="E23" i="491"/>
  <c r="D22" i="491"/>
  <c r="E22" i="491" s="1"/>
  <c r="D21" i="491"/>
  <c r="D19" i="491"/>
  <c r="I15" i="491"/>
  <c r="D14" i="491"/>
  <c r="D17" i="491" s="1"/>
  <c r="C14" i="491"/>
  <c r="G28" i="491"/>
  <c r="E13" i="491"/>
  <c r="E10" i="491"/>
  <c r="I9" i="491"/>
  <c r="E9" i="491"/>
  <c r="I8" i="491"/>
  <c r="E8" i="491"/>
  <c r="I7" i="491"/>
  <c r="E7" i="491"/>
  <c r="E6" i="491"/>
  <c r="I5" i="491"/>
  <c r="E5" i="491"/>
  <c r="D15" i="491" l="1"/>
  <c r="E16" i="491" s="1"/>
  <c r="D36" i="491"/>
  <c r="E36" i="491" s="1"/>
  <c r="E21" i="491"/>
  <c r="D31" i="491"/>
  <c r="D33" i="491" s="1"/>
  <c r="C16" i="491"/>
  <c r="I14" i="491"/>
  <c r="I16" i="491" s="1"/>
  <c r="C33" i="491"/>
  <c r="E14" i="491"/>
  <c r="E28" i="491"/>
  <c r="E1" i="491" l="1"/>
  <c r="E31" i="491"/>
  <c r="E39" i="491" l="1"/>
  <c r="I27" i="491"/>
  <c r="E33" i="491"/>
  <c r="I28" i="491"/>
  <c r="J28" i="491" s="1"/>
  <c r="I25" i="491"/>
  <c r="I24" i="491"/>
  <c r="J24" i="491" s="1"/>
  <c r="I22" i="491"/>
  <c r="I26" i="491"/>
  <c r="I23" i="491"/>
  <c r="I21" i="491"/>
  <c r="I31" i="491" l="1"/>
  <c r="E262" i="479" l="1"/>
  <c r="H262" i="479" l="1"/>
  <c r="L35" i="242" l="1"/>
  <c r="O471" i="489" l="1"/>
  <c r="J264" i="479" l="1"/>
  <c r="K264" i="479"/>
  <c r="L264" i="479"/>
  <c r="M264" i="479"/>
  <c r="K253" i="479"/>
  <c r="L253" i="479"/>
  <c r="M253" i="479"/>
  <c r="H213" i="479" l="1"/>
  <c r="H226" i="479" s="1"/>
  <c r="E213" i="479"/>
  <c r="R472" i="489" l="1"/>
  <c r="R457" i="489"/>
  <c r="J213" i="479" l="1"/>
  <c r="J226" i="479" s="1"/>
  <c r="M28" i="367" l="1"/>
  <c r="F32" i="367"/>
  <c r="I32" i="367"/>
  <c r="M32" i="367"/>
  <c r="E32" i="367"/>
  <c r="D58" i="490" l="1"/>
  <c r="E3" i="490" s="1"/>
  <c r="J36" i="479" l="1"/>
  <c r="K36" i="479"/>
  <c r="L36" i="479"/>
  <c r="U19" i="237" l="1"/>
  <c r="U18" i="237"/>
  <c r="L19" i="242"/>
  <c r="M19" i="242"/>
  <c r="G20" i="242"/>
  <c r="G33" i="242" s="1"/>
  <c r="J33" i="242"/>
  <c r="K20" i="242"/>
  <c r="N19" i="242" l="1"/>
  <c r="H20" i="242"/>
  <c r="H246" i="479" l="1"/>
  <c r="O92" i="479" l="1"/>
  <c r="K370" i="489" l="1"/>
  <c r="G32" i="367" l="1"/>
  <c r="R319" i="489" l="1"/>
  <c r="K319" i="489"/>
  <c r="J319" i="489"/>
  <c r="G319" i="489" s="1"/>
  <c r="H319" i="489"/>
  <c r="R318" i="489"/>
  <c r="K318" i="489"/>
  <c r="J318" i="489"/>
  <c r="G318" i="489" s="1"/>
  <c r="H318" i="489"/>
  <c r="R317" i="489"/>
  <c r="K317" i="489"/>
  <c r="J317" i="489"/>
  <c r="G317" i="489" s="1"/>
  <c r="H317" i="489"/>
  <c r="R316" i="489"/>
  <c r="K316" i="489"/>
  <c r="J316" i="489"/>
  <c r="G316" i="489" s="1"/>
  <c r="H316" i="489"/>
  <c r="J315" i="489"/>
  <c r="G315" i="489" s="1"/>
  <c r="R315" i="489"/>
  <c r="K315" i="489"/>
  <c r="H315" i="489"/>
  <c r="R418" i="489"/>
  <c r="J418" i="489"/>
  <c r="G418" i="489" s="1"/>
  <c r="O418" i="489" s="1"/>
  <c r="K418" i="489"/>
  <c r="O319" i="489" l="1"/>
  <c r="I319" i="489"/>
  <c r="O318" i="489"/>
  <c r="I318" i="489"/>
  <c r="O317" i="489"/>
  <c r="I317" i="489"/>
  <c r="I316" i="489"/>
  <c r="O316" i="489"/>
  <c r="I315" i="489"/>
  <c r="O315" i="489"/>
  <c r="H251" i="479" l="1"/>
  <c r="O61" i="479"/>
  <c r="J48" i="479"/>
  <c r="K48" i="479"/>
  <c r="L48" i="479"/>
  <c r="M48" i="479"/>
  <c r="O48" i="479"/>
  <c r="O36" i="479" l="1"/>
  <c r="U225" i="489" l="1"/>
  <c r="G48" i="479" l="1"/>
  <c r="H48" i="479"/>
  <c r="I246" i="479"/>
  <c r="E246" i="479"/>
  <c r="J246" i="479" l="1"/>
  <c r="D10" i="238"/>
  <c r="U13" i="237"/>
  <c r="AJ15" i="237" s="1"/>
  <c r="L409" i="489" l="1"/>
  <c r="K179" i="479" l="1"/>
  <c r="L179" i="479"/>
  <c r="L452" i="489" l="1"/>
  <c r="L384" i="489"/>
  <c r="L11" i="242" l="1"/>
  <c r="L12" i="242"/>
  <c r="L13" i="242"/>
  <c r="L14" i="242"/>
  <c r="G37" i="242"/>
  <c r="G41" i="242" s="1"/>
  <c r="L18" i="242"/>
  <c r="M18" i="242"/>
  <c r="J37" i="242"/>
  <c r="J41" i="242" s="1"/>
  <c r="L38" i="242"/>
  <c r="L40" i="242" s="1"/>
  <c r="L39" i="242"/>
  <c r="M39" i="242"/>
  <c r="L20" i="242" l="1"/>
  <c r="G11" i="491" s="1"/>
  <c r="G26" i="491" s="1"/>
  <c r="M20" i="242"/>
  <c r="M33" i="242" s="1"/>
  <c r="N18" i="242"/>
  <c r="J26" i="491" l="1"/>
  <c r="M37" i="242"/>
  <c r="M41" i="242" s="1"/>
  <c r="N20" i="242"/>
  <c r="M203" i="479" l="1"/>
  <c r="J61" i="479"/>
  <c r="K61" i="479"/>
  <c r="L61" i="479"/>
  <c r="J13" i="479"/>
  <c r="K13" i="479"/>
  <c r="L13" i="479"/>
  <c r="M13" i="479"/>
  <c r="O38" i="479" l="1"/>
  <c r="O63" i="479"/>
  <c r="O65" i="479" l="1"/>
  <c r="O203" i="479" l="1"/>
  <c r="S13" i="238" l="1"/>
  <c r="O182" i="479" l="1"/>
  <c r="S13" i="237" l="1"/>
  <c r="G79" i="479" l="1"/>
  <c r="K200" i="479" l="1"/>
  <c r="K203" i="479" s="1"/>
  <c r="L200" i="479"/>
  <c r="L203" i="479" s="1"/>
  <c r="J200" i="479"/>
  <c r="D7" i="242" l="1"/>
  <c r="G203" i="479" l="1"/>
  <c r="U158" i="489" l="1"/>
  <c r="J203" i="479" l="1"/>
  <c r="I182" i="479"/>
  <c r="H203" i="479"/>
  <c r="I203" i="479"/>
  <c r="O79" i="479" l="1"/>
  <c r="U487" i="489" l="1"/>
  <c r="M255" i="479" l="1"/>
  <c r="M274" i="479" s="1"/>
  <c r="M485" i="489"/>
  <c r="N485" i="489"/>
  <c r="K182" i="479" l="1"/>
  <c r="K272" i="479"/>
  <c r="L182" i="479"/>
  <c r="L272" i="479"/>
  <c r="M487" i="489"/>
  <c r="N487" i="489"/>
  <c r="F19" i="367"/>
  <c r="I19" i="367"/>
  <c r="U227" i="489"/>
  <c r="O205" i="479" l="1"/>
  <c r="O255" i="479"/>
  <c r="O100" i="479"/>
  <c r="O276" i="479" l="1"/>
  <c r="O125" i="479"/>
  <c r="O127" i="479" s="1"/>
  <c r="O272" i="479"/>
  <c r="O274" i="479" s="1"/>
  <c r="O277" i="479" l="1"/>
  <c r="T1" i="489"/>
  <c r="V223" i="489" l="1"/>
  <c r="V220" i="489"/>
  <c r="V216" i="489"/>
  <c r="V218" i="489"/>
  <c r="V221" i="489"/>
  <c r="V217" i="489"/>
  <c r="V222" i="489"/>
  <c r="V219" i="489"/>
  <c r="V215" i="489"/>
  <c r="V144" i="489"/>
  <c r="V143" i="489"/>
  <c r="V148" i="489"/>
  <c r="V147" i="489"/>
  <c r="V150" i="489"/>
  <c r="V146" i="489"/>
  <c r="V155" i="489"/>
  <c r="V140" i="489"/>
  <c r="V154" i="489"/>
  <c r="V151" i="489"/>
  <c r="V141" i="489"/>
  <c r="V149" i="489"/>
  <c r="V145" i="489"/>
  <c r="V152" i="489"/>
  <c r="V153" i="489"/>
  <c r="V142" i="489"/>
  <c r="V214" i="489"/>
  <c r="V213" i="489"/>
  <c r="V212" i="489"/>
  <c r="V136" i="489"/>
  <c r="V137" i="489"/>
  <c r="V138" i="489"/>
  <c r="V139" i="489"/>
  <c r="V131" i="489"/>
  <c r="V128" i="489"/>
  <c r="V135" i="489"/>
  <c r="V127" i="489"/>
  <c r="V130" i="489"/>
  <c r="V132" i="489"/>
  <c r="V134" i="489"/>
  <c r="V129" i="489"/>
  <c r="V133" i="489"/>
  <c r="V126" i="489"/>
  <c r="V211" i="489"/>
  <c r="V210" i="489"/>
  <c r="V206" i="489"/>
  <c r="V204" i="489"/>
  <c r="V207" i="489"/>
  <c r="V208" i="489"/>
  <c r="V199" i="489"/>
  <c r="V198" i="489"/>
  <c r="V205" i="489"/>
  <c r="V202" i="489"/>
  <c r="V203" i="489"/>
  <c r="V209" i="489"/>
  <c r="V200" i="489"/>
  <c r="V201" i="489"/>
  <c r="V111" i="489"/>
  <c r="V119" i="489"/>
  <c r="V99" i="489"/>
  <c r="V120" i="489"/>
  <c r="V124" i="489"/>
  <c r="V104" i="489"/>
  <c r="V102" i="489"/>
  <c r="V110" i="489"/>
  <c r="V112" i="489"/>
  <c r="V106" i="489"/>
  <c r="V100" i="489"/>
  <c r="V116" i="489"/>
  <c r="V118" i="489"/>
  <c r="V108" i="489"/>
  <c r="V105" i="489"/>
  <c r="V122" i="489"/>
  <c r="V101" i="489"/>
  <c r="V113" i="489"/>
  <c r="V123" i="489"/>
  <c r="V115" i="489"/>
  <c r="V109" i="489"/>
  <c r="V117" i="489"/>
  <c r="V107" i="489"/>
  <c r="V103" i="489"/>
  <c r="V114" i="489"/>
  <c r="V121" i="489"/>
  <c r="V125" i="489"/>
  <c r="V192" i="489"/>
  <c r="V193" i="489"/>
  <c r="V194" i="489"/>
  <c r="V195" i="489"/>
  <c r="V191" i="489"/>
  <c r="V197" i="489"/>
  <c r="V196" i="489"/>
  <c r="V98" i="489"/>
  <c r="V90" i="489"/>
  <c r="V89" i="489"/>
  <c r="V94" i="489"/>
  <c r="V93" i="489"/>
  <c r="V96" i="489"/>
  <c r="V91" i="489"/>
  <c r="V88" i="489"/>
  <c r="V97" i="489"/>
  <c r="V95" i="489"/>
  <c r="V92" i="489"/>
  <c r="V543" i="489"/>
  <c r="V532" i="489"/>
  <c r="V537" i="489"/>
  <c r="V536" i="489"/>
  <c r="V539" i="489"/>
  <c r="V533" i="489"/>
  <c r="V535" i="489"/>
  <c r="V534" i="489"/>
  <c r="V540" i="489"/>
  <c r="V538" i="489"/>
  <c r="V541" i="489"/>
  <c r="V542" i="489"/>
  <c r="V507" i="489"/>
  <c r="V505" i="489"/>
  <c r="V506" i="489"/>
  <c r="V513" i="489"/>
  <c r="V503" i="489"/>
  <c r="V504" i="489"/>
  <c r="V514" i="489"/>
  <c r="V508" i="489"/>
  <c r="V512" i="489"/>
  <c r="V510" i="489"/>
  <c r="V511" i="489"/>
  <c r="V509" i="489"/>
  <c r="V184" i="489"/>
  <c r="V183" i="489"/>
  <c r="V188" i="489"/>
  <c r="V189" i="489"/>
  <c r="V182" i="489"/>
  <c r="V186" i="489"/>
  <c r="V185" i="489"/>
  <c r="V187" i="489"/>
  <c r="V181" i="489"/>
  <c r="V190" i="489"/>
  <c r="V84" i="489"/>
  <c r="V68" i="489"/>
  <c r="V76" i="489"/>
  <c r="V81" i="489"/>
  <c r="V72" i="489"/>
  <c r="V82" i="489"/>
  <c r="V73" i="489"/>
  <c r="V86" i="489"/>
  <c r="V79" i="489"/>
  <c r="V71" i="489"/>
  <c r="V80" i="489"/>
  <c r="V65" i="489"/>
  <c r="V75" i="489"/>
  <c r="V77" i="489"/>
  <c r="V74" i="489"/>
  <c r="V70" i="489"/>
  <c r="V83" i="489"/>
  <c r="V87" i="489"/>
  <c r="V66" i="489"/>
  <c r="V69" i="489"/>
  <c r="V67" i="489"/>
  <c r="V85" i="489"/>
  <c r="V78" i="489"/>
  <c r="V178" i="489"/>
  <c r="V177" i="489"/>
  <c r="V179" i="489"/>
  <c r="V180" i="489"/>
  <c r="V55" i="489"/>
  <c r="V63" i="489"/>
  <c r="V56" i="489"/>
  <c r="V64" i="489"/>
  <c r="V62" i="489"/>
  <c r="V60" i="489"/>
  <c r="V58" i="489"/>
  <c r="V57" i="489"/>
  <c r="V59" i="489"/>
  <c r="V61" i="489"/>
  <c r="V54" i="489"/>
  <c r="V51" i="489"/>
  <c r="V53" i="489"/>
  <c r="V52" i="489"/>
  <c r="V175" i="489"/>
  <c r="V176" i="489"/>
  <c r="V46" i="489"/>
  <c r="V45" i="489"/>
  <c r="V49" i="489"/>
  <c r="V50" i="489"/>
  <c r="V47" i="489"/>
  <c r="V48" i="489"/>
  <c r="V173" i="489"/>
  <c r="V171" i="489"/>
  <c r="V170" i="489"/>
  <c r="V172" i="489"/>
  <c r="V169" i="489"/>
  <c r="V174" i="489"/>
  <c r="V28" i="489"/>
  <c r="V39" i="489"/>
  <c r="V37" i="489"/>
  <c r="V35" i="489"/>
  <c r="V34" i="489"/>
  <c r="V32" i="489"/>
  <c r="V40" i="489"/>
  <c r="V38" i="489"/>
  <c r="V36" i="489"/>
  <c r="V33" i="489"/>
  <c r="V41" i="489"/>
  <c r="V29" i="489"/>
  <c r="V31" i="489"/>
  <c r="V21" i="489"/>
  <c r="V25" i="489"/>
  <c r="V44" i="489"/>
  <c r="V26" i="489"/>
  <c r="V30" i="489"/>
  <c r="V24" i="489"/>
  <c r="V22" i="489"/>
  <c r="V27" i="489"/>
  <c r="V23" i="489"/>
  <c r="V42" i="489"/>
  <c r="V43" i="489"/>
  <c r="V167" i="489"/>
  <c r="V165" i="489"/>
  <c r="V166" i="489"/>
  <c r="V164" i="489"/>
  <c r="V20" i="489"/>
  <c r="V16" i="489"/>
  <c r="V17" i="489"/>
  <c r="V19" i="489"/>
  <c r="V18" i="489"/>
  <c r="V15" i="489"/>
  <c r="V524" i="489"/>
  <c r="V525" i="489"/>
  <c r="V522" i="489"/>
  <c r="V521" i="489"/>
  <c r="V531" i="489"/>
  <c r="V523" i="489"/>
  <c r="V530" i="489"/>
  <c r="V526" i="489"/>
  <c r="V529" i="489"/>
  <c r="V527" i="489"/>
  <c r="V520" i="489"/>
  <c r="V528" i="489"/>
  <c r="V500" i="489"/>
  <c r="V499" i="489"/>
  <c r="V498" i="489"/>
  <c r="V497" i="489"/>
  <c r="V501" i="489"/>
  <c r="V502" i="489"/>
  <c r="V494" i="489"/>
  <c r="V492" i="489"/>
  <c r="V496" i="489"/>
  <c r="V493" i="489"/>
  <c r="V495" i="489"/>
  <c r="V491" i="489"/>
  <c r="V163" i="489"/>
  <c r="V160" i="489"/>
  <c r="V162" i="489"/>
  <c r="V161" i="489"/>
  <c r="V9" i="489"/>
  <c r="V10" i="489"/>
  <c r="V12" i="489"/>
  <c r="V11" i="489"/>
  <c r="V14" i="489"/>
  <c r="V13" i="489"/>
  <c r="T468" i="489"/>
  <c r="V468" i="489" s="1"/>
  <c r="T483" i="489"/>
  <c r="V483" i="489" s="1"/>
  <c r="T436" i="489"/>
  <c r="V436" i="489" s="1"/>
  <c r="T434" i="489"/>
  <c r="V434" i="489" s="1"/>
  <c r="T435" i="489"/>
  <c r="V435" i="489" s="1"/>
  <c r="T352" i="489"/>
  <c r="V352" i="489" s="1"/>
  <c r="T433" i="489"/>
  <c r="V433" i="489" s="1"/>
  <c r="T350" i="489"/>
  <c r="V350" i="489" s="1"/>
  <c r="T351" i="489"/>
  <c r="V351" i="489" s="1"/>
  <c r="T348" i="489"/>
  <c r="V348" i="489" s="1"/>
  <c r="T349" i="489"/>
  <c r="V349" i="489" s="1"/>
  <c r="T346" i="489"/>
  <c r="V346" i="489" s="1"/>
  <c r="T347" i="489"/>
  <c r="V347" i="489" s="1"/>
  <c r="T482" i="489"/>
  <c r="V482" i="489" s="1"/>
  <c r="T467" i="489"/>
  <c r="V467" i="489" s="1"/>
  <c r="T345" i="489"/>
  <c r="V345" i="489" s="1"/>
  <c r="T343" i="489"/>
  <c r="V343" i="489" s="1"/>
  <c r="T344" i="489"/>
  <c r="V344" i="489" s="1"/>
  <c r="T462" i="489"/>
  <c r="V462" i="489" s="1"/>
  <c r="T477" i="489"/>
  <c r="V477" i="489" s="1"/>
  <c r="T450" i="489"/>
  <c r="V450" i="489" s="1"/>
  <c r="T448" i="489"/>
  <c r="V448" i="489" s="1"/>
  <c r="T449" i="489"/>
  <c r="V449" i="489" s="1"/>
  <c r="T381" i="489"/>
  <c r="V381" i="489" s="1"/>
  <c r="T382" i="489"/>
  <c r="V382" i="489" s="1"/>
  <c r="T379" i="489"/>
  <c r="V379" i="489" s="1"/>
  <c r="T380" i="489"/>
  <c r="V380" i="489" s="1"/>
  <c r="T377" i="489"/>
  <c r="V377" i="489" s="1"/>
  <c r="T378" i="489"/>
  <c r="V378" i="489" s="1"/>
  <c r="T375" i="489"/>
  <c r="V375" i="489" s="1"/>
  <c r="T376" i="489"/>
  <c r="V376" i="489" s="1"/>
  <c r="T461" i="489"/>
  <c r="V461" i="489" s="1"/>
  <c r="T476" i="489"/>
  <c r="V476" i="489" s="1"/>
  <c r="T291" i="489"/>
  <c r="V291" i="489" s="1"/>
  <c r="T289" i="489"/>
  <c r="V289" i="489" s="1"/>
  <c r="T290" i="489"/>
  <c r="V290" i="489" s="1"/>
  <c r="T287" i="489"/>
  <c r="V287" i="489" s="1"/>
  <c r="T288" i="489"/>
  <c r="V288" i="489" s="1"/>
  <c r="T285" i="489"/>
  <c r="V285" i="489" s="1"/>
  <c r="T286" i="489"/>
  <c r="V286" i="489" s="1"/>
  <c r="T406" i="489"/>
  <c r="V406" i="489" s="1"/>
  <c r="T407" i="489"/>
  <c r="V407" i="489" s="1"/>
  <c r="T400" i="489"/>
  <c r="V400" i="489" s="1"/>
  <c r="T401" i="489"/>
  <c r="V401" i="489" s="1"/>
  <c r="T271" i="489"/>
  <c r="V271" i="489" s="1"/>
  <c r="T272" i="489"/>
  <c r="V272" i="489" s="1"/>
  <c r="T269" i="489"/>
  <c r="V269" i="489" s="1"/>
  <c r="T270" i="489"/>
  <c r="V270" i="489" s="1"/>
  <c r="T481" i="489"/>
  <c r="V481" i="489" s="1"/>
  <c r="T362" i="489"/>
  <c r="V362" i="489" s="1"/>
  <c r="T466" i="489"/>
  <c r="V466" i="489" s="1"/>
  <c r="T360" i="489"/>
  <c r="V360" i="489" s="1"/>
  <c r="T361" i="489"/>
  <c r="V361" i="489" s="1"/>
  <c r="T438" i="489"/>
  <c r="V438" i="489" s="1"/>
  <c r="T359" i="489"/>
  <c r="V359" i="489" s="1"/>
  <c r="T342" i="489"/>
  <c r="V342" i="489" s="1"/>
  <c r="T340" i="489"/>
  <c r="V340" i="489" s="1"/>
  <c r="T341" i="489"/>
  <c r="V341" i="489" s="1"/>
  <c r="T338" i="489"/>
  <c r="V338" i="489" s="1"/>
  <c r="T339" i="489"/>
  <c r="V339" i="489" s="1"/>
  <c r="T432" i="489"/>
  <c r="V432" i="489" s="1"/>
  <c r="T337" i="489"/>
  <c r="V337" i="489" s="1"/>
  <c r="T430" i="489"/>
  <c r="V430" i="489" s="1"/>
  <c r="T431" i="489"/>
  <c r="V431" i="489" s="1"/>
  <c r="T428" i="489"/>
  <c r="V428" i="489" s="1"/>
  <c r="T429" i="489"/>
  <c r="V429" i="489" s="1"/>
  <c r="T242" i="489"/>
  <c r="V242" i="489" s="1"/>
  <c r="T240" i="489"/>
  <c r="V240" i="489" s="1"/>
  <c r="T241" i="489"/>
  <c r="V241" i="489" s="1"/>
  <c r="T238" i="489"/>
  <c r="V238" i="489" s="1"/>
  <c r="T239" i="489"/>
  <c r="V239" i="489" s="1"/>
  <c r="T390" i="489"/>
  <c r="V390" i="489" s="1"/>
  <c r="T237" i="489"/>
  <c r="V237" i="489" s="1"/>
  <c r="T388" i="489"/>
  <c r="V388" i="489" s="1"/>
  <c r="T389" i="489"/>
  <c r="V389" i="489" s="1"/>
  <c r="T248" i="489"/>
  <c r="V248" i="489" s="1"/>
  <c r="T387" i="489"/>
  <c r="V387" i="489" s="1"/>
  <c r="T246" i="489"/>
  <c r="V246" i="489" s="1"/>
  <c r="T247" i="489"/>
  <c r="V247" i="489" s="1"/>
  <c r="T394" i="489"/>
  <c r="V394" i="489" s="1"/>
  <c r="T245" i="489"/>
  <c r="V245" i="489" s="1"/>
  <c r="T392" i="489"/>
  <c r="V392" i="489" s="1"/>
  <c r="T393" i="489"/>
  <c r="V393" i="489" s="1"/>
  <c r="T460" i="489"/>
  <c r="V460" i="489" s="1"/>
  <c r="T475" i="489"/>
  <c r="V475" i="489" s="1"/>
  <c r="T244" i="489"/>
  <c r="V244" i="489" s="1"/>
  <c r="T391" i="489"/>
  <c r="V391" i="489" s="1"/>
  <c r="T243" i="489"/>
  <c r="V243" i="489" s="1"/>
  <c r="T357" i="489"/>
  <c r="V357" i="489" s="1"/>
  <c r="T358" i="489"/>
  <c r="V358" i="489" s="1"/>
  <c r="T355" i="489"/>
  <c r="V355" i="489" s="1"/>
  <c r="T356" i="489"/>
  <c r="V356" i="489" s="1"/>
  <c r="T353" i="489"/>
  <c r="V353" i="489" s="1"/>
  <c r="T354" i="489"/>
  <c r="V354" i="489" s="1"/>
  <c r="T437" i="489"/>
  <c r="V437" i="489" s="1"/>
  <c r="T459" i="489"/>
  <c r="V459" i="489" s="1"/>
  <c r="T474" i="489"/>
  <c r="V474" i="489" s="1"/>
  <c r="T458" i="489"/>
  <c r="V458" i="489" s="1"/>
  <c r="T473" i="489"/>
  <c r="V473" i="489" s="1"/>
  <c r="T480" i="489"/>
  <c r="V480" i="489" s="1"/>
  <c r="T465" i="489"/>
  <c r="V465" i="489" s="1"/>
  <c r="T403" i="489"/>
  <c r="V403" i="489" s="1"/>
  <c r="T277" i="489"/>
  <c r="V277" i="489" s="1"/>
  <c r="T276" i="489"/>
  <c r="V276" i="489" s="1"/>
  <c r="T274" i="489"/>
  <c r="V274" i="489" s="1"/>
  <c r="T275" i="489"/>
  <c r="V275" i="489" s="1"/>
  <c r="T314" i="489"/>
  <c r="V314" i="489" s="1"/>
  <c r="T312" i="489"/>
  <c r="V312" i="489" s="1"/>
  <c r="T313" i="489"/>
  <c r="V313" i="489" s="1"/>
  <c r="T310" i="489"/>
  <c r="V310" i="489" s="1"/>
  <c r="T311" i="489"/>
  <c r="V311" i="489" s="1"/>
  <c r="T308" i="489"/>
  <c r="V308" i="489" s="1"/>
  <c r="T309" i="489"/>
  <c r="V309" i="489" s="1"/>
  <c r="T306" i="489"/>
  <c r="V306" i="489" s="1"/>
  <c r="T307" i="489"/>
  <c r="V307" i="489" s="1"/>
  <c r="T464" i="489"/>
  <c r="V464" i="489" s="1"/>
  <c r="T336" i="489"/>
  <c r="V336" i="489" s="1"/>
  <c r="T479" i="489"/>
  <c r="V479" i="489" s="1"/>
  <c r="T334" i="489"/>
  <c r="V334" i="489" s="1"/>
  <c r="T335" i="489"/>
  <c r="V335" i="489" s="1"/>
  <c r="T332" i="489"/>
  <c r="V332" i="489" s="1"/>
  <c r="T333" i="489"/>
  <c r="V333" i="489" s="1"/>
  <c r="T330" i="489"/>
  <c r="V330" i="489" s="1"/>
  <c r="T331" i="489"/>
  <c r="V331" i="489" s="1"/>
  <c r="T373" i="489"/>
  <c r="V373" i="489" s="1"/>
  <c r="T374" i="489"/>
  <c r="V374" i="489" s="1"/>
  <c r="T329" i="489"/>
  <c r="V329" i="489" s="1"/>
  <c r="T372" i="489"/>
  <c r="V372" i="489" s="1"/>
  <c r="T327" i="489"/>
  <c r="V327" i="489" s="1"/>
  <c r="T328" i="489"/>
  <c r="V328" i="489" s="1"/>
  <c r="T426" i="489"/>
  <c r="V426" i="489" s="1"/>
  <c r="T427" i="489"/>
  <c r="V427" i="489" s="1"/>
  <c r="T268" i="489"/>
  <c r="V268" i="489" s="1"/>
  <c r="T266" i="489"/>
  <c r="V266" i="489" s="1"/>
  <c r="T267" i="489"/>
  <c r="V267" i="489" s="1"/>
  <c r="T264" i="489"/>
  <c r="V264" i="489" s="1"/>
  <c r="T265" i="489"/>
  <c r="V265" i="489" s="1"/>
  <c r="T262" i="489"/>
  <c r="V262" i="489" s="1"/>
  <c r="T263" i="489"/>
  <c r="V263" i="489" s="1"/>
  <c r="T399" i="489"/>
  <c r="V399" i="489" s="1"/>
  <c r="T261" i="489"/>
  <c r="V261" i="489" s="1"/>
  <c r="T463" i="489"/>
  <c r="T325" i="489"/>
  <c r="V325" i="489" s="1"/>
  <c r="T371" i="489"/>
  <c r="V371" i="489" s="1"/>
  <c r="T424" i="489"/>
  <c r="V424" i="489" s="1"/>
  <c r="T422" i="489"/>
  <c r="V422" i="489" s="1"/>
  <c r="T423" i="489"/>
  <c r="V423" i="489" s="1"/>
  <c r="T420" i="489"/>
  <c r="V420" i="489" s="1"/>
  <c r="T421" i="489"/>
  <c r="V421" i="489" s="1"/>
  <c r="T324" i="489"/>
  <c r="V324" i="489" s="1"/>
  <c r="T419" i="489"/>
  <c r="V419" i="489" s="1"/>
  <c r="T322" i="489"/>
  <c r="V322" i="489" s="1"/>
  <c r="T323" i="489"/>
  <c r="V323" i="489" s="1"/>
  <c r="T320" i="489"/>
  <c r="V320" i="489" s="1"/>
  <c r="T321" i="489"/>
  <c r="V321" i="489" s="1"/>
  <c r="T478" i="489"/>
  <c r="V478" i="489" s="1"/>
  <c r="T472" i="489"/>
  <c r="V472" i="489" s="1"/>
  <c r="T405" i="489"/>
  <c r="V405" i="489" s="1"/>
  <c r="T284" i="489"/>
  <c r="V284" i="489" s="1"/>
  <c r="T404" i="489"/>
  <c r="T282" i="489"/>
  <c r="V282" i="489" s="1"/>
  <c r="T283" i="489"/>
  <c r="V283" i="489" s="1"/>
  <c r="T457" i="489"/>
  <c r="T318" i="489"/>
  <c r="V318" i="489" s="1"/>
  <c r="T319" i="489"/>
  <c r="V319" i="489" s="1"/>
  <c r="T316" i="489"/>
  <c r="V316" i="489" s="1"/>
  <c r="T317" i="489"/>
  <c r="V317" i="489" s="1"/>
  <c r="T418" i="489"/>
  <c r="V418" i="489" s="1"/>
  <c r="T315" i="489"/>
  <c r="V315" i="489" s="1"/>
  <c r="V168" i="489" l="1"/>
  <c r="V225" i="489" s="1"/>
  <c r="T225" i="489"/>
  <c r="T545" i="489"/>
  <c r="V517" i="489"/>
  <c r="T517" i="489"/>
  <c r="V545" i="489"/>
  <c r="V463" i="489"/>
  <c r="V404" i="489"/>
  <c r="V457" i="489"/>
  <c r="V158" i="489"/>
  <c r="T158" i="489"/>
  <c r="M100" i="479" l="1"/>
  <c r="M125" i="479" l="1"/>
  <c r="M127" i="479" s="1"/>
  <c r="L485" i="489" l="1"/>
  <c r="L487" i="489" l="1"/>
  <c r="O470" i="489" l="1"/>
  <c r="T227" i="489" l="1"/>
  <c r="H253" i="479" l="1"/>
  <c r="K205" i="479" l="1"/>
  <c r="M182" i="479" l="1"/>
  <c r="M205" i="479" l="1"/>
  <c r="E19" i="367"/>
  <c r="H278" i="489" l="1"/>
  <c r="H367" i="489"/>
  <c r="H368" i="489"/>
  <c r="H292" i="489"/>
  <c r="H293" i="489"/>
  <c r="H280" i="489"/>
  <c r="H281" i="489"/>
  <c r="H273" i="489"/>
  <c r="H370" i="489"/>
  <c r="H279" i="489"/>
  <c r="H363" i="489"/>
  <c r="H364" i="489"/>
  <c r="H365" i="489"/>
  <c r="H295" i="489"/>
  <c r="H369" i="489"/>
  <c r="H326" i="489"/>
  <c r="H294" i="489"/>
  <c r="H296" i="489"/>
  <c r="H249" i="489"/>
  <c r="H250" i="489"/>
  <c r="H251" i="489"/>
  <c r="H252" i="489"/>
  <c r="H253" i="489"/>
  <c r="H254" i="489"/>
  <c r="H255" i="489"/>
  <c r="H256" i="489"/>
  <c r="H297" i="489"/>
  <c r="H298" i="489"/>
  <c r="H299" i="489"/>
  <c r="H300" i="489"/>
  <c r="H301" i="489"/>
  <c r="H302" i="489"/>
  <c r="H303" i="489"/>
  <c r="H304" i="489"/>
  <c r="H305" i="489"/>
  <c r="H257" i="489"/>
  <c r="H258" i="489"/>
  <c r="H366" i="489"/>
  <c r="H259" i="489"/>
  <c r="H260" i="489"/>
  <c r="R470" i="489"/>
  <c r="R398" i="489"/>
  <c r="K398" i="489"/>
  <c r="J398" i="489"/>
  <c r="G398" i="489" s="1"/>
  <c r="O398" i="489" s="1"/>
  <c r="R397" i="489"/>
  <c r="K397" i="489"/>
  <c r="J397" i="489"/>
  <c r="G397" i="489" s="1"/>
  <c r="O397" i="489" s="1"/>
  <c r="R417" i="489"/>
  <c r="K417" i="489"/>
  <c r="J417" i="489"/>
  <c r="G417" i="489" s="1"/>
  <c r="O417" i="489" s="1"/>
  <c r="R416" i="489"/>
  <c r="K416" i="489"/>
  <c r="J416" i="489"/>
  <c r="G416" i="489" s="1"/>
  <c r="O416" i="489" s="1"/>
  <c r="R415" i="489"/>
  <c r="K415" i="489"/>
  <c r="J415" i="489"/>
  <c r="G415" i="489" s="1"/>
  <c r="O415" i="489" s="1"/>
  <c r="R414" i="489"/>
  <c r="K414" i="489"/>
  <c r="J414" i="489"/>
  <c r="G414" i="489" s="1"/>
  <c r="O414" i="489" s="1"/>
  <c r="R413" i="489"/>
  <c r="K413" i="489"/>
  <c r="J413" i="489"/>
  <c r="G413" i="489" s="1"/>
  <c r="O413" i="489" s="1"/>
  <c r="R412" i="489"/>
  <c r="K412" i="489"/>
  <c r="J412" i="489"/>
  <c r="G412" i="489" s="1"/>
  <c r="O412" i="489" s="1"/>
  <c r="R411" i="489"/>
  <c r="N411" i="489"/>
  <c r="K411" i="489"/>
  <c r="J411" i="489"/>
  <c r="G411" i="489" s="1"/>
  <c r="O411" i="489" s="1"/>
  <c r="R410" i="489"/>
  <c r="K410" i="489"/>
  <c r="J410" i="489"/>
  <c r="G410" i="489" s="1"/>
  <c r="O410" i="489" s="1"/>
  <c r="R395" i="489"/>
  <c r="K395" i="489"/>
  <c r="J395" i="489"/>
  <c r="G395" i="489" s="1"/>
  <c r="O395" i="489" s="1"/>
  <c r="R396" i="489"/>
  <c r="K396" i="489"/>
  <c r="J396" i="489"/>
  <c r="G396" i="489" s="1"/>
  <c r="O396" i="489" s="1"/>
  <c r="R447" i="489"/>
  <c r="K447" i="489"/>
  <c r="J447" i="489"/>
  <c r="G447" i="489" s="1"/>
  <c r="O447" i="489" s="1"/>
  <c r="R402" i="489"/>
  <c r="K402" i="489"/>
  <c r="J402" i="489"/>
  <c r="G402" i="489" s="1"/>
  <c r="O402" i="489" s="1"/>
  <c r="R425" i="489"/>
  <c r="K425" i="489"/>
  <c r="J425" i="489"/>
  <c r="G425" i="489" s="1"/>
  <c r="O425" i="489" s="1"/>
  <c r="R409" i="489"/>
  <c r="K409" i="489"/>
  <c r="J409" i="489"/>
  <c r="G409" i="489" s="1"/>
  <c r="O409" i="489" s="1"/>
  <c r="R408" i="489"/>
  <c r="K408" i="489"/>
  <c r="J408" i="489"/>
  <c r="G408" i="489" s="1"/>
  <c r="O408" i="489" s="1"/>
  <c r="R440" i="489"/>
  <c r="J440" i="489"/>
  <c r="G440" i="489" s="1"/>
  <c r="O440" i="489" s="1"/>
  <c r="R439" i="489"/>
  <c r="K439" i="489"/>
  <c r="J439" i="489"/>
  <c r="G439" i="489" s="1"/>
  <c r="O439" i="489" s="1"/>
  <c r="R441" i="489"/>
  <c r="J441" i="489"/>
  <c r="G441" i="489" s="1"/>
  <c r="O441" i="489" s="1"/>
  <c r="R446" i="489"/>
  <c r="K446" i="489"/>
  <c r="J446" i="489"/>
  <c r="G446" i="489" s="1"/>
  <c r="O446" i="489" s="1"/>
  <c r="R445" i="489"/>
  <c r="N445" i="489"/>
  <c r="K445" i="489"/>
  <c r="J445" i="489"/>
  <c r="G445" i="489" s="1"/>
  <c r="O445" i="489" s="1"/>
  <c r="R444" i="489"/>
  <c r="N444" i="489"/>
  <c r="K444" i="489"/>
  <c r="J444" i="489"/>
  <c r="G444" i="489" s="1"/>
  <c r="O444" i="489" s="1"/>
  <c r="R443" i="489"/>
  <c r="K443" i="489"/>
  <c r="J443" i="489"/>
  <c r="G443" i="489" s="1"/>
  <c r="O443" i="489" s="1"/>
  <c r="R442" i="489"/>
  <c r="K442" i="489"/>
  <c r="J442" i="489"/>
  <c r="G442" i="489" s="1"/>
  <c r="O442" i="489" s="1"/>
  <c r="R305" i="489"/>
  <c r="K305" i="489"/>
  <c r="J305" i="489"/>
  <c r="G305" i="489" s="1"/>
  <c r="O305" i="489" s="1"/>
  <c r="R304" i="489"/>
  <c r="K304" i="489"/>
  <c r="J304" i="489"/>
  <c r="G304" i="489" s="1"/>
  <c r="R303" i="489"/>
  <c r="K303" i="489"/>
  <c r="J303" i="489"/>
  <c r="G303" i="489" s="1"/>
  <c r="R302" i="489"/>
  <c r="K302" i="489"/>
  <c r="J302" i="489"/>
  <c r="G302" i="489" s="1"/>
  <c r="R301" i="489"/>
  <c r="K301" i="489"/>
  <c r="J301" i="489"/>
  <c r="G301" i="489" s="1"/>
  <c r="O301" i="489" s="1"/>
  <c r="R300" i="489"/>
  <c r="K300" i="489"/>
  <c r="J300" i="489"/>
  <c r="G300" i="489" s="1"/>
  <c r="R299" i="489"/>
  <c r="K299" i="489"/>
  <c r="J299" i="489"/>
  <c r="G299" i="489" s="1"/>
  <c r="R298" i="489"/>
  <c r="K298" i="489"/>
  <c r="J298" i="489"/>
  <c r="G298" i="489" s="1"/>
  <c r="R297" i="489"/>
  <c r="K297" i="489"/>
  <c r="J297" i="489"/>
  <c r="G297" i="489" s="1"/>
  <c r="O297" i="489" s="1"/>
  <c r="R296" i="489"/>
  <c r="K296" i="489"/>
  <c r="J296" i="489"/>
  <c r="G296" i="489" s="1"/>
  <c r="R295" i="489"/>
  <c r="K295" i="489"/>
  <c r="J295" i="489"/>
  <c r="G295" i="489" s="1"/>
  <c r="R258" i="489"/>
  <c r="K258" i="489"/>
  <c r="G258" i="489"/>
  <c r="R256" i="489"/>
  <c r="K256" i="489"/>
  <c r="G256" i="489"/>
  <c r="R259" i="489"/>
  <c r="K259" i="489"/>
  <c r="G259" i="489"/>
  <c r="R260" i="489"/>
  <c r="K260" i="489"/>
  <c r="G260" i="489"/>
  <c r="R257" i="489"/>
  <c r="K257" i="489"/>
  <c r="G257" i="489"/>
  <c r="R255" i="489"/>
  <c r="K255" i="489"/>
  <c r="J255" i="489"/>
  <c r="G255" i="489" s="1"/>
  <c r="R254" i="489"/>
  <c r="K254" i="489"/>
  <c r="J254" i="489"/>
  <c r="G254" i="489" s="1"/>
  <c r="R253" i="489"/>
  <c r="K253" i="489"/>
  <c r="J253" i="489"/>
  <c r="G253" i="489" s="1"/>
  <c r="O253" i="489" s="1"/>
  <c r="R252" i="489"/>
  <c r="K252" i="489"/>
  <c r="J252" i="489"/>
  <c r="G252" i="489" s="1"/>
  <c r="R251" i="489"/>
  <c r="K251" i="489"/>
  <c r="J251" i="489"/>
  <c r="G251" i="489" s="1"/>
  <c r="R250" i="489"/>
  <c r="K250" i="489"/>
  <c r="J250" i="489"/>
  <c r="G250" i="489" s="1"/>
  <c r="R370" i="489"/>
  <c r="G370" i="489"/>
  <c r="R273" i="489"/>
  <c r="K273" i="489"/>
  <c r="G273" i="489"/>
  <c r="R281" i="489"/>
  <c r="K281" i="489"/>
  <c r="J281" i="489"/>
  <c r="G281" i="489" s="1"/>
  <c r="R279" i="489"/>
  <c r="K279" i="489"/>
  <c r="J279" i="489"/>
  <c r="G279" i="489" s="1"/>
  <c r="R278" i="489"/>
  <c r="K278" i="489"/>
  <c r="J278" i="489"/>
  <c r="G278" i="489" s="1"/>
  <c r="R280" i="489"/>
  <c r="K280" i="489"/>
  <c r="J280" i="489"/>
  <c r="G280" i="489" s="1"/>
  <c r="R293" i="489"/>
  <c r="K293" i="489"/>
  <c r="J293" i="489"/>
  <c r="G293" i="489" s="1"/>
  <c r="R294" i="489"/>
  <c r="K294" i="489"/>
  <c r="J294" i="489"/>
  <c r="G294" i="489" s="1"/>
  <c r="R292" i="489"/>
  <c r="K292" i="489"/>
  <c r="J292" i="489"/>
  <c r="G292" i="489" s="1"/>
  <c r="R249" i="489"/>
  <c r="K249" i="489"/>
  <c r="G249" i="489"/>
  <c r="R369" i="489"/>
  <c r="K369" i="489"/>
  <c r="J369" i="489"/>
  <c r="G369" i="489" s="1"/>
  <c r="O369" i="489" s="1"/>
  <c r="R368" i="489"/>
  <c r="K368" i="489"/>
  <c r="J368" i="489"/>
  <c r="G368" i="489" s="1"/>
  <c r="R367" i="489"/>
  <c r="K367" i="489"/>
  <c r="J367" i="489"/>
  <c r="G367" i="489" s="1"/>
  <c r="R326" i="489"/>
  <c r="J326" i="489"/>
  <c r="G326" i="489" s="1"/>
  <c r="R366" i="489"/>
  <c r="K366" i="489"/>
  <c r="J366" i="489"/>
  <c r="G366" i="489" s="1"/>
  <c r="O366" i="489" s="1"/>
  <c r="R365" i="489"/>
  <c r="K365" i="489"/>
  <c r="J365" i="489"/>
  <c r="G365" i="489" s="1"/>
  <c r="R364" i="489"/>
  <c r="K364" i="489"/>
  <c r="J364" i="489"/>
  <c r="G364" i="489" s="1"/>
  <c r="R363" i="489"/>
  <c r="K363" i="489"/>
  <c r="J363" i="489"/>
  <c r="G363" i="489" s="1"/>
  <c r="A232" i="489"/>
  <c r="A4" i="489"/>
  <c r="N452" i="489" l="1"/>
  <c r="N454" i="489" s="1"/>
  <c r="O452" i="489"/>
  <c r="R452" i="489"/>
  <c r="R384" i="489"/>
  <c r="I366" i="489"/>
  <c r="I305" i="489"/>
  <c r="I301" i="489"/>
  <c r="I297" i="489"/>
  <c r="I253" i="489"/>
  <c r="I369" i="489"/>
  <c r="L454" i="489"/>
  <c r="O363" i="489"/>
  <c r="O326" i="489"/>
  <c r="T326" i="489" s="1"/>
  <c r="O281" i="489"/>
  <c r="O257" i="489"/>
  <c r="O298" i="489"/>
  <c r="I363" i="489"/>
  <c r="I281" i="489"/>
  <c r="O293" i="489"/>
  <c r="O251" i="489"/>
  <c r="O258" i="489"/>
  <c r="O302" i="489"/>
  <c r="O294" i="489"/>
  <c r="O250" i="489"/>
  <c r="O255" i="489"/>
  <c r="O364" i="489"/>
  <c r="O367" i="489"/>
  <c r="T367" i="489" s="1"/>
  <c r="V367" i="489" s="1"/>
  <c r="O249" i="489"/>
  <c r="T249" i="489" s="1"/>
  <c r="O280" i="489"/>
  <c r="T280" i="489" s="1"/>
  <c r="V280" i="489" s="1"/>
  <c r="O273" i="489"/>
  <c r="O252" i="489"/>
  <c r="O260" i="489"/>
  <c r="O295" i="489"/>
  <c r="O299" i="489"/>
  <c r="T299" i="489" s="1"/>
  <c r="V299" i="489" s="1"/>
  <c r="O303" i="489"/>
  <c r="T303" i="489" s="1"/>
  <c r="V303" i="489" s="1"/>
  <c r="O279" i="489"/>
  <c r="T279" i="489" s="1"/>
  <c r="V279" i="489" s="1"/>
  <c r="O256" i="489"/>
  <c r="O365" i="489"/>
  <c r="O368" i="489"/>
  <c r="O292" i="489"/>
  <c r="T292" i="489" s="1"/>
  <c r="V292" i="489" s="1"/>
  <c r="O278" i="489"/>
  <c r="O370" i="489"/>
  <c r="O254" i="489"/>
  <c r="T254" i="489" s="1"/>
  <c r="V254" i="489" s="1"/>
  <c r="O259" i="489"/>
  <c r="T259" i="489" s="1"/>
  <c r="V259" i="489" s="1"/>
  <c r="O296" i="489"/>
  <c r="O300" i="489"/>
  <c r="O304" i="489"/>
  <c r="I258" i="489"/>
  <c r="I304" i="489"/>
  <c r="I300" i="489"/>
  <c r="I256" i="489"/>
  <c r="I252" i="489"/>
  <c r="I295" i="489"/>
  <c r="I279" i="489"/>
  <c r="I280" i="489"/>
  <c r="I368" i="489"/>
  <c r="I260" i="489"/>
  <c r="I257" i="489"/>
  <c r="I303" i="489"/>
  <c r="I299" i="489"/>
  <c r="I255" i="489"/>
  <c r="I251" i="489"/>
  <c r="I249" i="489"/>
  <c r="I294" i="489"/>
  <c r="I365" i="489"/>
  <c r="I370" i="489"/>
  <c r="I273" i="489"/>
  <c r="I293" i="489"/>
  <c r="I367" i="489"/>
  <c r="I259" i="489"/>
  <c r="I302" i="489"/>
  <c r="I298" i="489"/>
  <c r="I254" i="489"/>
  <c r="I250" i="489"/>
  <c r="I296" i="489"/>
  <c r="I326" i="489"/>
  <c r="I364" i="489"/>
  <c r="I292" i="489"/>
  <c r="I278" i="489"/>
  <c r="T439" i="489"/>
  <c r="T411" i="489"/>
  <c r="T413" i="489"/>
  <c r="T397" i="489"/>
  <c r="T445" i="489"/>
  <c r="T425" i="489"/>
  <c r="T417" i="489"/>
  <c r="T301" i="489"/>
  <c r="V301" i="489" s="1"/>
  <c r="T444" i="489"/>
  <c r="T447" i="489"/>
  <c r="O485" i="489"/>
  <c r="R485" i="489"/>
  <c r="T414" i="489"/>
  <c r="T396" i="489"/>
  <c r="T398" i="489"/>
  <c r="T440" i="489"/>
  <c r="T297" i="489"/>
  <c r="V297" i="489" s="1"/>
  <c r="T369" i="489"/>
  <c r="V369" i="489" s="1"/>
  <c r="T253" i="489"/>
  <c r="V253" i="489" s="1"/>
  <c r="T305" i="489"/>
  <c r="V305" i="489" s="1"/>
  <c r="T443" i="489"/>
  <c r="T409" i="489"/>
  <c r="T470" i="489"/>
  <c r="W470" i="489" s="1"/>
  <c r="T441" i="489"/>
  <c r="T410" i="489"/>
  <c r="T416" i="489"/>
  <c r="T446" i="489"/>
  <c r="T395" i="489"/>
  <c r="T415" i="489"/>
  <c r="T402" i="489"/>
  <c r="T366" i="489"/>
  <c r="V366" i="489" s="1"/>
  <c r="T442" i="489"/>
  <c r="T408" i="489"/>
  <c r="T412" i="489"/>
  <c r="M454" i="489"/>
  <c r="T452" i="489" l="1"/>
  <c r="O384" i="489"/>
  <c r="V249" i="489"/>
  <c r="R487" i="489"/>
  <c r="O487" i="489"/>
  <c r="V470" i="489"/>
  <c r="V227" i="489"/>
  <c r="T293" i="489"/>
  <c r="V293" i="489" s="1"/>
  <c r="T363" i="489"/>
  <c r="V363" i="489" s="1"/>
  <c r="T250" i="489"/>
  <c r="V250" i="489" s="1"/>
  <c r="T252" i="489"/>
  <c r="V252" i="489" s="1"/>
  <c r="T298" i="489"/>
  <c r="V298" i="489" s="1"/>
  <c r="T294" i="489"/>
  <c r="V294" i="489" s="1"/>
  <c r="V412" i="489"/>
  <c r="V395" i="489"/>
  <c r="V444" i="489"/>
  <c r="V409" i="489"/>
  <c r="V439" i="489"/>
  <c r="V441" i="489"/>
  <c r="V447" i="489"/>
  <c r="V417" i="489"/>
  <c r="V397" i="489"/>
  <c r="V410" i="489"/>
  <c r="V440" i="489"/>
  <c r="V414" i="489"/>
  <c r="V445" i="489"/>
  <c r="V413" i="489"/>
  <c r="V446" i="489"/>
  <c r="V402" i="489"/>
  <c r="V408" i="489"/>
  <c r="V415" i="489"/>
  <c r="V416" i="489"/>
  <c r="V443" i="489"/>
  <c r="V398" i="489"/>
  <c r="V396" i="489"/>
  <c r="V425" i="489"/>
  <c r="V411" i="489"/>
  <c r="T370" i="489"/>
  <c r="V370" i="489" s="1"/>
  <c r="T281" i="489"/>
  <c r="V281" i="489" s="1"/>
  <c r="T365" i="489"/>
  <c r="V365" i="489" s="1"/>
  <c r="T255" i="489"/>
  <c r="V255" i="489" s="1"/>
  <c r="T251" i="489"/>
  <c r="V251" i="489" s="1"/>
  <c r="T295" i="489"/>
  <c r="V295" i="489" s="1"/>
  <c r="T302" i="489"/>
  <c r="V302" i="489" s="1"/>
  <c r="T300" i="489"/>
  <c r="V300" i="489" s="1"/>
  <c r="T260" i="489"/>
  <c r="V260" i="489" s="1"/>
  <c r="T368" i="489"/>
  <c r="V368" i="489" s="1"/>
  <c r="V326" i="489"/>
  <c r="T278" i="489"/>
  <c r="T304" i="489"/>
  <c r="V304" i="489" s="1"/>
  <c r="T296" i="489"/>
  <c r="V296" i="489" s="1"/>
  <c r="T273" i="489"/>
  <c r="V273" i="489" s="1"/>
  <c r="T364" i="489"/>
  <c r="V364" i="489" s="1"/>
  <c r="T256" i="489"/>
  <c r="V256" i="489" s="1"/>
  <c r="T257" i="489"/>
  <c r="V257" i="489" s="1"/>
  <c r="T258" i="489"/>
  <c r="V258" i="489" s="1"/>
  <c r="R454" i="489"/>
  <c r="V442" i="489"/>
  <c r="V452" i="489" l="1"/>
  <c r="I8" i="242" s="1"/>
  <c r="T384" i="489"/>
  <c r="T454" i="489" s="1"/>
  <c r="H182" i="479"/>
  <c r="F9" i="242"/>
  <c r="T485" i="489"/>
  <c r="V485" i="489"/>
  <c r="V278" i="489"/>
  <c r="O454" i="489"/>
  <c r="J179" i="479"/>
  <c r="V384" i="489" l="1"/>
  <c r="F8" i="242" s="1"/>
  <c r="V487" i="489"/>
  <c r="T487" i="489"/>
  <c r="I9" i="242"/>
  <c r="L8" i="242" l="1"/>
  <c r="G5" i="491" s="1"/>
  <c r="V454" i="489"/>
  <c r="C26" i="242" l="1"/>
  <c r="C16" i="242"/>
  <c r="L3" i="367" l="1"/>
  <c r="J15" i="367" l="1"/>
  <c r="L15" i="367"/>
  <c r="J10" i="367"/>
  <c r="L8" i="367"/>
  <c r="L10" i="367"/>
  <c r="J11" i="367"/>
  <c r="L11" i="367"/>
  <c r="L9" i="367"/>
  <c r="J9" i="367"/>
  <c r="J8" i="367" l="1"/>
  <c r="J13" i="367" s="1"/>
  <c r="K13" i="367"/>
  <c r="L13" i="367"/>
  <c r="J28" i="367"/>
  <c r="K28" i="367"/>
  <c r="L28" i="367"/>
  <c r="H28" i="367"/>
  <c r="H17" i="367"/>
  <c r="J17" i="367"/>
  <c r="K17" i="367"/>
  <c r="K32" i="367"/>
  <c r="H32" i="367"/>
  <c r="B16" i="242"/>
  <c r="L17" i="367" l="1"/>
  <c r="M17" i="367"/>
  <c r="L32" i="367"/>
  <c r="J32" i="367"/>
  <c r="I7" i="242" s="1"/>
  <c r="H19" i="367"/>
  <c r="K19" i="367"/>
  <c r="L205" i="479"/>
  <c r="M19" i="367" l="1"/>
  <c r="M35" i="367" s="1"/>
  <c r="D35" i="242" l="1"/>
  <c r="D11" i="242"/>
  <c r="P11" i="242" s="1"/>
  <c r="D12" i="242"/>
  <c r="P12" i="242" s="1"/>
  <c r="D13" i="242"/>
  <c r="P13" i="242" s="1"/>
  <c r="D14" i="242"/>
  <c r="P14" i="242" s="1"/>
  <c r="D22" i="242"/>
  <c r="H79" i="479" l="1"/>
  <c r="N1" i="479" l="1"/>
  <c r="E114" i="479" l="1"/>
  <c r="I114" i="479" s="1"/>
  <c r="E89" i="479"/>
  <c r="I89" i="479" s="1"/>
  <c r="D22" i="479"/>
  <c r="I22" i="479" s="1"/>
  <c r="N22" i="479" s="1"/>
  <c r="P22" i="479" s="1"/>
  <c r="E121" i="479"/>
  <c r="I121" i="479" s="1"/>
  <c r="N121" i="479" s="1"/>
  <c r="P121" i="479" s="1"/>
  <c r="P235" i="479"/>
  <c r="P157" i="479"/>
  <c r="P190" i="479"/>
  <c r="D33" i="479"/>
  <c r="P33" i="479" s="1"/>
  <c r="P155" i="479"/>
  <c r="D44" i="479"/>
  <c r="I44" i="479" s="1"/>
  <c r="P44" i="479" s="1"/>
  <c r="D45" i="479"/>
  <c r="I45" i="479" s="1"/>
  <c r="P45" i="479" s="1"/>
  <c r="P231" i="479"/>
  <c r="P233" i="479"/>
  <c r="E112" i="479"/>
  <c r="D112" i="479" s="1"/>
  <c r="I112" i="479" s="1"/>
  <c r="E87" i="479"/>
  <c r="D87" i="479" s="1"/>
  <c r="I87" i="479" s="1"/>
  <c r="P140" i="479"/>
  <c r="E120" i="479"/>
  <c r="D120" i="479" s="1"/>
  <c r="I120" i="479" s="1"/>
  <c r="N120" i="479" s="1"/>
  <c r="P120" i="479" s="1"/>
  <c r="P153" i="479"/>
  <c r="P189" i="479"/>
  <c r="P175" i="479"/>
  <c r="P188" i="479"/>
  <c r="P223" i="479"/>
  <c r="D21" i="479"/>
  <c r="I21" i="479" s="1"/>
  <c r="P21" i="479" s="1"/>
  <c r="P266" i="479"/>
  <c r="P269" i="479" s="1"/>
  <c r="P215" i="479"/>
  <c r="P221" i="479"/>
  <c r="P217" i="479"/>
  <c r="P219" i="479"/>
  <c r="D58" i="479"/>
  <c r="P58" i="479" s="1"/>
  <c r="D43" i="479"/>
  <c r="I43" i="479" s="1"/>
  <c r="P43" i="479" s="1"/>
  <c r="D31" i="479"/>
  <c r="P31" i="479" s="1"/>
  <c r="D20" i="479"/>
  <c r="I20" i="479" s="1"/>
  <c r="P20" i="479" s="1"/>
  <c r="D19" i="479"/>
  <c r="I19" i="479" s="1"/>
  <c r="P19" i="479" s="1"/>
  <c r="D29" i="479"/>
  <c r="P29" i="479" s="1"/>
  <c r="P151" i="479"/>
  <c r="N250" i="479"/>
  <c r="P250" i="479" s="1"/>
  <c r="P187" i="479"/>
  <c r="P139" i="479"/>
  <c r="P186" i="479"/>
  <c r="P149" i="479"/>
  <c r="P173" i="479"/>
  <c r="P171" i="479"/>
  <c r="P169" i="479"/>
  <c r="P167" i="479"/>
  <c r="D54" i="479"/>
  <c r="P54" i="479" s="1"/>
  <c r="D52" i="479"/>
  <c r="P52" i="479" s="1"/>
  <c r="D56" i="479"/>
  <c r="P56" i="479" s="1"/>
  <c r="D18" i="479"/>
  <c r="I18" i="479" s="1"/>
  <c r="P18" i="479" s="1"/>
  <c r="D42" i="479"/>
  <c r="I42" i="479" s="1"/>
  <c r="P42" i="479" s="1"/>
  <c r="P185" i="479"/>
  <c r="P138" i="479"/>
  <c r="P165" i="479"/>
  <c r="P147" i="479"/>
  <c r="D10" i="479"/>
  <c r="P10" i="479" s="1"/>
  <c r="D8" i="479"/>
  <c r="P8" i="479" s="1"/>
  <c r="D41" i="479"/>
  <c r="I41" i="479" s="1"/>
  <c r="D17" i="479"/>
  <c r="I17" i="479" s="1"/>
  <c r="P41" i="479"/>
  <c r="D16" i="479"/>
  <c r="I16" i="479" s="1"/>
  <c r="N248" i="479"/>
  <c r="P248" i="479" s="1"/>
  <c r="N247" i="479"/>
  <c r="P247" i="479" s="1"/>
  <c r="E85" i="479"/>
  <c r="D85" i="479" s="1"/>
  <c r="I85" i="479" s="1"/>
  <c r="E96" i="479"/>
  <c r="I96" i="479" s="1"/>
  <c r="N96" i="479" s="1"/>
  <c r="P96" i="479" s="1"/>
  <c r="N245" i="479"/>
  <c r="P245" i="479" s="1"/>
  <c r="E83" i="479"/>
  <c r="N244" i="479"/>
  <c r="P244" i="479" s="1"/>
  <c r="E110" i="479"/>
  <c r="D110" i="479" s="1"/>
  <c r="I110" i="479" s="1"/>
  <c r="N144" i="479"/>
  <c r="E108" i="479"/>
  <c r="D108" i="479" s="1"/>
  <c r="I108" i="479" s="1"/>
  <c r="E106" i="479"/>
  <c r="D106" i="479" s="1"/>
  <c r="I106" i="479" s="1"/>
  <c r="N241" i="479"/>
  <c r="P241" i="479" s="1"/>
  <c r="N260" i="479"/>
  <c r="P260" i="479" s="1"/>
  <c r="N242" i="479"/>
  <c r="P242" i="479" s="1"/>
  <c r="N249" i="479"/>
  <c r="N243" i="479"/>
  <c r="P243" i="479" s="1"/>
  <c r="N262" i="479"/>
  <c r="P262" i="479" s="1"/>
  <c r="N246" i="479"/>
  <c r="I92" i="479" l="1"/>
  <c r="P89" i="479"/>
  <c r="I117" i="479"/>
  <c r="P114" i="479"/>
  <c r="P229" i="479"/>
  <c r="P238" i="479" s="1"/>
  <c r="N238" i="479"/>
  <c r="P87" i="479"/>
  <c r="P106" i="479"/>
  <c r="P112" i="479"/>
  <c r="N179" i="479"/>
  <c r="P179" i="479"/>
  <c r="N226" i="479"/>
  <c r="P195" i="479"/>
  <c r="P200" i="479" s="1"/>
  <c r="N200" i="479"/>
  <c r="P249" i="479"/>
  <c r="P17" i="479"/>
  <c r="P16" i="479"/>
  <c r="P85" i="479"/>
  <c r="D83" i="479"/>
  <c r="I83" i="479" s="1"/>
  <c r="P110" i="479"/>
  <c r="N13" i="479"/>
  <c r="I79" i="479"/>
  <c r="P108" i="479"/>
  <c r="N193" i="479"/>
  <c r="P144" i="479"/>
  <c r="I25" i="479"/>
  <c r="P161" i="479"/>
  <c r="N161" i="479"/>
  <c r="N48" i="479"/>
  <c r="P213" i="479"/>
  <c r="P226" i="479" s="1"/>
  <c r="P246" i="479"/>
  <c r="I48" i="479"/>
  <c r="N61" i="479"/>
  <c r="N269" i="479"/>
  <c r="P117" i="479" l="1"/>
  <c r="P83" i="479"/>
  <c r="P98" i="479"/>
  <c r="I98" i="479"/>
  <c r="P193" i="479"/>
  <c r="P25" i="479"/>
  <c r="I123" i="479"/>
  <c r="P61" i="479"/>
  <c r="N203" i="479"/>
  <c r="P182" i="479"/>
  <c r="N63" i="479"/>
  <c r="N182" i="479"/>
  <c r="N98" i="479" l="1"/>
  <c r="P123" i="479"/>
  <c r="N123" i="479"/>
  <c r="N92" i="479"/>
  <c r="P48" i="479"/>
  <c r="P63" i="479" s="1"/>
  <c r="N36" i="479"/>
  <c r="N38" i="479" s="1"/>
  <c r="N65" i="479" s="1"/>
  <c r="P203" i="479"/>
  <c r="N117" i="479"/>
  <c r="N205" i="479"/>
  <c r="N125" i="479" l="1"/>
  <c r="P92" i="479"/>
  <c r="P36" i="479"/>
  <c r="P38" i="479" s="1"/>
  <c r="P65" i="479" s="1"/>
  <c r="C20" i="242" l="1"/>
  <c r="C33" i="242" s="1"/>
  <c r="B20" i="242"/>
  <c r="WSX18" i="242"/>
  <c r="WSS18" i="242"/>
  <c r="WSY18" i="242" s="1"/>
  <c r="WSP18" i="242"/>
  <c r="WSH18" i="242"/>
  <c r="WSC18" i="242"/>
  <c r="WSI18" i="242" s="1"/>
  <c r="WRZ18" i="242"/>
  <c r="WRR18" i="242"/>
  <c r="WRM18" i="242"/>
  <c r="WRS18" i="242" s="1"/>
  <c r="WRJ18" i="242"/>
  <c r="WRB18" i="242"/>
  <c r="WQW18" i="242"/>
  <c r="WRC18" i="242" s="1"/>
  <c r="WQT18" i="242"/>
  <c r="WQL18" i="242"/>
  <c r="WQG18" i="242"/>
  <c r="WQM18" i="242" s="1"/>
  <c r="WQD18" i="242"/>
  <c r="WPV18" i="242"/>
  <c r="WPQ18" i="242"/>
  <c r="WPW18" i="242" s="1"/>
  <c r="WPN18" i="242"/>
  <c r="WPF18" i="242"/>
  <c r="WPA18" i="242"/>
  <c r="WPG18" i="242" s="1"/>
  <c r="WOX18" i="242"/>
  <c r="WOP18" i="242"/>
  <c r="WOK18" i="242"/>
  <c r="WOQ18" i="242" s="1"/>
  <c r="WOH18" i="242"/>
  <c r="WNZ18" i="242"/>
  <c r="WNU18" i="242"/>
  <c r="WOA18" i="242" s="1"/>
  <c r="WNR18" i="242"/>
  <c r="WNJ18" i="242"/>
  <c r="WNE18" i="242"/>
  <c r="WNK18" i="242" s="1"/>
  <c r="WNB18" i="242"/>
  <c r="WMT18" i="242"/>
  <c r="WMO18" i="242"/>
  <c r="WMU18" i="242" s="1"/>
  <c r="WML18" i="242"/>
  <c r="WMD18" i="242"/>
  <c r="WLY18" i="242"/>
  <c r="WME18" i="242" s="1"/>
  <c r="WLV18" i="242"/>
  <c r="WLN18" i="242"/>
  <c r="WLI18" i="242"/>
  <c r="WLO18" i="242" s="1"/>
  <c r="WLF18" i="242"/>
  <c r="WKX18" i="242"/>
  <c r="WKS18" i="242"/>
  <c r="WKY18" i="242" s="1"/>
  <c r="WKP18" i="242"/>
  <c r="WKH18" i="242"/>
  <c r="WKC18" i="242"/>
  <c r="WKI18" i="242" s="1"/>
  <c r="WJZ18" i="242"/>
  <c r="WJR18" i="242"/>
  <c r="WJM18" i="242"/>
  <c r="WJS18" i="242" s="1"/>
  <c r="WJJ18" i="242"/>
  <c r="WJB18" i="242"/>
  <c r="WIW18" i="242"/>
  <c r="WJC18" i="242" s="1"/>
  <c r="WIT18" i="242"/>
  <c r="WIL18" i="242"/>
  <c r="WIG18" i="242"/>
  <c r="WIM18" i="242" s="1"/>
  <c r="WID18" i="242"/>
  <c r="WHV18" i="242"/>
  <c r="WHQ18" i="242"/>
  <c r="WHW18" i="242" s="1"/>
  <c r="WHN18" i="242"/>
  <c r="WHF18" i="242"/>
  <c r="WHA18" i="242"/>
  <c r="WHG18" i="242" s="1"/>
  <c r="WGX18" i="242"/>
  <c r="WGP18" i="242"/>
  <c r="WGK18" i="242"/>
  <c r="WGQ18" i="242" s="1"/>
  <c r="WGH18" i="242"/>
  <c r="WFZ18" i="242"/>
  <c r="WFU18" i="242"/>
  <c r="WGA18" i="242" s="1"/>
  <c r="WFR18" i="242"/>
  <c r="WFJ18" i="242"/>
  <c r="WFE18" i="242"/>
  <c r="WFK18" i="242" s="1"/>
  <c r="WFB18" i="242"/>
  <c r="WET18" i="242"/>
  <c r="WEO18" i="242"/>
  <c r="WEU18" i="242" s="1"/>
  <c r="WEL18" i="242"/>
  <c r="WED18" i="242"/>
  <c r="WDY18" i="242"/>
  <c r="WEE18" i="242" s="1"/>
  <c r="WDV18" i="242"/>
  <c r="WDN18" i="242"/>
  <c r="WDI18" i="242"/>
  <c r="WDO18" i="242" s="1"/>
  <c r="WDF18" i="242"/>
  <c r="WCX18" i="242"/>
  <c r="WCS18" i="242"/>
  <c r="WCY18" i="242" s="1"/>
  <c r="WCP18" i="242"/>
  <c r="WCH18" i="242"/>
  <c r="WCC18" i="242"/>
  <c r="WCI18" i="242" s="1"/>
  <c r="WBZ18" i="242"/>
  <c r="WBR18" i="242"/>
  <c r="WBM18" i="242"/>
  <c r="WBS18" i="242" s="1"/>
  <c r="WBJ18" i="242"/>
  <c r="WBB18" i="242"/>
  <c r="WAW18" i="242"/>
  <c r="WBC18" i="242" s="1"/>
  <c r="WAT18" i="242"/>
  <c r="WAL18" i="242"/>
  <c r="WAG18" i="242"/>
  <c r="WAM18" i="242" s="1"/>
  <c r="WAD18" i="242"/>
  <c r="VZV18" i="242"/>
  <c r="VZQ18" i="242"/>
  <c r="VZW18" i="242" s="1"/>
  <c r="VZN18" i="242"/>
  <c r="VZF18" i="242"/>
  <c r="VZA18" i="242"/>
  <c r="VZG18" i="242" s="1"/>
  <c r="VYX18" i="242"/>
  <c r="VYP18" i="242"/>
  <c r="VYK18" i="242"/>
  <c r="VYQ18" i="242" s="1"/>
  <c r="VYH18" i="242"/>
  <c r="VXZ18" i="242"/>
  <c r="VXU18" i="242"/>
  <c r="VYA18" i="242" s="1"/>
  <c r="VXR18" i="242"/>
  <c r="VXJ18" i="242"/>
  <c r="VXE18" i="242"/>
  <c r="VXK18" i="242" s="1"/>
  <c r="VXB18" i="242"/>
  <c r="VWT18" i="242"/>
  <c r="VWO18" i="242"/>
  <c r="VWU18" i="242" s="1"/>
  <c r="VWL18" i="242"/>
  <c r="VWD18" i="242"/>
  <c r="VVY18" i="242"/>
  <c r="VWE18" i="242" s="1"/>
  <c r="VVV18" i="242"/>
  <c r="VVN18" i="242"/>
  <c r="VVI18" i="242"/>
  <c r="VVO18" i="242" s="1"/>
  <c r="VVF18" i="242"/>
  <c r="VUX18" i="242"/>
  <c r="VUS18" i="242"/>
  <c r="VUY18" i="242" s="1"/>
  <c r="VUP18" i="242"/>
  <c r="VUH18" i="242"/>
  <c r="VUC18" i="242"/>
  <c r="VUI18" i="242" s="1"/>
  <c r="VTZ18" i="242"/>
  <c r="VTR18" i="242"/>
  <c r="VTM18" i="242"/>
  <c r="VTS18" i="242" s="1"/>
  <c r="VTJ18" i="242"/>
  <c r="VTB18" i="242"/>
  <c r="VSW18" i="242"/>
  <c r="VTC18" i="242" s="1"/>
  <c r="VST18" i="242"/>
  <c r="VSL18" i="242"/>
  <c r="VSG18" i="242"/>
  <c r="VSM18" i="242" s="1"/>
  <c r="VSD18" i="242"/>
  <c r="VRV18" i="242"/>
  <c r="VRQ18" i="242"/>
  <c r="VRW18" i="242" s="1"/>
  <c r="VRN18" i="242"/>
  <c r="VRF18" i="242"/>
  <c r="VRA18" i="242"/>
  <c r="VRG18" i="242" s="1"/>
  <c r="VQX18" i="242"/>
  <c r="VQP18" i="242"/>
  <c r="VQK18" i="242"/>
  <c r="VQQ18" i="242" s="1"/>
  <c r="VQH18" i="242"/>
  <c r="VPZ18" i="242"/>
  <c r="VPU18" i="242"/>
  <c r="VQA18" i="242" s="1"/>
  <c r="VPR18" i="242"/>
  <c r="VPJ18" i="242"/>
  <c r="VPE18" i="242"/>
  <c r="VPK18" i="242" s="1"/>
  <c r="VPB18" i="242"/>
  <c r="VOT18" i="242"/>
  <c r="VOO18" i="242"/>
  <c r="VOU18" i="242" s="1"/>
  <c r="VOL18" i="242"/>
  <c r="VOD18" i="242"/>
  <c r="VNY18" i="242"/>
  <c r="VOE18" i="242" s="1"/>
  <c r="VNV18" i="242"/>
  <c r="VNN18" i="242"/>
  <c r="VNI18" i="242"/>
  <c r="VNO18" i="242" s="1"/>
  <c r="VNF18" i="242"/>
  <c r="VMX18" i="242"/>
  <c r="VMS18" i="242"/>
  <c r="VMY18" i="242" s="1"/>
  <c r="VMP18" i="242"/>
  <c r="VMH18" i="242"/>
  <c r="VMC18" i="242"/>
  <c r="VMI18" i="242" s="1"/>
  <c r="VLZ18" i="242"/>
  <c r="VLR18" i="242"/>
  <c r="VLM18" i="242"/>
  <c r="VLS18" i="242" s="1"/>
  <c r="VLJ18" i="242"/>
  <c r="VLB18" i="242"/>
  <c r="VKW18" i="242"/>
  <c r="VLC18" i="242" s="1"/>
  <c r="VKT18" i="242"/>
  <c r="VKL18" i="242"/>
  <c r="VKG18" i="242"/>
  <c r="VKM18" i="242" s="1"/>
  <c r="VKD18" i="242"/>
  <c r="VJV18" i="242"/>
  <c r="VJQ18" i="242"/>
  <c r="VJW18" i="242" s="1"/>
  <c r="VJN18" i="242"/>
  <c r="VJF18" i="242"/>
  <c r="VJA18" i="242"/>
  <c r="VJG18" i="242" s="1"/>
  <c r="VIX18" i="242"/>
  <c r="VIP18" i="242"/>
  <c r="VIK18" i="242"/>
  <c r="VIQ18" i="242" s="1"/>
  <c r="VIH18" i="242"/>
  <c r="VHZ18" i="242"/>
  <c r="VHU18" i="242"/>
  <c r="VIA18" i="242" s="1"/>
  <c r="VHR18" i="242"/>
  <c r="VHJ18" i="242"/>
  <c r="VHE18" i="242"/>
  <c r="VHK18" i="242" s="1"/>
  <c r="VHB18" i="242"/>
  <c r="VGT18" i="242"/>
  <c r="VGO18" i="242"/>
  <c r="VGU18" i="242" s="1"/>
  <c r="VGL18" i="242"/>
  <c r="VGD18" i="242"/>
  <c r="VFY18" i="242"/>
  <c r="VGE18" i="242" s="1"/>
  <c r="VFV18" i="242"/>
  <c r="VFN18" i="242"/>
  <c r="VFI18" i="242"/>
  <c r="VFO18" i="242" s="1"/>
  <c r="VFF18" i="242"/>
  <c r="VEX18" i="242"/>
  <c r="VES18" i="242"/>
  <c r="VEY18" i="242" s="1"/>
  <c r="VEP18" i="242"/>
  <c r="VEH18" i="242"/>
  <c r="VEC18" i="242"/>
  <c r="VEI18" i="242" s="1"/>
  <c r="VDZ18" i="242"/>
  <c r="VDR18" i="242"/>
  <c r="VDM18" i="242"/>
  <c r="VDS18" i="242" s="1"/>
  <c r="VDJ18" i="242"/>
  <c r="VDB18" i="242"/>
  <c r="VCW18" i="242"/>
  <c r="VDC18" i="242" s="1"/>
  <c r="VCT18" i="242"/>
  <c r="VCL18" i="242"/>
  <c r="VCG18" i="242"/>
  <c r="VCM18" i="242" s="1"/>
  <c r="VCD18" i="242"/>
  <c r="VBV18" i="242"/>
  <c r="VBQ18" i="242"/>
  <c r="VBW18" i="242" s="1"/>
  <c r="VBN18" i="242"/>
  <c r="VBF18" i="242"/>
  <c r="VBA18" i="242"/>
  <c r="VBG18" i="242" s="1"/>
  <c r="VAX18" i="242"/>
  <c r="VAP18" i="242"/>
  <c r="VAK18" i="242"/>
  <c r="VAQ18" i="242" s="1"/>
  <c r="VAH18" i="242"/>
  <c r="UZZ18" i="242"/>
  <c r="UZU18" i="242"/>
  <c r="VAA18" i="242" s="1"/>
  <c r="UZR18" i="242"/>
  <c r="UZJ18" i="242"/>
  <c r="UZE18" i="242"/>
  <c r="UZK18" i="242" s="1"/>
  <c r="UZB18" i="242"/>
  <c r="UYT18" i="242"/>
  <c r="UYO18" i="242"/>
  <c r="UYU18" i="242" s="1"/>
  <c r="UYL18" i="242"/>
  <c r="UYD18" i="242"/>
  <c r="UXY18" i="242"/>
  <c r="UYE18" i="242" s="1"/>
  <c r="UXV18" i="242"/>
  <c r="UXN18" i="242"/>
  <c r="UXI18" i="242"/>
  <c r="UXO18" i="242" s="1"/>
  <c r="UXF18" i="242"/>
  <c r="UWX18" i="242"/>
  <c r="UWS18" i="242"/>
  <c r="UWY18" i="242" s="1"/>
  <c r="UWP18" i="242"/>
  <c r="UWH18" i="242"/>
  <c r="UWC18" i="242"/>
  <c r="UWI18" i="242" s="1"/>
  <c r="UVZ18" i="242"/>
  <c r="UVR18" i="242"/>
  <c r="UVM18" i="242"/>
  <c r="UVS18" i="242" s="1"/>
  <c r="UVJ18" i="242"/>
  <c r="UVB18" i="242"/>
  <c r="UUW18" i="242"/>
  <c r="UVC18" i="242" s="1"/>
  <c r="UUT18" i="242"/>
  <c r="UUL18" i="242"/>
  <c r="UUG18" i="242"/>
  <c r="UUM18" i="242" s="1"/>
  <c r="UUD18" i="242"/>
  <c r="UTV18" i="242"/>
  <c r="UTQ18" i="242"/>
  <c r="UTW18" i="242" s="1"/>
  <c r="UTN18" i="242"/>
  <c r="UTF18" i="242"/>
  <c r="UTA18" i="242"/>
  <c r="UTG18" i="242" s="1"/>
  <c r="USX18" i="242"/>
  <c r="USP18" i="242"/>
  <c r="USK18" i="242"/>
  <c r="USQ18" i="242" s="1"/>
  <c r="USH18" i="242"/>
  <c r="URZ18" i="242"/>
  <c r="URU18" i="242"/>
  <c r="USA18" i="242" s="1"/>
  <c r="URR18" i="242"/>
  <c r="URJ18" i="242"/>
  <c r="URE18" i="242"/>
  <c r="URK18" i="242" s="1"/>
  <c r="URB18" i="242"/>
  <c r="UQT18" i="242"/>
  <c r="UQO18" i="242"/>
  <c r="UQU18" i="242" s="1"/>
  <c r="UQL18" i="242"/>
  <c r="UQD18" i="242"/>
  <c r="UPY18" i="242"/>
  <c r="UQE18" i="242" s="1"/>
  <c r="UPV18" i="242"/>
  <c r="UPN18" i="242"/>
  <c r="UPI18" i="242"/>
  <c r="UPO18" i="242" s="1"/>
  <c r="UPF18" i="242"/>
  <c r="UOX18" i="242"/>
  <c r="UOS18" i="242"/>
  <c r="UOY18" i="242" s="1"/>
  <c r="UOP18" i="242"/>
  <c r="UOH18" i="242"/>
  <c r="UOC18" i="242"/>
  <c r="UOI18" i="242" s="1"/>
  <c r="UNZ18" i="242"/>
  <c r="UNR18" i="242"/>
  <c r="UNM18" i="242"/>
  <c r="UNS18" i="242" s="1"/>
  <c r="UNJ18" i="242"/>
  <c r="UNB18" i="242"/>
  <c r="UMW18" i="242"/>
  <c r="UNC18" i="242" s="1"/>
  <c r="UMT18" i="242"/>
  <c r="UML18" i="242"/>
  <c r="UMG18" i="242"/>
  <c r="UMM18" i="242" s="1"/>
  <c r="UMD18" i="242"/>
  <c r="ULV18" i="242"/>
  <c r="ULQ18" i="242"/>
  <c r="ULW18" i="242" s="1"/>
  <c r="ULN18" i="242"/>
  <c r="ULF18" i="242"/>
  <c r="ULA18" i="242"/>
  <c r="ULG18" i="242" s="1"/>
  <c r="UKX18" i="242"/>
  <c r="UKP18" i="242"/>
  <c r="UKK18" i="242"/>
  <c r="UKQ18" i="242" s="1"/>
  <c r="UKH18" i="242"/>
  <c r="UJZ18" i="242"/>
  <c r="UJU18" i="242"/>
  <c r="UKA18" i="242" s="1"/>
  <c r="UJR18" i="242"/>
  <c r="UJJ18" i="242"/>
  <c r="UJE18" i="242"/>
  <c r="UJK18" i="242" s="1"/>
  <c r="UJB18" i="242"/>
  <c r="UIT18" i="242"/>
  <c r="UIO18" i="242"/>
  <c r="UIU18" i="242" s="1"/>
  <c r="UIL18" i="242"/>
  <c r="UID18" i="242"/>
  <c r="UHY18" i="242"/>
  <c r="UIE18" i="242" s="1"/>
  <c r="UHV18" i="242"/>
  <c r="UHN18" i="242"/>
  <c r="UHI18" i="242"/>
  <c r="UHO18" i="242" s="1"/>
  <c r="UHF18" i="242"/>
  <c r="UGX18" i="242"/>
  <c r="UGS18" i="242"/>
  <c r="UGY18" i="242" s="1"/>
  <c r="UGP18" i="242"/>
  <c r="UGH18" i="242"/>
  <c r="UGC18" i="242"/>
  <c r="UGI18" i="242" s="1"/>
  <c r="UFZ18" i="242"/>
  <c r="UFR18" i="242"/>
  <c r="UFM18" i="242"/>
  <c r="UFS18" i="242" s="1"/>
  <c r="UFJ18" i="242"/>
  <c r="UFB18" i="242"/>
  <c r="UEW18" i="242"/>
  <c r="UFC18" i="242" s="1"/>
  <c r="UET18" i="242"/>
  <c r="UEL18" i="242"/>
  <c r="UEG18" i="242"/>
  <c r="UEM18" i="242" s="1"/>
  <c r="UED18" i="242"/>
  <c r="UDV18" i="242"/>
  <c r="UDQ18" i="242"/>
  <c r="UDW18" i="242" s="1"/>
  <c r="UDN18" i="242"/>
  <c r="UDF18" i="242"/>
  <c r="UDA18" i="242"/>
  <c r="UDG18" i="242" s="1"/>
  <c r="UCX18" i="242"/>
  <c r="UCP18" i="242"/>
  <c r="UCK18" i="242"/>
  <c r="UCQ18" i="242" s="1"/>
  <c r="UCH18" i="242"/>
  <c r="UBZ18" i="242"/>
  <c r="UBU18" i="242"/>
  <c r="UCA18" i="242" s="1"/>
  <c r="UBR18" i="242"/>
  <c r="UBJ18" i="242"/>
  <c r="UBE18" i="242"/>
  <c r="UBK18" i="242" s="1"/>
  <c r="UBB18" i="242"/>
  <c r="UAT18" i="242"/>
  <c r="UAO18" i="242"/>
  <c r="UAU18" i="242" s="1"/>
  <c r="UAL18" i="242"/>
  <c r="UAD18" i="242"/>
  <c r="TZY18" i="242"/>
  <c r="UAE18" i="242" s="1"/>
  <c r="TZV18" i="242"/>
  <c r="TZN18" i="242"/>
  <c r="TZI18" i="242"/>
  <c r="TZO18" i="242" s="1"/>
  <c r="TZF18" i="242"/>
  <c r="TYX18" i="242"/>
  <c r="TYS18" i="242"/>
  <c r="TYY18" i="242" s="1"/>
  <c r="TYP18" i="242"/>
  <c r="TYH18" i="242"/>
  <c r="TYC18" i="242"/>
  <c r="TYI18" i="242" s="1"/>
  <c r="TXZ18" i="242"/>
  <c r="TXR18" i="242"/>
  <c r="TXM18" i="242"/>
  <c r="TXS18" i="242" s="1"/>
  <c r="TXJ18" i="242"/>
  <c r="TXB18" i="242"/>
  <c r="TWW18" i="242"/>
  <c r="TXC18" i="242" s="1"/>
  <c r="TWT18" i="242"/>
  <c r="TWL18" i="242"/>
  <c r="TWG18" i="242"/>
  <c r="TWM18" i="242" s="1"/>
  <c r="TWD18" i="242"/>
  <c r="TVV18" i="242"/>
  <c r="TVQ18" i="242"/>
  <c r="TVW18" i="242" s="1"/>
  <c r="TVN18" i="242"/>
  <c r="TVF18" i="242"/>
  <c r="TVA18" i="242"/>
  <c r="TVG18" i="242" s="1"/>
  <c r="TUX18" i="242"/>
  <c r="TUP18" i="242"/>
  <c r="TUK18" i="242"/>
  <c r="TUQ18" i="242" s="1"/>
  <c r="TUH18" i="242"/>
  <c r="TTZ18" i="242"/>
  <c r="TTU18" i="242"/>
  <c r="TUA18" i="242" s="1"/>
  <c r="TTR18" i="242"/>
  <c r="TTJ18" i="242"/>
  <c r="TTE18" i="242"/>
  <c r="TTK18" i="242" s="1"/>
  <c r="TTB18" i="242"/>
  <c r="TST18" i="242"/>
  <c r="TSO18" i="242"/>
  <c r="TSU18" i="242" s="1"/>
  <c r="TSL18" i="242"/>
  <c r="TSD18" i="242"/>
  <c r="TRY18" i="242"/>
  <c r="TSE18" i="242" s="1"/>
  <c r="TRV18" i="242"/>
  <c r="TRN18" i="242"/>
  <c r="TRI18" i="242"/>
  <c r="TRO18" i="242" s="1"/>
  <c r="TRF18" i="242"/>
  <c r="TQX18" i="242"/>
  <c r="TQS18" i="242"/>
  <c r="TQY18" i="242" s="1"/>
  <c r="TQP18" i="242"/>
  <c r="TQH18" i="242"/>
  <c r="TQC18" i="242"/>
  <c r="TQI18" i="242" s="1"/>
  <c r="TPZ18" i="242"/>
  <c r="TPR18" i="242"/>
  <c r="TPM18" i="242"/>
  <c r="TPS18" i="242" s="1"/>
  <c r="TPJ18" i="242"/>
  <c r="TPB18" i="242"/>
  <c r="TOW18" i="242"/>
  <c r="TPC18" i="242" s="1"/>
  <c r="TOT18" i="242"/>
  <c r="TOL18" i="242"/>
  <c r="TOG18" i="242"/>
  <c r="TOM18" i="242" s="1"/>
  <c r="TOD18" i="242"/>
  <c r="TNV18" i="242"/>
  <c r="TNQ18" i="242"/>
  <c r="TNW18" i="242" s="1"/>
  <c r="TNN18" i="242"/>
  <c r="TNF18" i="242"/>
  <c r="TNA18" i="242"/>
  <c r="TNG18" i="242" s="1"/>
  <c r="TMX18" i="242"/>
  <c r="TMP18" i="242"/>
  <c r="TMK18" i="242"/>
  <c r="TMQ18" i="242" s="1"/>
  <c r="TMH18" i="242"/>
  <c r="TLZ18" i="242"/>
  <c r="TLU18" i="242"/>
  <c r="TMA18" i="242" s="1"/>
  <c r="TLR18" i="242"/>
  <c r="TLJ18" i="242"/>
  <c r="TLE18" i="242"/>
  <c r="TLK18" i="242" s="1"/>
  <c r="TLB18" i="242"/>
  <c r="TKT18" i="242"/>
  <c r="TKO18" i="242"/>
  <c r="TKU18" i="242" s="1"/>
  <c r="TKL18" i="242"/>
  <c r="TKD18" i="242"/>
  <c r="TJY18" i="242"/>
  <c r="TKE18" i="242" s="1"/>
  <c r="TJV18" i="242"/>
  <c r="TJN18" i="242"/>
  <c r="TJI18" i="242"/>
  <c r="TJO18" i="242" s="1"/>
  <c r="TJF18" i="242"/>
  <c r="TIX18" i="242"/>
  <c r="TIS18" i="242"/>
  <c r="TIY18" i="242" s="1"/>
  <c r="TIP18" i="242"/>
  <c r="TIH18" i="242"/>
  <c r="TIC18" i="242"/>
  <c r="TII18" i="242" s="1"/>
  <c r="THZ18" i="242"/>
  <c r="THR18" i="242"/>
  <c r="THM18" i="242"/>
  <c r="THS18" i="242" s="1"/>
  <c r="THJ18" i="242"/>
  <c r="THB18" i="242"/>
  <c r="TGW18" i="242"/>
  <c r="THC18" i="242" s="1"/>
  <c r="TGT18" i="242"/>
  <c r="TGL18" i="242"/>
  <c r="TGG18" i="242"/>
  <c r="TGM18" i="242" s="1"/>
  <c r="TGD18" i="242"/>
  <c r="TFV18" i="242"/>
  <c r="TFQ18" i="242"/>
  <c r="TFW18" i="242" s="1"/>
  <c r="TFN18" i="242"/>
  <c r="TFF18" i="242"/>
  <c r="TFA18" i="242"/>
  <c r="TFG18" i="242" s="1"/>
  <c r="TEX18" i="242"/>
  <c r="TEP18" i="242"/>
  <c r="TEK18" i="242"/>
  <c r="TEQ18" i="242" s="1"/>
  <c r="TEH18" i="242"/>
  <c r="TDZ18" i="242"/>
  <c r="TDU18" i="242"/>
  <c r="TEA18" i="242" s="1"/>
  <c r="TDR18" i="242"/>
  <c r="TDJ18" i="242"/>
  <c r="TDE18" i="242"/>
  <c r="TDK18" i="242" s="1"/>
  <c r="TDB18" i="242"/>
  <c r="TCT18" i="242"/>
  <c r="TCO18" i="242"/>
  <c r="TCU18" i="242" s="1"/>
  <c r="TCL18" i="242"/>
  <c r="TCD18" i="242"/>
  <c r="TBY18" i="242"/>
  <c r="TCE18" i="242" s="1"/>
  <c r="TBV18" i="242"/>
  <c r="TBN18" i="242"/>
  <c r="TBI18" i="242"/>
  <c r="TBO18" i="242" s="1"/>
  <c r="TBF18" i="242"/>
  <c r="TAX18" i="242"/>
  <c r="TAS18" i="242"/>
  <c r="TAY18" i="242" s="1"/>
  <c r="TAP18" i="242"/>
  <c r="TAH18" i="242"/>
  <c r="TAC18" i="242"/>
  <c r="TAI18" i="242" s="1"/>
  <c r="SZZ18" i="242"/>
  <c r="SZR18" i="242"/>
  <c r="SZM18" i="242"/>
  <c r="SZS18" i="242" s="1"/>
  <c r="SZJ18" i="242"/>
  <c r="SZB18" i="242"/>
  <c r="SYW18" i="242"/>
  <c r="SZC18" i="242" s="1"/>
  <c r="SYT18" i="242"/>
  <c r="SYL18" i="242"/>
  <c r="SYG18" i="242"/>
  <c r="SYM18" i="242" s="1"/>
  <c r="SYD18" i="242"/>
  <c r="SXV18" i="242"/>
  <c r="SXQ18" i="242"/>
  <c r="SXW18" i="242" s="1"/>
  <c r="SXN18" i="242"/>
  <c r="SXF18" i="242"/>
  <c r="SXA18" i="242"/>
  <c r="SXG18" i="242" s="1"/>
  <c r="SWX18" i="242"/>
  <c r="SWP18" i="242"/>
  <c r="SWK18" i="242"/>
  <c r="SWQ18" i="242" s="1"/>
  <c r="SWH18" i="242"/>
  <c r="SVZ18" i="242"/>
  <c r="SVU18" i="242"/>
  <c r="SWA18" i="242" s="1"/>
  <c r="SVR18" i="242"/>
  <c r="SVJ18" i="242"/>
  <c r="SVE18" i="242"/>
  <c r="SVK18" i="242" s="1"/>
  <c r="SVB18" i="242"/>
  <c r="SUT18" i="242"/>
  <c r="SUO18" i="242"/>
  <c r="SUU18" i="242" s="1"/>
  <c r="SUL18" i="242"/>
  <c r="SUD18" i="242"/>
  <c r="STY18" i="242"/>
  <c r="SUE18" i="242" s="1"/>
  <c r="STV18" i="242"/>
  <c r="STN18" i="242"/>
  <c r="STI18" i="242"/>
  <c r="STO18" i="242" s="1"/>
  <c r="STF18" i="242"/>
  <c r="SSX18" i="242"/>
  <c r="SSS18" i="242"/>
  <c r="SSY18" i="242" s="1"/>
  <c r="SSP18" i="242"/>
  <c r="SSH18" i="242"/>
  <c r="SSC18" i="242"/>
  <c r="SSI18" i="242" s="1"/>
  <c r="SRZ18" i="242"/>
  <c r="SRR18" i="242"/>
  <c r="SRM18" i="242"/>
  <c r="SRS18" i="242" s="1"/>
  <c r="SRJ18" i="242"/>
  <c r="SRB18" i="242"/>
  <c r="SQW18" i="242"/>
  <c r="SRC18" i="242" s="1"/>
  <c r="SQT18" i="242"/>
  <c r="SQL18" i="242"/>
  <c r="SQG18" i="242"/>
  <c r="SQM18" i="242" s="1"/>
  <c r="SQD18" i="242"/>
  <c r="SPV18" i="242"/>
  <c r="SPQ18" i="242"/>
  <c r="SPW18" i="242" s="1"/>
  <c r="SPN18" i="242"/>
  <c r="SPF18" i="242"/>
  <c r="SPA18" i="242"/>
  <c r="SPG18" i="242" s="1"/>
  <c r="SOX18" i="242"/>
  <c r="SOP18" i="242"/>
  <c r="SOK18" i="242"/>
  <c r="SOQ18" i="242" s="1"/>
  <c r="SOH18" i="242"/>
  <c r="SNZ18" i="242"/>
  <c r="SNU18" i="242"/>
  <c r="SOA18" i="242" s="1"/>
  <c r="SNR18" i="242"/>
  <c r="SNJ18" i="242"/>
  <c r="SNE18" i="242"/>
  <c r="SNK18" i="242" s="1"/>
  <c r="SNB18" i="242"/>
  <c r="SMT18" i="242"/>
  <c r="SMO18" i="242"/>
  <c r="SMU18" i="242" s="1"/>
  <c r="SML18" i="242"/>
  <c r="SMD18" i="242"/>
  <c r="SLY18" i="242"/>
  <c r="SME18" i="242" s="1"/>
  <c r="SLV18" i="242"/>
  <c r="SLN18" i="242"/>
  <c r="SLI18" i="242"/>
  <c r="SLO18" i="242" s="1"/>
  <c r="SLF18" i="242"/>
  <c r="SKX18" i="242"/>
  <c r="SKS18" i="242"/>
  <c r="SKY18" i="242" s="1"/>
  <c r="SKP18" i="242"/>
  <c r="SKH18" i="242"/>
  <c r="SKC18" i="242"/>
  <c r="SKI18" i="242" s="1"/>
  <c r="SJZ18" i="242"/>
  <c r="SJR18" i="242"/>
  <c r="SJM18" i="242"/>
  <c r="SJS18" i="242" s="1"/>
  <c r="SJJ18" i="242"/>
  <c r="SJB18" i="242"/>
  <c r="SIW18" i="242"/>
  <c r="SJC18" i="242" s="1"/>
  <c r="SIT18" i="242"/>
  <c r="SIL18" i="242"/>
  <c r="SIG18" i="242"/>
  <c r="SIM18" i="242" s="1"/>
  <c r="SID18" i="242"/>
  <c r="SHV18" i="242"/>
  <c r="SHQ18" i="242"/>
  <c r="SHW18" i="242" s="1"/>
  <c r="SHN18" i="242"/>
  <c r="SHF18" i="242"/>
  <c r="SHA18" i="242"/>
  <c r="SHG18" i="242" s="1"/>
  <c r="SGX18" i="242"/>
  <c r="SGP18" i="242"/>
  <c r="SGK18" i="242"/>
  <c r="SGQ18" i="242" s="1"/>
  <c r="SGH18" i="242"/>
  <c r="SFZ18" i="242"/>
  <c r="SFU18" i="242"/>
  <c r="SGA18" i="242" s="1"/>
  <c r="SFR18" i="242"/>
  <c r="SFJ18" i="242"/>
  <c r="SFE18" i="242"/>
  <c r="SFK18" i="242" s="1"/>
  <c r="SFB18" i="242"/>
  <c r="SET18" i="242"/>
  <c r="SEO18" i="242"/>
  <c r="SEU18" i="242" s="1"/>
  <c r="SEL18" i="242"/>
  <c r="SED18" i="242"/>
  <c r="SDY18" i="242"/>
  <c r="SEE18" i="242" s="1"/>
  <c r="SDV18" i="242"/>
  <c r="SDN18" i="242"/>
  <c r="SDI18" i="242"/>
  <c r="SDO18" i="242" s="1"/>
  <c r="SDF18" i="242"/>
  <c r="SCX18" i="242"/>
  <c r="SCS18" i="242"/>
  <c r="SCY18" i="242" s="1"/>
  <c r="SCP18" i="242"/>
  <c r="SCH18" i="242"/>
  <c r="SCC18" i="242"/>
  <c r="SCI18" i="242" s="1"/>
  <c r="SBZ18" i="242"/>
  <c r="SBR18" i="242"/>
  <c r="SBM18" i="242"/>
  <c r="SBS18" i="242" s="1"/>
  <c r="SBJ18" i="242"/>
  <c r="SBB18" i="242"/>
  <c r="SAW18" i="242"/>
  <c r="SBC18" i="242" s="1"/>
  <c r="SAT18" i="242"/>
  <c r="SAL18" i="242"/>
  <c r="SAG18" i="242"/>
  <c r="SAM18" i="242" s="1"/>
  <c r="SAD18" i="242"/>
  <c r="RZV18" i="242"/>
  <c r="RZQ18" i="242"/>
  <c r="RZW18" i="242" s="1"/>
  <c r="RZN18" i="242"/>
  <c r="RZF18" i="242"/>
  <c r="RZA18" i="242"/>
  <c r="RZG18" i="242" s="1"/>
  <c r="RYX18" i="242"/>
  <c r="RYP18" i="242"/>
  <c r="RYK18" i="242"/>
  <c r="RYQ18" i="242" s="1"/>
  <c r="RYH18" i="242"/>
  <c r="RXZ18" i="242"/>
  <c r="RXU18" i="242"/>
  <c r="RYA18" i="242" s="1"/>
  <c r="RXR18" i="242"/>
  <c r="RXJ18" i="242"/>
  <c r="RXE18" i="242"/>
  <c r="RXK18" i="242" s="1"/>
  <c r="RXB18" i="242"/>
  <c r="RWT18" i="242"/>
  <c r="RWO18" i="242"/>
  <c r="RWU18" i="242" s="1"/>
  <c r="RWL18" i="242"/>
  <c r="RWD18" i="242"/>
  <c r="RVY18" i="242"/>
  <c r="RWE18" i="242" s="1"/>
  <c r="RVV18" i="242"/>
  <c r="RVN18" i="242"/>
  <c r="RVI18" i="242"/>
  <c r="RVO18" i="242" s="1"/>
  <c r="RVF18" i="242"/>
  <c r="RUX18" i="242"/>
  <c r="RUS18" i="242"/>
  <c r="RUY18" i="242" s="1"/>
  <c r="RUP18" i="242"/>
  <c r="RUH18" i="242"/>
  <c r="RUC18" i="242"/>
  <c r="RUI18" i="242" s="1"/>
  <c r="RTZ18" i="242"/>
  <c r="RTR18" i="242"/>
  <c r="RTM18" i="242"/>
  <c r="RTS18" i="242" s="1"/>
  <c r="RTJ18" i="242"/>
  <c r="RTB18" i="242"/>
  <c r="RSW18" i="242"/>
  <c r="RTC18" i="242" s="1"/>
  <c r="RST18" i="242"/>
  <c r="RSL18" i="242"/>
  <c r="RSG18" i="242"/>
  <c r="RSM18" i="242" s="1"/>
  <c r="RSD18" i="242"/>
  <c r="RRV18" i="242"/>
  <c r="RRQ18" i="242"/>
  <c r="RRW18" i="242" s="1"/>
  <c r="RRN18" i="242"/>
  <c r="RRF18" i="242"/>
  <c r="RRA18" i="242"/>
  <c r="RRG18" i="242" s="1"/>
  <c r="RQX18" i="242"/>
  <c r="RQP18" i="242"/>
  <c r="RQK18" i="242"/>
  <c r="RQQ18" i="242" s="1"/>
  <c r="RQH18" i="242"/>
  <c r="RPZ18" i="242"/>
  <c r="RPU18" i="242"/>
  <c r="RQA18" i="242" s="1"/>
  <c r="RPR18" i="242"/>
  <c r="RPJ18" i="242"/>
  <c r="RPE18" i="242"/>
  <c r="RPK18" i="242" s="1"/>
  <c r="RPB18" i="242"/>
  <c r="ROT18" i="242"/>
  <c r="ROO18" i="242"/>
  <c r="ROU18" i="242" s="1"/>
  <c r="ROL18" i="242"/>
  <c r="ROD18" i="242"/>
  <c r="RNY18" i="242"/>
  <c r="ROE18" i="242" s="1"/>
  <c r="RNV18" i="242"/>
  <c r="RNN18" i="242"/>
  <c r="RNI18" i="242"/>
  <c r="RNO18" i="242" s="1"/>
  <c r="RNF18" i="242"/>
  <c r="RMX18" i="242"/>
  <c r="RMS18" i="242"/>
  <c r="RMY18" i="242" s="1"/>
  <c r="RMP18" i="242"/>
  <c r="RMH18" i="242"/>
  <c r="RMC18" i="242"/>
  <c r="RMI18" i="242" s="1"/>
  <c r="RLZ18" i="242"/>
  <c r="RLR18" i="242"/>
  <c r="RLM18" i="242"/>
  <c r="RLS18" i="242" s="1"/>
  <c r="RLJ18" i="242"/>
  <c r="RLB18" i="242"/>
  <c r="RKW18" i="242"/>
  <c r="RLC18" i="242" s="1"/>
  <c r="RKT18" i="242"/>
  <c r="RKL18" i="242"/>
  <c r="RKG18" i="242"/>
  <c r="RKM18" i="242" s="1"/>
  <c r="RKD18" i="242"/>
  <c r="RJV18" i="242"/>
  <c r="RJQ18" i="242"/>
  <c r="RJW18" i="242" s="1"/>
  <c r="RJN18" i="242"/>
  <c r="RJF18" i="242"/>
  <c r="RJA18" i="242"/>
  <c r="RJG18" i="242" s="1"/>
  <c r="RIX18" i="242"/>
  <c r="RIP18" i="242"/>
  <c r="RIK18" i="242"/>
  <c r="RIQ18" i="242" s="1"/>
  <c r="RIH18" i="242"/>
  <c r="RHZ18" i="242"/>
  <c r="RHU18" i="242"/>
  <c r="RIA18" i="242" s="1"/>
  <c r="RHR18" i="242"/>
  <c r="RHJ18" i="242"/>
  <c r="RHE18" i="242"/>
  <c r="RHK18" i="242" s="1"/>
  <c r="RHB18" i="242"/>
  <c r="RGT18" i="242"/>
  <c r="RGO18" i="242"/>
  <c r="RGU18" i="242" s="1"/>
  <c r="RGL18" i="242"/>
  <c r="RGD18" i="242"/>
  <c r="RFY18" i="242"/>
  <c r="RGE18" i="242" s="1"/>
  <c r="RFV18" i="242"/>
  <c r="RFN18" i="242"/>
  <c r="RFI18" i="242"/>
  <c r="RFO18" i="242" s="1"/>
  <c r="RFF18" i="242"/>
  <c r="REX18" i="242"/>
  <c r="RES18" i="242"/>
  <c r="REY18" i="242" s="1"/>
  <c r="REP18" i="242"/>
  <c r="REH18" i="242"/>
  <c r="REC18" i="242"/>
  <c r="REI18" i="242" s="1"/>
  <c r="RDZ18" i="242"/>
  <c r="RDR18" i="242"/>
  <c r="RDM18" i="242"/>
  <c r="RDS18" i="242" s="1"/>
  <c r="RDJ18" i="242"/>
  <c r="RDB18" i="242"/>
  <c r="RCW18" i="242"/>
  <c r="RDC18" i="242" s="1"/>
  <c r="RCT18" i="242"/>
  <c r="RCL18" i="242"/>
  <c r="RCG18" i="242"/>
  <c r="RCM18" i="242" s="1"/>
  <c r="RCD18" i="242"/>
  <c r="RBV18" i="242"/>
  <c r="RBQ18" i="242"/>
  <c r="RBW18" i="242" s="1"/>
  <c r="RBN18" i="242"/>
  <c r="RBF18" i="242"/>
  <c r="RBA18" i="242"/>
  <c r="RBG18" i="242" s="1"/>
  <c r="RAX18" i="242"/>
  <c r="RAP18" i="242"/>
  <c r="RAK18" i="242"/>
  <c r="RAQ18" i="242" s="1"/>
  <c r="RAH18" i="242"/>
  <c r="QZZ18" i="242"/>
  <c r="QZU18" i="242"/>
  <c r="RAA18" i="242" s="1"/>
  <c r="QZR18" i="242"/>
  <c r="QZJ18" i="242"/>
  <c r="QZE18" i="242"/>
  <c r="QZK18" i="242" s="1"/>
  <c r="QZB18" i="242"/>
  <c r="QYT18" i="242"/>
  <c r="QYO18" i="242"/>
  <c r="QYU18" i="242" s="1"/>
  <c r="QYL18" i="242"/>
  <c r="QYD18" i="242"/>
  <c r="QXY18" i="242"/>
  <c r="QYE18" i="242" s="1"/>
  <c r="QXV18" i="242"/>
  <c r="QXN18" i="242"/>
  <c r="QXI18" i="242"/>
  <c r="QXO18" i="242" s="1"/>
  <c r="QXF18" i="242"/>
  <c r="QWX18" i="242"/>
  <c r="QWS18" i="242"/>
  <c r="QWY18" i="242" s="1"/>
  <c r="QWP18" i="242"/>
  <c r="QWH18" i="242"/>
  <c r="QWC18" i="242"/>
  <c r="QWI18" i="242" s="1"/>
  <c r="QVZ18" i="242"/>
  <c r="QVR18" i="242"/>
  <c r="QVM18" i="242"/>
  <c r="QVS18" i="242" s="1"/>
  <c r="QVJ18" i="242"/>
  <c r="QVB18" i="242"/>
  <c r="QUW18" i="242"/>
  <c r="QVC18" i="242" s="1"/>
  <c r="QUT18" i="242"/>
  <c r="QUL18" i="242"/>
  <c r="QUG18" i="242"/>
  <c r="QUM18" i="242" s="1"/>
  <c r="QUD18" i="242"/>
  <c r="QTV18" i="242"/>
  <c r="QTQ18" i="242"/>
  <c r="QTW18" i="242" s="1"/>
  <c r="QTN18" i="242"/>
  <c r="QTF18" i="242"/>
  <c r="QTA18" i="242"/>
  <c r="QTG18" i="242" s="1"/>
  <c r="QSX18" i="242"/>
  <c r="QSP18" i="242"/>
  <c r="QSK18" i="242"/>
  <c r="QSQ18" i="242" s="1"/>
  <c r="QSH18" i="242"/>
  <c r="QRZ18" i="242"/>
  <c r="QRU18" i="242"/>
  <c r="QSA18" i="242" s="1"/>
  <c r="QRR18" i="242"/>
  <c r="QRJ18" i="242"/>
  <c r="QRE18" i="242"/>
  <c r="QRK18" i="242" s="1"/>
  <c r="QRB18" i="242"/>
  <c r="QQT18" i="242"/>
  <c r="QQO18" i="242"/>
  <c r="QQU18" i="242" s="1"/>
  <c r="QQL18" i="242"/>
  <c r="QQD18" i="242"/>
  <c r="QPY18" i="242"/>
  <c r="QQE18" i="242" s="1"/>
  <c r="QPV18" i="242"/>
  <c r="QPN18" i="242"/>
  <c r="QPI18" i="242"/>
  <c r="QPO18" i="242" s="1"/>
  <c r="QPF18" i="242"/>
  <c r="QOX18" i="242"/>
  <c r="QOS18" i="242"/>
  <c r="QOY18" i="242" s="1"/>
  <c r="QOP18" i="242"/>
  <c r="QOH18" i="242"/>
  <c r="QOC18" i="242"/>
  <c r="QOI18" i="242" s="1"/>
  <c r="QNZ18" i="242"/>
  <c r="QNR18" i="242"/>
  <c r="QNM18" i="242"/>
  <c r="QNS18" i="242" s="1"/>
  <c r="QNJ18" i="242"/>
  <c r="QNB18" i="242"/>
  <c r="QMW18" i="242"/>
  <c r="QNC18" i="242" s="1"/>
  <c r="QMT18" i="242"/>
  <c r="QML18" i="242"/>
  <c r="QMG18" i="242"/>
  <c r="QMM18" i="242" s="1"/>
  <c r="QMD18" i="242"/>
  <c r="QLV18" i="242"/>
  <c r="QLQ18" i="242"/>
  <c r="QLW18" i="242" s="1"/>
  <c r="QLN18" i="242"/>
  <c r="QLF18" i="242"/>
  <c r="QLA18" i="242"/>
  <c r="QLG18" i="242" s="1"/>
  <c r="QKX18" i="242"/>
  <c r="QKP18" i="242"/>
  <c r="QKK18" i="242"/>
  <c r="QKQ18" i="242" s="1"/>
  <c r="QKH18" i="242"/>
  <c r="QJZ18" i="242"/>
  <c r="QJU18" i="242"/>
  <c r="QKA18" i="242" s="1"/>
  <c r="QJR18" i="242"/>
  <c r="QJJ18" i="242"/>
  <c r="QJE18" i="242"/>
  <c r="QJK18" i="242" s="1"/>
  <c r="QJB18" i="242"/>
  <c r="QIT18" i="242"/>
  <c r="QIO18" i="242"/>
  <c r="QIU18" i="242" s="1"/>
  <c r="QIL18" i="242"/>
  <c r="QID18" i="242"/>
  <c r="QHY18" i="242"/>
  <c r="QIE18" i="242" s="1"/>
  <c r="QHV18" i="242"/>
  <c r="QHN18" i="242"/>
  <c r="QHI18" i="242"/>
  <c r="QHO18" i="242" s="1"/>
  <c r="QHF18" i="242"/>
  <c r="QGX18" i="242"/>
  <c r="QGS18" i="242"/>
  <c r="QGY18" i="242" s="1"/>
  <c r="QGP18" i="242"/>
  <c r="QGH18" i="242"/>
  <c r="QGC18" i="242"/>
  <c r="QGI18" i="242" s="1"/>
  <c r="QFZ18" i="242"/>
  <c r="QFR18" i="242"/>
  <c r="QFM18" i="242"/>
  <c r="QFS18" i="242" s="1"/>
  <c r="QFJ18" i="242"/>
  <c r="QFB18" i="242"/>
  <c r="QEW18" i="242"/>
  <c r="QFC18" i="242" s="1"/>
  <c r="QET18" i="242"/>
  <c r="QEL18" i="242"/>
  <c r="QEG18" i="242"/>
  <c r="QEM18" i="242" s="1"/>
  <c r="QED18" i="242"/>
  <c r="QDV18" i="242"/>
  <c r="QDQ18" i="242"/>
  <c r="QDW18" i="242" s="1"/>
  <c r="QDN18" i="242"/>
  <c r="QDF18" i="242"/>
  <c r="QDA18" i="242"/>
  <c r="QDG18" i="242" s="1"/>
  <c r="QCX18" i="242"/>
  <c r="QCP18" i="242"/>
  <c r="QCK18" i="242"/>
  <c r="QCQ18" i="242" s="1"/>
  <c r="QCH18" i="242"/>
  <c r="QBZ18" i="242"/>
  <c r="QBU18" i="242"/>
  <c r="QCA18" i="242" s="1"/>
  <c r="QBR18" i="242"/>
  <c r="QBJ18" i="242"/>
  <c r="QBE18" i="242"/>
  <c r="QBK18" i="242" s="1"/>
  <c r="QBB18" i="242"/>
  <c r="QAT18" i="242"/>
  <c r="QAO18" i="242"/>
  <c r="QAU18" i="242" s="1"/>
  <c r="QAL18" i="242"/>
  <c r="QAD18" i="242"/>
  <c r="PZY18" i="242"/>
  <c r="QAE18" i="242" s="1"/>
  <c r="PZV18" i="242"/>
  <c r="PZN18" i="242"/>
  <c r="PZI18" i="242"/>
  <c r="PZO18" i="242" s="1"/>
  <c r="PZF18" i="242"/>
  <c r="PYX18" i="242"/>
  <c r="PYS18" i="242"/>
  <c r="PYY18" i="242" s="1"/>
  <c r="PYP18" i="242"/>
  <c r="PYH18" i="242"/>
  <c r="PYC18" i="242"/>
  <c r="PYI18" i="242" s="1"/>
  <c r="PXZ18" i="242"/>
  <c r="PXR18" i="242"/>
  <c r="PXM18" i="242"/>
  <c r="PXS18" i="242" s="1"/>
  <c r="PXJ18" i="242"/>
  <c r="PXB18" i="242"/>
  <c r="PWW18" i="242"/>
  <c r="PXC18" i="242" s="1"/>
  <c r="PWT18" i="242"/>
  <c r="PWL18" i="242"/>
  <c r="PWG18" i="242"/>
  <c r="PWM18" i="242" s="1"/>
  <c r="PWD18" i="242"/>
  <c r="PVV18" i="242"/>
  <c r="PVQ18" i="242"/>
  <c r="PVW18" i="242" s="1"/>
  <c r="PVN18" i="242"/>
  <c r="PVF18" i="242"/>
  <c r="PVA18" i="242"/>
  <c r="PVG18" i="242" s="1"/>
  <c r="PUX18" i="242"/>
  <c r="PUP18" i="242"/>
  <c r="PUK18" i="242"/>
  <c r="PUQ18" i="242" s="1"/>
  <c r="PUH18" i="242"/>
  <c r="PTZ18" i="242"/>
  <c r="PTU18" i="242"/>
  <c r="PUA18" i="242" s="1"/>
  <c r="PTR18" i="242"/>
  <c r="PTJ18" i="242"/>
  <c r="PTE18" i="242"/>
  <c r="PTK18" i="242" s="1"/>
  <c r="PTB18" i="242"/>
  <c r="PST18" i="242"/>
  <c r="PSO18" i="242"/>
  <c r="PSU18" i="242" s="1"/>
  <c r="PSL18" i="242"/>
  <c r="PSD18" i="242"/>
  <c r="PRY18" i="242"/>
  <c r="PSE18" i="242" s="1"/>
  <c r="PRV18" i="242"/>
  <c r="PRN18" i="242"/>
  <c r="PRI18" i="242"/>
  <c r="PRO18" i="242" s="1"/>
  <c r="PRF18" i="242"/>
  <c r="PQX18" i="242"/>
  <c r="PQS18" i="242"/>
  <c r="PQY18" i="242" s="1"/>
  <c r="PQP18" i="242"/>
  <c r="PQH18" i="242"/>
  <c r="PQC18" i="242"/>
  <c r="PQI18" i="242" s="1"/>
  <c r="PPZ18" i="242"/>
  <c r="PPR18" i="242"/>
  <c r="PPM18" i="242"/>
  <c r="PPS18" i="242" s="1"/>
  <c r="PPJ18" i="242"/>
  <c r="PPB18" i="242"/>
  <c r="POW18" i="242"/>
  <c r="PPC18" i="242" s="1"/>
  <c r="POT18" i="242"/>
  <c r="POL18" i="242"/>
  <c r="POG18" i="242"/>
  <c r="POM18" i="242" s="1"/>
  <c r="POD18" i="242"/>
  <c r="PNV18" i="242"/>
  <c r="PNQ18" i="242"/>
  <c r="PNW18" i="242" s="1"/>
  <c r="PNN18" i="242"/>
  <c r="PNF18" i="242"/>
  <c r="PNA18" i="242"/>
  <c r="PNG18" i="242" s="1"/>
  <c r="PMX18" i="242"/>
  <c r="PMP18" i="242"/>
  <c r="PMK18" i="242"/>
  <c r="PMQ18" i="242" s="1"/>
  <c r="PMH18" i="242"/>
  <c r="PLZ18" i="242"/>
  <c r="PLU18" i="242"/>
  <c r="PMA18" i="242" s="1"/>
  <c r="PLR18" i="242"/>
  <c r="PLJ18" i="242"/>
  <c r="PLE18" i="242"/>
  <c r="PLK18" i="242" s="1"/>
  <c r="PLB18" i="242"/>
  <c r="PKT18" i="242"/>
  <c r="PKO18" i="242"/>
  <c r="PKU18" i="242" s="1"/>
  <c r="PKL18" i="242"/>
  <c r="PKD18" i="242"/>
  <c r="PJY18" i="242"/>
  <c r="PKE18" i="242" s="1"/>
  <c r="PJV18" i="242"/>
  <c r="PJN18" i="242"/>
  <c r="PJI18" i="242"/>
  <c r="PJO18" i="242" s="1"/>
  <c r="PJF18" i="242"/>
  <c r="PIX18" i="242"/>
  <c r="PIS18" i="242"/>
  <c r="PIY18" i="242" s="1"/>
  <c r="PIP18" i="242"/>
  <c r="PIH18" i="242"/>
  <c r="PIC18" i="242"/>
  <c r="PII18" i="242" s="1"/>
  <c r="PHZ18" i="242"/>
  <c r="PHR18" i="242"/>
  <c r="PHM18" i="242"/>
  <c r="PHS18" i="242" s="1"/>
  <c r="PHJ18" i="242"/>
  <c r="PHB18" i="242"/>
  <c r="PGW18" i="242"/>
  <c r="PHC18" i="242" s="1"/>
  <c r="PGT18" i="242"/>
  <c r="PGL18" i="242"/>
  <c r="PGG18" i="242"/>
  <c r="PGM18" i="242" s="1"/>
  <c r="PGD18" i="242"/>
  <c r="PFV18" i="242"/>
  <c r="PFQ18" i="242"/>
  <c r="PFW18" i="242" s="1"/>
  <c r="PFN18" i="242"/>
  <c r="PFF18" i="242"/>
  <c r="PFA18" i="242"/>
  <c r="PFG18" i="242" s="1"/>
  <c r="PEX18" i="242"/>
  <c r="PEP18" i="242"/>
  <c r="PEK18" i="242"/>
  <c r="PEQ18" i="242" s="1"/>
  <c r="PEH18" i="242"/>
  <c r="PDZ18" i="242"/>
  <c r="PDU18" i="242"/>
  <c r="PEA18" i="242" s="1"/>
  <c r="PDR18" i="242"/>
  <c r="PDJ18" i="242"/>
  <c r="PDE18" i="242"/>
  <c r="PDK18" i="242" s="1"/>
  <c r="PDB18" i="242"/>
  <c r="PCT18" i="242"/>
  <c r="PCO18" i="242"/>
  <c r="PCU18" i="242" s="1"/>
  <c r="PCL18" i="242"/>
  <c r="PCD18" i="242"/>
  <c r="PBY18" i="242"/>
  <c r="PCE18" i="242" s="1"/>
  <c r="PBV18" i="242"/>
  <c r="PBN18" i="242"/>
  <c r="PBI18" i="242"/>
  <c r="PBO18" i="242" s="1"/>
  <c r="PBF18" i="242"/>
  <c r="PAX18" i="242"/>
  <c r="PAS18" i="242"/>
  <c r="PAY18" i="242" s="1"/>
  <c r="PAP18" i="242"/>
  <c r="PAH18" i="242"/>
  <c r="PAC18" i="242"/>
  <c r="PAI18" i="242" s="1"/>
  <c r="OZZ18" i="242"/>
  <c r="OZR18" i="242"/>
  <c r="OZM18" i="242"/>
  <c r="OZS18" i="242" s="1"/>
  <c r="OZJ18" i="242"/>
  <c r="OZB18" i="242"/>
  <c r="OYW18" i="242"/>
  <c r="OZC18" i="242" s="1"/>
  <c r="OYT18" i="242"/>
  <c r="OYL18" i="242"/>
  <c r="OYG18" i="242"/>
  <c r="OYM18" i="242" s="1"/>
  <c r="OYD18" i="242"/>
  <c r="OXV18" i="242"/>
  <c r="OXQ18" i="242"/>
  <c r="OXW18" i="242" s="1"/>
  <c r="OXN18" i="242"/>
  <c r="OXF18" i="242"/>
  <c r="OXA18" i="242"/>
  <c r="OXG18" i="242" s="1"/>
  <c r="OWX18" i="242"/>
  <c r="OWP18" i="242"/>
  <c r="OWK18" i="242"/>
  <c r="OWQ18" i="242" s="1"/>
  <c r="OWH18" i="242"/>
  <c r="OVZ18" i="242"/>
  <c r="OVU18" i="242"/>
  <c r="OWA18" i="242" s="1"/>
  <c r="OVR18" i="242"/>
  <c r="OVJ18" i="242"/>
  <c r="OVE18" i="242"/>
  <c r="OVK18" i="242" s="1"/>
  <c r="OVB18" i="242"/>
  <c r="OUT18" i="242"/>
  <c r="OUO18" i="242"/>
  <c r="OUU18" i="242" s="1"/>
  <c r="OUL18" i="242"/>
  <c r="OUD18" i="242"/>
  <c r="OTY18" i="242"/>
  <c r="OUE18" i="242" s="1"/>
  <c r="OTV18" i="242"/>
  <c r="OTN18" i="242"/>
  <c r="OTI18" i="242"/>
  <c r="OTO18" i="242" s="1"/>
  <c r="OTF18" i="242"/>
  <c r="OSX18" i="242"/>
  <c r="OSS18" i="242"/>
  <c r="OSY18" i="242" s="1"/>
  <c r="OSP18" i="242"/>
  <c r="OSH18" i="242"/>
  <c r="OSC18" i="242"/>
  <c r="OSI18" i="242" s="1"/>
  <c r="ORZ18" i="242"/>
  <c r="ORR18" i="242"/>
  <c r="ORM18" i="242"/>
  <c r="ORS18" i="242" s="1"/>
  <c r="ORJ18" i="242"/>
  <c r="ORB18" i="242"/>
  <c r="OQW18" i="242"/>
  <c r="ORC18" i="242" s="1"/>
  <c r="OQT18" i="242"/>
  <c r="OQL18" i="242"/>
  <c r="OQG18" i="242"/>
  <c r="OQM18" i="242" s="1"/>
  <c r="OQD18" i="242"/>
  <c r="OPV18" i="242"/>
  <c r="OPQ18" i="242"/>
  <c r="OPW18" i="242" s="1"/>
  <c r="OPN18" i="242"/>
  <c r="OPF18" i="242"/>
  <c r="OPA18" i="242"/>
  <c r="OPG18" i="242" s="1"/>
  <c r="OOX18" i="242"/>
  <c r="OOP18" i="242"/>
  <c r="OOK18" i="242"/>
  <c r="OOQ18" i="242" s="1"/>
  <c r="OOH18" i="242"/>
  <c r="ONZ18" i="242"/>
  <c r="ONU18" i="242"/>
  <c r="OOA18" i="242" s="1"/>
  <c r="ONR18" i="242"/>
  <c r="ONJ18" i="242"/>
  <c r="ONE18" i="242"/>
  <c r="ONK18" i="242" s="1"/>
  <c r="ONB18" i="242"/>
  <c r="OMT18" i="242"/>
  <c r="OMO18" i="242"/>
  <c r="OMU18" i="242" s="1"/>
  <c r="OML18" i="242"/>
  <c r="OMD18" i="242"/>
  <c r="OLY18" i="242"/>
  <c r="OME18" i="242" s="1"/>
  <c r="OLV18" i="242"/>
  <c r="OLN18" i="242"/>
  <c r="OLI18" i="242"/>
  <c r="OLO18" i="242" s="1"/>
  <c r="OLF18" i="242"/>
  <c r="OKX18" i="242"/>
  <c r="OKS18" i="242"/>
  <c r="OKY18" i="242" s="1"/>
  <c r="OKP18" i="242"/>
  <c r="OKH18" i="242"/>
  <c r="OKC18" i="242"/>
  <c r="OKI18" i="242" s="1"/>
  <c r="OJZ18" i="242"/>
  <c r="OJR18" i="242"/>
  <c r="OJM18" i="242"/>
  <c r="OJS18" i="242" s="1"/>
  <c r="OJJ18" i="242"/>
  <c r="OJB18" i="242"/>
  <c r="OIW18" i="242"/>
  <c r="OJC18" i="242" s="1"/>
  <c r="OIT18" i="242"/>
  <c r="OIL18" i="242"/>
  <c r="OIG18" i="242"/>
  <c r="OIM18" i="242" s="1"/>
  <c r="OID18" i="242"/>
  <c r="OHV18" i="242"/>
  <c r="OHQ18" i="242"/>
  <c r="OHW18" i="242" s="1"/>
  <c r="OHN18" i="242"/>
  <c r="OHF18" i="242"/>
  <c r="OHA18" i="242"/>
  <c r="OHG18" i="242" s="1"/>
  <c r="OGX18" i="242"/>
  <c r="OGP18" i="242"/>
  <c r="OGK18" i="242"/>
  <c r="OGQ18" i="242" s="1"/>
  <c r="OGH18" i="242"/>
  <c r="OFZ18" i="242"/>
  <c r="OFU18" i="242"/>
  <c r="OGA18" i="242" s="1"/>
  <c r="OFR18" i="242"/>
  <c r="OFJ18" i="242"/>
  <c r="OFE18" i="242"/>
  <c r="OFK18" i="242" s="1"/>
  <c r="OFB18" i="242"/>
  <c r="OET18" i="242"/>
  <c r="OEO18" i="242"/>
  <c r="OEU18" i="242" s="1"/>
  <c r="OEL18" i="242"/>
  <c r="OED18" i="242"/>
  <c r="ODY18" i="242"/>
  <c r="OEE18" i="242" s="1"/>
  <c r="ODV18" i="242"/>
  <c r="ODN18" i="242"/>
  <c r="ODI18" i="242"/>
  <c r="ODO18" i="242" s="1"/>
  <c r="ODF18" i="242"/>
  <c r="OCX18" i="242"/>
  <c r="OCS18" i="242"/>
  <c r="OCY18" i="242" s="1"/>
  <c r="OCP18" i="242"/>
  <c r="OCH18" i="242"/>
  <c r="OCC18" i="242"/>
  <c r="OCI18" i="242" s="1"/>
  <c r="OBZ18" i="242"/>
  <c r="OBR18" i="242"/>
  <c r="OBM18" i="242"/>
  <c r="OBS18" i="242" s="1"/>
  <c r="OBJ18" i="242"/>
  <c r="OBB18" i="242"/>
  <c r="OAW18" i="242"/>
  <c r="OBC18" i="242" s="1"/>
  <c r="OAT18" i="242"/>
  <c r="OAL18" i="242"/>
  <c r="OAG18" i="242"/>
  <c r="OAM18" i="242" s="1"/>
  <c r="OAD18" i="242"/>
  <c r="NZV18" i="242"/>
  <c r="NZQ18" i="242"/>
  <c r="NZW18" i="242" s="1"/>
  <c r="NZN18" i="242"/>
  <c r="NZF18" i="242"/>
  <c r="NZA18" i="242"/>
  <c r="NZG18" i="242" s="1"/>
  <c r="NYX18" i="242"/>
  <c r="NYP18" i="242"/>
  <c r="NYK18" i="242"/>
  <c r="NYQ18" i="242" s="1"/>
  <c r="NYH18" i="242"/>
  <c r="NXZ18" i="242"/>
  <c r="NXU18" i="242"/>
  <c r="NYA18" i="242" s="1"/>
  <c r="NXR18" i="242"/>
  <c r="NXJ18" i="242"/>
  <c r="NXE18" i="242"/>
  <c r="NXK18" i="242" s="1"/>
  <c r="NXB18" i="242"/>
  <c r="NWT18" i="242"/>
  <c r="NWO18" i="242"/>
  <c r="NWU18" i="242" s="1"/>
  <c r="NWL18" i="242"/>
  <c r="NWD18" i="242"/>
  <c r="NVY18" i="242"/>
  <c r="NWE18" i="242" s="1"/>
  <c r="NVV18" i="242"/>
  <c r="NVN18" i="242"/>
  <c r="NVI18" i="242"/>
  <c r="NVO18" i="242" s="1"/>
  <c r="NVF18" i="242"/>
  <c r="NUX18" i="242"/>
  <c r="NUS18" i="242"/>
  <c r="NUY18" i="242" s="1"/>
  <c r="NUP18" i="242"/>
  <c r="NUH18" i="242"/>
  <c r="NUC18" i="242"/>
  <c r="NUI18" i="242" s="1"/>
  <c r="NTZ18" i="242"/>
  <c r="NTR18" i="242"/>
  <c r="NTM18" i="242"/>
  <c r="NTS18" i="242" s="1"/>
  <c r="NTJ18" i="242"/>
  <c r="NTB18" i="242"/>
  <c r="NSW18" i="242"/>
  <c r="NTC18" i="242" s="1"/>
  <c r="NST18" i="242"/>
  <c r="NSL18" i="242"/>
  <c r="NSG18" i="242"/>
  <c r="NSM18" i="242" s="1"/>
  <c r="NSD18" i="242"/>
  <c r="NRV18" i="242"/>
  <c r="NRQ18" i="242"/>
  <c r="NRW18" i="242" s="1"/>
  <c r="NRN18" i="242"/>
  <c r="NRF18" i="242"/>
  <c r="NRA18" i="242"/>
  <c r="NRG18" i="242" s="1"/>
  <c r="NQX18" i="242"/>
  <c r="NQP18" i="242"/>
  <c r="NQK18" i="242"/>
  <c r="NQQ18" i="242" s="1"/>
  <c r="NQH18" i="242"/>
  <c r="NPZ18" i="242"/>
  <c r="NPU18" i="242"/>
  <c r="NQA18" i="242" s="1"/>
  <c r="NPR18" i="242"/>
  <c r="NPJ18" i="242"/>
  <c r="NPE18" i="242"/>
  <c r="NPK18" i="242" s="1"/>
  <c r="NPB18" i="242"/>
  <c r="NOT18" i="242"/>
  <c r="NOO18" i="242"/>
  <c r="NOU18" i="242" s="1"/>
  <c r="NOL18" i="242"/>
  <c r="NOD18" i="242"/>
  <c r="NNY18" i="242"/>
  <c r="NOE18" i="242" s="1"/>
  <c r="NNV18" i="242"/>
  <c r="NNN18" i="242"/>
  <c r="NNI18" i="242"/>
  <c r="NNO18" i="242" s="1"/>
  <c r="NNF18" i="242"/>
  <c r="NMX18" i="242"/>
  <c r="NMS18" i="242"/>
  <c r="NMY18" i="242" s="1"/>
  <c r="NMP18" i="242"/>
  <c r="NMH18" i="242"/>
  <c r="NMC18" i="242"/>
  <c r="NMI18" i="242" s="1"/>
  <c r="NLZ18" i="242"/>
  <c r="NLR18" i="242"/>
  <c r="NLM18" i="242"/>
  <c r="NLS18" i="242" s="1"/>
  <c r="NLJ18" i="242"/>
  <c r="NLB18" i="242"/>
  <c r="NKW18" i="242"/>
  <c r="NLC18" i="242" s="1"/>
  <c r="NKT18" i="242"/>
  <c r="NKL18" i="242"/>
  <c r="NKG18" i="242"/>
  <c r="NKM18" i="242" s="1"/>
  <c r="NKD18" i="242"/>
  <c r="NJV18" i="242"/>
  <c r="NJQ18" i="242"/>
  <c r="NJW18" i="242" s="1"/>
  <c r="NJN18" i="242"/>
  <c r="NJF18" i="242"/>
  <c r="NJA18" i="242"/>
  <c r="NJG18" i="242" s="1"/>
  <c r="NIX18" i="242"/>
  <c r="NIP18" i="242"/>
  <c r="NIK18" i="242"/>
  <c r="NIQ18" i="242" s="1"/>
  <c r="NIH18" i="242"/>
  <c r="NHZ18" i="242"/>
  <c r="NHU18" i="242"/>
  <c r="NIA18" i="242" s="1"/>
  <c r="NHR18" i="242"/>
  <c r="NHJ18" i="242"/>
  <c r="NHE18" i="242"/>
  <c r="NHK18" i="242" s="1"/>
  <c r="NHB18" i="242"/>
  <c r="NGT18" i="242"/>
  <c r="NGO18" i="242"/>
  <c r="NGU18" i="242" s="1"/>
  <c r="NGL18" i="242"/>
  <c r="NGD18" i="242"/>
  <c r="NFY18" i="242"/>
  <c r="NGE18" i="242" s="1"/>
  <c r="NFV18" i="242"/>
  <c r="NFN18" i="242"/>
  <c r="NFI18" i="242"/>
  <c r="NFO18" i="242" s="1"/>
  <c r="NFF18" i="242"/>
  <c r="NEX18" i="242"/>
  <c r="NES18" i="242"/>
  <c r="NEY18" i="242" s="1"/>
  <c r="NEP18" i="242"/>
  <c r="NEH18" i="242"/>
  <c r="NEC18" i="242"/>
  <c r="NEI18" i="242" s="1"/>
  <c r="NDZ18" i="242"/>
  <c r="NDR18" i="242"/>
  <c r="NDM18" i="242"/>
  <c r="NDS18" i="242" s="1"/>
  <c r="NDJ18" i="242"/>
  <c r="NDB18" i="242"/>
  <c r="NCW18" i="242"/>
  <c r="NDC18" i="242" s="1"/>
  <c r="NCT18" i="242"/>
  <c r="NCL18" i="242"/>
  <c r="NCG18" i="242"/>
  <c r="NCM18" i="242" s="1"/>
  <c r="NCD18" i="242"/>
  <c r="NBV18" i="242"/>
  <c r="NBQ18" i="242"/>
  <c r="NBW18" i="242" s="1"/>
  <c r="NBN18" i="242"/>
  <c r="NBF18" i="242"/>
  <c r="NBA18" i="242"/>
  <c r="NBG18" i="242" s="1"/>
  <c r="NAX18" i="242"/>
  <c r="NAP18" i="242"/>
  <c r="NAK18" i="242"/>
  <c r="NAQ18" i="242" s="1"/>
  <c r="NAH18" i="242"/>
  <c r="MZZ18" i="242"/>
  <c r="MZU18" i="242"/>
  <c r="NAA18" i="242" s="1"/>
  <c r="MZR18" i="242"/>
  <c r="MZJ18" i="242"/>
  <c r="MZE18" i="242"/>
  <c r="MZK18" i="242" s="1"/>
  <c r="MZB18" i="242"/>
  <c r="MYT18" i="242"/>
  <c r="MYO18" i="242"/>
  <c r="MYU18" i="242" s="1"/>
  <c r="MYL18" i="242"/>
  <c r="MYD18" i="242"/>
  <c r="MXY18" i="242"/>
  <c r="MYE18" i="242" s="1"/>
  <c r="MXV18" i="242"/>
  <c r="MXN18" i="242"/>
  <c r="MXI18" i="242"/>
  <c r="MXO18" i="242" s="1"/>
  <c r="MXF18" i="242"/>
  <c r="MWX18" i="242"/>
  <c r="MWS18" i="242"/>
  <c r="MWY18" i="242" s="1"/>
  <c r="MWP18" i="242"/>
  <c r="MWH18" i="242"/>
  <c r="MWC18" i="242"/>
  <c r="MWI18" i="242" s="1"/>
  <c r="MVZ18" i="242"/>
  <c r="MVR18" i="242"/>
  <c r="MVM18" i="242"/>
  <c r="MVS18" i="242" s="1"/>
  <c r="MVJ18" i="242"/>
  <c r="MVB18" i="242"/>
  <c r="MUW18" i="242"/>
  <c r="MVC18" i="242" s="1"/>
  <c r="MUT18" i="242"/>
  <c r="MUL18" i="242"/>
  <c r="MUG18" i="242"/>
  <c r="MUM18" i="242" s="1"/>
  <c r="MUD18" i="242"/>
  <c r="MTV18" i="242"/>
  <c r="MTQ18" i="242"/>
  <c r="MTW18" i="242" s="1"/>
  <c r="MTN18" i="242"/>
  <c r="MTF18" i="242"/>
  <c r="MTA18" i="242"/>
  <c r="MTG18" i="242" s="1"/>
  <c r="MSX18" i="242"/>
  <c r="MSP18" i="242"/>
  <c r="MSK18" i="242"/>
  <c r="MSQ18" i="242" s="1"/>
  <c r="MSH18" i="242"/>
  <c r="MRZ18" i="242"/>
  <c r="MRU18" i="242"/>
  <c r="MSA18" i="242" s="1"/>
  <c r="MRR18" i="242"/>
  <c r="MRJ18" i="242"/>
  <c r="MRE18" i="242"/>
  <c r="MRK18" i="242" s="1"/>
  <c r="MRB18" i="242"/>
  <c r="MQT18" i="242"/>
  <c r="MQO18" i="242"/>
  <c r="MQU18" i="242" s="1"/>
  <c r="MQL18" i="242"/>
  <c r="MQD18" i="242"/>
  <c r="MPY18" i="242"/>
  <c r="MQE18" i="242" s="1"/>
  <c r="MPV18" i="242"/>
  <c r="MPN18" i="242"/>
  <c r="MPI18" i="242"/>
  <c r="MPO18" i="242" s="1"/>
  <c r="MPF18" i="242"/>
  <c r="MOX18" i="242"/>
  <c r="MOS18" i="242"/>
  <c r="MOY18" i="242" s="1"/>
  <c r="MOP18" i="242"/>
  <c r="MOH18" i="242"/>
  <c r="MOC18" i="242"/>
  <c r="MOI18" i="242" s="1"/>
  <c r="MNZ18" i="242"/>
  <c r="MNR18" i="242"/>
  <c r="MNM18" i="242"/>
  <c r="MNS18" i="242" s="1"/>
  <c r="MNJ18" i="242"/>
  <c r="MNB18" i="242"/>
  <c r="MMW18" i="242"/>
  <c r="MNC18" i="242" s="1"/>
  <c r="MMT18" i="242"/>
  <c r="MML18" i="242"/>
  <c r="MMG18" i="242"/>
  <c r="MMM18" i="242" s="1"/>
  <c r="MMD18" i="242"/>
  <c r="MLV18" i="242"/>
  <c r="MLQ18" i="242"/>
  <c r="MLW18" i="242" s="1"/>
  <c r="MLN18" i="242"/>
  <c r="MLF18" i="242"/>
  <c r="MLA18" i="242"/>
  <c r="MLG18" i="242" s="1"/>
  <c r="MKX18" i="242"/>
  <c r="MKP18" i="242"/>
  <c r="MKK18" i="242"/>
  <c r="MKQ18" i="242" s="1"/>
  <c r="MKH18" i="242"/>
  <c r="MJZ18" i="242"/>
  <c r="MJU18" i="242"/>
  <c r="MKA18" i="242" s="1"/>
  <c r="MJR18" i="242"/>
  <c r="MJJ18" i="242"/>
  <c r="MJE18" i="242"/>
  <c r="MJK18" i="242" s="1"/>
  <c r="MJB18" i="242"/>
  <c r="MIT18" i="242"/>
  <c r="MIO18" i="242"/>
  <c r="MIU18" i="242" s="1"/>
  <c r="MIL18" i="242"/>
  <c r="MID18" i="242"/>
  <c r="MHY18" i="242"/>
  <c r="MIE18" i="242" s="1"/>
  <c r="MHV18" i="242"/>
  <c r="MHN18" i="242"/>
  <c r="MHI18" i="242"/>
  <c r="MHO18" i="242" s="1"/>
  <c r="MHF18" i="242"/>
  <c r="MGX18" i="242"/>
  <c r="MGS18" i="242"/>
  <c r="MGY18" i="242" s="1"/>
  <c r="MGP18" i="242"/>
  <c r="MGH18" i="242"/>
  <c r="MGC18" i="242"/>
  <c r="MGI18" i="242" s="1"/>
  <c r="MFZ18" i="242"/>
  <c r="MFR18" i="242"/>
  <c r="MFM18" i="242"/>
  <c r="MFS18" i="242" s="1"/>
  <c r="MFJ18" i="242"/>
  <c r="MFB18" i="242"/>
  <c r="MEW18" i="242"/>
  <c r="MFC18" i="242" s="1"/>
  <c r="MET18" i="242"/>
  <c r="MEL18" i="242"/>
  <c r="MEG18" i="242"/>
  <c r="MEM18" i="242" s="1"/>
  <c r="MED18" i="242"/>
  <c r="MDV18" i="242"/>
  <c r="MDQ18" i="242"/>
  <c r="MDW18" i="242" s="1"/>
  <c r="MDN18" i="242"/>
  <c r="MDF18" i="242"/>
  <c r="MDA18" i="242"/>
  <c r="MDG18" i="242" s="1"/>
  <c r="MCX18" i="242"/>
  <c r="MCP18" i="242"/>
  <c r="MCK18" i="242"/>
  <c r="MCQ18" i="242" s="1"/>
  <c r="MCH18" i="242"/>
  <c r="MBZ18" i="242"/>
  <c r="MBU18" i="242"/>
  <c r="MCA18" i="242" s="1"/>
  <c r="MBR18" i="242"/>
  <c r="MBJ18" i="242"/>
  <c r="MBE18" i="242"/>
  <c r="MBK18" i="242" s="1"/>
  <c r="MBB18" i="242"/>
  <c r="MAT18" i="242"/>
  <c r="MAO18" i="242"/>
  <c r="MAU18" i="242" s="1"/>
  <c r="MAL18" i="242"/>
  <c r="MAD18" i="242"/>
  <c r="LZY18" i="242"/>
  <c r="MAE18" i="242" s="1"/>
  <c r="LZV18" i="242"/>
  <c r="LZN18" i="242"/>
  <c r="LZI18" i="242"/>
  <c r="LZO18" i="242" s="1"/>
  <c r="LZF18" i="242"/>
  <c r="LYX18" i="242"/>
  <c r="LYS18" i="242"/>
  <c r="LYY18" i="242" s="1"/>
  <c r="LYP18" i="242"/>
  <c r="LYH18" i="242"/>
  <c r="LYC18" i="242"/>
  <c r="LYI18" i="242" s="1"/>
  <c r="LXZ18" i="242"/>
  <c r="LXR18" i="242"/>
  <c r="LXM18" i="242"/>
  <c r="LXS18" i="242" s="1"/>
  <c r="LXJ18" i="242"/>
  <c r="LXB18" i="242"/>
  <c r="LWW18" i="242"/>
  <c r="LXC18" i="242" s="1"/>
  <c r="LWT18" i="242"/>
  <c r="LWL18" i="242"/>
  <c r="LWG18" i="242"/>
  <c r="LWM18" i="242" s="1"/>
  <c r="LWD18" i="242"/>
  <c r="LVV18" i="242"/>
  <c r="LVQ18" i="242"/>
  <c r="LVW18" i="242" s="1"/>
  <c r="LVN18" i="242"/>
  <c r="LVF18" i="242"/>
  <c r="LVA18" i="242"/>
  <c r="LVG18" i="242" s="1"/>
  <c r="LUX18" i="242"/>
  <c r="LUP18" i="242"/>
  <c r="LUK18" i="242"/>
  <c r="LUQ18" i="242" s="1"/>
  <c r="LUH18" i="242"/>
  <c r="LTZ18" i="242"/>
  <c r="LTU18" i="242"/>
  <c r="LUA18" i="242" s="1"/>
  <c r="LTR18" i="242"/>
  <c r="LTJ18" i="242"/>
  <c r="LTE18" i="242"/>
  <c r="LTK18" i="242" s="1"/>
  <c r="LTB18" i="242"/>
  <c r="LST18" i="242"/>
  <c r="LSO18" i="242"/>
  <c r="LSU18" i="242" s="1"/>
  <c r="LSL18" i="242"/>
  <c r="LSD18" i="242"/>
  <c r="LRY18" i="242"/>
  <c r="LSE18" i="242" s="1"/>
  <c r="LRV18" i="242"/>
  <c r="LRN18" i="242"/>
  <c r="LRI18" i="242"/>
  <c r="LRO18" i="242" s="1"/>
  <c r="LRF18" i="242"/>
  <c r="LQX18" i="242"/>
  <c r="LQS18" i="242"/>
  <c r="LQY18" i="242" s="1"/>
  <c r="LQP18" i="242"/>
  <c r="LQH18" i="242"/>
  <c r="LQC18" i="242"/>
  <c r="LQI18" i="242" s="1"/>
  <c r="LPZ18" i="242"/>
  <c r="LPR18" i="242"/>
  <c r="LPM18" i="242"/>
  <c r="LPS18" i="242" s="1"/>
  <c r="LPJ18" i="242"/>
  <c r="LPB18" i="242"/>
  <c r="LOW18" i="242"/>
  <c r="LPC18" i="242" s="1"/>
  <c r="LOT18" i="242"/>
  <c r="LOL18" i="242"/>
  <c r="LOG18" i="242"/>
  <c r="LOM18" i="242" s="1"/>
  <c r="LOD18" i="242"/>
  <c r="LNV18" i="242"/>
  <c r="LNQ18" i="242"/>
  <c r="LNW18" i="242" s="1"/>
  <c r="LNN18" i="242"/>
  <c r="LNF18" i="242"/>
  <c r="LNA18" i="242"/>
  <c r="LNG18" i="242" s="1"/>
  <c r="LMX18" i="242"/>
  <c r="LMP18" i="242"/>
  <c r="LMK18" i="242"/>
  <c r="LMQ18" i="242" s="1"/>
  <c r="LMH18" i="242"/>
  <c r="LLZ18" i="242"/>
  <c r="LLU18" i="242"/>
  <c r="LMA18" i="242" s="1"/>
  <c r="LLR18" i="242"/>
  <c r="LLJ18" i="242"/>
  <c r="LLE18" i="242"/>
  <c r="LLK18" i="242" s="1"/>
  <c r="LLB18" i="242"/>
  <c r="LKT18" i="242"/>
  <c r="LKO18" i="242"/>
  <c r="LKU18" i="242" s="1"/>
  <c r="LKL18" i="242"/>
  <c r="LKD18" i="242"/>
  <c r="LJY18" i="242"/>
  <c r="LKE18" i="242" s="1"/>
  <c r="LJV18" i="242"/>
  <c r="LJN18" i="242"/>
  <c r="LJI18" i="242"/>
  <c r="LJO18" i="242" s="1"/>
  <c r="LJF18" i="242"/>
  <c r="LIX18" i="242"/>
  <c r="LIS18" i="242"/>
  <c r="LIY18" i="242" s="1"/>
  <c r="LIP18" i="242"/>
  <c r="LIH18" i="242"/>
  <c r="LIC18" i="242"/>
  <c r="LII18" i="242" s="1"/>
  <c r="LHZ18" i="242"/>
  <c r="LHR18" i="242"/>
  <c r="LHM18" i="242"/>
  <c r="LHS18" i="242" s="1"/>
  <c r="LHJ18" i="242"/>
  <c r="LHB18" i="242"/>
  <c r="LGW18" i="242"/>
  <c r="LHC18" i="242" s="1"/>
  <c r="LGT18" i="242"/>
  <c r="LGL18" i="242"/>
  <c r="LGG18" i="242"/>
  <c r="LGM18" i="242" s="1"/>
  <c r="LGD18" i="242"/>
  <c r="LFV18" i="242"/>
  <c r="LFQ18" i="242"/>
  <c r="LFW18" i="242" s="1"/>
  <c r="LFN18" i="242"/>
  <c r="LFF18" i="242"/>
  <c r="LFA18" i="242"/>
  <c r="LFG18" i="242" s="1"/>
  <c r="LEX18" i="242"/>
  <c r="LEP18" i="242"/>
  <c r="LEK18" i="242"/>
  <c r="LEQ18" i="242" s="1"/>
  <c r="LEH18" i="242"/>
  <c r="LDZ18" i="242"/>
  <c r="LDU18" i="242"/>
  <c r="LEA18" i="242" s="1"/>
  <c r="LDR18" i="242"/>
  <c r="LDJ18" i="242"/>
  <c r="LDE18" i="242"/>
  <c r="LDK18" i="242" s="1"/>
  <c r="LDB18" i="242"/>
  <c r="LCT18" i="242"/>
  <c r="LCO18" i="242"/>
  <c r="LCU18" i="242" s="1"/>
  <c r="LCL18" i="242"/>
  <c r="LCD18" i="242"/>
  <c r="LBY18" i="242"/>
  <c r="LCE18" i="242" s="1"/>
  <c r="LBV18" i="242"/>
  <c r="LBN18" i="242"/>
  <c r="LBI18" i="242"/>
  <c r="LBO18" i="242" s="1"/>
  <c r="LBF18" i="242"/>
  <c r="LAX18" i="242"/>
  <c r="LAS18" i="242"/>
  <c r="LAY18" i="242" s="1"/>
  <c r="LAP18" i="242"/>
  <c r="LAH18" i="242"/>
  <c r="LAC18" i="242"/>
  <c r="LAI18" i="242" s="1"/>
  <c r="KZZ18" i="242"/>
  <c r="KZR18" i="242"/>
  <c r="KZM18" i="242"/>
  <c r="KZS18" i="242" s="1"/>
  <c r="KZJ18" i="242"/>
  <c r="KZB18" i="242"/>
  <c r="KYW18" i="242"/>
  <c r="KZC18" i="242" s="1"/>
  <c r="KYT18" i="242"/>
  <c r="KYL18" i="242"/>
  <c r="KYG18" i="242"/>
  <c r="KYM18" i="242" s="1"/>
  <c r="KYD18" i="242"/>
  <c r="KXV18" i="242"/>
  <c r="KXQ18" i="242"/>
  <c r="KXW18" i="242" s="1"/>
  <c r="KXN18" i="242"/>
  <c r="KXF18" i="242"/>
  <c r="KXA18" i="242"/>
  <c r="KXG18" i="242" s="1"/>
  <c r="KWX18" i="242"/>
  <c r="KWP18" i="242"/>
  <c r="KWK18" i="242"/>
  <c r="KWQ18" i="242" s="1"/>
  <c r="KWH18" i="242"/>
  <c r="KVZ18" i="242"/>
  <c r="KVU18" i="242"/>
  <c r="KWA18" i="242" s="1"/>
  <c r="KVR18" i="242"/>
  <c r="KVJ18" i="242"/>
  <c r="KVE18" i="242"/>
  <c r="KVK18" i="242" s="1"/>
  <c r="KVB18" i="242"/>
  <c r="KUT18" i="242"/>
  <c r="KUO18" i="242"/>
  <c r="KUU18" i="242" s="1"/>
  <c r="KUL18" i="242"/>
  <c r="KUD18" i="242"/>
  <c r="KTY18" i="242"/>
  <c r="KUE18" i="242" s="1"/>
  <c r="KTV18" i="242"/>
  <c r="KTN18" i="242"/>
  <c r="KTI18" i="242"/>
  <c r="KTO18" i="242" s="1"/>
  <c r="KTF18" i="242"/>
  <c r="KSX18" i="242"/>
  <c r="KSS18" i="242"/>
  <c r="KSY18" i="242" s="1"/>
  <c r="KSP18" i="242"/>
  <c r="KSH18" i="242"/>
  <c r="KSC18" i="242"/>
  <c r="KSI18" i="242" s="1"/>
  <c r="KRZ18" i="242"/>
  <c r="KRR18" i="242"/>
  <c r="KRM18" i="242"/>
  <c r="KRS18" i="242" s="1"/>
  <c r="KRJ18" i="242"/>
  <c r="KRB18" i="242"/>
  <c r="KQW18" i="242"/>
  <c r="KRC18" i="242" s="1"/>
  <c r="KQT18" i="242"/>
  <c r="KQL18" i="242"/>
  <c r="KQG18" i="242"/>
  <c r="KQM18" i="242" s="1"/>
  <c r="KQD18" i="242"/>
  <c r="KPV18" i="242"/>
  <c r="KPQ18" i="242"/>
  <c r="KPW18" i="242" s="1"/>
  <c r="KPN18" i="242"/>
  <c r="KPF18" i="242"/>
  <c r="KPA18" i="242"/>
  <c r="KPG18" i="242" s="1"/>
  <c r="KOX18" i="242"/>
  <c r="KOP18" i="242"/>
  <c r="KOK18" i="242"/>
  <c r="KOQ18" i="242" s="1"/>
  <c r="KOH18" i="242"/>
  <c r="KNZ18" i="242"/>
  <c r="KNU18" i="242"/>
  <c r="KOA18" i="242" s="1"/>
  <c r="KNR18" i="242"/>
  <c r="KNJ18" i="242"/>
  <c r="KNE18" i="242"/>
  <c r="KNK18" i="242" s="1"/>
  <c r="KNB18" i="242"/>
  <c r="KMT18" i="242"/>
  <c r="KMO18" i="242"/>
  <c r="KMU18" i="242" s="1"/>
  <c r="KML18" i="242"/>
  <c r="KMD18" i="242"/>
  <c r="KLY18" i="242"/>
  <c r="KME18" i="242" s="1"/>
  <c r="KLV18" i="242"/>
  <c r="KLN18" i="242"/>
  <c r="KLI18" i="242"/>
  <c r="KLO18" i="242" s="1"/>
  <c r="KLF18" i="242"/>
  <c r="KKX18" i="242"/>
  <c r="KKS18" i="242"/>
  <c r="KKY18" i="242" s="1"/>
  <c r="KKP18" i="242"/>
  <c r="KKH18" i="242"/>
  <c r="KKC18" i="242"/>
  <c r="KKI18" i="242" s="1"/>
  <c r="KJZ18" i="242"/>
  <c r="KJR18" i="242"/>
  <c r="KJM18" i="242"/>
  <c r="KJS18" i="242" s="1"/>
  <c r="KJJ18" i="242"/>
  <c r="KJB18" i="242"/>
  <c r="KIW18" i="242"/>
  <c r="KJC18" i="242" s="1"/>
  <c r="KIT18" i="242"/>
  <c r="KIL18" i="242"/>
  <c r="KIG18" i="242"/>
  <c r="KIM18" i="242" s="1"/>
  <c r="KID18" i="242"/>
  <c r="KHV18" i="242"/>
  <c r="KHQ18" i="242"/>
  <c r="KHW18" i="242" s="1"/>
  <c r="KHN18" i="242"/>
  <c r="KHF18" i="242"/>
  <c r="KHA18" i="242"/>
  <c r="KHG18" i="242" s="1"/>
  <c r="KGX18" i="242"/>
  <c r="KGP18" i="242"/>
  <c r="KGK18" i="242"/>
  <c r="KGQ18" i="242" s="1"/>
  <c r="KGH18" i="242"/>
  <c r="KFZ18" i="242"/>
  <c r="KFU18" i="242"/>
  <c r="KGA18" i="242" s="1"/>
  <c r="KFR18" i="242"/>
  <c r="KFJ18" i="242"/>
  <c r="KFE18" i="242"/>
  <c r="KFK18" i="242" s="1"/>
  <c r="KFB18" i="242"/>
  <c r="KET18" i="242"/>
  <c r="KEO18" i="242"/>
  <c r="KEU18" i="242" s="1"/>
  <c r="KEL18" i="242"/>
  <c r="KED18" i="242"/>
  <c r="KDY18" i="242"/>
  <c r="KEE18" i="242" s="1"/>
  <c r="KDV18" i="242"/>
  <c r="KDN18" i="242"/>
  <c r="KDI18" i="242"/>
  <c r="KDO18" i="242" s="1"/>
  <c r="KDF18" i="242"/>
  <c r="KCX18" i="242"/>
  <c r="KCS18" i="242"/>
  <c r="KCY18" i="242" s="1"/>
  <c r="KCP18" i="242"/>
  <c r="KCH18" i="242"/>
  <c r="KCC18" i="242"/>
  <c r="KCI18" i="242" s="1"/>
  <c r="KBZ18" i="242"/>
  <c r="KBR18" i="242"/>
  <c r="KBM18" i="242"/>
  <c r="KBS18" i="242" s="1"/>
  <c r="KBJ18" i="242"/>
  <c r="KBB18" i="242"/>
  <c r="KAW18" i="242"/>
  <c r="KBC18" i="242" s="1"/>
  <c r="KAT18" i="242"/>
  <c r="KAL18" i="242"/>
  <c r="KAG18" i="242"/>
  <c r="KAM18" i="242" s="1"/>
  <c r="KAD18" i="242"/>
  <c r="JZV18" i="242"/>
  <c r="JZQ18" i="242"/>
  <c r="JZW18" i="242" s="1"/>
  <c r="JZN18" i="242"/>
  <c r="JZF18" i="242"/>
  <c r="JZA18" i="242"/>
  <c r="JZG18" i="242" s="1"/>
  <c r="JYX18" i="242"/>
  <c r="JYP18" i="242"/>
  <c r="JYK18" i="242"/>
  <c r="JYQ18" i="242" s="1"/>
  <c r="JYH18" i="242"/>
  <c r="JXZ18" i="242"/>
  <c r="JXU18" i="242"/>
  <c r="JYA18" i="242" s="1"/>
  <c r="JXR18" i="242"/>
  <c r="JXJ18" i="242"/>
  <c r="JXE18" i="242"/>
  <c r="JXK18" i="242" s="1"/>
  <c r="JXB18" i="242"/>
  <c r="JWT18" i="242"/>
  <c r="JWO18" i="242"/>
  <c r="JWU18" i="242" s="1"/>
  <c r="JWL18" i="242"/>
  <c r="JWD18" i="242"/>
  <c r="JVY18" i="242"/>
  <c r="JWE18" i="242" s="1"/>
  <c r="JVV18" i="242"/>
  <c r="JVN18" i="242"/>
  <c r="JVI18" i="242"/>
  <c r="JVO18" i="242" s="1"/>
  <c r="JVF18" i="242"/>
  <c r="JUX18" i="242"/>
  <c r="JUS18" i="242"/>
  <c r="JUY18" i="242" s="1"/>
  <c r="JUP18" i="242"/>
  <c r="JUH18" i="242"/>
  <c r="JUC18" i="242"/>
  <c r="JUI18" i="242" s="1"/>
  <c r="JTZ18" i="242"/>
  <c r="JTR18" i="242"/>
  <c r="JTM18" i="242"/>
  <c r="JTS18" i="242" s="1"/>
  <c r="JTJ18" i="242"/>
  <c r="JTB18" i="242"/>
  <c r="JSW18" i="242"/>
  <c r="JTC18" i="242" s="1"/>
  <c r="JST18" i="242"/>
  <c r="JSL18" i="242"/>
  <c r="JSG18" i="242"/>
  <c r="JSM18" i="242" s="1"/>
  <c r="JSD18" i="242"/>
  <c r="JRV18" i="242"/>
  <c r="JRQ18" i="242"/>
  <c r="JRW18" i="242" s="1"/>
  <c r="JRN18" i="242"/>
  <c r="JRF18" i="242"/>
  <c r="JRA18" i="242"/>
  <c r="JRG18" i="242" s="1"/>
  <c r="JQX18" i="242"/>
  <c r="JQP18" i="242"/>
  <c r="JQK18" i="242"/>
  <c r="JQQ18" i="242" s="1"/>
  <c r="JQH18" i="242"/>
  <c r="JPZ18" i="242"/>
  <c r="JPU18" i="242"/>
  <c r="JQA18" i="242" s="1"/>
  <c r="JPR18" i="242"/>
  <c r="JPJ18" i="242"/>
  <c r="JPE18" i="242"/>
  <c r="JPK18" i="242" s="1"/>
  <c r="JPB18" i="242"/>
  <c r="JOT18" i="242"/>
  <c r="JOO18" i="242"/>
  <c r="JOU18" i="242" s="1"/>
  <c r="JOL18" i="242"/>
  <c r="JOD18" i="242"/>
  <c r="JNY18" i="242"/>
  <c r="JOE18" i="242" s="1"/>
  <c r="JNV18" i="242"/>
  <c r="JNN18" i="242"/>
  <c r="JNI18" i="242"/>
  <c r="JNO18" i="242" s="1"/>
  <c r="JNF18" i="242"/>
  <c r="JMX18" i="242"/>
  <c r="JMS18" i="242"/>
  <c r="JMY18" i="242" s="1"/>
  <c r="JMP18" i="242"/>
  <c r="JMH18" i="242"/>
  <c r="JMC18" i="242"/>
  <c r="JMI18" i="242" s="1"/>
  <c r="JLZ18" i="242"/>
  <c r="JLR18" i="242"/>
  <c r="JLM18" i="242"/>
  <c r="JLS18" i="242" s="1"/>
  <c r="JLJ18" i="242"/>
  <c r="JLB18" i="242"/>
  <c r="JKW18" i="242"/>
  <c r="JLC18" i="242" s="1"/>
  <c r="JKT18" i="242"/>
  <c r="JKL18" i="242"/>
  <c r="JKG18" i="242"/>
  <c r="JKM18" i="242" s="1"/>
  <c r="JKD18" i="242"/>
  <c r="JJV18" i="242"/>
  <c r="JJQ18" i="242"/>
  <c r="JJW18" i="242" s="1"/>
  <c r="JJN18" i="242"/>
  <c r="JJF18" i="242"/>
  <c r="JJA18" i="242"/>
  <c r="JJG18" i="242" s="1"/>
  <c r="JIX18" i="242"/>
  <c r="JIP18" i="242"/>
  <c r="JIK18" i="242"/>
  <c r="JIQ18" i="242" s="1"/>
  <c r="JIH18" i="242"/>
  <c r="JHZ18" i="242"/>
  <c r="JHU18" i="242"/>
  <c r="JIA18" i="242" s="1"/>
  <c r="JHR18" i="242"/>
  <c r="JHJ18" i="242"/>
  <c r="JHE18" i="242"/>
  <c r="JHK18" i="242" s="1"/>
  <c r="JHB18" i="242"/>
  <c r="JGT18" i="242"/>
  <c r="JGO18" i="242"/>
  <c r="JGU18" i="242" s="1"/>
  <c r="JGL18" i="242"/>
  <c r="JGD18" i="242"/>
  <c r="JFY18" i="242"/>
  <c r="JGE18" i="242" s="1"/>
  <c r="JFV18" i="242"/>
  <c r="JFN18" i="242"/>
  <c r="JFI18" i="242"/>
  <c r="JFO18" i="242" s="1"/>
  <c r="JFF18" i="242"/>
  <c r="JEX18" i="242"/>
  <c r="JES18" i="242"/>
  <c r="JEY18" i="242" s="1"/>
  <c r="JEP18" i="242"/>
  <c r="JEH18" i="242"/>
  <c r="JEC18" i="242"/>
  <c r="JEI18" i="242" s="1"/>
  <c r="JDZ18" i="242"/>
  <c r="JDR18" i="242"/>
  <c r="JDM18" i="242"/>
  <c r="JDS18" i="242" s="1"/>
  <c r="JDJ18" i="242"/>
  <c r="JDB18" i="242"/>
  <c r="JCW18" i="242"/>
  <c r="JDC18" i="242" s="1"/>
  <c r="JCT18" i="242"/>
  <c r="JCL18" i="242"/>
  <c r="JCG18" i="242"/>
  <c r="JCM18" i="242" s="1"/>
  <c r="JCD18" i="242"/>
  <c r="JBV18" i="242"/>
  <c r="JBQ18" i="242"/>
  <c r="JBW18" i="242" s="1"/>
  <c r="JBN18" i="242"/>
  <c r="JBF18" i="242"/>
  <c r="JBA18" i="242"/>
  <c r="JBG18" i="242" s="1"/>
  <c r="JAX18" i="242"/>
  <c r="JAP18" i="242"/>
  <c r="JAK18" i="242"/>
  <c r="JAQ18" i="242" s="1"/>
  <c r="JAH18" i="242"/>
  <c r="IZZ18" i="242"/>
  <c r="IZU18" i="242"/>
  <c r="JAA18" i="242" s="1"/>
  <c r="IZR18" i="242"/>
  <c r="IZJ18" i="242"/>
  <c r="IZE18" i="242"/>
  <c r="IZK18" i="242" s="1"/>
  <c r="IZB18" i="242"/>
  <c r="IYT18" i="242"/>
  <c r="IYO18" i="242"/>
  <c r="IYU18" i="242" s="1"/>
  <c r="IYL18" i="242"/>
  <c r="IYD18" i="242"/>
  <c r="IXY18" i="242"/>
  <c r="IYE18" i="242" s="1"/>
  <c r="IXV18" i="242"/>
  <c r="IXN18" i="242"/>
  <c r="IXI18" i="242"/>
  <c r="IXO18" i="242" s="1"/>
  <c r="IXF18" i="242"/>
  <c r="IWX18" i="242"/>
  <c r="IWS18" i="242"/>
  <c r="IWY18" i="242" s="1"/>
  <c r="IWP18" i="242"/>
  <c r="IWH18" i="242"/>
  <c r="IWC18" i="242"/>
  <c r="IWI18" i="242" s="1"/>
  <c r="IVZ18" i="242"/>
  <c r="IVR18" i="242"/>
  <c r="IVM18" i="242"/>
  <c r="IVS18" i="242" s="1"/>
  <c r="IVJ18" i="242"/>
  <c r="IVB18" i="242"/>
  <c r="IUW18" i="242"/>
  <c r="IVC18" i="242" s="1"/>
  <c r="IUT18" i="242"/>
  <c r="IUL18" i="242"/>
  <c r="IUG18" i="242"/>
  <c r="IUM18" i="242" s="1"/>
  <c r="IUD18" i="242"/>
  <c r="ITV18" i="242"/>
  <c r="ITQ18" i="242"/>
  <c r="ITW18" i="242" s="1"/>
  <c r="ITN18" i="242"/>
  <c r="ITF18" i="242"/>
  <c r="ITA18" i="242"/>
  <c r="ITG18" i="242" s="1"/>
  <c r="ISX18" i="242"/>
  <c r="ISP18" i="242"/>
  <c r="ISK18" i="242"/>
  <c r="ISQ18" i="242" s="1"/>
  <c r="ISH18" i="242"/>
  <c r="IRZ18" i="242"/>
  <c r="IRU18" i="242"/>
  <c r="ISA18" i="242" s="1"/>
  <c r="IRR18" i="242"/>
  <c r="IRJ18" i="242"/>
  <c r="IRE18" i="242"/>
  <c r="IRK18" i="242" s="1"/>
  <c r="IRB18" i="242"/>
  <c r="IQT18" i="242"/>
  <c r="IQO18" i="242"/>
  <c r="IQU18" i="242" s="1"/>
  <c r="IQL18" i="242"/>
  <c r="IQD18" i="242"/>
  <c r="IPY18" i="242"/>
  <c r="IQE18" i="242" s="1"/>
  <c r="IPV18" i="242"/>
  <c r="IPN18" i="242"/>
  <c r="IPI18" i="242"/>
  <c r="IPO18" i="242" s="1"/>
  <c r="IPF18" i="242"/>
  <c r="IOX18" i="242"/>
  <c r="IOS18" i="242"/>
  <c r="IOY18" i="242" s="1"/>
  <c r="IOP18" i="242"/>
  <c r="IOH18" i="242"/>
  <c r="IOC18" i="242"/>
  <c r="IOI18" i="242" s="1"/>
  <c r="INZ18" i="242"/>
  <c r="INR18" i="242"/>
  <c r="INM18" i="242"/>
  <c r="INS18" i="242" s="1"/>
  <c r="INJ18" i="242"/>
  <c r="INB18" i="242"/>
  <c r="IMW18" i="242"/>
  <c r="INC18" i="242" s="1"/>
  <c r="IMT18" i="242"/>
  <c r="IML18" i="242"/>
  <c r="IMG18" i="242"/>
  <c r="IMM18" i="242" s="1"/>
  <c r="IMD18" i="242"/>
  <c r="ILV18" i="242"/>
  <c r="ILQ18" i="242"/>
  <c r="ILW18" i="242" s="1"/>
  <c r="ILN18" i="242"/>
  <c r="ILF18" i="242"/>
  <c r="ILA18" i="242"/>
  <c r="ILG18" i="242" s="1"/>
  <c r="IKX18" i="242"/>
  <c r="IKP18" i="242"/>
  <c r="IKK18" i="242"/>
  <c r="IKQ18" i="242" s="1"/>
  <c r="IKH18" i="242"/>
  <c r="IJZ18" i="242"/>
  <c r="IJU18" i="242"/>
  <c r="IKA18" i="242" s="1"/>
  <c r="IJR18" i="242"/>
  <c r="IJJ18" i="242"/>
  <c r="IJE18" i="242"/>
  <c r="IJK18" i="242" s="1"/>
  <c r="IJB18" i="242"/>
  <c r="IIT18" i="242"/>
  <c r="IIO18" i="242"/>
  <c r="IIU18" i="242" s="1"/>
  <c r="IIL18" i="242"/>
  <c r="IID18" i="242"/>
  <c r="IHY18" i="242"/>
  <c r="IIE18" i="242" s="1"/>
  <c r="IHV18" i="242"/>
  <c r="IHN18" i="242"/>
  <c r="IHI18" i="242"/>
  <c r="IHO18" i="242" s="1"/>
  <c r="IHF18" i="242"/>
  <c r="IGX18" i="242"/>
  <c r="IGS18" i="242"/>
  <c r="IGY18" i="242" s="1"/>
  <c r="IGP18" i="242"/>
  <c r="IGH18" i="242"/>
  <c r="IGC18" i="242"/>
  <c r="IGI18" i="242" s="1"/>
  <c r="IFZ18" i="242"/>
  <c r="IFR18" i="242"/>
  <c r="IFM18" i="242"/>
  <c r="IFS18" i="242" s="1"/>
  <c r="IFJ18" i="242"/>
  <c r="IFB18" i="242"/>
  <c r="IEW18" i="242"/>
  <c r="IFC18" i="242" s="1"/>
  <c r="IET18" i="242"/>
  <c r="IEL18" i="242"/>
  <c r="IEG18" i="242"/>
  <c r="IEM18" i="242" s="1"/>
  <c r="IED18" i="242"/>
  <c r="IDV18" i="242"/>
  <c r="IDQ18" i="242"/>
  <c r="IDW18" i="242" s="1"/>
  <c r="IDN18" i="242"/>
  <c r="IDF18" i="242"/>
  <c r="IDA18" i="242"/>
  <c r="IDG18" i="242" s="1"/>
  <c r="ICX18" i="242"/>
  <c r="ICP18" i="242"/>
  <c r="ICK18" i="242"/>
  <c r="ICQ18" i="242" s="1"/>
  <c r="ICH18" i="242"/>
  <c r="IBZ18" i="242"/>
  <c r="IBU18" i="242"/>
  <c r="ICA18" i="242" s="1"/>
  <c r="IBR18" i="242"/>
  <c r="IBJ18" i="242"/>
  <c r="IBE18" i="242"/>
  <c r="IBK18" i="242" s="1"/>
  <c r="IBB18" i="242"/>
  <c r="IAT18" i="242"/>
  <c r="IAO18" i="242"/>
  <c r="IAU18" i="242" s="1"/>
  <c r="IAL18" i="242"/>
  <c r="IAD18" i="242"/>
  <c r="HZY18" i="242"/>
  <c r="IAE18" i="242" s="1"/>
  <c r="HZV18" i="242"/>
  <c r="HZN18" i="242"/>
  <c r="HZI18" i="242"/>
  <c r="HZO18" i="242" s="1"/>
  <c r="HZF18" i="242"/>
  <c r="HYX18" i="242"/>
  <c r="HYS18" i="242"/>
  <c r="HYY18" i="242" s="1"/>
  <c r="HYP18" i="242"/>
  <c r="HYH18" i="242"/>
  <c r="HYC18" i="242"/>
  <c r="HYI18" i="242" s="1"/>
  <c r="HXZ18" i="242"/>
  <c r="HXR18" i="242"/>
  <c r="HXM18" i="242"/>
  <c r="HXS18" i="242" s="1"/>
  <c r="HXJ18" i="242"/>
  <c r="HXB18" i="242"/>
  <c r="HWW18" i="242"/>
  <c r="HXC18" i="242" s="1"/>
  <c r="HWT18" i="242"/>
  <c r="HWL18" i="242"/>
  <c r="HWG18" i="242"/>
  <c r="HWM18" i="242" s="1"/>
  <c r="HWD18" i="242"/>
  <c r="HVV18" i="242"/>
  <c r="HVQ18" i="242"/>
  <c r="HVW18" i="242" s="1"/>
  <c r="HVN18" i="242"/>
  <c r="HVF18" i="242"/>
  <c r="HVA18" i="242"/>
  <c r="HVG18" i="242" s="1"/>
  <c r="HUX18" i="242"/>
  <c r="HUP18" i="242"/>
  <c r="HUK18" i="242"/>
  <c r="HUQ18" i="242" s="1"/>
  <c r="HUH18" i="242"/>
  <c r="HTZ18" i="242"/>
  <c r="HTU18" i="242"/>
  <c r="HUA18" i="242" s="1"/>
  <c r="HTR18" i="242"/>
  <c r="HTJ18" i="242"/>
  <c r="HTE18" i="242"/>
  <c r="HTK18" i="242" s="1"/>
  <c r="HTB18" i="242"/>
  <c r="HST18" i="242"/>
  <c r="HSO18" i="242"/>
  <c r="HSU18" i="242" s="1"/>
  <c r="HSL18" i="242"/>
  <c r="HSD18" i="242"/>
  <c r="HRY18" i="242"/>
  <c r="HSE18" i="242" s="1"/>
  <c r="HRV18" i="242"/>
  <c r="HRN18" i="242"/>
  <c r="HRI18" i="242"/>
  <c r="HRO18" i="242" s="1"/>
  <c r="HRF18" i="242"/>
  <c r="HQX18" i="242"/>
  <c r="HQS18" i="242"/>
  <c r="HQY18" i="242" s="1"/>
  <c r="HQP18" i="242"/>
  <c r="HQH18" i="242"/>
  <c r="HQC18" i="242"/>
  <c r="HQI18" i="242" s="1"/>
  <c r="HPZ18" i="242"/>
  <c r="HPR18" i="242"/>
  <c r="HPM18" i="242"/>
  <c r="HPS18" i="242" s="1"/>
  <c r="HPJ18" i="242"/>
  <c r="HPB18" i="242"/>
  <c r="HOW18" i="242"/>
  <c r="HPC18" i="242" s="1"/>
  <c r="HOT18" i="242"/>
  <c r="HOL18" i="242"/>
  <c r="HOG18" i="242"/>
  <c r="HOM18" i="242" s="1"/>
  <c r="HOD18" i="242"/>
  <c r="HNV18" i="242"/>
  <c r="HNQ18" i="242"/>
  <c r="HNW18" i="242" s="1"/>
  <c r="HNN18" i="242"/>
  <c r="HNF18" i="242"/>
  <c r="HNA18" i="242"/>
  <c r="HNG18" i="242" s="1"/>
  <c r="HMX18" i="242"/>
  <c r="HMP18" i="242"/>
  <c r="HMK18" i="242"/>
  <c r="HMQ18" i="242" s="1"/>
  <c r="HMH18" i="242"/>
  <c r="HLZ18" i="242"/>
  <c r="HLU18" i="242"/>
  <c r="HMA18" i="242" s="1"/>
  <c r="HLR18" i="242"/>
  <c r="HLJ18" i="242"/>
  <c r="HLE18" i="242"/>
  <c r="HLK18" i="242" s="1"/>
  <c r="HLB18" i="242"/>
  <c r="HKT18" i="242"/>
  <c r="HKO18" i="242"/>
  <c r="HKU18" i="242" s="1"/>
  <c r="HKL18" i="242"/>
  <c r="HKD18" i="242"/>
  <c r="HJY18" i="242"/>
  <c r="HKE18" i="242" s="1"/>
  <c r="HJV18" i="242"/>
  <c r="HJN18" i="242"/>
  <c r="HJI18" i="242"/>
  <c r="HJO18" i="242" s="1"/>
  <c r="HJF18" i="242"/>
  <c r="HIX18" i="242"/>
  <c r="HIS18" i="242"/>
  <c r="HIY18" i="242" s="1"/>
  <c r="HIP18" i="242"/>
  <c r="HIH18" i="242"/>
  <c r="HIC18" i="242"/>
  <c r="HII18" i="242" s="1"/>
  <c r="HHZ18" i="242"/>
  <c r="HHR18" i="242"/>
  <c r="HHM18" i="242"/>
  <c r="HHS18" i="242" s="1"/>
  <c r="HHJ18" i="242"/>
  <c r="HHB18" i="242"/>
  <c r="HGW18" i="242"/>
  <c r="HHC18" i="242" s="1"/>
  <c r="HGT18" i="242"/>
  <c r="HGL18" i="242"/>
  <c r="HGG18" i="242"/>
  <c r="HGM18" i="242" s="1"/>
  <c r="HGD18" i="242"/>
  <c r="HFV18" i="242"/>
  <c r="HFQ18" i="242"/>
  <c r="HFW18" i="242" s="1"/>
  <c r="HFN18" i="242"/>
  <c r="HFF18" i="242"/>
  <c r="HFA18" i="242"/>
  <c r="HFG18" i="242" s="1"/>
  <c r="HEX18" i="242"/>
  <c r="HEP18" i="242"/>
  <c r="HEK18" i="242"/>
  <c r="HEQ18" i="242" s="1"/>
  <c r="HEH18" i="242"/>
  <c r="HDZ18" i="242"/>
  <c r="HDU18" i="242"/>
  <c r="HEA18" i="242" s="1"/>
  <c r="HDR18" i="242"/>
  <c r="HDJ18" i="242"/>
  <c r="HDE18" i="242"/>
  <c r="HDK18" i="242" s="1"/>
  <c r="HDB18" i="242"/>
  <c r="HCT18" i="242"/>
  <c r="HCO18" i="242"/>
  <c r="HCU18" i="242" s="1"/>
  <c r="HCL18" i="242"/>
  <c r="HCD18" i="242"/>
  <c r="HBY18" i="242"/>
  <c r="HCE18" i="242" s="1"/>
  <c r="HBV18" i="242"/>
  <c r="HBN18" i="242"/>
  <c r="HBI18" i="242"/>
  <c r="HBO18" i="242" s="1"/>
  <c r="HBF18" i="242"/>
  <c r="HAX18" i="242"/>
  <c r="HAS18" i="242"/>
  <c r="HAY18" i="242" s="1"/>
  <c r="HAP18" i="242"/>
  <c r="HAH18" i="242"/>
  <c r="HAC18" i="242"/>
  <c r="HAI18" i="242" s="1"/>
  <c r="GZZ18" i="242"/>
  <c r="GZR18" i="242"/>
  <c r="GZM18" i="242"/>
  <c r="GZS18" i="242" s="1"/>
  <c r="GZJ18" i="242"/>
  <c r="GZB18" i="242"/>
  <c r="GYW18" i="242"/>
  <c r="GZC18" i="242" s="1"/>
  <c r="GYT18" i="242"/>
  <c r="GYL18" i="242"/>
  <c r="GYG18" i="242"/>
  <c r="GYM18" i="242" s="1"/>
  <c r="GYD18" i="242"/>
  <c r="GXV18" i="242"/>
  <c r="GXQ18" i="242"/>
  <c r="GXW18" i="242" s="1"/>
  <c r="GXN18" i="242"/>
  <c r="GXF18" i="242"/>
  <c r="GXA18" i="242"/>
  <c r="GXG18" i="242" s="1"/>
  <c r="GWX18" i="242"/>
  <c r="GWP18" i="242"/>
  <c r="GWK18" i="242"/>
  <c r="GWQ18" i="242" s="1"/>
  <c r="GWH18" i="242"/>
  <c r="GVZ18" i="242"/>
  <c r="GVU18" i="242"/>
  <c r="GWA18" i="242" s="1"/>
  <c r="GVR18" i="242"/>
  <c r="GVJ18" i="242"/>
  <c r="GVE18" i="242"/>
  <c r="GVK18" i="242" s="1"/>
  <c r="GVB18" i="242"/>
  <c r="GUT18" i="242"/>
  <c r="GUO18" i="242"/>
  <c r="GUU18" i="242" s="1"/>
  <c r="GUL18" i="242"/>
  <c r="GUD18" i="242"/>
  <c r="GTY18" i="242"/>
  <c r="GUE18" i="242" s="1"/>
  <c r="GTV18" i="242"/>
  <c r="GTN18" i="242"/>
  <c r="GTI18" i="242"/>
  <c r="GTO18" i="242" s="1"/>
  <c r="GTF18" i="242"/>
  <c r="GSX18" i="242"/>
  <c r="GSS18" i="242"/>
  <c r="GSY18" i="242" s="1"/>
  <c r="GSP18" i="242"/>
  <c r="GSH18" i="242"/>
  <c r="GSC18" i="242"/>
  <c r="GSI18" i="242" s="1"/>
  <c r="GRZ18" i="242"/>
  <c r="GRR18" i="242"/>
  <c r="GRM18" i="242"/>
  <c r="GRS18" i="242" s="1"/>
  <c r="GRJ18" i="242"/>
  <c r="GRB18" i="242"/>
  <c r="GQW18" i="242"/>
  <c r="GRC18" i="242" s="1"/>
  <c r="GQT18" i="242"/>
  <c r="GQL18" i="242"/>
  <c r="GQG18" i="242"/>
  <c r="GQM18" i="242" s="1"/>
  <c r="GQD18" i="242"/>
  <c r="GPV18" i="242"/>
  <c r="GPQ18" i="242"/>
  <c r="GPW18" i="242" s="1"/>
  <c r="GPN18" i="242"/>
  <c r="GPF18" i="242"/>
  <c r="GPA18" i="242"/>
  <c r="GPG18" i="242" s="1"/>
  <c r="GOX18" i="242"/>
  <c r="GOP18" i="242"/>
  <c r="GOK18" i="242"/>
  <c r="GOQ18" i="242" s="1"/>
  <c r="GOH18" i="242"/>
  <c r="GNZ18" i="242"/>
  <c r="GNU18" i="242"/>
  <c r="GOA18" i="242" s="1"/>
  <c r="GNR18" i="242"/>
  <c r="GNJ18" i="242"/>
  <c r="GNE18" i="242"/>
  <c r="GNK18" i="242" s="1"/>
  <c r="GNB18" i="242"/>
  <c r="GMT18" i="242"/>
  <c r="GMO18" i="242"/>
  <c r="GMU18" i="242" s="1"/>
  <c r="GML18" i="242"/>
  <c r="GMD18" i="242"/>
  <c r="GLY18" i="242"/>
  <c r="GME18" i="242" s="1"/>
  <c r="GLV18" i="242"/>
  <c r="GLN18" i="242"/>
  <c r="GLI18" i="242"/>
  <c r="GLO18" i="242" s="1"/>
  <c r="GLF18" i="242"/>
  <c r="GKX18" i="242"/>
  <c r="GKS18" i="242"/>
  <c r="GKY18" i="242" s="1"/>
  <c r="GKP18" i="242"/>
  <c r="GKH18" i="242"/>
  <c r="GKC18" i="242"/>
  <c r="GKI18" i="242" s="1"/>
  <c r="GJZ18" i="242"/>
  <c r="GJR18" i="242"/>
  <c r="GJM18" i="242"/>
  <c r="GJS18" i="242" s="1"/>
  <c r="GJJ18" i="242"/>
  <c r="GJB18" i="242"/>
  <c r="GIW18" i="242"/>
  <c r="GJC18" i="242" s="1"/>
  <c r="GIT18" i="242"/>
  <c r="GIL18" i="242"/>
  <c r="GIG18" i="242"/>
  <c r="GIM18" i="242" s="1"/>
  <c r="GID18" i="242"/>
  <c r="GHV18" i="242"/>
  <c r="GHQ18" i="242"/>
  <c r="GHW18" i="242" s="1"/>
  <c r="GHN18" i="242"/>
  <c r="GHF18" i="242"/>
  <c r="GHA18" i="242"/>
  <c r="GHG18" i="242" s="1"/>
  <c r="GGX18" i="242"/>
  <c r="GGP18" i="242"/>
  <c r="GGK18" i="242"/>
  <c r="GGQ18" i="242" s="1"/>
  <c r="GGH18" i="242"/>
  <c r="GFZ18" i="242"/>
  <c r="GFU18" i="242"/>
  <c r="GGA18" i="242" s="1"/>
  <c r="GFR18" i="242"/>
  <c r="GFJ18" i="242"/>
  <c r="GFE18" i="242"/>
  <c r="GFK18" i="242" s="1"/>
  <c r="GFB18" i="242"/>
  <c r="GET18" i="242"/>
  <c r="GEO18" i="242"/>
  <c r="GEU18" i="242" s="1"/>
  <c r="GEL18" i="242"/>
  <c r="GED18" i="242"/>
  <c r="GDY18" i="242"/>
  <c r="GEE18" i="242" s="1"/>
  <c r="GDV18" i="242"/>
  <c r="GDN18" i="242"/>
  <c r="GDI18" i="242"/>
  <c r="GDO18" i="242" s="1"/>
  <c r="GDF18" i="242"/>
  <c r="GCX18" i="242"/>
  <c r="GCS18" i="242"/>
  <c r="GCY18" i="242" s="1"/>
  <c r="GCP18" i="242"/>
  <c r="GCH18" i="242"/>
  <c r="GCC18" i="242"/>
  <c r="GCI18" i="242" s="1"/>
  <c r="GBZ18" i="242"/>
  <c r="GBR18" i="242"/>
  <c r="GBM18" i="242"/>
  <c r="GBS18" i="242" s="1"/>
  <c r="GBJ18" i="242"/>
  <c r="GBB18" i="242"/>
  <c r="GAW18" i="242"/>
  <c r="GBC18" i="242" s="1"/>
  <c r="GAT18" i="242"/>
  <c r="GAL18" i="242"/>
  <c r="GAG18" i="242"/>
  <c r="GAM18" i="242" s="1"/>
  <c r="GAD18" i="242"/>
  <c r="FZV18" i="242"/>
  <c r="FZQ18" i="242"/>
  <c r="FZW18" i="242" s="1"/>
  <c r="FZN18" i="242"/>
  <c r="FZF18" i="242"/>
  <c r="FZA18" i="242"/>
  <c r="FZG18" i="242" s="1"/>
  <c r="FYX18" i="242"/>
  <c r="FYP18" i="242"/>
  <c r="FYK18" i="242"/>
  <c r="FYQ18" i="242" s="1"/>
  <c r="FYH18" i="242"/>
  <c r="FXZ18" i="242"/>
  <c r="FXU18" i="242"/>
  <c r="FYA18" i="242" s="1"/>
  <c r="FXR18" i="242"/>
  <c r="FXJ18" i="242"/>
  <c r="FXE18" i="242"/>
  <c r="FXK18" i="242" s="1"/>
  <c r="FXB18" i="242"/>
  <c r="FWT18" i="242"/>
  <c r="FWO18" i="242"/>
  <c r="FWU18" i="242" s="1"/>
  <c r="FWL18" i="242"/>
  <c r="FWD18" i="242"/>
  <c r="FVY18" i="242"/>
  <c r="FWE18" i="242" s="1"/>
  <c r="FVV18" i="242"/>
  <c r="FVN18" i="242"/>
  <c r="FVI18" i="242"/>
  <c r="FVO18" i="242" s="1"/>
  <c r="FVF18" i="242"/>
  <c r="FUX18" i="242"/>
  <c r="FUS18" i="242"/>
  <c r="FUY18" i="242" s="1"/>
  <c r="FUP18" i="242"/>
  <c r="FUH18" i="242"/>
  <c r="FUC18" i="242"/>
  <c r="FUI18" i="242" s="1"/>
  <c r="FTZ18" i="242"/>
  <c r="FTR18" i="242"/>
  <c r="FTM18" i="242"/>
  <c r="FTS18" i="242" s="1"/>
  <c r="FTJ18" i="242"/>
  <c r="FTB18" i="242"/>
  <c r="FSW18" i="242"/>
  <c r="FTC18" i="242" s="1"/>
  <c r="FST18" i="242"/>
  <c r="FSL18" i="242"/>
  <c r="FSG18" i="242"/>
  <c r="FSM18" i="242" s="1"/>
  <c r="FSD18" i="242"/>
  <c r="FRV18" i="242"/>
  <c r="FRQ18" i="242"/>
  <c r="FRW18" i="242" s="1"/>
  <c r="FRN18" i="242"/>
  <c r="FRF18" i="242"/>
  <c r="FRA18" i="242"/>
  <c r="FRG18" i="242" s="1"/>
  <c r="FQX18" i="242"/>
  <c r="FQP18" i="242"/>
  <c r="FQK18" i="242"/>
  <c r="FQQ18" i="242" s="1"/>
  <c r="FQH18" i="242"/>
  <c r="FPZ18" i="242"/>
  <c r="FPU18" i="242"/>
  <c r="FQA18" i="242" s="1"/>
  <c r="FPR18" i="242"/>
  <c r="FPJ18" i="242"/>
  <c r="FPE18" i="242"/>
  <c r="FPK18" i="242" s="1"/>
  <c r="FPB18" i="242"/>
  <c r="FOT18" i="242"/>
  <c r="FOO18" i="242"/>
  <c r="FOU18" i="242" s="1"/>
  <c r="FOL18" i="242"/>
  <c r="FOD18" i="242"/>
  <c r="FNY18" i="242"/>
  <c r="FOE18" i="242" s="1"/>
  <c r="FNV18" i="242"/>
  <c r="FNN18" i="242"/>
  <c r="FNI18" i="242"/>
  <c r="FNO18" i="242" s="1"/>
  <c r="FNF18" i="242"/>
  <c r="FMX18" i="242"/>
  <c r="FMS18" i="242"/>
  <c r="FMY18" i="242" s="1"/>
  <c r="FMP18" i="242"/>
  <c r="FMH18" i="242"/>
  <c r="FMC18" i="242"/>
  <c r="FMI18" i="242" s="1"/>
  <c r="FLZ18" i="242"/>
  <c r="FLR18" i="242"/>
  <c r="FLM18" i="242"/>
  <c r="FLS18" i="242" s="1"/>
  <c r="FLJ18" i="242"/>
  <c r="FLB18" i="242"/>
  <c r="FKW18" i="242"/>
  <c r="FLC18" i="242" s="1"/>
  <c r="FKT18" i="242"/>
  <c r="FKL18" i="242"/>
  <c r="FKG18" i="242"/>
  <c r="FKM18" i="242" s="1"/>
  <c r="FKD18" i="242"/>
  <c r="FJV18" i="242"/>
  <c r="FJQ18" i="242"/>
  <c r="FJW18" i="242" s="1"/>
  <c r="FJN18" i="242"/>
  <c r="FJF18" i="242"/>
  <c r="FJA18" i="242"/>
  <c r="FJG18" i="242" s="1"/>
  <c r="FIX18" i="242"/>
  <c r="FIP18" i="242"/>
  <c r="FIK18" i="242"/>
  <c r="FIQ18" i="242" s="1"/>
  <c r="FIH18" i="242"/>
  <c r="FHZ18" i="242"/>
  <c r="FHU18" i="242"/>
  <c r="FIA18" i="242" s="1"/>
  <c r="FHR18" i="242"/>
  <c r="FHJ18" i="242"/>
  <c r="FHE18" i="242"/>
  <c r="FHK18" i="242" s="1"/>
  <c r="FHB18" i="242"/>
  <c r="FGT18" i="242"/>
  <c r="FGO18" i="242"/>
  <c r="FGU18" i="242" s="1"/>
  <c r="FGL18" i="242"/>
  <c r="FGD18" i="242"/>
  <c r="FFY18" i="242"/>
  <c r="FGE18" i="242" s="1"/>
  <c r="FFV18" i="242"/>
  <c r="FFN18" i="242"/>
  <c r="FFI18" i="242"/>
  <c r="FFO18" i="242" s="1"/>
  <c r="FFF18" i="242"/>
  <c r="FEX18" i="242"/>
  <c r="FES18" i="242"/>
  <c r="FEY18" i="242" s="1"/>
  <c r="FEP18" i="242"/>
  <c r="FEH18" i="242"/>
  <c r="FEC18" i="242"/>
  <c r="FEI18" i="242" s="1"/>
  <c r="FDZ18" i="242"/>
  <c r="FDR18" i="242"/>
  <c r="FDM18" i="242"/>
  <c r="FDS18" i="242" s="1"/>
  <c r="FDJ18" i="242"/>
  <c r="FDB18" i="242"/>
  <c r="FCW18" i="242"/>
  <c r="FDC18" i="242" s="1"/>
  <c r="FCT18" i="242"/>
  <c r="FCL18" i="242"/>
  <c r="FCG18" i="242"/>
  <c r="FCM18" i="242" s="1"/>
  <c r="FCD18" i="242"/>
  <c r="FBV18" i="242"/>
  <c r="FBQ18" i="242"/>
  <c r="FBW18" i="242" s="1"/>
  <c r="FBN18" i="242"/>
  <c r="FBF18" i="242"/>
  <c r="FBA18" i="242"/>
  <c r="FBG18" i="242" s="1"/>
  <c r="FAX18" i="242"/>
  <c r="FAP18" i="242"/>
  <c r="FAK18" i="242"/>
  <c r="FAQ18" i="242" s="1"/>
  <c r="FAH18" i="242"/>
  <c r="EZZ18" i="242"/>
  <c r="EZU18" i="242"/>
  <c r="FAA18" i="242" s="1"/>
  <c r="EZR18" i="242"/>
  <c r="EZJ18" i="242"/>
  <c r="EZE18" i="242"/>
  <c r="EZK18" i="242" s="1"/>
  <c r="EZB18" i="242"/>
  <c r="EYT18" i="242"/>
  <c r="EYO18" i="242"/>
  <c r="EYU18" i="242" s="1"/>
  <c r="EYL18" i="242"/>
  <c r="EYD18" i="242"/>
  <c r="EXY18" i="242"/>
  <c r="EYE18" i="242" s="1"/>
  <c r="EXV18" i="242"/>
  <c r="EXN18" i="242"/>
  <c r="EXI18" i="242"/>
  <c r="EXO18" i="242" s="1"/>
  <c r="EXF18" i="242"/>
  <c r="EWX18" i="242"/>
  <c r="EWS18" i="242"/>
  <c r="EWY18" i="242" s="1"/>
  <c r="EWP18" i="242"/>
  <c r="EWH18" i="242"/>
  <c r="EWC18" i="242"/>
  <c r="EWI18" i="242" s="1"/>
  <c r="EVZ18" i="242"/>
  <c r="EVR18" i="242"/>
  <c r="EVM18" i="242"/>
  <c r="EVS18" i="242" s="1"/>
  <c r="EVJ18" i="242"/>
  <c r="EVB18" i="242"/>
  <c r="EUW18" i="242"/>
  <c r="EVC18" i="242" s="1"/>
  <c r="EUT18" i="242"/>
  <c r="EUL18" i="242"/>
  <c r="EUG18" i="242"/>
  <c r="EUM18" i="242" s="1"/>
  <c r="EUD18" i="242"/>
  <c r="ETV18" i="242"/>
  <c r="ETQ18" i="242"/>
  <c r="ETW18" i="242" s="1"/>
  <c r="ETN18" i="242"/>
  <c r="ETF18" i="242"/>
  <c r="ETA18" i="242"/>
  <c r="ETG18" i="242" s="1"/>
  <c r="ESX18" i="242"/>
  <c r="ESP18" i="242"/>
  <c r="ESK18" i="242"/>
  <c r="ESQ18" i="242" s="1"/>
  <c r="ESH18" i="242"/>
  <c r="ERZ18" i="242"/>
  <c r="ERU18" i="242"/>
  <c r="ESA18" i="242" s="1"/>
  <c r="ERR18" i="242"/>
  <c r="ERJ18" i="242"/>
  <c r="ERE18" i="242"/>
  <c r="ERK18" i="242" s="1"/>
  <c r="ERB18" i="242"/>
  <c r="EQT18" i="242"/>
  <c r="EQO18" i="242"/>
  <c r="EQU18" i="242" s="1"/>
  <c r="EQL18" i="242"/>
  <c r="EQD18" i="242"/>
  <c r="EPY18" i="242"/>
  <c r="EQE18" i="242" s="1"/>
  <c r="EPV18" i="242"/>
  <c r="EPN18" i="242"/>
  <c r="EPI18" i="242"/>
  <c r="EPO18" i="242" s="1"/>
  <c r="EPF18" i="242"/>
  <c r="EOX18" i="242"/>
  <c r="EOS18" i="242"/>
  <c r="EOY18" i="242" s="1"/>
  <c r="EOP18" i="242"/>
  <c r="EOH18" i="242"/>
  <c r="EOC18" i="242"/>
  <c r="EOI18" i="242" s="1"/>
  <c r="ENZ18" i="242"/>
  <c r="ENR18" i="242"/>
  <c r="ENM18" i="242"/>
  <c r="ENS18" i="242" s="1"/>
  <c r="ENJ18" i="242"/>
  <c r="ENB18" i="242"/>
  <c r="EMW18" i="242"/>
  <c r="ENC18" i="242" s="1"/>
  <c r="EMT18" i="242"/>
  <c r="EML18" i="242"/>
  <c r="EMG18" i="242"/>
  <c r="EMM18" i="242" s="1"/>
  <c r="EMD18" i="242"/>
  <c r="ELV18" i="242"/>
  <c r="ELQ18" i="242"/>
  <c r="ELW18" i="242" s="1"/>
  <c r="ELN18" i="242"/>
  <c r="ELF18" i="242"/>
  <c r="ELA18" i="242"/>
  <c r="ELG18" i="242" s="1"/>
  <c r="EKX18" i="242"/>
  <c r="EKP18" i="242"/>
  <c r="EKK18" i="242"/>
  <c r="EKQ18" i="242" s="1"/>
  <c r="EKH18" i="242"/>
  <c r="EJZ18" i="242"/>
  <c r="EJU18" i="242"/>
  <c r="EKA18" i="242" s="1"/>
  <c r="EJR18" i="242"/>
  <c r="EJJ18" i="242"/>
  <c r="EJE18" i="242"/>
  <c r="EJK18" i="242" s="1"/>
  <c r="EJB18" i="242"/>
  <c r="EIT18" i="242"/>
  <c r="EIO18" i="242"/>
  <c r="EIU18" i="242" s="1"/>
  <c r="EIL18" i="242"/>
  <c r="EID18" i="242"/>
  <c r="EHY18" i="242"/>
  <c r="EIE18" i="242" s="1"/>
  <c r="EHV18" i="242"/>
  <c r="EHN18" i="242"/>
  <c r="EHI18" i="242"/>
  <c r="EHO18" i="242" s="1"/>
  <c r="EHF18" i="242"/>
  <c r="EGX18" i="242"/>
  <c r="EGS18" i="242"/>
  <c r="EGY18" i="242" s="1"/>
  <c r="EGP18" i="242"/>
  <c r="EGH18" i="242"/>
  <c r="EGC18" i="242"/>
  <c r="EGI18" i="242" s="1"/>
  <c r="EFZ18" i="242"/>
  <c r="EFR18" i="242"/>
  <c r="EFM18" i="242"/>
  <c r="EFS18" i="242" s="1"/>
  <c r="EFJ18" i="242"/>
  <c r="EFB18" i="242"/>
  <c r="EEW18" i="242"/>
  <c r="EFC18" i="242" s="1"/>
  <c r="EET18" i="242"/>
  <c r="EEL18" i="242"/>
  <c r="EEG18" i="242"/>
  <c r="EEM18" i="242" s="1"/>
  <c r="EED18" i="242"/>
  <c r="EDV18" i="242"/>
  <c r="EDQ18" i="242"/>
  <c r="EDW18" i="242" s="1"/>
  <c r="EDN18" i="242"/>
  <c r="EDF18" i="242"/>
  <c r="EDA18" i="242"/>
  <c r="EDG18" i="242" s="1"/>
  <c r="ECX18" i="242"/>
  <c r="ECP18" i="242"/>
  <c r="ECK18" i="242"/>
  <c r="ECQ18" i="242" s="1"/>
  <c r="ECH18" i="242"/>
  <c r="EBZ18" i="242"/>
  <c r="EBU18" i="242"/>
  <c r="ECA18" i="242" s="1"/>
  <c r="EBR18" i="242"/>
  <c r="EBJ18" i="242"/>
  <c r="EBE18" i="242"/>
  <c r="EBK18" i="242" s="1"/>
  <c r="EBB18" i="242"/>
  <c r="EAT18" i="242"/>
  <c r="EAO18" i="242"/>
  <c r="EAU18" i="242" s="1"/>
  <c r="EAL18" i="242"/>
  <c r="EAD18" i="242"/>
  <c r="DZY18" i="242"/>
  <c r="EAE18" i="242" s="1"/>
  <c r="DZV18" i="242"/>
  <c r="DZN18" i="242"/>
  <c r="DZI18" i="242"/>
  <c r="DZO18" i="242" s="1"/>
  <c r="DZF18" i="242"/>
  <c r="DYX18" i="242"/>
  <c r="DYS18" i="242"/>
  <c r="DYY18" i="242" s="1"/>
  <c r="DYP18" i="242"/>
  <c r="DYH18" i="242"/>
  <c r="DYC18" i="242"/>
  <c r="DYI18" i="242" s="1"/>
  <c r="DXZ18" i="242"/>
  <c r="DXR18" i="242"/>
  <c r="DXM18" i="242"/>
  <c r="DXS18" i="242" s="1"/>
  <c r="DXJ18" i="242"/>
  <c r="DXB18" i="242"/>
  <c r="DWW18" i="242"/>
  <c r="DXC18" i="242" s="1"/>
  <c r="DWT18" i="242"/>
  <c r="DWL18" i="242"/>
  <c r="DWG18" i="242"/>
  <c r="DWM18" i="242" s="1"/>
  <c r="DWD18" i="242"/>
  <c r="DVV18" i="242"/>
  <c r="DVQ18" i="242"/>
  <c r="DVW18" i="242" s="1"/>
  <c r="DVN18" i="242"/>
  <c r="DVF18" i="242"/>
  <c r="DVA18" i="242"/>
  <c r="DVG18" i="242" s="1"/>
  <c r="DUX18" i="242"/>
  <c r="DUP18" i="242"/>
  <c r="DUK18" i="242"/>
  <c r="DUQ18" i="242" s="1"/>
  <c r="DUH18" i="242"/>
  <c r="DTZ18" i="242"/>
  <c r="DTU18" i="242"/>
  <c r="DUA18" i="242" s="1"/>
  <c r="DTR18" i="242"/>
  <c r="DTJ18" i="242"/>
  <c r="DTE18" i="242"/>
  <c r="DTK18" i="242" s="1"/>
  <c r="DTB18" i="242"/>
  <c r="DST18" i="242"/>
  <c r="DSO18" i="242"/>
  <c r="DSU18" i="242" s="1"/>
  <c r="DSL18" i="242"/>
  <c r="DSD18" i="242"/>
  <c r="DRY18" i="242"/>
  <c r="DSE18" i="242" s="1"/>
  <c r="DRV18" i="242"/>
  <c r="DRN18" i="242"/>
  <c r="DRI18" i="242"/>
  <c r="DRO18" i="242" s="1"/>
  <c r="DRF18" i="242"/>
  <c r="DQX18" i="242"/>
  <c r="DQS18" i="242"/>
  <c r="DQY18" i="242" s="1"/>
  <c r="DQP18" i="242"/>
  <c r="DQH18" i="242"/>
  <c r="DQC18" i="242"/>
  <c r="DQI18" i="242" s="1"/>
  <c r="DPZ18" i="242"/>
  <c r="DPR18" i="242"/>
  <c r="DPM18" i="242"/>
  <c r="DPS18" i="242" s="1"/>
  <c r="DPJ18" i="242"/>
  <c r="DPB18" i="242"/>
  <c r="DOW18" i="242"/>
  <c r="DPC18" i="242" s="1"/>
  <c r="DOT18" i="242"/>
  <c r="DOL18" i="242"/>
  <c r="DOG18" i="242"/>
  <c r="DOM18" i="242" s="1"/>
  <c r="DOD18" i="242"/>
  <c r="DNV18" i="242"/>
  <c r="DNQ18" i="242"/>
  <c r="DNW18" i="242" s="1"/>
  <c r="DNN18" i="242"/>
  <c r="DNF18" i="242"/>
  <c r="DNA18" i="242"/>
  <c r="DNG18" i="242" s="1"/>
  <c r="DMX18" i="242"/>
  <c r="DMP18" i="242"/>
  <c r="DMK18" i="242"/>
  <c r="DMQ18" i="242" s="1"/>
  <c r="DMH18" i="242"/>
  <c r="DLZ18" i="242"/>
  <c r="DLU18" i="242"/>
  <c r="DMA18" i="242" s="1"/>
  <c r="DLR18" i="242"/>
  <c r="DLJ18" i="242"/>
  <c r="DLE18" i="242"/>
  <c r="DLK18" i="242" s="1"/>
  <c r="DLB18" i="242"/>
  <c r="DKT18" i="242"/>
  <c r="DKO18" i="242"/>
  <c r="DKU18" i="242" s="1"/>
  <c r="DKL18" i="242"/>
  <c r="DKD18" i="242"/>
  <c r="DJY18" i="242"/>
  <c r="DKE18" i="242" s="1"/>
  <c r="DJV18" i="242"/>
  <c r="DJN18" i="242"/>
  <c r="DJI18" i="242"/>
  <c r="DJO18" i="242" s="1"/>
  <c r="DJF18" i="242"/>
  <c r="DIX18" i="242"/>
  <c r="DIS18" i="242"/>
  <c r="DIY18" i="242" s="1"/>
  <c r="DIP18" i="242"/>
  <c r="DIH18" i="242"/>
  <c r="DIC18" i="242"/>
  <c r="DII18" i="242" s="1"/>
  <c r="DHZ18" i="242"/>
  <c r="DHR18" i="242"/>
  <c r="DHM18" i="242"/>
  <c r="DHS18" i="242" s="1"/>
  <c r="DHJ18" i="242"/>
  <c r="DHB18" i="242"/>
  <c r="DGW18" i="242"/>
  <c r="DHC18" i="242" s="1"/>
  <c r="DGT18" i="242"/>
  <c r="DGL18" i="242"/>
  <c r="DGG18" i="242"/>
  <c r="DGM18" i="242" s="1"/>
  <c r="DGD18" i="242"/>
  <c r="DFV18" i="242"/>
  <c r="DFQ18" i="242"/>
  <c r="DFW18" i="242" s="1"/>
  <c r="DFN18" i="242"/>
  <c r="DFF18" i="242"/>
  <c r="DFA18" i="242"/>
  <c r="DFG18" i="242" s="1"/>
  <c r="DEX18" i="242"/>
  <c r="DEP18" i="242"/>
  <c r="DEK18" i="242"/>
  <c r="DEQ18" i="242" s="1"/>
  <c r="DEH18" i="242"/>
  <c r="DDZ18" i="242"/>
  <c r="DDU18" i="242"/>
  <c r="DEA18" i="242" s="1"/>
  <c r="DDR18" i="242"/>
  <c r="DDJ18" i="242"/>
  <c r="DDE18" i="242"/>
  <c r="DDK18" i="242" s="1"/>
  <c r="DDB18" i="242"/>
  <c r="DCT18" i="242"/>
  <c r="DCO18" i="242"/>
  <c r="DCU18" i="242" s="1"/>
  <c r="DCL18" i="242"/>
  <c r="DCD18" i="242"/>
  <c r="DBY18" i="242"/>
  <c r="DCE18" i="242" s="1"/>
  <c r="DBV18" i="242"/>
  <c r="DBN18" i="242"/>
  <c r="DBI18" i="242"/>
  <c r="DBO18" i="242" s="1"/>
  <c r="DBF18" i="242"/>
  <c r="DAX18" i="242"/>
  <c r="DAS18" i="242"/>
  <c r="DAY18" i="242" s="1"/>
  <c r="DAP18" i="242"/>
  <c r="DAH18" i="242"/>
  <c r="DAC18" i="242"/>
  <c r="DAI18" i="242" s="1"/>
  <c r="CZZ18" i="242"/>
  <c r="CZR18" i="242"/>
  <c r="CZM18" i="242"/>
  <c r="CZS18" i="242" s="1"/>
  <c r="CZJ18" i="242"/>
  <c r="CZB18" i="242"/>
  <c r="CYW18" i="242"/>
  <c r="CZC18" i="242" s="1"/>
  <c r="CYT18" i="242"/>
  <c r="CYL18" i="242"/>
  <c r="CYG18" i="242"/>
  <c r="CYM18" i="242" s="1"/>
  <c r="CYD18" i="242"/>
  <c r="CXV18" i="242"/>
  <c r="CXQ18" i="242"/>
  <c r="CXW18" i="242" s="1"/>
  <c r="CXN18" i="242"/>
  <c r="CXF18" i="242"/>
  <c r="CXA18" i="242"/>
  <c r="CXG18" i="242" s="1"/>
  <c r="CWX18" i="242"/>
  <c r="CWP18" i="242"/>
  <c r="CWK18" i="242"/>
  <c r="CWQ18" i="242" s="1"/>
  <c r="CWH18" i="242"/>
  <c r="CVZ18" i="242"/>
  <c r="CVU18" i="242"/>
  <c r="CWA18" i="242" s="1"/>
  <c r="CVR18" i="242"/>
  <c r="CVJ18" i="242"/>
  <c r="CVE18" i="242"/>
  <c r="CVK18" i="242" s="1"/>
  <c r="CVB18" i="242"/>
  <c r="CUT18" i="242"/>
  <c r="CUO18" i="242"/>
  <c r="CUU18" i="242" s="1"/>
  <c r="CUL18" i="242"/>
  <c r="CUD18" i="242"/>
  <c r="CTY18" i="242"/>
  <c r="CUE18" i="242" s="1"/>
  <c r="CTV18" i="242"/>
  <c r="CTN18" i="242"/>
  <c r="CTI18" i="242"/>
  <c r="CTO18" i="242" s="1"/>
  <c r="CTF18" i="242"/>
  <c r="CSX18" i="242"/>
  <c r="CSS18" i="242"/>
  <c r="CSY18" i="242" s="1"/>
  <c r="CSP18" i="242"/>
  <c r="CSH18" i="242"/>
  <c r="CSC18" i="242"/>
  <c r="CSI18" i="242" s="1"/>
  <c r="CRZ18" i="242"/>
  <c r="CRR18" i="242"/>
  <c r="CRM18" i="242"/>
  <c r="CRS18" i="242" s="1"/>
  <c r="CRJ18" i="242"/>
  <c r="CRB18" i="242"/>
  <c r="CQW18" i="242"/>
  <c r="CRC18" i="242" s="1"/>
  <c r="CQT18" i="242"/>
  <c r="CQL18" i="242"/>
  <c r="CQG18" i="242"/>
  <c r="CQM18" i="242" s="1"/>
  <c r="CQD18" i="242"/>
  <c r="CPV18" i="242"/>
  <c r="CPQ18" i="242"/>
  <c r="CPW18" i="242" s="1"/>
  <c r="CPN18" i="242"/>
  <c r="CPF18" i="242"/>
  <c r="CPA18" i="242"/>
  <c r="CPG18" i="242" s="1"/>
  <c r="COX18" i="242"/>
  <c r="COP18" i="242"/>
  <c r="COK18" i="242"/>
  <c r="COQ18" i="242" s="1"/>
  <c r="COH18" i="242"/>
  <c r="CNZ18" i="242"/>
  <c r="CNU18" i="242"/>
  <c r="COA18" i="242" s="1"/>
  <c r="CNR18" i="242"/>
  <c r="CNJ18" i="242"/>
  <c r="CNE18" i="242"/>
  <c r="CNK18" i="242" s="1"/>
  <c r="CNB18" i="242"/>
  <c r="CMT18" i="242"/>
  <c r="CMO18" i="242"/>
  <c r="CMU18" i="242" s="1"/>
  <c r="CML18" i="242"/>
  <c r="CMD18" i="242"/>
  <c r="CLY18" i="242"/>
  <c r="CME18" i="242" s="1"/>
  <c r="CLV18" i="242"/>
  <c r="CLN18" i="242"/>
  <c r="CLI18" i="242"/>
  <c r="CLO18" i="242" s="1"/>
  <c r="CLF18" i="242"/>
  <c r="CKX18" i="242"/>
  <c r="CKS18" i="242"/>
  <c r="CKY18" i="242" s="1"/>
  <c r="CKP18" i="242"/>
  <c r="CKH18" i="242"/>
  <c r="CKC18" i="242"/>
  <c r="CKI18" i="242" s="1"/>
  <c r="CJZ18" i="242"/>
  <c r="CJR18" i="242"/>
  <c r="CJM18" i="242"/>
  <c r="CJS18" i="242" s="1"/>
  <c r="CJJ18" i="242"/>
  <c r="CJB18" i="242"/>
  <c r="CIW18" i="242"/>
  <c r="CJC18" i="242" s="1"/>
  <c r="CIT18" i="242"/>
  <c r="CIL18" i="242"/>
  <c r="CIG18" i="242"/>
  <c r="CIM18" i="242" s="1"/>
  <c r="CID18" i="242"/>
  <c r="CHV18" i="242"/>
  <c r="CHQ18" i="242"/>
  <c r="CHW18" i="242" s="1"/>
  <c r="CHN18" i="242"/>
  <c r="CHF18" i="242"/>
  <c r="CHA18" i="242"/>
  <c r="CHG18" i="242" s="1"/>
  <c r="CGX18" i="242"/>
  <c r="CGP18" i="242"/>
  <c r="CGK18" i="242"/>
  <c r="CGQ18" i="242" s="1"/>
  <c r="CGH18" i="242"/>
  <c r="CFZ18" i="242"/>
  <c r="CFU18" i="242"/>
  <c r="CGA18" i="242" s="1"/>
  <c r="CFR18" i="242"/>
  <c r="CFJ18" i="242"/>
  <c r="CFE18" i="242"/>
  <c r="CFK18" i="242" s="1"/>
  <c r="CFB18" i="242"/>
  <c r="CET18" i="242"/>
  <c r="CEO18" i="242"/>
  <c r="CEU18" i="242" s="1"/>
  <c r="CEL18" i="242"/>
  <c r="CED18" i="242"/>
  <c r="CDY18" i="242"/>
  <c r="CEE18" i="242" s="1"/>
  <c r="CDV18" i="242"/>
  <c r="CDN18" i="242"/>
  <c r="CDI18" i="242"/>
  <c r="CDO18" i="242" s="1"/>
  <c r="CDF18" i="242"/>
  <c r="CCX18" i="242"/>
  <c r="CCS18" i="242"/>
  <c r="CCY18" i="242" s="1"/>
  <c r="CCP18" i="242"/>
  <c r="CCH18" i="242"/>
  <c r="CCC18" i="242"/>
  <c r="CCI18" i="242" s="1"/>
  <c r="CBZ18" i="242"/>
  <c r="CBR18" i="242"/>
  <c r="CBM18" i="242"/>
  <c r="CBS18" i="242" s="1"/>
  <c r="CBJ18" i="242"/>
  <c r="CBB18" i="242"/>
  <c r="CAW18" i="242"/>
  <c r="CBC18" i="242" s="1"/>
  <c r="CAT18" i="242"/>
  <c r="CAL18" i="242"/>
  <c r="CAG18" i="242"/>
  <c r="CAM18" i="242" s="1"/>
  <c r="CAD18" i="242"/>
  <c r="BZV18" i="242"/>
  <c r="BZQ18" i="242"/>
  <c r="BZW18" i="242" s="1"/>
  <c r="BZN18" i="242"/>
  <c r="BZF18" i="242"/>
  <c r="BZA18" i="242"/>
  <c r="BZG18" i="242" s="1"/>
  <c r="BYX18" i="242"/>
  <c r="BYP18" i="242"/>
  <c r="BYK18" i="242"/>
  <c r="BYQ18" i="242" s="1"/>
  <c r="BYH18" i="242"/>
  <c r="BXZ18" i="242"/>
  <c r="BXU18" i="242"/>
  <c r="BYA18" i="242" s="1"/>
  <c r="BXR18" i="242"/>
  <c r="BXJ18" i="242"/>
  <c r="BXE18" i="242"/>
  <c r="BXK18" i="242" s="1"/>
  <c r="BXB18" i="242"/>
  <c r="BWT18" i="242"/>
  <c r="BWO18" i="242"/>
  <c r="BWU18" i="242" s="1"/>
  <c r="BWL18" i="242"/>
  <c r="BWD18" i="242"/>
  <c r="BVY18" i="242"/>
  <c r="BWE18" i="242" s="1"/>
  <c r="BVV18" i="242"/>
  <c r="BVN18" i="242"/>
  <c r="BVI18" i="242"/>
  <c r="BVO18" i="242" s="1"/>
  <c r="BVF18" i="242"/>
  <c r="BUX18" i="242"/>
  <c r="BUS18" i="242"/>
  <c r="BUY18" i="242" s="1"/>
  <c r="BUP18" i="242"/>
  <c r="BUH18" i="242"/>
  <c r="BUC18" i="242"/>
  <c r="BUI18" i="242" s="1"/>
  <c r="BTZ18" i="242"/>
  <c r="BTR18" i="242"/>
  <c r="BTM18" i="242"/>
  <c r="BTS18" i="242" s="1"/>
  <c r="BTJ18" i="242"/>
  <c r="BTB18" i="242"/>
  <c r="BSW18" i="242"/>
  <c r="BTC18" i="242" s="1"/>
  <c r="BST18" i="242"/>
  <c r="BSL18" i="242"/>
  <c r="BSG18" i="242"/>
  <c r="BSM18" i="242" s="1"/>
  <c r="BSD18" i="242"/>
  <c r="BRV18" i="242"/>
  <c r="BRQ18" i="242"/>
  <c r="BRW18" i="242" s="1"/>
  <c r="BRN18" i="242"/>
  <c r="BRF18" i="242"/>
  <c r="BRA18" i="242"/>
  <c r="BRG18" i="242" s="1"/>
  <c r="BQX18" i="242"/>
  <c r="BQP18" i="242"/>
  <c r="BQK18" i="242"/>
  <c r="BQQ18" i="242" s="1"/>
  <c r="BQH18" i="242"/>
  <c r="BPZ18" i="242"/>
  <c r="BPU18" i="242"/>
  <c r="BQA18" i="242" s="1"/>
  <c r="BPR18" i="242"/>
  <c r="BPJ18" i="242"/>
  <c r="BPE18" i="242"/>
  <c r="BPK18" i="242" s="1"/>
  <c r="BPB18" i="242"/>
  <c r="BOT18" i="242"/>
  <c r="BOO18" i="242"/>
  <c r="BOU18" i="242" s="1"/>
  <c r="BOL18" i="242"/>
  <c r="BOD18" i="242"/>
  <c r="BNY18" i="242"/>
  <c r="BOE18" i="242" s="1"/>
  <c r="BNV18" i="242"/>
  <c r="BNN18" i="242"/>
  <c r="BNI18" i="242"/>
  <c r="BNO18" i="242" s="1"/>
  <c r="BNF18" i="242"/>
  <c r="BMX18" i="242"/>
  <c r="BMS18" i="242"/>
  <c r="BMY18" i="242" s="1"/>
  <c r="BMP18" i="242"/>
  <c r="BMH18" i="242"/>
  <c r="BMC18" i="242"/>
  <c r="BMI18" i="242" s="1"/>
  <c r="BLZ18" i="242"/>
  <c r="BLR18" i="242"/>
  <c r="BLM18" i="242"/>
  <c r="BLS18" i="242" s="1"/>
  <c r="BLJ18" i="242"/>
  <c r="BLB18" i="242"/>
  <c r="BKW18" i="242"/>
  <c r="BLC18" i="242" s="1"/>
  <c r="BKT18" i="242"/>
  <c r="BKL18" i="242"/>
  <c r="BKG18" i="242"/>
  <c r="BKM18" i="242" s="1"/>
  <c r="BKD18" i="242"/>
  <c r="BJV18" i="242"/>
  <c r="BJQ18" i="242"/>
  <c r="BJW18" i="242" s="1"/>
  <c r="BJN18" i="242"/>
  <c r="BJF18" i="242"/>
  <c r="BJA18" i="242"/>
  <c r="BJG18" i="242" s="1"/>
  <c r="BIX18" i="242"/>
  <c r="BIP18" i="242"/>
  <c r="BIK18" i="242"/>
  <c r="BIQ18" i="242" s="1"/>
  <c r="BIH18" i="242"/>
  <c r="BHZ18" i="242"/>
  <c r="BHU18" i="242"/>
  <c r="BIA18" i="242" s="1"/>
  <c r="BHR18" i="242"/>
  <c r="BHJ18" i="242"/>
  <c r="BHE18" i="242"/>
  <c r="BHK18" i="242" s="1"/>
  <c r="BHB18" i="242"/>
  <c r="BGT18" i="242"/>
  <c r="BGO18" i="242"/>
  <c r="BGU18" i="242" s="1"/>
  <c r="BGL18" i="242"/>
  <c r="BGD18" i="242"/>
  <c r="BFY18" i="242"/>
  <c r="BGE18" i="242" s="1"/>
  <c r="BFV18" i="242"/>
  <c r="BFN18" i="242"/>
  <c r="BFI18" i="242"/>
  <c r="BFO18" i="242" s="1"/>
  <c r="BFF18" i="242"/>
  <c r="BEX18" i="242"/>
  <c r="BES18" i="242"/>
  <c r="BEY18" i="242" s="1"/>
  <c r="BEP18" i="242"/>
  <c r="BEH18" i="242"/>
  <c r="BEC18" i="242"/>
  <c r="BEI18" i="242" s="1"/>
  <c r="BDZ18" i="242"/>
  <c r="BDR18" i="242"/>
  <c r="BDM18" i="242"/>
  <c r="BDS18" i="242" s="1"/>
  <c r="BDJ18" i="242"/>
  <c r="BDB18" i="242"/>
  <c r="BCW18" i="242"/>
  <c r="BDC18" i="242" s="1"/>
  <c r="BCT18" i="242"/>
  <c r="BCL18" i="242"/>
  <c r="BCG18" i="242"/>
  <c r="BCM18" i="242" s="1"/>
  <c r="BCD18" i="242"/>
  <c r="BBV18" i="242"/>
  <c r="BBQ18" i="242"/>
  <c r="BBW18" i="242" s="1"/>
  <c r="BBN18" i="242"/>
  <c r="BBF18" i="242"/>
  <c r="BBA18" i="242"/>
  <c r="BBG18" i="242" s="1"/>
  <c r="BAX18" i="242"/>
  <c r="BAP18" i="242"/>
  <c r="BAK18" i="242"/>
  <c r="BAQ18" i="242" s="1"/>
  <c r="BAH18" i="242"/>
  <c r="AZZ18" i="242"/>
  <c r="AZU18" i="242"/>
  <c r="BAA18" i="242" s="1"/>
  <c r="AZR18" i="242"/>
  <c r="AZJ18" i="242"/>
  <c r="AZE18" i="242"/>
  <c r="AZK18" i="242" s="1"/>
  <c r="AZB18" i="242"/>
  <c r="AYT18" i="242"/>
  <c r="AYO18" i="242"/>
  <c r="AYU18" i="242" s="1"/>
  <c r="AYL18" i="242"/>
  <c r="AYD18" i="242"/>
  <c r="AXY18" i="242"/>
  <c r="AYE18" i="242" s="1"/>
  <c r="AXV18" i="242"/>
  <c r="AXN18" i="242"/>
  <c r="AXI18" i="242"/>
  <c r="AXO18" i="242" s="1"/>
  <c r="AXF18" i="242"/>
  <c r="AWX18" i="242"/>
  <c r="AWS18" i="242"/>
  <c r="AWY18" i="242" s="1"/>
  <c r="AWP18" i="242"/>
  <c r="AWH18" i="242"/>
  <c r="AWC18" i="242"/>
  <c r="AWI18" i="242" s="1"/>
  <c r="AVZ18" i="242"/>
  <c r="AVR18" i="242"/>
  <c r="AVM18" i="242"/>
  <c r="AVS18" i="242" s="1"/>
  <c r="AVJ18" i="242"/>
  <c r="AVB18" i="242"/>
  <c r="AUW18" i="242"/>
  <c r="AVC18" i="242" s="1"/>
  <c r="AUT18" i="242"/>
  <c r="AUL18" i="242"/>
  <c r="AUG18" i="242"/>
  <c r="AUM18" i="242" s="1"/>
  <c r="AUD18" i="242"/>
  <c r="ATV18" i="242"/>
  <c r="ATQ18" i="242"/>
  <c r="ATW18" i="242" s="1"/>
  <c r="ATN18" i="242"/>
  <c r="ATF18" i="242"/>
  <c r="ATA18" i="242"/>
  <c r="ATG18" i="242" s="1"/>
  <c r="ASX18" i="242"/>
  <c r="ASP18" i="242"/>
  <c r="ASK18" i="242"/>
  <c r="ASQ18" i="242" s="1"/>
  <c r="ASH18" i="242"/>
  <c r="ARZ18" i="242"/>
  <c r="ARU18" i="242"/>
  <c r="ASA18" i="242" s="1"/>
  <c r="ARR18" i="242"/>
  <c r="ARJ18" i="242"/>
  <c r="ARE18" i="242"/>
  <c r="ARK18" i="242" s="1"/>
  <c r="ARB18" i="242"/>
  <c r="AQT18" i="242"/>
  <c r="AQO18" i="242"/>
  <c r="AQU18" i="242" s="1"/>
  <c r="AQL18" i="242"/>
  <c r="AQD18" i="242"/>
  <c r="APY18" i="242"/>
  <c r="AQE18" i="242" s="1"/>
  <c r="APV18" i="242"/>
  <c r="APN18" i="242"/>
  <c r="API18" i="242"/>
  <c r="APO18" i="242" s="1"/>
  <c r="APF18" i="242"/>
  <c r="AOX18" i="242"/>
  <c r="AOS18" i="242"/>
  <c r="AOY18" i="242" s="1"/>
  <c r="AOP18" i="242"/>
  <c r="AOH18" i="242"/>
  <c r="AOC18" i="242"/>
  <c r="AOI18" i="242" s="1"/>
  <c r="ANZ18" i="242"/>
  <c r="ANR18" i="242"/>
  <c r="ANM18" i="242"/>
  <c r="ANS18" i="242" s="1"/>
  <c r="ANJ18" i="242"/>
  <c r="ANB18" i="242"/>
  <c r="AMW18" i="242"/>
  <c r="ANC18" i="242" s="1"/>
  <c r="AMT18" i="242"/>
  <c r="AML18" i="242"/>
  <c r="AMG18" i="242"/>
  <c r="AMM18" i="242" s="1"/>
  <c r="AMD18" i="242"/>
  <c r="ALV18" i="242"/>
  <c r="ALQ18" i="242"/>
  <c r="ALW18" i="242" s="1"/>
  <c r="ALN18" i="242"/>
  <c r="ALF18" i="242"/>
  <c r="ALA18" i="242"/>
  <c r="ALG18" i="242" s="1"/>
  <c r="AKX18" i="242"/>
  <c r="AKP18" i="242"/>
  <c r="AKK18" i="242"/>
  <c r="AKQ18" i="242" s="1"/>
  <c r="AKH18" i="242"/>
  <c r="AJZ18" i="242"/>
  <c r="AJU18" i="242"/>
  <c r="AKA18" i="242" s="1"/>
  <c r="AJR18" i="242"/>
  <c r="AJJ18" i="242"/>
  <c r="AJE18" i="242"/>
  <c r="AJK18" i="242" s="1"/>
  <c r="AJB18" i="242"/>
  <c r="AIT18" i="242"/>
  <c r="AIO18" i="242"/>
  <c r="AIU18" i="242" s="1"/>
  <c r="AIL18" i="242"/>
  <c r="AID18" i="242"/>
  <c r="AHY18" i="242"/>
  <c r="AIE18" i="242" s="1"/>
  <c r="AHV18" i="242"/>
  <c r="AHN18" i="242"/>
  <c r="AHI18" i="242"/>
  <c r="AHO18" i="242" s="1"/>
  <c r="AHF18" i="242"/>
  <c r="AGX18" i="242"/>
  <c r="AGS18" i="242"/>
  <c r="AGY18" i="242" s="1"/>
  <c r="AGP18" i="242"/>
  <c r="AGH18" i="242"/>
  <c r="AGC18" i="242"/>
  <c r="AGI18" i="242" s="1"/>
  <c r="AFZ18" i="242"/>
  <c r="AFR18" i="242"/>
  <c r="AFM18" i="242"/>
  <c r="AFS18" i="242" s="1"/>
  <c r="AFJ18" i="242"/>
  <c r="AFB18" i="242"/>
  <c r="AEW18" i="242"/>
  <c r="AFC18" i="242" s="1"/>
  <c r="AET18" i="242"/>
  <c r="AEL18" i="242"/>
  <c r="AEG18" i="242"/>
  <c r="AEM18" i="242" s="1"/>
  <c r="AED18" i="242"/>
  <c r="ADV18" i="242"/>
  <c r="ADQ18" i="242"/>
  <c r="ADW18" i="242" s="1"/>
  <c r="ADN18" i="242"/>
  <c r="ADF18" i="242"/>
  <c r="ADA18" i="242"/>
  <c r="ADG18" i="242" s="1"/>
  <c r="ACX18" i="242"/>
  <c r="ACP18" i="242"/>
  <c r="ACK18" i="242"/>
  <c r="ACQ18" i="242" s="1"/>
  <c r="ACH18" i="242"/>
  <c r="ABZ18" i="242"/>
  <c r="ABU18" i="242"/>
  <c r="ACA18" i="242" s="1"/>
  <c r="ABR18" i="242"/>
  <c r="ABJ18" i="242"/>
  <c r="ABE18" i="242"/>
  <c r="ABK18" i="242" s="1"/>
  <c r="ABB18" i="242"/>
  <c r="AAT18" i="242"/>
  <c r="AAO18" i="242"/>
  <c r="AAU18" i="242" s="1"/>
  <c r="AAL18" i="242"/>
  <c r="AAD18" i="242"/>
  <c r="ZY18" i="242"/>
  <c r="AAE18" i="242" s="1"/>
  <c r="ZV18" i="242"/>
  <c r="ZN18" i="242"/>
  <c r="ZI18" i="242"/>
  <c r="ZO18" i="242" s="1"/>
  <c r="ZF18" i="242"/>
  <c r="YX18" i="242"/>
  <c r="YS18" i="242"/>
  <c r="YY18" i="242" s="1"/>
  <c r="YP18" i="242"/>
  <c r="YH18" i="242"/>
  <c r="YC18" i="242"/>
  <c r="YI18" i="242" s="1"/>
  <c r="XZ18" i="242"/>
  <c r="XR18" i="242"/>
  <c r="XM18" i="242"/>
  <c r="XS18" i="242" s="1"/>
  <c r="XJ18" i="242"/>
  <c r="XB18" i="242"/>
  <c r="WW18" i="242"/>
  <c r="XC18" i="242" s="1"/>
  <c r="WT18" i="242"/>
  <c r="WL18" i="242"/>
  <c r="WG18" i="242"/>
  <c r="WM18" i="242" s="1"/>
  <c r="WD18" i="242"/>
  <c r="VV18" i="242"/>
  <c r="VQ18" i="242"/>
  <c r="VW18" i="242" s="1"/>
  <c r="VN18" i="242"/>
  <c r="VF18" i="242"/>
  <c r="VA18" i="242"/>
  <c r="VG18" i="242" s="1"/>
  <c r="UX18" i="242"/>
  <c r="UP18" i="242"/>
  <c r="UK18" i="242"/>
  <c r="UQ18" i="242" s="1"/>
  <c r="UH18" i="242"/>
  <c r="TZ18" i="242"/>
  <c r="TU18" i="242"/>
  <c r="UA18" i="242" s="1"/>
  <c r="TR18" i="242"/>
  <c r="TJ18" i="242"/>
  <c r="TE18" i="242"/>
  <c r="TK18" i="242" s="1"/>
  <c r="TB18" i="242"/>
  <c r="ST18" i="242"/>
  <c r="SO18" i="242"/>
  <c r="SU18" i="242" s="1"/>
  <c r="SL18" i="242"/>
  <c r="SD18" i="242"/>
  <c r="RY18" i="242"/>
  <c r="SE18" i="242" s="1"/>
  <c r="RV18" i="242"/>
  <c r="RN18" i="242"/>
  <c r="RI18" i="242"/>
  <c r="RO18" i="242" s="1"/>
  <c r="RF18" i="242"/>
  <c r="QX18" i="242"/>
  <c r="QS18" i="242"/>
  <c r="QY18" i="242" s="1"/>
  <c r="QP18" i="242"/>
  <c r="QH18" i="242"/>
  <c r="QC18" i="242"/>
  <c r="QI18" i="242" s="1"/>
  <c r="PZ18" i="242"/>
  <c r="PR18" i="242"/>
  <c r="PM18" i="242"/>
  <c r="PS18" i="242" s="1"/>
  <c r="PJ18" i="242"/>
  <c r="PB18" i="242"/>
  <c r="OW18" i="242"/>
  <c r="PC18" i="242" s="1"/>
  <c r="OT18" i="242"/>
  <c r="OL18" i="242"/>
  <c r="OG18" i="242"/>
  <c r="OM18" i="242" s="1"/>
  <c r="OD18" i="242"/>
  <c r="NV18" i="242"/>
  <c r="NQ18" i="242"/>
  <c r="NW18" i="242" s="1"/>
  <c r="NN18" i="242"/>
  <c r="NF18" i="242"/>
  <c r="NA18" i="242"/>
  <c r="NG18" i="242" s="1"/>
  <c r="MX18" i="242"/>
  <c r="MP18" i="242"/>
  <c r="MK18" i="242"/>
  <c r="MQ18" i="242" s="1"/>
  <c r="MH18" i="242"/>
  <c r="LZ18" i="242"/>
  <c r="LU18" i="242"/>
  <c r="MA18" i="242" s="1"/>
  <c r="LR18" i="242"/>
  <c r="LJ18" i="242"/>
  <c r="LE18" i="242"/>
  <c r="LK18" i="242" s="1"/>
  <c r="LB18" i="242"/>
  <c r="KT18" i="242"/>
  <c r="KO18" i="242"/>
  <c r="KU18" i="242" s="1"/>
  <c r="KL18" i="242"/>
  <c r="KD18" i="242"/>
  <c r="JY18" i="242"/>
  <c r="KE18" i="242" s="1"/>
  <c r="JV18" i="242"/>
  <c r="JN18" i="242"/>
  <c r="JI18" i="242"/>
  <c r="JO18" i="242" s="1"/>
  <c r="JF18" i="242"/>
  <c r="IX18" i="242"/>
  <c r="IS18" i="242"/>
  <c r="IY18" i="242" s="1"/>
  <c r="IP18" i="242"/>
  <c r="IH18" i="242"/>
  <c r="IC18" i="242"/>
  <c r="II18" i="242" s="1"/>
  <c r="HZ18" i="242"/>
  <c r="HR18" i="242"/>
  <c r="HM18" i="242"/>
  <c r="HS18" i="242" s="1"/>
  <c r="HJ18" i="242"/>
  <c r="HB18" i="242"/>
  <c r="GW18" i="242"/>
  <c r="HC18" i="242" s="1"/>
  <c r="GT18" i="242"/>
  <c r="GL18" i="242"/>
  <c r="GG18" i="242"/>
  <c r="GM18" i="242" s="1"/>
  <c r="GD18" i="242"/>
  <c r="FV18" i="242"/>
  <c r="FQ18" i="242"/>
  <c r="FW18" i="242" s="1"/>
  <c r="FN18" i="242"/>
  <c r="FF18" i="242"/>
  <c r="FA18" i="242"/>
  <c r="FG18" i="242" s="1"/>
  <c r="EX18" i="242"/>
  <c r="EP18" i="242"/>
  <c r="EK18" i="242"/>
  <c r="EQ18" i="242" s="1"/>
  <c r="EH18" i="242"/>
  <c r="DZ18" i="242"/>
  <c r="DU18" i="242"/>
  <c r="EA18" i="242" s="1"/>
  <c r="DR18" i="242"/>
  <c r="DJ18" i="242"/>
  <c r="DE18" i="242"/>
  <c r="DK18" i="242" s="1"/>
  <c r="DB18" i="242"/>
  <c r="CT18" i="242"/>
  <c r="CO18" i="242"/>
  <c r="CU18" i="242" s="1"/>
  <c r="CL18" i="242"/>
  <c r="CD18" i="242"/>
  <c r="BY18" i="242"/>
  <c r="CE18" i="242" s="1"/>
  <c r="BV18" i="242"/>
  <c r="D18" i="242"/>
  <c r="P18" i="242" s="1"/>
  <c r="G100" i="479" l="1"/>
  <c r="GEX18" i="242"/>
  <c r="GGD18" i="242"/>
  <c r="GMH18" i="242"/>
  <c r="GNN18" i="242"/>
  <c r="GRF18" i="242"/>
  <c r="VHN18" i="242"/>
  <c r="VTF18" i="242"/>
  <c r="VVR18" i="242"/>
  <c r="WOD18" i="242"/>
  <c r="VNR18" i="242"/>
  <c r="VOX18" i="242"/>
  <c r="CDR18" i="242"/>
  <c r="ENF18" i="242"/>
  <c r="FLV18" i="242"/>
  <c r="IRN18" i="242"/>
  <c r="KYP18" i="242"/>
  <c r="AAH18" i="242"/>
  <c r="ABN18" i="242"/>
  <c r="APB18" i="242"/>
  <c r="AQH18" i="242"/>
  <c r="GEH18" i="242"/>
  <c r="GFN18" i="242"/>
  <c r="GLR18" i="242"/>
  <c r="GMX18" i="242"/>
  <c r="KZV18" i="242"/>
  <c r="LBB18" i="242"/>
  <c r="LCH18" i="242"/>
  <c r="OGD18" i="242"/>
  <c r="QGL18" i="242"/>
  <c r="QIX18" i="242"/>
  <c r="QQH18" i="242"/>
  <c r="QRN18" i="242"/>
  <c r="QVF18" i="242"/>
  <c r="QWL18" i="242"/>
  <c r="QYX18" i="242"/>
  <c r="RHN18" i="242"/>
  <c r="RML18" i="242"/>
  <c r="RNR18" i="242"/>
  <c r="RVB18" i="242"/>
  <c r="AXR18" i="242"/>
  <c r="AZN18" i="242"/>
  <c r="BAT18" i="242"/>
  <c r="BDF18" i="242"/>
  <c r="CXZ18" i="242"/>
  <c r="ENV18" i="242"/>
  <c r="OHJ18" i="242"/>
  <c r="OPZ18" i="242"/>
  <c r="PBB18" i="242"/>
  <c r="PET18" i="242"/>
  <c r="PKX18" i="242"/>
  <c r="PNJ18" i="242"/>
  <c r="SZF18" i="242"/>
  <c r="TED18" i="242"/>
  <c r="TGP18" i="242"/>
  <c r="THV18" i="242"/>
  <c r="TSX18" i="242"/>
  <c r="TXV18" i="242"/>
  <c r="UKD18" i="242"/>
  <c r="FRJ18" i="242"/>
  <c r="HJB18" i="242"/>
  <c r="HXV18" i="242"/>
  <c r="IAH18" i="242"/>
  <c r="IDZ18" i="242"/>
  <c r="ITJ18" i="242"/>
  <c r="IUP18" i="242"/>
  <c r="IYH18" i="242"/>
  <c r="IZN18" i="242"/>
  <c r="JFR18" i="242"/>
  <c r="JGX18" i="242"/>
  <c r="GSL18" i="242"/>
  <c r="HXF18" i="242"/>
  <c r="IST18" i="242"/>
  <c r="RRZ18" i="242"/>
  <c r="RWX18" i="242"/>
  <c r="SLR18" i="242"/>
  <c r="SOD18" i="242"/>
  <c r="HV18" i="242"/>
  <c r="BDV18" i="242"/>
  <c r="BFB18" i="242"/>
  <c r="BGH18" i="242"/>
  <c r="BHN18" i="242"/>
  <c r="BNR18" i="242"/>
  <c r="BOX18" i="242"/>
  <c r="BQD18" i="242"/>
  <c r="BRJ18" i="242"/>
  <c r="DMT18" i="242"/>
  <c r="JLF18" i="242"/>
  <c r="JQD18" i="242"/>
  <c r="MAX18" i="242"/>
  <c r="MDJ18" i="242"/>
  <c r="NBZ18" i="242"/>
  <c r="OGT18" i="242"/>
  <c r="VQT18" i="242"/>
  <c r="ZR18" i="242"/>
  <c r="CPJ18" i="242"/>
  <c r="DSH18" i="242"/>
  <c r="DTN18" i="242"/>
  <c r="HBR18" i="242"/>
  <c r="HED18" i="242"/>
  <c r="HNZ18" i="242"/>
  <c r="JZJ18" i="242"/>
  <c r="KXZ18" i="242"/>
  <c r="LNJ18" i="242"/>
  <c r="LSH18" i="242"/>
  <c r="JWH18" i="242"/>
  <c r="JYT18" i="242"/>
  <c r="JZZ18" i="242"/>
  <c r="LAL18" i="242"/>
  <c r="LBR18" i="242"/>
  <c r="LCX18" i="242"/>
  <c r="LJB18" i="242"/>
  <c r="NRJ18" i="242"/>
  <c r="PPV18" i="242"/>
  <c r="PTN18" i="242"/>
  <c r="QDJ18" i="242"/>
  <c r="QEP18" i="242"/>
  <c r="QFV18" i="242"/>
  <c r="QHB18" i="242"/>
  <c r="RJJ18" i="242"/>
  <c r="UTZ18" i="242"/>
  <c r="UVF18" i="242"/>
  <c r="UYX18" i="242"/>
  <c r="VUL18" i="242"/>
  <c r="VVB18" i="242"/>
  <c r="VWH18" i="242"/>
  <c r="WBF18" i="242"/>
  <c r="FIT18" i="242"/>
  <c r="GXZ18" i="242"/>
  <c r="VSP18" i="242"/>
  <c r="AAX18" i="242"/>
  <c r="DJB18" i="242"/>
  <c r="HHF18" i="242"/>
  <c r="IQX18" i="242"/>
  <c r="ITZ18" i="242"/>
  <c r="IXR18" i="242"/>
  <c r="KCL18" i="242"/>
  <c r="KDR18" i="242"/>
  <c r="LVZ18" i="242"/>
  <c r="MHR18" i="242"/>
  <c r="MMP18" i="242"/>
  <c r="MST18" i="242"/>
  <c r="MTZ18" i="242"/>
  <c r="OZV18" i="242"/>
  <c r="PAL18" i="242"/>
  <c r="PBR18" i="242"/>
  <c r="PFJ18" i="242"/>
  <c r="PMT18" i="242"/>
  <c r="SLB18" i="242"/>
  <c r="SUX18" i="242"/>
  <c r="TSH18" i="242"/>
  <c r="TVZ18" i="242"/>
  <c r="TXF18" i="242"/>
  <c r="UCD18" i="242"/>
  <c r="UDJ18" i="242"/>
  <c r="UVV18" i="242"/>
  <c r="UXB18" i="242"/>
  <c r="CH18" i="242"/>
  <c r="BTF18" i="242"/>
  <c r="BWX18" i="242"/>
  <c r="DMD18" i="242"/>
  <c r="DQL18" i="242"/>
  <c r="DRR18" i="242"/>
  <c r="CGD18" i="242"/>
  <c r="COD18" i="242"/>
  <c r="COT18" i="242"/>
  <c r="CPZ18" i="242"/>
  <c r="CYP18" i="242"/>
  <c r="CZV18" i="242"/>
  <c r="LUD18" i="242"/>
  <c r="PJR18" i="242"/>
  <c r="RID18" i="242"/>
  <c r="SFN18" i="242"/>
  <c r="QL18" i="242"/>
  <c r="RR18" i="242"/>
  <c r="ALZ18" i="242"/>
  <c r="AOL18" i="242"/>
  <c r="EEP18" i="242"/>
  <c r="EFV18" i="242"/>
  <c r="EWL18" i="242"/>
  <c r="EXR18" i="242"/>
  <c r="JFB18" i="242"/>
  <c r="NWH18" i="242"/>
  <c r="CX18" i="242"/>
  <c r="FZ18" i="242"/>
  <c r="PV18" i="242"/>
  <c r="EDZ18" i="242"/>
  <c r="GYP18" i="242"/>
  <c r="GZV18" i="242"/>
  <c r="HVJ18" i="242"/>
  <c r="HWP18" i="242"/>
  <c r="IMP18" i="242"/>
  <c r="KLB18" i="242"/>
  <c r="LKH18" i="242"/>
  <c r="LLN18" i="242"/>
  <c r="LRR18" i="242"/>
  <c r="LSX18" i="242"/>
  <c r="MBN18" i="242"/>
  <c r="MRN18" i="242"/>
  <c r="OHZ18" i="242"/>
  <c r="OQP18" i="242"/>
  <c r="ORV18" i="242"/>
  <c r="PJB18" i="242"/>
  <c r="PKH18" i="242"/>
  <c r="PZB18" i="242"/>
  <c r="QCT18" i="242"/>
  <c r="SRV18" i="242"/>
  <c r="TAL18" i="242"/>
  <c r="TJB18" i="242"/>
  <c r="UAH18" i="242"/>
  <c r="ULJ18" i="242"/>
  <c r="UPB18" i="242"/>
  <c r="VDV18" i="242"/>
  <c r="VFB18" i="242"/>
  <c r="WPJ18" i="242"/>
  <c r="ATZ18" i="242"/>
  <c r="AVF18" i="242"/>
  <c r="AWL18" i="242"/>
  <c r="BXN18" i="242"/>
  <c r="BYT18" i="242"/>
  <c r="BZZ18" i="242"/>
  <c r="CBF18" i="242"/>
  <c r="CHJ18" i="242"/>
  <c r="CIP18" i="242"/>
  <c r="FDF18" i="242"/>
  <c r="FEL18" i="242"/>
  <c r="FID18" i="242"/>
  <c r="FJJ18" i="242"/>
  <c r="FXN18" i="242"/>
  <c r="FYT18" i="242"/>
  <c r="JNB18" i="242"/>
  <c r="JOH18" i="242"/>
  <c r="JRZ18" i="242"/>
  <c r="JTF18" i="242"/>
  <c r="KJV18" i="242"/>
  <c r="KOT18" i="242"/>
  <c r="KTR18" i="242"/>
  <c r="NLF18" i="242"/>
  <c r="NML18" i="242"/>
  <c r="NRZ18" i="242"/>
  <c r="NWX18" i="242"/>
  <c r="NYD18" i="242"/>
  <c r="ODB18" i="242"/>
  <c r="RKP18" i="242"/>
  <c r="RLV18" i="242"/>
  <c r="RNB18" i="242"/>
  <c r="RPN18" i="242"/>
  <c r="RTF18" i="242"/>
  <c r="SJF18" i="242"/>
  <c r="SKL18" i="242"/>
  <c r="TUD18" i="242"/>
  <c r="UBN18" i="242"/>
  <c r="UCT18" i="242"/>
  <c r="UFF18" i="242"/>
  <c r="WKL18" i="242"/>
  <c r="WMX18" i="242"/>
  <c r="RB18" i="242"/>
  <c r="AIH18" i="242"/>
  <c r="ATJ18" i="242"/>
  <c r="BJJ18" i="242"/>
  <c r="BNB18" i="242"/>
  <c r="CDB18" i="242"/>
  <c r="CGT18" i="242"/>
  <c r="CZF18" i="242"/>
  <c r="DXV18" i="242"/>
  <c r="EAH18" i="242"/>
  <c r="ETJ18" i="242"/>
  <c r="EUP18" i="242"/>
  <c r="FBJ18" i="242"/>
  <c r="FML18" i="242"/>
  <c r="FRZ18" i="242"/>
  <c r="FTF18" i="242"/>
  <c r="FWX18" i="242"/>
  <c r="GKL18" i="242"/>
  <c r="GZF18" i="242"/>
  <c r="HOP18" i="242"/>
  <c r="IIH18" i="242"/>
  <c r="JGH18" i="242"/>
  <c r="JML18" i="242"/>
  <c r="KEH18" i="242"/>
  <c r="KLR18" i="242"/>
  <c r="KMX18" i="242"/>
  <c r="LDN18" i="242"/>
  <c r="LFZ18" i="242"/>
  <c r="LRB18" i="242"/>
  <c r="MJN18" i="242"/>
  <c r="MKT18" i="242"/>
  <c r="MTJ18" i="242"/>
  <c r="MUP18" i="242"/>
  <c r="MVV18" i="242"/>
  <c r="NID18" i="242"/>
  <c r="NJJ18" i="242"/>
  <c r="NXN18" i="242"/>
  <c r="OBF18" i="242"/>
  <c r="ORF18" i="242"/>
  <c r="POP18" i="242"/>
  <c r="PPF18" i="242"/>
  <c r="PQL18" i="242"/>
  <c r="QTJ18" i="242"/>
  <c r="RFR18" i="242"/>
  <c r="SCL18" i="242"/>
  <c r="SYP18" i="242"/>
  <c r="TBB18" i="242"/>
  <c r="TCH18" i="242"/>
  <c r="TDN18" i="242"/>
  <c r="TFZ18" i="242"/>
  <c r="THF18" i="242"/>
  <c r="TJR18" i="242"/>
  <c r="ULZ18" i="242"/>
  <c r="UNF18" i="242"/>
  <c r="VFR18" i="242"/>
  <c r="VGX18" i="242"/>
  <c r="VNB18" i="242"/>
  <c r="WDR18" i="242"/>
  <c r="WIP18" i="242"/>
  <c r="WOT18" i="242"/>
  <c r="WPZ18" i="242"/>
  <c r="HF18" i="242"/>
  <c r="JR18" i="242"/>
  <c r="KX18" i="242"/>
  <c r="LN18" i="242"/>
  <c r="MT18" i="242"/>
  <c r="UT18" i="242"/>
  <c r="VJ18" i="242"/>
  <c r="WP18" i="242"/>
  <c r="AEP18" i="242"/>
  <c r="AFF18" i="242"/>
  <c r="AGL18" i="242"/>
  <c r="ANF18" i="242"/>
  <c r="APR18" i="242"/>
  <c r="DN18" i="242"/>
  <c r="ED18" i="242"/>
  <c r="FJ18" i="242"/>
  <c r="GP18" i="242"/>
  <c r="MD18" i="242"/>
  <c r="VZ18" i="242"/>
  <c r="AFV18" i="242"/>
  <c r="FGX18" i="242"/>
  <c r="GPJ18" i="242"/>
  <c r="GUH18" i="242"/>
  <c r="HCX18" i="242"/>
  <c r="AVV18" i="242"/>
  <c r="BEL18" i="242"/>
  <c r="BFR18" i="242"/>
  <c r="BOH18" i="242"/>
  <c r="BPN18" i="242"/>
  <c r="BYD18" i="242"/>
  <c r="BZJ18" i="242"/>
  <c r="CMH18" i="242"/>
  <c r="CNN18" i="242"/>
  <c r="CTB18" i="242"/>
  <c r="CTR18" i="242"/>
  <c r="CUX18" i="242"/>
  <c r="DCX18" i="242"/>
  <c r="DDN18" i="242"/>
  <c r="DET18" i="242"/>
  <c r="DFZ18" i="242"/>
  <c r="DHF18" i="242"/>
  <c r="DNZ18" i="242"/>
  <c r="DXF18" i="242"/>
  <c r="DYL18" i="242"/>
  <c r="EIX18" i="242"/>
  <c r="EJN18" i="242"/>
  <c r="EKT18" i="242"/>
  <c r="ERN18" i="242"/>
  <c r="EST18" i="242"/>
  <c r="FCP18" i="242"/>
  <c r="FNR18" i="242"/>
  <c r="FQT18" i="242"/>
  <c r="GBF18" i="242"/>
  <c r="GJV18" i="242"/>
  <c r="GQP18" i="242"/>
  <c r="HFJ18" i="242"/>
  <c r="HFZ18" i="242"/>
  <c r="HKX18" i="242"/>
  <c r="HMD18" i="242"/>
  <c r="HRR18" i="242"/>
  <c r="HSH18" i="242"/>
  <c r="HTN18" i="242"/>
  <c r="ICT18" i="242"/>
  <c r="IHR18" i="242"/>
  <c r="IPB18" i="242"/>
  <c r="IQH18" i="242"/>
  <c r="JBZ18" i="242"/>
  <c r="JKP18" i="242"/>
  <c r="JNR18" i="242"/>
  <c r="JRJ18" i="242"/>
  <c r="KAP18" i="242"/>
  <c r="KGD18" i="242"/>
  <c r="KGT18" i="242"/>
  <c r="KHZ18" i="242"/>
  <c r="KJF18" i="242"/>
  <c r="KMH18" i="242"/>
  <c r="KWD18" i="242"/>
  <c r="KXJ18" i="242"/>
  <c r="LIL18" i="242"/>
  <c r="QYH18" i="242"/>
  <c r="BBJ18" i="242"/>
  <c r="BCP18" i="242"/>
  <c r="CKL18" i="242"/>
  <c r="CLR18" i="242"/>
  <c r="CUH18" i="242"/>
  <c r="DFJ18" i="242"/>
  <c r="DNJ18" i="242"/>
  <c r="DOP18" i="242"/>
  <c r="DWP18" i="242"/>
  <c r="EKD18" i="242"/>
  <c r="EOL18" i="242"/>
  <c r="EPR18" i="242"/>
  <c r="EYH18" i="242"/>
  <c r="EZN18" i="242"/>
  <c r="FHN18" i="242"/>
  <c r="FNB18" i="242"/>
  <c r="FOH18" i="242"/>
  <c r="FSP18" i="242"/>
  <c r="FVR18" i="242"/>
  <c r="GAP18" i="242"/>
  <c r="GHZ18" i="242"/>
  <c r="GJF18" i="242"/>
  <c r="GUX18" i="242"/>
  <c r="HDN18" i="242"/>
  <c r="HGP18" i="242"/>
  <c r="HKH18" i="242"/>
  <c r="HSX18" i="242"/>
  <c r="HZB18" i="242"/>
  <c r="HZR18" i="242"/>
  <c r="IAX18" i="242"/>
  <c r="IEP18" i="242"/>
  <c r="IFV18" i="242"/>
  <c r="ILJ18" i="242"/>
  <c r="ILZ18" i="242"/>
  <c r="INF18" i="242"/>
  <c r="IWL18" i="242"/>
  <c r="JBJ18" i="242"/>
  <c r="JIT18" i="242"/>
  <c r="JJZ18" i="242"/>
  <c r="KEX18" i="242"/>
  <c r="KHJ18" i="242"/>
  <c r="KSL18" i="242"/>
  <c r="KTB18" i="242"/>
  <c r="KUH18" i="242"/>
  <c r="LET18" i="242"/>
  <c r="LFJ18" i="242"/>
  <c r="LGP18" i="242"/>
  <c r="NTF18" i="242"/>
  <c r="MDZ18" i="242"/>
  <c r="MNV18" i="242"/>
  <c r="MWL18" i="242"/>
  <c r="PUD18" i="242"/>
  <c r="QPB18" i="242"/>
  <c r="RJZ18" i="242"/>
  <c r="RQT18" i="242"/>
  <c r="TLN18" i="242"/>
  <c r="TMT18" i="242"/>
  <c r="TNZ18" i="242"/>
  <c r="UGL18" i="242"/>
  <c r="UQH18" i="242"/>
  <c r="VAD18" i="242"/>
  <c r="MIX18" i="242"/>
  <c r="MVF18" i="242"/>
  <c r="NHN18" i="242"/>
  <c r="OBV18" i="242"/>
  <c r="OLB18" i="242"/>
  <c r="OLR18" i="242"/>
  <c r="OMX18" i="242"/>
  <c r="OUX18" i="242"/>
  <c r="OVN18" i="242"/>
  <c r="OWT18" i="242"/>
  <c r="QDZ18" i="242"/>
  <c r="QFF18" i="242"/>
  <c r="RGX18" i="242"/>
  <c r="RTV18" i="242"/>
  <c r="RYT18" i="242"/>
  <c r="RZZ18" i="242"/>
  <c r="SGD18" i="242"/>
  <c r="SHJ18" i="242"/>
  <c r="SQP18" i="242"/>
  <c r="TFJ18" i="242"/>
  <c r="TUT18" i="242"/>
  <c r="TZR18" i="242"/>
  <c r="VJJ18" i="242"/>
  <c r="VOH18" i="242"/>
  <c r="VRZ18" i="242"/>
  <c r="VZJ18" i="242"/>
  <c r="VZZ18" i="242"/>
  <c r="WGT18" i="242"/>
  <c r="WHJ18" i="242"/>
  <c r="WMH18" i="242"/>
  <c r="LNZ18" i="242"/>
  <c r="LTN18" i="242"/>
  <c r="LWP18" i="242"/>
  <c r="LXV18" i="242"/>
  <c r="LZB18" i="242"/>
  <c r="MEP18" i="242"/>
  <c r="MFV18" i="242"/>
  <c r="MOL18" i="242"/>
  <c r="MPR18" i="242"/>
  <c r="MXB18" i="242"/>
  <c r="NAT18" i="242"/>
  <c r="NDV18" i="242"/>
  <c r="NGX18" i="242"/>
  <c r="NNB18" i="242"/>
  <c r="OCL18" i="242"/>
  <c r="OMH18" i="242"/>
  <c r="OWD18" i="242"/>
  <c r="PFZ18" i="242"/>
  <c r="PSH18" i="242"/>
  <c r="PXV18" i="242"/>
  <c r="PYL18" i="242"/>
  <c r="PZR18" i="242"/>
  <c r="QMP18" i="242"/>
  <c r="QNF18" i="242"/>
  <c r="QOL18" i="242"/>
  <c r="QPR18" i="242"/>
  <c r="QQX18" i="242"/>
  <c r="QUP18" i="242"/>
  <c r="RBZ18" i="242"/>
  <c r="RCP18" i="242"/>
  <c r="RDV18" i="242"/>
  <c r="RRJ18" i="242"/>
  <c r="RUL18" i="242"/>
  <c r="RYD18" i="242"/>
  <c r="SBV18" i="242"/>
  <c r="SMX18" i="242"/>
  <c r="SNN18" i="242"/>
  <c r="SOT18" i="242"/>
  <c r="SSL18" i="242"/>
  <c r="SUH18" i="242"/>
  <c r="TOP18" i="242"/>
  <c r="TZB18" i="242"/>
  <c r="UHB18" i="242"/>
  <c r="UIH18" i="242"/>
  <c r="UQX18" i="242"/>
  <c r="USD18" i="242"/>
  <c r="VAT18" i="242"/>
  <c r="VBZ18" i="242"/>
  <c r="VJZ18" i="242"/>
  <c r="WAP18" i="242"/>
  <c r="WDB18" i="242"/>
  <c r="WHZ18" i="242"/>
  <c r="WLR18" i="242"/>
  <c r="WTB18" i="242"/>
  <c r="ET18" i="242"/>
  <c r="IL18" i="242"/>
  <c r="JB18" i="242"/>
  <c r="KH18" i="242"/>
  <c r="OP18" i="242"/>
  <c r="TN18" i="242"/>
  <c r="YL18" i="242"/>
  <c r="ADJ18" i="242"/>
  <c r="AJN18" i="242"/>
  <c r="AKD18" i="242"/>
  <c r="ALJ18" i="242"/>
  <c r="AMP18" i="242"/>
  <c r="ANV18" i="242"/>
  <c r="BKP18" i="242"/>
  <c r="BUL18" i="242"/>
  <c r="NJ18" i="242"/>
  <c r="NZ18" i="242"/>
  <c r="PF18" i="242"/>
  <c r="SH18" i="242"/>
  <c r="SX18" i="242"/>
  <c r="UD18" i="242"/>
  <c r="XF18" i="242"/>
  <c r="XV18" i="242"/>
  <c r="ZB18" i="242"/>
  <c r="ACD18" i="242"/>
  <c r="ACT18" i="242"/>
  <c r="ASD18" i="242"/>
  <c r="AXB18" i="242"/>
  <c r="BBZ18" i="242"/>
  <c r="BID18" i="242"/>
  <c r="BIT18" i="242"/>
  <c r="BJZ18" i="242"/>
  <c r="BLF18" i="242"/>
  <c r="BML18" i="242"/>
  <c r="BRZ18" i="242"/>
  <c r="BSP18" i="242"/>
  <c r="BTV18" i="242"/>
  <c r="BVB18" i="242"/>
  <c r="BWH18" i="242"/>
  <c r="ADZ18" i="242"/>
  <c r="AHB18" i="242"/>
  <c r="AHR18" i="242"/>
  <c r="AIX18" i="242"/>
  <c r="AKT18" i="242"/>
  <c r="AQX18" i="242"/>
  <c r="ARN18" i="242"/>
  <c r="AST18" i="242"/>
  <c r="AUP18" i="242"/>
  <c r="AYH18" i="242"/>
  <c r="AYX18" i="242"/>
  <c r="BAD18" i="242"/>
  <c r="BGX18" i="242"/>
  <c r="BLV18" i="242"/>
  <c r="BQT18" i="242"/>
  <c r="BVR18" i="242"/>
  <c r="CAP18" i="242"/>
  <c r="CEH18" i="242"/>
  <c r="CEX18" i="242"/>
  <c r="CHZ18" i="242"/>
  <c r="CMX18" i="242"/>
  <c r="CQP18" i="242"/>
  <c r="CRF18" i="242"/>
  <c r="CSL18" i="242"/>
  <c r="CVN18" i="242"/>
  <c r="CWD18" i="242"/>
  <c r="CXJ18" i="242"/>
  <c r="DAL18" i="242"/>
  <c r="DBB18" i="242"/>
  <c r="DCH18" i="242"/>
  <c r="DGP18" i="242"/>
  <c r="DHV18" i="242"/>
  <c r="DIL18" i="242"/>
  <c r="DJR18" i="242"/>
  <c r="DLN18" i="242"/>
  <c r="DSX18" i="242"/>
  <c r="DVJ18" i="242"/>
  <c r="DZB18" i="242"/>
  <c r="DZR18" i="242"/>
  <c r="EAX18" i="242"/>
  <c r="ECT18" i="242"/>
  <c r="EGL18" i="242"/>
  <c r="EHB18" i="242"/>
  <c r="EIH18" i="242"/>
  <c r="ELJ18" i="242"/>
  <c r="ELZ18" i="242"/>
  <c r="EPB18" i="242"/>
  <c r="ETZ18" i="242"/>
  <c r="EYX18" i="242"/>
  <c r="FDV18" i="242"/>
  <c r="FGH18" i="242"/>
  <c r="FLF18" i="242"/>
  <c r="FQD18" i="242"/>
  <c r="FVB18" i="242"/>
  <c r="FYD18" i="242"/>
  <c r="GBV18" i="242"/>
  <c r="GCL18" i="242"/>
  <c r="GDR18" i="242"/>
  <c r="GLB18" i="242"/>
  <c r="GOD18" i="242"/>
  <c r="GOT18" i="242"/>
  <c r="GRV18" i="242"/>
  <c r="GVN18" i="242"/>
  <c r="GWD18" i="242"/>
  <c r="GXJ18" i="242"/>
  <c r="HET18" i="242"/>
  <c r="HHV18" i="242"/>
  <c r="HIL18" i="242"/>
  <c r="HLN18" i="242"/>
  <c r="HPF18" i="242"/>
  <c r="HPV18" i="242"/>
  <c r="HRB18" i="242"/>
  <c r="HYL18" i="242"/>
  <c r="IBN18" i="242"/>
  <c r="ICD18" i="242"/>
  <c r="IFF18" i="242"/>
  <c r="IIX18" i="242"/>
  <c r="IJN18" i="242"/>
  <c r="IKT18" i="242"/>
  <c r="ISD18" i="242"/>
  <c r="IVF18" i="242"/>
  <c r="IVV18" i="242"/>
  <c r="IYX18" i="242"/>
  <c r="JCP18" i="242"/>
  <c r="JDF18" i="242"/>
  <c r="JEL18" i="242"/>
  <c r="JLV18" i="242"/>
  <c r="JOX18" i="242"/>
  <c r="JPN18" i="242"/>
  <c r="JSP18" i="242"/>
  <c r="JVB18" i="242"/>
  <c r="KIP18" i="242"/>
  <c r="KPJ18" i="242"/>
  <c r="KQP18" i="242"/>
  <c r="KRV18" i="242"/>
  <c r="KZF18" i="242"/>
  <c r="LJR18" i="242"/>
  <c r="NOH18" i="242"/>
  <c r="CBV18" i="242"/>
  <c r="CCL18" i="242"/>
  <c r="CFN18" i="242"/>
  <c r="CJF18" i="242"/>
  <c r="CJV18" i="242"/>
  <c r="CLB18" i="242"/>
  <c r="CRV18" i="242"/>
  <c r="CWT18" i="242"/>
  <c r="DBR18" i="242"/>
  <c r="DED18" i="242"/>
  <c r="DKH18" i="242"/>
  <c r="DKX18" i="242"/>
  <c r="DPF18" i="242"/>
  <c r="DPV18" i="242"/>
  <c r="DRB18" i="242"/>
  <c r="DUD18" i="242"/>
  <c r="DUT18" i="242"/>
  <c r="DVZ18" i="242"/>
  <c r="EBN18" i="242"/>
  <c r="ECD18" i="242"/>
  <c r="EDJ18" i="242"/>
  <c r="EFF18" i="242"/>
  <c r="EHR18" i="242"/>
  <c r="EMP18" i="242"/>
  <c r="EQH18" i="242"/>
  <c r="EQX18" i="242"/>
  <c r="ESD18" i="242"/>
  <c r="EVF18" i="242"/>
  <c r="EVV18" i="242"/>
  <c r="EXB18" i="242"/>
  <c r="FAD18" i="242"/>
  <c r="FAT18" i="242"/>
  <c r="FBZ18" i="242"/>
  <c r="FFB18" i="242"/>
  <c r="FFR18" i="242"/>
  <c r="FJZ18" i="242"/>
  <c r="FKP18" i="242"/>
  <c r="FOX18" i="242"/>
  <c r="FPN18" i="242"/>
  <c r="FTV18" i="242"/>
  <c r="FUL18" i="242"/>
  <c r="FWH18" i="242"/>
  <c r="FZJ18" i="242"/>
  <c r="FZZ18" i="242"/>
  <c r="GDB18" i="242"/>
  <c r="GGT18" i="242"/>
  <c r="GHJ18" i="242"/>
  <c r="GIP18" i="242"/>
  <c r="GPZ18" i="242"/>
  <c r="GTB18" i="242"/>
  <c r="GTR18" i="242"/>
  <c r="GWT18" i="242"/>
  <c r="HAL18" i="242"/>
  <c r="HBB18" i="242"/>
  <c r="HCH18" i="242"/>
  <c r="HJR18" i="242"/>
  <c r="HMT18" i="242"/>
  <c r="HNJ18" i="242"/>
  <c r="HQL18" i="242"/>
  <c r="HUD18" i="242"/>
  <c r="HUT18" i="242"/>
  <c r="HVZ18" i="242"/>
  <c r="IDJ18" i="242"/>
  <c r="IGL18" i="242"/>
  <c r="IHB18" i="242"/>
  <c r="IKD18" i="242"/>
  <c r="INV18" i="242"/>
  <c r="IOL18" i="242"/>
  <c r="IPR18" i="242"/>
  <c r="IXB18" i="242"/>
  <c r="JAD18" i="242"/>
  <c r="JAT18" i="242"/>
  <c r="JDV18" i="242"/>
  <c r="JHN18" i="242"/>
  <c r="JID18" i="242"/>
  <c r="JJJ18" i="242"/>
  <c r="JQT18" i="242"/>
  <c r="JVR18" i="242"/>
  <c r="JWX18" i="242"/>
  <c r="JYD18" i="242"/>
  <c r="KFN18" i="242"/>
  <c r="KPZ18" i="242"/>
  <c r="RDF18" i="242"/>
  <c r="JTV18" i="242"/>
  <c r="JUL18" i="242"/>
  <c r="JXN18" i="242"/>
  <c r="KBF18" i="242"/>
  <c r="KBV18" i="242"/>
  <c r="KDB18" i="242"/>
  <c r="KKL18" i="242"/>
  <c r="KNN18" i="242"/>
  <c r="KOD18" i="242"/>
  <c r="KRF18" i="242"/>
  <c r="KUX18" i="242"/>
  <c r="KVN18" i="242"/>
  <c r="KWT18" i="242"/>
  <c r="LED18" i="242"/>
  <c r="LHF18" i="242"/>
  <c r="LHV18" i="242"/>
  <c r="LKX18" i="242"/>
  <c r="LOP18" i="242"/>
  <c r="LPF18" i="242"/>
  <c r="LQL18" i="242"/>
  <c r="LXF18" i="242"/>
  <c r="LYL18" i="242"/>
  <c r="MCD18" i="242"/>
  <c r="MCT18" i="242"/>
  <c r="MFF18" i="242"/>
  <c r="MKD18" i="242"/>
  <c r="MPB18" i="242"/>
  <c r="MQH18" i="242"/>
  <c r="MQX18" i="242"/>
  <c r="MSD18" i="242"/>
  <c r="MYX18" i="242"/>
  <c r="NAD18" i="242"/>
  <c r="NCP18" i="242"/>
  <c r="NDF18" i="242"/>
  <c r="NEL18" i="242"/>
  <c r="NGH18" i="242"/>
  <c r="NIT18" i="242"/>
  <c r="NNR18" i="242"/>
  <c r="NQD18" i="242"/>
  <c r="NTV18" i="242"/>
  <c r="NUL18" i="242"/>
  <c r="NVR18" i="242"/>
  <c r="NYT18" i="242"/>
  <c r="NZJ18" i="242"/>
  <c r="OAP18" i="242"/>
  <c r="ODR18" i="242"/>
  <c r="OEH18" i="242"/>
  <c r="OFN18" i="242"/>
  <c r="OIP18" i="242"/>
  <c r="OJF18" i="242"/>
  <c r="OKL18" i="242"/>
  <c r="ONN18" i="242"/>
  <c r="OOD18" i="242"/>
  <c r="OPJ18" i="242"/>
  <c r="OSL18" i="242"/>
  <c r="OTB18" i="242"/>
  <c r="OUH18" i="242"/>
  <c r="OXJ18" i="242"/>
  <c r="OXZ18" i="242"/>
  <c r="OZF18" i="242"/>
  <c r="PCH18" i="242"/>
  <c r="PCX18" i="242"/>
  <c r="PED18" i="242"/>
  <c r="PGP18" i="242"/>
  <c r="PHF18" i="242"/>
  <c r="PIL18" i="242"/>
  <c r="PLN18" i="242"/>
  <c r="PMD18" i="242"/>
  <c r="PNZ18" i="242"/>
  <c r="PRB18" i="242"/>
  <c r="PRR18" i="242"/>
  <c r="PUT18" i="242"/>
  <c r="PWP18" i="242"/>
  <c r="QAH18" i="242"/>
  <c r="QAX18" i="242"/>
  <c r="QCD18" i="242"/>
  <c r="QHR18" i="242"/>
  <c r="QIH18" i="242"/>
  <c r="QJN18" i="242"/>
  <c r="QLJ18" i="242"/>
  <c r="QSD18" i="242"/>
  <c r="QST18" i="242"/>
  <c r="QVV18" i="242"/>
  <c r="QZN18" i="242"/>
  <c r="RAD18" i="242"/>
  <c r="RBJ18" i="242"/>
  <c r="RIT18" i="242"/>
  <c r="SGT18" i="242"/>
  <c r="LMD18" i="242"/>
  <c r="LMT18" i="242"/>
  <c r="LPV18" i="242"/>
  <c r="LUT18" i="242"/>
  <c r="LVJ18" i="242"/>
  <c r="LZR18" i="242"/>
  <c r="MAH18" i="242"/>
  <c r="MGL18" i="242"/>
  <c r="MHB18" i="242"/>
  <c r="MIH18" i="242"/>
  <c r="MLJ18" i="242"/>
  <c r="MLZ18" i="242"/>
  <c r="MNF18" i="242"/>
  <c r="MXR18" i="242"/>
  <c r="MYH18" i="242"/>
  <c r="MZN18" i="242"/>
  <c r="NBJ18" i="242"/>
  <c r="NFB18" i="242"/>
  <c r="NFR18" i="242"/>
  <c r="NJZ18" i="242"/>
  <c r="NKP18" i="242"/>
  <c r="NLV18" i="242"/>
  <c r="NOX18" i="242"/>
  <c r="NPN18" i="242"/>
  <c r="NQT18" i="242"/>
  <c r="NSP18" i="242"/>
  <c r="NVB18" i="242"/>
  <c r="NZZ18" i="242"/>
  <c r="OEX18" i="242"/>
  <c r="OJV18" i="242"/>
  <c r="OOT18" i="242"/>
  <c r="OTR18" i="242"/>
  <c r="OYP18" i="242"/>
  <c r="PDN18" i="242"/>
  <c r="PHV18" i="242"/>
  <c r="PSX18" i="242"/>
  <c r="PVJ18" i="242"/>
  <c r="PVZ18" i="242"/>
  <c r="PXF18" i="242"/>
  <c r="QBN18" i="242"/>
  <c r="QKD18" i="242"/>
  <c r="QKT18" i="242"/>
  <c r="QLZ18" i="242"/>
  <c r="QNV18" i="242"/>
  <c r="QTZ18" i="242"/>
  <c r="QXB18" i="242"/>
  <c r="QXR18" i="242"/>
  <c r="RAT18" i="242"/>
  <c r="REL18" i="242"/>
  <c r="RFB18" i="242"/>
  <c r="RGH18" i="242"/>
  <c r="RLF18" i="242"/>
  <c r="RSP18" i="242"/>
  <c r="RVR18" i="242"/>
  <c r="RWH18" i="242"/>
  <c r="RZJ18" i="242"/>
  <c r="SDB18" i="242"/>
  <c r="SDR18" i="242"/>
  <c r="SEX18" i="242"/>
  <c r="SMH18" i="242"/>
  <c r="SPJ18" i="242"/>
  <c r="SPZ18" i="242"/>
  <c r="STB18" i="242"/>
  <c r="SWT18" i="242"/>
  <c r="SXZ18" i="242"/>
  <c r="SZV18" i="242"/>
  <c r="TIL18" i="242"/>
  <c r="TKH18" i="242"/>
  <c r="TKX18" i="242"/>
  <c r="TMD18" i="242"/>
  <c r="TQL18" i="242"/>
  <c r="TRR18" i="242"/>
  <c r="TTN18" i="242"/>
  <c r="UAX18" i="242"/>
  <c r="UHR18" i="242"/>
  <c r="UMP18" i="242"/>
  <c r="URN18" i="242"/>
  <c r="UWL18" i="242"/>
  <c r="VBJ18" i="242"/>
  <c r="VGH18" i="242"/>
  <c r="VKP18" i="242"/>
  <c r="VLF18" i="242"/>
  <c r="VML18" i="242"/>
  <c r="VPN18" i="242"/>
  <c r="VQD18" i="242"/>
  <c r="VTV18" i="242"/>
  <c r="VWX18" i="242"/>
  <c r="VXN18" i="242"/>
  <c r="VYT18" i="242"/>
  <c r="WEH18" i="242"/>
  <c r="WEX18" i="242"/>
  <c r="WGD18" i="242"/>
  <c r="WJF18" i="242"/>
  <c r="WJV18" i="242"/>
  <c r="WNN18" i="242"/>
  <c r="WQP18" i="242"/>
  <c r="WRF18" i="242"/>
  <c r="WSL18" i="242"/>
  <c r="ROH18" i="242"/>
  <c r="ROX18" i="242"/>
  <c r="RQD18" i="242"/>
  <c r="RXN18" i="242"/>
  <c r="SAP18" i="242"/>
  <c r="SBF18" i="242"/>
  <c r="SEH18" i="242"/>
  <c r="SHZ18" i="242"/>
  <c r="SIP18" i="242"/>
  <c r="SJV18" i="242"/>
  <c r="SRF18" i="242"/>
  <c r="SVN18" i="242"/>
  <c r="SWD18" i="242"/>
  <c r="SXJ18" i="242"/>
  <c r="TBR18" i="242"/>
  <c r="TCX18" i="242"/>
  <c r="TET18" i="242"/>
  <c r="TNJ18" i="242"/>
  <c r="TPF18" i="242"/>
  <c r="TPV18" i="242"/>
  <c r="TRB18" i="242"/>
  <c r="TVJ18" i="242"/>
  <c r="TWP18" i="242"/>
  <c r="TYL18" i="242"/>
  <c r="UDZ18" i="242"/>
  <c r="UEP18" i="242"/>
  <c r="UFV18" i="242"/>
  <c r="UIX18" i="242"/>
  <c r="UJN18" i="242"/>
  <c r="UKT18" i="242"/>
  <c r="UNV18" i="242"/>
  <c r="UOL18" i="242"/>
  <c r="UPR18" i="242"/>
  <c r="UST18" i="242"/>
  <c r="UTJ18" i="242"/>
  <c r="UUP18" i="242"/>
  <c r="UXR18" i="242"/>
  <c r="UYH18" i="242"/>
  <c r="UZN18" i="242"/>
  <c r="VCP18" i="242"/>
  <c r="VDF18" i="242"/>
  <c r="VEL18" i="242"/>
  <c r="VID18" i="242"/>
  <c r="VIT18" i="242"/>
  <c r="VLV18" i="242"/>
  <c r="VRJ18" i="242"/>
  <c r="VYD18" i="242"/>
  <c r="WBV18" i="242"/>
  <c r="WCL18" i="242"/>
  <c r="WFN18" i="242"/>
  <c r="WLB18" i="242"/>
  <c r="WRV18" i="242"/>
  <c r="STR18" i="242"/>
  <c r="G125" i="479" l="1"/>
  <c r="G127" i="479" s="1"/>
  <c r="H100" i="479"/>
  <c r="H125" i="479" l="1"/>
  <c r="H127" i="479" s="1"/>
  <c r="G182" i="479"/>
  <c r="G205" i="479" l="1"/>
  <c r="D8" i="242"/>
  <c r="D10" i="242"/>
  <c r="G19" i="367" l="1"/>
  <c r="N79" i="479" l="1"/>
  <c r="I100" i="479"/>
  <c r="J19" i="367"/>
  <c r="L19" i="367"/>
  <c r="I125" i="479" l="1"/>
  <c r="I127" i="479" s="1"/>
  <c r="N100" i="479"/>
  <c r="P79" i="479"/>
  <c r="P100" i="479" s="1"/>
  <c r="P125" i="479" s="1"/>
  <c r="P127" i="479" l="1"/>
  <c r="N127" i="479" l="1"/>
  <c r="B3" i="242" l="1"/>
  <c r="G255" i="479" l="1"/>
  <c r="D19" i="242"/>
  <c r="P19" i="242" s="1"/>
  <c r="E261" i="479"/>
  <c r="H261" i="479"/>
  <c r="H264" i="479" s="1"/>
  <c r="E251" i="479"/>
  <c r="W13" i="238"/>
  <c r="K15" i="238"/>
  <c r="K15" i="237"/>
  <c r="B26" i="242"/>
  <c r="B33" i="242" s="1"/>
  <c r="A68" i="479"/>
  <c r="Z27" i="238"/>
  <c r="AI27" i="237"/>
  <c r="H32" i="238"/>
  <c r="AI27" i="238"/>
  <c r="AD27" i="238"/>
  <c r="R27" i="238"/>
  <c r="Q27" i="238"/>
  <c r="P27" i="238"/>
  <c r="O27" i="238"/>
  <c r="K27" i="238"/>
  <c r="G27" i="238"/>
  <c r="F27" i="238"/>
  <c r="E27" i="238"/>
  <c r="U26" i="238"/>
  <c r="AJ27" i="238" s="1"/>
  <c r="S26" i="238"/>
  <c r="S27" i="238" s="1"/>
  <c r="A3" i="479"/>
  <c r="A130" i="479" s="1"/>
  <c r="J79" i="479"/>
  <c r="K79" i="479"/>
  <c r="L79" i="479"/>
  <c r="K255" i="479"/>
  <c r="K274" i="479" s="1"/>
  <c r="AJ24" i="238"/>
  <c r="AI20" i="238"/>
  <c r="AI21" i="237"/>
  <c r="D39" i="242"/>
  <c r="S29" i="237"/>
  <c r="AD27" i="237"/>
  <c r="R27" i="237"/>
  <c r="Q27" i="237"/>
  <c r="P27" i="237"/>
  <c r="O27" i="237"/>
  <c r="M27" i="237"/>
  <c r="K27" i="237"/>
  <c r="F27" i="237"/>
  <c r="E27" i="237"/>
  <c r="W26" i="237"/>
  <c r="U26" i="237"/>
  <c r="S26" i="237"/>
  <c r="S27" i="237" s="1"/>
  <c r="Z18" i="238"/>
  <c r="AD24" i="238"/>
  <c r="AD20" i="238"/>
  <c r="AD15" i="238"/>
  <c r="AD24" i="237"/>
  <c r="AD21" i="237"/>
  <c r="AD15" i="237"/>
  <c r="AF8" i="238"/>
  <c r="AF8" i="492" s="1"/>
  <c r="G24" i="238"/>
  <c r="G20" i="238"/>
  <c r="G21" i="237"/>
  <c r="G15" i="237"/>
  <c r="E15" i="237"/>
  <c r="P20" i="238"/>
  <c r="Q20" i="238"/>
  <c r="R20" i="238"/>
  <c r="S20" i="238"/>
  <c r="O20" i="238"/>
  <c r="K20" i="238"/>
  <c r="F20" i="238"/>
  <c r="E20" i="238"/>
  <c r="M20" i="238"/>
  <c r="W18" i="238"/>
  <c r="U18" i="238"/>
  <c r="L20" i="238"/>
  <c r="AG24" i="238"/>
  <c r="W24" i="238"/>
  <c r="R24" i="238"/>
  <c r="Q24" i="238"/>
  <c r="P24" i="238"/>
  <c r="O24" i="238"/>
  <c r="M24" i="238"/>
  <c r="K24" i="238"/>
  <c r="F24" i="238"/>
  <c r="S24" i="238"/>
  <c r="Q24" i="237"/>
  <c r="G24" i="237"/>
  <c r="F24" i="237"/>
  <c r="E24" i="237"/>
  <c r="S24" i="237"/>
  <c r="R24" i="237"/>
  <c r="P24" i="237"/>
  <c r="O24" i="237"/>
  <c r="M24" i="237"/>
  <c r="K24" i="237"/>
  <c r="W19" i="237"/>
  <c r="AA19" i="237"/>
  <c r="P21" i="237"/>
  <c r="Q21" i="237"/>
  <c r="R21" i="237"/>
  <c r="S21" i="237"/>
  <c r="O21" i="237"/>
  <c r="M21" i="237"/>
  <c r="K21" i="237"/>
  <c r="E21" i="237"/>
  <c r="E32" i="237" s="1"/>
  <c r="Z8" i="238"/>
  <c r="Z8" i="492" s="1"/>
  <c r="L24" i="367"/>
  <c r="L6" i="367"/>
  <c r="S15" i="238"/>
  <c r="AH32" i="237"/>
  <c r="AC32" i="237"/>
  <c r="Y32" i="237"/>
  <c r="AA18" i="237"/>
  <c r="U17" i="238"/>
  <c r="W17" i="238"/>
  <c r="AH15" i="238"/>
  <c r="AH32" i="238" s="1"/>
  <c r="R15" i="238"/>
  <c r="O15" i="238"/>
  <c r="F15" i="238"/>
  <c r="F21" i="237"/>
  <c r="A5" i="238"/>
  <c r="A6" i="238"/>
  <c r="E8" i="238"/>
  <c r="U8" i="238"/>
  <c r="U8" i="492" s="1"/>
  <c r="AD8" i="238"/>
  <c r="AD8" i="492" s="1"/>
  <c r="AE8" i="238"/>
  <c r="AE8" i="492" s="1"/>
  <c r="AG8" i="238"/>
  <c r="AG8" i="492" s="1"/>
  <c r="AI8" i="238"/>
  <c r="AJ8" i="238"/>
  <c r="A3" i="367"/>
  <c r="C5" i="242"/>
  <c r="D5" i="242" s="1"/>
  <c r="D23" i="242"/>
  <c r="D24" i="242"/>
  <c r="C37" i="242"/>
  <c r="E37" i="242"/>
  <c r="E15" i="238"/>
  <c r="F15" i="237"/>
  <c r="Q15" i="238"/>
  <c r="P15" i="237"/>
  <c r="R15" i="237"/>
  <c r="O15" i="237"/>
  <c r="P15" i="238"/>
  <c r="S15" i="237"/>
  <c r="AI24" i="238"/>
  <c r="E24" i="238"/>
  <c r="W18" i="237"/>
  <c r="G15" i="238"/>
  <c r="G27" i="237"/>
  <c r="AI32" i="237" l="1"/>
  <c r="Q32" i="237"/>
  <c r="O32" i="237"/>
  <c r="S32" i="238"/>
  <c r="I23" i="242" s="1"/>
  <c r="AJ20" i="238"/>
  <c r="P32" i="237"/>
  <c r="O32" i="238"/>
  <c r="G32" i="237"/>
  <c r="F32" i="237"/>
  <c r="K32" i="237"/>
  <c r="R32" i="238"/>
  <c r="Q32" i="238"/>
  <c r="G32" i="238"/>
  <c r="AD32" i="237"/>
  <c r="P32" i="238"/>
  <c r="S32" i="237"/>
  <c r="F23" i="242" s="1"/>
  <c r="R32" i="237"/>
  <c r="F32" i="238"/>
  <c r="G272" i="479"/>
  <c r="G274" i="479" s="1"/>
  <c r="K100" i="479"/>
  <c r="K125" i="479"/>
  <c r="J100" i="479"/>
  <c r="J125" i="479"/>
  <c r="L100" i="479"/>
  <c r="L125" i="479"/>
  <c r="V26" i="237"/>
  <c r="V27" i="237" s="1"/>
  <c r="L32" i="238"/>
  <c r="K32" i="238"/>
  <c r="I264" i="479"/>
  <c r="I253" i="479"/>
  <c r="I255" i="479" s="1"/>
  <c r="AD32" i="238"/>
  <c r="D20" i="242"/>
  <c r="P20" i="242" s="1"/>
  <c r="H255" i="479"/>
  <c r="V19" i="237"/>
  <c r="W27" i="237"/>
  <c r="W24" i="237"/>
  <c r="V24" i="237"/>
  <c r="N261" i="479"/>
  <c r="N264" i="479" s="1"/>
  <c r="N272" i="479" s="1"/>
  <c r="B37" i="242"/>
  <c r="B41" i="242" s="1"/>
  <c r="J251" i="479"/>
  <c r="J253" i="479" s="1"/>
  <c r="U27" i="238"/>
  <c r="E32" i="238"/>
  <c r="U27" i="237"/>
  <c r="AJ27" i="237"/>
  <c r="AA18" i="238"/>
  <c r="AF18" i="238" s="1"/>
  <c r="AE18" i="238" s="1"/>
  <c r="C41" i="242"/>
  <c r="AA26" i="237"/>
  <c r="AF26" i="237" s="1"/>
  <c r="AE26" i="237" s="1"/>
  <c r="AE27" i="237" s="1"/>
  <c r="M27" i="238"/>
  <c r="V17" i="238"/>
  <c r="W15" i="238"/>
  <c r="M15" i="238"/>
  <c r="AA26" i="238"/>
  <c r="AF26" i="238" s="1"/>
  <c r="AI15" i="238"/>
  <c r="AI32" i="238" s="1"/>
  <c r="U13" i="238"/>
  <c r="U24" i="237"/>
  <c r="V18" i="238"/>
  <c r="U20" i="238"/>
  <c r="W15" i="237"/>
  <c r="M15" i="237"/>
  <c r="M32" i="237" s="1"/>
  <c r="AA24" i="237"/>
  <c r="D26" i="242"/>
  <c r="V26" i="238"/>
  <c r="D16" i="242"/>
  <c r="H205" i="479"/>
  <c r="I205" i="479"/>
  <c r="N251" i="479"/>
  <c r="N253" i="479" s="1"/>
  <c r="A208" i="479"/>
  <c r="U21" i="237"/>
  <c r="W20" i="238"/>
  <c r="W27" i="238"/>
  <c r="AA24" i="238"/>
  <c r="U24" i="238"/>
  <c r="AA17" i="238"/>
  <c r="AA21" i="237"/>
  <c r="AF19" i="237"/>
  <c r="W21" i="237"/>
  <c r="V18" i="237"/>
  <c r="V21" i="237" s="1"/>
  <c r="AF18" i="237"/>
  <c r="AA29" i="237"/>
  <c r="W32" i="237" l="1"/>
  <c r="F34" i="237" s="1"/>
  <c r="D33" i="242"/>
  <c r="D37" i="242" s="1"/>
  <c r="D41" i="242" s="1"/>
  <c r="L127" i="479"/>
  <c r="J127" i="479"/>
  <c r="K127" i="479"/>
  <c r="M32" i="238"/>
  <c r="AJ15" i="238"/>
  <c r="W32" i="238"/>
  <c r="J182" i="479"/>
  <c r="J205" i="479" s="1"/>
  <c r="J272" i="479"/>
  <c r="L23" i="242"/>
  <c r="P23" i="242" s="1"/>
  <c r="N255" i="479"/>
  <c r="N274" i="479" s="1"/>
  <c r="I272" i="479"/>
  <c r="I274" i="479" s="1"/>
  <c r="H272" i="479"/>
  <c r="H274" i="479" s="1"/>
  <c r="P261" i="479"/>
  <c r="P264" i="479" s="1"/>
  <c r="L255" i="479"/>
  <c r="L274" i="479" s="1"/>
  <c r="AA13" i="237"/>
  <c r="AF13" i="237" s="1"/>
  <c r="AF15" i="237" s="1"/>
  <c r="V13" i="237"/>
  <c r="V15" i="237" s="1"/>
  <c r="V32" i="237" s="1"/>
  <c r="E20" i="367"/>
  <c r="I20" i="367"/>
  <c r="I35" i="367" s="1"/>
  <c r="P251" i="479"/>
  <c r="AA20" i="238"/>
  <c r="AA27" i="237"/>
  <c r="U15" i="237"/>
  <c r="U32" i="237" s="1"/>
  <c r="E34" i="237" s="1"/>
  <c r="AA27" i="238"/>
  <c r="AG26" i="237"/>
  <c r="AF27" i="237"/>
  <c r="AG27" i="237" s="1"/>
  <c r="AG18" i="238"/>
  <c r="F20" i="367"/>
  <c r="F35" i="367" s="1"/>
  <c r="AF17" i="238"/>
  <c r="AF20" i="238" s="1"/>
  <c r="AA13" i="238"/>
  <c r="U15" i="238"/>
  <c r="U32" i="238" s="1"/>
  <c r="V13" i="238"/>
  <c r="AF24" i="237"/>
  <c r="AE24" i="237"/>
  <c r="AJ21" i="237"/>
  <c r="AJ32" i="237" s="1"/>
  <c r="AF24" i="238"/>
  <c r="AG19" i="237"/>
  <c r="AE19" i="237"/>
  <c r="AE26" i="238"/>
  <c r="AE27" i="238" s="1"/>
  <c r="AF27" i="238"/>
  <c r="AG26" i="238"/>
  <c r="AG27" i="238" s="1"/>
  <c r="AF29" i="237"/>
  <c r="AG18" i="237"/>
  <c r="AF21" i="237"/>
  <c r="AE18" i="237"/>
  <c r="AG15" i="238"/>
  <c r="AF32" i="237" l="1"/>
  <c r="AJ32" i="238"/>
  <c r="X26" i="238"/>
  <c r="X27" i="238" s="1"/>
  <c r="AG21" i="237"/>
  <c r="N277" i="479"/>
  <c r="P277" i="479" s="1"/>
  <c r="I10" i="242" s="1"/>
  <c r="N276" i="479"/>
  <c r="AA15" i="237"/>
  <c r="AA32" i="237" s="1"/>
  <c r="J255" i="479"/>
  <c r="J274" i="479" s="1"/>
  <c r="G20" i="367"/>
  <c r="G35" i="367" s="1"/>
  <c r="L9" i="242"/>
  <c r="F24" i="242"/>
  <c r="AG15" i="237"/>
  <c r="X24" i="238"/>
  <c r="AG17" i="238"/>
  <c r="AG20" i="238" s="1"/>
  <c r="AG32" i="238" s="1"/>
  <c r="AE13" i="237"/>
  <c r="AE15" i="237" s="1"/>
  <c r="X13" i="238"/>
  <c r="X17" i="238"/>
  <c r="X18" i="238"/>
  <c r="AG13" i="237"/>
  <c r="X18" i="237"/>
  <c r="X24" i="237"/>
  <c r="X15" i="238"/>
  <c r="AE24" i="238"/>
  <c r="AE17" i="238"/>
  <c r="AE20" i="238" s="1"/>
  <c r="X19" i="237"/>
  <c r="X26" i="237"/>
  <c r="X27" i="237" s="1"/>
  <c r="X13" i="237"/>
  <c r="AF13" i="238"/>
  <c r="AA15" i="238"/>
  <c r="AA32" i="238" s="1"/>
  <c r="AE21" i="237"/>
  <c r="AE29" i="237"/>
  <c r="I24" i="242" l="1"/>
  <c r="L24" i="242" s="1"/>
  <c r="AG32" i="237"/>
  <c r="AE32" i="237"/>
  <c r="P276" i="479"/>
  <c r="F10" i="242" s="1"/>
  <c r="L10" i="242" s="1"/>
  <c r="G7" i="491"/>
  <c r="G22" i="491" s="1"/>
  <c r="P205" i="479"/>
  <c r="P255" i="479"/>
  <c r="E35" i="367"/>
  <c r="H20" i="367"/>
  <c r="H35" i="367" s="1"/>
  <c r="J20" i="367"/>
  <c r="J35" i="367" s="1"/>
  <c r="K20" i="367"/>
  <c r="K35" i="367" s="1"/>
  <c r="X21" i="237"/>
  <c r="AB21" i="237"/>
  <c r="AB24" i="237"/>
  <c r="AB13" i="237"/>
  <c r="AB27" i="237"/>
  <c r="AB15" i="237"/>
  <c r="AB26" i="237"/>
  <c r="AB19" i="237"/>
  <c r="X20" i="238"/>
  <c r="X32" i="238" s="1"/>
  <c r="AB18" i="237"/>
  <c r="X15" i="237"/>
  <c r="AG13" i="238"/>
  <c r="AE13" i="238"/>
  <c r="AE15" i="238" s="1"/>
  <c r="AE32" i="238" s="1"/>
  <c r="AF15" i="238"/>
  <c r="P9" i="242"/>
  <c r="F22" i="242" l="1"/>
  <c r="F26" i="242" s="1"/>
  <c r="X32" i="237"/>
  <c r="G8" i="491"/>
  <c r="G23" i="491" s="1"/>
  <c r="AB32" i="237"/>
  <c r="J22" i="491"/>
  <c r="P272" i="479"/>
  <c r="P274" i="479" s="1"/>
  <c r="AF32" i="238"/>
  <c r="I22" i="242"/>
  <c r="I26" i="242" s="1"/>
  <c r="P24" i="242"/>
  <c r="P10" i="242"/>
  <c r="F7" i="242"/>
  <c r="L20" i="367"/>
  <c r="L35" i="367" s="1"/>
  <c r="AB26" i="238"/>
  <c r="AB27" i="238" s="1"/>
  <c r="AB24" i="238"/>
  <c r="AB13" i="238"/>
  <c r="AB17" i="238"/>
  <c r="AB18" i="238"/>
  <c r="J23" i="491" l="1"/>
  <c r="K26" i="242"/>
  <c r="H26" i="242"/>
  <c r="F16" i="242"/>
  <c r="H16" i="242" s="1"/>
  <c r="L22" i="242"/>
  <c r="P22" i="242" s="1"/>
  <c r="O279" i="479"/>
  <c r="AB15" i="238"/>
  <c r="AB20" i="238"/>
  <c r="P8" i="242"/>
  <c r="F33" i="242" l="1"/>
  <c r="H33" i="242" s="1"/>
  <c r="L26" i="242"/>
  <c r="L7" i="242"/>
  <c r="I16" i="242"/>
  <c r="I33" i="242" s="1"/>
  <c r="AB32" i="238"/>
  <c r="P26" i="242" l="1"/>
  <c r="N26" i="242"/>
  <c r="G10" i="491"/>
  <c r="G25" i="491" s="1"/>
  <c r="L16" i="242"/>
  <c r="L33" i="242" s="1"/>
  <c r="G6" i="491"/>
  <c r="G21" i="491" s="1"/>
  <c r="F37" i="242"/>
  <c r="F41" i="242" s="1"/>
  <c r="H41" i="242" s="1"/>
  <c r="P7" i="242"/>
  <c r="K16" i="242"/>
  <c r="G36" i="491" l="1"/>
  <c r="N16" i="242"/>
  <c r="J25" i="491"/>
  <c r="P16" i="242"/>
  <c r="G14" i="491"/>
  <c r="H14" i="491" s="1"/>
  <c r="H37" i="242"/>
  <c r="I37" i="242"/>
  <c r="K33" i="242"/>
  <c r="N279" i="479"/>
  <c r="G15" i="491" l="1"/>
  <c r="G16" i="491" s="1"/>
  <c r="J21" i="491"/>
  <c r="N33" i="242"/>
  <c r="L37" i="242"/>
  <c r="P33" i="242"/>
  <c r="G31" i="491"/>
  <c r="I41" i="242"/>
  <c r="K37" i="242"/>
  <c r="K41" i="242" s="1"/>
  <c r="P279" i="479"/>
  <c r="N37" i="242" l="1"/>
  <c r="G33" i="491"/>
  <c r="J31" i="491"/>
  <c r="L41" i="242"/>
  <c r="N41" i="242" s="1"/>
  <c r="P37" i="242"/>
  <c r="P41" i="242" l="1"/>
</calcChain>
</file>

<file path=xl/sharedStrings.xml><?xml version="1.0" encoding="utf-8"?>
<sst xmlns="http://schemas.openxmlformats.org/spreadsheetml/2006/main" count="2611" uniqueCount="343">
  <si>
    <t>LIFE-BONDS RUNNING</t>
  </si>
  <si>
    <t>GENERAL-BONDS RUNNING</t>
  </si>
  <si>
    <t>LIFE-BONDS RETIRED</t>
  </si>
  <si>
    <t>TOTAL BONDS RETIRED</t>
  </si>
  <si>
    <t>TOTAL BONDS RUNNING</t>
  </si>
  <si>
    <t>LAST INT</t>
  </si>
  <si>
    <t>TOTAL  TERM  INCOME-RETIRED</t>
  </si>
  <si>
    <t>Life  Term Income -Retired</t>
  </si>
  <si>
    <t>Life Term Deposits -Running</t>
  </si>
  <si>
    <t>General Call Deposits-Running</t>
  </si>
  <si>
    <t>Life Call Deposits-Running</t>
  </si>
  <si>
    <t>TOTAL CALL DEPOSITS-RUNNING</t>
  </si>
  <si>
    <t>TOTAL CALL DEPOSITS INCOME-RETIRED</t>
  </si>
  <si>
    <t>GENERAL EQUITY FUND</t>
  </si>
  <si>
    <t>LIFE EQUITY FUND</t>
  </si>
  <si>
    <t>LIFE CALL</t>
  </si>
  <si>
    <t>EAST AFRICA REINSURANCE COMPANY LIMITED</t>
  </si>
  <si>
    <t>TREASURY BONDS SCHEDULE -RETIRED</t>
  </si>
  <si>
    <t xml:space="preserve">ISSUE </t>
  </si>
  <si>
    <t>DATE</t>
  </si>
  <si>
    <t>TERM</t>
  </si>
  <si>
    <t xml:space="preserve">MATURITY </t>
  </si>
  <si>
    <t>NEXT</t>
  </si>
  <si>
    <t>FACE</t>
  </si>
  <si>
    <t>AMOUNT</t>
  </si>
  <si>
    <t>TOTAL</t>
  </si>
  <si>
    <t>COUPON</t>
  </si>
  <si>
    <t>PRICE PER</t>
  </si>
  <si>
    <t>MARKET</t>
  </si>
  <si>
    <t>YIELD TO</t>
  </si>
  <si>
    <t>NUMBER</t>
  </si>
  <si>
    <t>PLACED</t>
  </si>
  <si>
    <t>INT. DATE</t>
  </si>
  <si>
    <t>DAYS</t>
  </si>
  <si>
    <t>VALUE</t>
  </si>
  <si>
    <t>COUPON AMOUNT</t>
  </si>
  <si>
    <t>RATE</t>
  </si>
  <si>
    <t>MATURITY</t>
  </si>
  <si>
    <t>TO DATE</t>
  </si>
  <si>
    <t>TREASURY BONDS SCHEDULE -RUNNING</t>
  </si>
  <si>
    <t>BANK</t>
  </si>
  <si>
    <t xml:space="preserve">INTEREST </t>
  </si>
  <si>
    <t>INTEREST</t>
  </si>
  <si>
    <t xml:space="preserve"> </t>
  </si>
  <si>
    <t>CALL DEPOSITS SCHEDULE -RUNNING</t>
  </si>
  <si>
    <t>SHORT-TERM DEPOSITS SCHEDULE-RETIRED</t>
  </si>
  <si>
    <t>SHORT-TERM DEPOSITS SCHEDULE -RUNNING</t>
  </si>
  <si>
    <t>GEN</t>
  </si>
  <si>
    <t>LIFE</t>
  </si>
  <si>
    <t>KCB</t>
  </si>
  <si>
    <t>Purchases</t>
  </si>
  <si>
    <t>Disposals</t>
  </si>
  <si>
    <t>Par</t>
  </si>
  <si>
    <t>Price as at</t>
  </si>
  <si>
    <t>Shares</t>
  </si>
  <si>
    <t>Total</t>
  </si>
  <si>
    <t xml:space="preserve">Market </t>
  </si>
  <si>
    <t>Bonus</t>
  </si>
  <si>
    <t>No of</t>
  </si>
  <si>
    <t>Average Price</t>
  </si>
  <si>
    <t>Disposal proceeds</t>
  </si>
  <si>
    <t xml:space="preserve">Realised Gain / (Loss) </t>
  </si>
  <si>
    <t>Company</t>
  </si>
  <si>
    <t>Value</t>
  </si>
  <si>
    <t>Held</t>
  </si>
  <si>
    <t>Cost</t>
  </si>
  <si>
    <t>shares</t>
  </si>
  <si>
    <t>No of shares</t>
  </si>
  <si>
    <t>cost</t>
  </si>
  <si>
    <t>Percentage</t>
  </si>
  <si>
    <t>Price</t>
  </si>
  <si>
    <t>value</t>
  </si>
  <si>
    <t>GRAND TOTAL</t>
  </si>
  <si>
    <t>USD Call Deposits-Running</t>
  </si>
  <si>
    <t>USD Call Deposits-Running IN Kshs</t>
  </si>
  <si>
    <t>General Call Deposits Income-Retired</t>
  </si>
  <si>
    <t>ACCRUED</t>
  </si>
  <si>
    <t>Grand Total</t>
  </si>
  <si>
    <t xml:space="preserve">DATE </t>
  </si>
  <si>
    <t>LIEN</t>
  </si>
  <si>
    <t>FXD2/2010/15</t>
  </si>
  <si>
    <t>CALL DEPOSITS (GB POUNDS) SCHEDULE -RETIRED</t>
  </si>
  <si>
    <t xml:space="preserve">SCHEDULE OF INVESTMENT IN QUOTED SHARES </t>
  </si>
  <si>
    <t>EAST AFRICA REINSURANCE CO. LTD.</t>
  </si>
  <si>
    <t>VARIANCE</t>
  </si>
  <si>
    <t>ON BUDGET</t>
  </si>
  <si>
    <t>TREASURY BOND INTEREST-HELD TO MATURITY</t>
  </si>
  <si>
    <t>CORPORATE BOND INTEREST</t>
  </si>
  <si>
    <t>MISCELLANEOUS INCOME</t>
  </si>
  <si>
    <t>SALARY ADVANCE INTEREST</t>
  </si>
  <si>
    <t>SUB-TOTAL-FIXED INCOME</t>
  </si>
  <si>
    <t>FAIR VALUE GAIN ON VALUE OF QUOTED SHARES</t>
  </si>
  <si>
    <t>GAIN/(LOSS) ON DISPOSAL OF QUOTED SHARES</t>
  </si>
  <si>
    <t>DIVIDENDS ON QUOTED SHARES</t>
  </si>
  <si>
    <t>RETURNABLE BROKERAGE COMMISION</t>
  </si>
  <si>
    <t>TOTAL-EQUITIES</t>
  </si>
  <si>
    <t>GROSS  INVESTMENT INCOME-TOTAL</t>
  </si>
  <si>
    <t>TOTAL GROSS INVESTMENT AFTER GAIN ON DISPOSAL OF FIXED ASSETS</t>
  </si>
  <si>
    <t>MANAGEMENT EXPENSES (20%)</t>
  </si>
  <si>
    <t>GENERAL BUSINESS</t>
  </si>
  <si>
    <t>UNAMORTISED</t>
  </si>
  <si>
    <t>DISCOUNT / PREMIUM</t>
  </si>
  <si>
    <t>INCOME</t>
  </si>
  <si>
    <t>TERM &amp; CALL DEPOSIT INTEREST</t>
  </si>
  <si>
    <t xml:space="preserve">INVESTMENT INCOME </t>
  </si>
  <si>
    <t>MORTGAGE &amp; CAR LOAN INTEREST</t>
  </si>
  <si>
    <t>Central Bank of Kenya's Receipt No. (s)</t>
  </si>
  <si>
    <t>Long Term Insurance business.</t>
  </si>
  <si>
    <t>Issue No.</t>
  </si>
  <si>
    <t>Amount (Kshs.)</t>
  </si>
  <si>
    <t>Creation Date</t>
  </si>
  <si>
    <t>Maturity Date</t>
  </si>
  <si>
    <t>FXD 2/2010/15</t>
  </si>
  <si>
    <t>General Insurance business.</t>
  </si>
  <si>
    <t>BOOK VALUE</t>
  </si>
  <si>
    <t>AMORTIZED</t>
  </si>
  <si>
    <t>DISCOUNT</t>
  </si>
  <si>
    <t>TOTAL-LIFE</t>
  </si>
  <si>
    <t>DISCOUNT/(PREMIUM)</t>
  </si>
  <si>
    <t>TREASURY BILLS INTEREST</t>
  </si>
  <si>
    <t>Certificate No.</t>
  </si>
  <si>
    <t>000088</t>
  </si>
  <si>
    <t>000087</t>
  </si>
  <si>
    <t>General Term Deposits-Retired</t>
  </si>
  <si>
    <t>FXD 1/2008/15-LIEN</t>
  </si>
  <si>
    <t>FXD2/2010/15-LIEN</t>
  </si>
  <si>
    <t>FAMILY BANK</t>
  </si>
  <si>
    <t>000379</t>
  </si>
  <si>
    <t>Bamburi Cement</t>
  </si>
  <si>
    <t>Construction &amp; Allied</t>
  </si>
  <si>
    <t>Banking</t>
  </si>
  <si>
    <t>000493</t>
  </si>
  <si>
    <t xml:space="preserve">Amount of deposit made (Kshs): </t>
  </si>
  <si>
    <t xml:space="preserve">AMOUNT </t>
  </si>
  <si>
    <t>CORPORATE BONDS - RUNNING</t>
  </si>
  <si>
    <t>CORPORATE BONDS - RETIRED</t>
  </si>
  <si>
    <t>GBP Call Deposits-Running</t>
  </si>
  <si>
    <t>GBP Call Deposits-Running IN Kshs</t>
  </si>
  <si>
    <t>General Call Deposits GBP-Retired</t>
  </si>
  <si>
    <t>General Call Deposits Kshs -Retired</t>
  </si>
  <si>
    <t>General</t>
  </si>
  <si>
    <t>RENTAL INCOME</t>
  </si>
  <si>
    <t xml:space="preserve">Average </t>
  </si>
  <si>
    <t xml:space="preserve">Price </t>
  </si>
  <si>
    <t>Athi River Mining</t>
  </si>
  <si>
    <t>Commercial &amp; Services</t>
  </si>
  <si>
    <t>NIC/3550000XXX-GEN GBP</t>
  </si>
  <si>
    <t>TREASURY BILLS</t>
  </si>
  <si>
    <t>TREASURY BILLS RETIRED</t>
  </si>
  <si>
    <t>Total Tbills Retired-General</t>
  </si>
  <si>
    <t>Total Tbills Retired-Life</t>
  </si>
  <si>
    <t>Treasury Bills Running-General</t>
  </si>
  <si>
    <t>IFB 1/2014/12</t>
  </si>
  <si>
    <t>EQUITY</t>
  </si>
  <si>
    <t>IFB1/2014/12</t>
  </si>
  <si>
    <t>IFB 1/2015/12</t>
  </si>
  <si>
    <t>001076</t>
  </si>
  <si>
    <t>001077</t>
  </si>
  <si>
    <t>001074</t>
  </si>
  <si>
    <t>001078</t>
  </si>
  <si>
    <t>001075</t>
  </si>
  <si>
    <t>IFB1/2014/12-LIEN</t>
  </si>
  <si>
    <t>IFB 1/2014/12-LIEN</t>
  </si>
  <si>
    <t>001249</t>
  </si>
  <si>
    <t>IFB 1/2015/12-LIEN</t>
  </si>
  <si>
    <t>CO-OP BANK</t>
  </si>
  <si>
    <t>Funds</t>
  </si>
  <si>
    <t>IFB1/2015/9</t>
  </si>
  <si>
    <t>EABL</t>
  </si>
  <si>
    <t>Manufacturing</t>
  </si>
  <si>
    <t>Investments</t>
  </si>
  <si>
    <t>ACTUAL</t>
  </si>
  <si>
    <t xml:space="preserve">   GENERAL</t>
  </si>
  <si>
    <t>COMBINED</t>
  </si>
  <si>
    <t>.</t>
  </si>
  <si>
    <t>ST</t>
  </si>
  <si>
    <t>LT</t>
  </si>
  <si>
    <t>01.01.2016</t>
  </si>
  <si>
    <t>CLASS</t>
  </si>
  <si>
    <t>USD  Life Call Deposits-Running</t>
  </si>
  <si>
    <t>USD Life Call Deposits-Running IN Kshs</t>
  </si>
  <si>
    <t>ref</t>
  </si>
  <si>
    <t>General Term Deposits -Running</t>
  </si>
  <si>
    <t>class</t>
  </si>
  <si>
    <t xml:space="preserve">                                                                                    </t>
  </si>
  <si>
    <t>Ecobank Malawi</t>
  </si>
  <si>
    <t>GEN-BONDS RETIRED</t>
  </si>
  <si>
    <t>IFB 1/2016/9</t>
  </si>
  <si>
    <t>General Call Deposits Income-Retired-total</t>
  </si>
  <si>
    <t>Life Call Deposits Income-Retired Kshs</t>
  </si>
  <si>
    <t>Life Call Deposits Income-Retired -USD</t>
  </si>
  <si>
    <t>Life Call Deposits Income-Retired-Total</t>
  </si>
  <si>
    <t>TOTAL GENERAL CALL-Accrued</t>
  </si>
  <si>
    <t>Life Call Deposits-Running-Total Accrued</t>
  </si>
  <si>
    <t>General Term Deposits -Running-Accrued</t>
  </si>
  <si>
    <t>FXD 1/2012/15</t>
  </si>
  <si>
    <t>FXD1/2008/20</t>
  </si>
  <si>
    <t>FXD1/2016/10</t>
  </si>
  <si>
    <t>GAIN ON DISPOSAL OF FIXED ASSETS</t>
  </si>
  <si>
    <t>IFB1/2016/15</t>
  </si>
  <si>
    <t>001365</t>
  </si>
  <si>
    <t>13..351%</t>
  </si>
  <si>
    <t>REVALUATION GAIN ON INVESTMNET PROPERTY</t>
  </si>
  <si>
    <t>001466</t>
  </si>
  <si>
    <t>Ecobank Malawi Term Deposits Retired</t>
  </si>
  <si>
    <t>Total Term Deposits -Running</t>
  </si>
  <si>
    <t>IFB1/2017/12</t>
  </si>
  <si>
    <t>001775</t>
  </si>
  <si>
    <t>Total life</t>
  </si>
  <si>
    <t>Total Gen</t>
  </si>
  <si>
    <t>USD Term Deposits Retired</t>
  </si>
  <si>
    <t>I&amp;M BANK</t>
  </si>
  <si>
    <t>FXD2/2019/5</t>
  </si>
  <si>
    <t>ACORN PROJECT II LLP FIRST DRAW DOWN- General</t>
  </si>
  <si>
    <t>ACORN PROJECT II LLP FIRST DRAW DOWN-Life</t>
  </si>
  <si>
    <t>NCBA/3550000XXX-Life Kshs</t>
  </si>
  <si>
    <t>NCBA/3550000XXX-Gen Kshs</t>
  </si>
  <si>
    <t>FOR  THE PERIOD 1ST JAN 2020</t>
  </si>
  <si>
    <t>Type of Investments</t>
  </si>
  <si>
    <t>Average Funds</t>
  </si>
  <si>
    <t>Investment Income</t>
  </si>
  <si>
    <t>Average Returns</t>
  </si>
  <si>
    <t>Budgeted Amounts</t>
  </si>
  <si>
    <t>Amounts  (Kshs)</t>
  </si>
  <si>
    <t>Amounts (Kshs)</t>
  </si>
  <si>
    <t>%</t>
  </si>
  <si>
    <t>Treasury Bonds</t>
  </si>
  <si>
    <t>Treasury Bills</t>
  </si>
  <si>
    <t>Corporate Bonds</t>
  </si>
  <si>
    <t>Fixed Depsoits</t>
  </si>
  <si>
    <t>Call Deposits</t>
  </si>
  <si>
    <t>Equities</t>
  </si>
  <si>
    <t>Investment Property</t>
  </si>
  <si>
    <t>Staff Loans</t>
  </si>
  <si>
    <t>Use the below as we have combined the Governement Securities</t>
  </si>
  <si>
    <t>% weight</t>
  </si>
  <si>
    <t>Weighted return</t>
  </si>
  <si>
    <t>Governemnt Securities</t>
  </si>
  <si>
    <t>Other income</t>
  </si>
  <si>
    <t>IFB 1/2020/9</t>
  </si>
  <si>
    <t>IFB1/2020/9</t>
  </si>
  <si>
    <t>ACORN PROJECT II LLP SECOND DRAW DOWN- General</t>
  </si>
  <si>
    <t>ACORN PROJECT II LLP SECOND DRAW DOWN-Life</t>
  </si>
  <si>
    <t>FXD1/2020/5</t>
  </si>
  <si>
    <t>NCBA/3550000XXX-Life USD</t>
  </si>
  <si>
    <t>NCBA/3550000XXX-GEN USD</t>
  </si>
  <si>
    <t>FXD 1/2020/5</t>
  </si>
  <si>
    <t>FXD2/2018/10</t>
  </si>
  <si>
    <t>002852</t>
  </si>
  <si>
    <t>002853</t>
  </si>
  <si>
    <t>002854</t>
  </si>
  <si>
    <t>002855</t>
  </si>
  <si>
    <t>002856</t>
  </si>
  <si>
    <t>002857</t>
  </si>
  <si>
    <t>002858</t>
  </si>
  <si>
    <t>IFB1/2020/11</t>
  </si>
  <si>
    <t>FXD1/2011/20</t>
  </si>
  <si>
    <t xml:space="preserve"> INVESTMENTS</t>
  </si>
  <si>
    <t>ACORN PROJECT II LLP THIRD DRAW DOWN-Life</t>
  </si>
  <si>
    <t>ACORN PROJECT II LLP THIRD DRAW DOWN- General</t>
  </si>
  <si>
    <t>NCBA Bank</t>
  </si>
  <si>
    <t>FXD2/2013/15</t>
  </si>
  <si>
    <t>FXD1/2012/15</t>
  </si>
  <si>
    <t>INCOME 2021</t>
  </si>
  <si>
    <t>ACORN PROJECT II LLP FOURTH DRAW DOWN- General</t>
  </si>
  <si>
    <t>ACORN PROJECT II LLP FOURTH DRAW DOWN-Life</t>
  </si>
  <si>
    <t>ACORN I-REIT</t>
  </si>
  <si>
    <t>ACORN D-REIT</t>
  </si>
  <si>
    <t>IFB 1/2015/12- LIEN</t>
  </si>
  <si>
    <t xml:space="preserve">BUDGET </t>
  </si>
  <si>
    <t>BUDGET</t>
  </si>
  <si>
    <t>GENERAL REITs</t>
  </si>
  <si>
    <t xml:space="preserve">SCHEDULE OF INVESTMENT IN UNQUOTED REITs </t>
  </si>
  <si>
    <t>TOTAL-REITs</t>
  </si>
  <si>
    <t>GAIN/(LOSS) ON DISPOSAL OF REITs</t>
  </si>
  <si>
    <t>FAIR VALUE GAIN ON VALUE OF REITs</t>
  </si>
  <si>
    <t>ACORN PROJECT II LLP FIFTH DRAW DOWN- General</t>
  </si>
  <si>
    <t>ACORN PROJECT II LLP FIFTH DRAW DOWN-Life</t>
  </si>
  <si>
    <t>DTBK Bank</t>
  </si>
  <si>
    <t>REITs</t>
  </si>
  <si>
    <t>ACORN PROJECT II LLP SIXTH DRAW DOWN- General</t>
  </si>
  <si>
    <t>ACORN PROJECT II LLP SIXTH DRAW DOWN-Life</t>
  </si>
  <si>
    <t>FXD1/2018/15</t>
  </si>
  <si>
    <t>DIVIDENDS ON REITs</t>
  </si>
  <si>
    <t>FXD3/2019/10</t>
  </si>
  <si>
    <t>003519</t>
  </si>
  <si>
    <t>003516</t>
  </si>
  <si>
    <t>003515</t>
  </si>
  <si>
    <t>003513</t>
  </si>
  <si>
    <t>003509</t>
  </si>
  <si>
    <t>003511</t>
  </si>
  <si>
    <t>003514</t>
  </si>
  <si>
    <t>001269</t>
  </si>
  <si>
    <t>003446</t>
  </si>
  <si>
    <t>003450</t>
  </si>
  <si>
    <t>ACORN PROJECT II LLP SEVENTH DRAW DOWN- General</t>
  </si>
  <si>
    <t>ACORN PROJECT II LLP SEVENTH DRAW DOWN-Life</t>
  </si>
  <si>
    <t>FXD1/2013/15</t>
  </si>
  <si>
    <t>FXD3/2019/15</t>
  </si>
  <si>
    <t>FXD1/2021/5</t>
  </si>
  <si>
    <t>FXD4/2019/10</t>
  </si>
  <si>
    <t>2022 Dividends Receivable</t>
  </si>
  <si>
    <t>2022 Dividends Received</t>
  </si>
  <si>
    <t>2381(9.474)</t>
  </si>
  <si>
    <t>2381(9.450)</t>
  </si>
  <si>
    <t>2381(9.480)</t>
  </si>
  <si>
    <t>2381(9.500)</t>
  </si>
  <si>
    <t>ACORN PROJECT II LLP EIGHTH DRAW DOWN- General</t>
  </si>
  <si>
    <t>ACORN PROJECT II LLP EIGHTH DRAW DOWN-Life</t>
  </si>
  <si>
    <t>FXD1/2020/15</t>
  </si>
  <si>
    <t>FXD1/2022/3</t>
  </si>
  <si>
    <t>ACORN PROJECT II LLP NINTH DRAW DOWN- General</t>
  </si>
  <si>
    <t>ACORN PROJECT II LLP NINTH DRAW DOWN-Life</t>
  </si>
  <si>
    <t>IFB1/2022/18</t>
  </si>
  <si>
    <t>NCBA BANK</t>
  </si>
  <si>
    <t>ACORN PROJECT II LLP TENTH DRAW DOWN- General</t>
  </si>
  <si>
    <t>ACORN PROJECT II LLP TENTH DRAW DOWN-Life</t>
  </si>
  <si>
    <t>FXD1/2022/10</t>
  </si>
  <si>
    <t>ACORN PROJECT II LLP ELEVENTH DRAW DOWN-Life</t>
  </si>
  <si>
    <t>ACORN PROJECT II LLP ELEVENTH DRAW DOWN- General</t>
  </si>
  <si>
    <t>IFB1/2022/14</t>
  </si>
  <si>
    <t>ACORN PROJECT II LLP TWELVETH DRAW DOWN- General</t>
  </si>
  <si>
    <t>ACORN PROJECT II LLP TWELVTH DRAW DOWN-Life</t>
  </si>
  <si>
    <t xml:space="preserve">      YEAR 2022</t>
  </si>
  <si>
    <t>Funds as at 31.12.2022</t>
  </si>
  <si>
    <t>ON 2022</t>
  </si>
  <si>
    <t>DISCOUNT YEAR 2023</t>
  </si>
  <si>
    <t>DISCOUNT to 31.12.22</t>
  </si>
  <si>
    <t>2023</t>
  </si>
  <si>
    <t>Appreciation/ (Diminuition) in value b/f 01.01.2023</t>
  </si>
  <si>
    <t>2023  Dividends Received</t>
  </si>
  <si>
    <t>2023 Dividends Receivable</t>
  </si>
  <si>
    <t>Balance b/f 01.01.2023</t>
  </si>
  <si>
    <t>004631</t>
  </si>
  <si>
    <t>004630</t>
  </si>
  <si>
    <t>004629</t>
  </si>
  <si>
    <t>AT 30TH JUNE 2023</t>
  </si>
  <si>
    <t>Market Value as at  30.06.2023</t>
  </si>
  <si>
    <t>Movement between 01.01.2023 to 30.06.2023</t>
  </si>
  <si>
    <t>Appreciation/ (Diminuition) in value C/f  30.06.2023</t>
  </si>
  <si>
    <t>2023 Percentage Capital Gain/(Loss)</t>
  </si>
  <si>
    <t>Balance at Cost as at 30.06.2023</t>
  </si>
  <si>
    <t>Funds as at 30.06.2023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</si>
</sst>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9">
    <numFmt numFmtId="43" formatCode="_-* #,##0.00_-;\-* #,##0.00_-;_-* &quot;-&quot;??_-;_-@_-"/>
    <numFmt numFmtId="164" formatCode="&quot;$&quot;#,##0.00_);\(&quot;$&quot;#,##0.00\)"/>
    <numFmt numFmtId="165" formatCode="_(&quot;$&quot;* #,##0.00_);_(&quot;$&quot;* \(#,##0.00\);_(&quot;$&quot;* &quot;-&quot;??_);_(@_)"/>
    <numFmt numFmtId="166" formatCode="_(* #,##0.00_);_(* \(#,##0.00\);_(* &quot;-&quot;??_);_(@_)"/>
    <numFmt numFmtId="167" formatCode="&quot;£&quot;#,##0;\-&quot;£&quot;#,##0"/>
    <numFmt numFmtId="168" formatCode="&quot;£&quot;#,##0;[Red]\-&quot;£&quot;#,##0"/>
    <numFmt numFmtId="169" formatCode="&quot;£&quot;#,##0.00;\-&quot;£&quot;#,##0.00"/>
    <numFmt numFmtId="170" formatCode="_-&quot;£&quot;* #,##0.00_-;\-&quot;£&quot;* #,##0.00_-;_-&quot;£&quot;* &quot;-&quot;??_-;_-@_-"/>
    <numFmt numFmtId="171" formatCode="_(* #,##0_);_(* \(#,##0\);_(* &quot;-&quot;??_);_(@_)"/>
    <numFmt numFmtId="172" formatCode="dd\-mmm\-yy_)"/>
    <numFmt numFmtId="173" formatCode="0.000%"/>
    <numFmt numFmtId="174" formatCode="mm/dd/yy_)"/>
    <numFmt numFmtId="175" formatCode="_-* #,##0_-;\-* #,##0_-;_-* &quot;-&quot;??_-;_-@_-"/>
    <numFmt numFmtId="176" formatCode="0.0%"/>
    <numFmt numFmtId="177" formatCode="_(* #,##0.000_);_(* \(#,##0.000\);_(* &quot;-&quot;??_);_(@_)"/>
    <numFmt numFmtId="178" formatCode="0.0"/>
    <numFmt numFmtId="179" formatCode="[$-409]d\-mmm\-yy;@"/>
    <numFmt numFmtId="180" formatCode="#,##0.0000;\-#,##0.0000"/>
    <numFmt numFmtId="181" formatCode="0.000"/>
    <numFmt numFmtId="182" formatCode="#,##0.00_ ;\-#,##0.00\ "/>
    <numFmt numFmtId="183" formatCode="_-* #,##0.0000_-;\-* #,##0.0000_-;_-* &quot;-&quot;??_-;_-@_-"/>
    <numFmt numFmtId="184" formatCode="0.0000%"/>
    <numFmt numFmtId="185" formatCode="&quot;£&quot;#,##0_);[Red]\(&quot;£&quot;#,##0\)"/>
    <numFmt numFmtId="186" formatCode="[$-809]dd\ mmmm\ yyyy;@"/>
    <numFmt numFmtId="187" formatCode="_(* #,##0.00_);_(* \(#,##0.00\);_(* \-??_);_(@_)"/>
    <numFmt numFmtId="188" formatCode="d\-mmm\-yyyy"/>
    <numFmt numFmtId="189" formatCode="&quot;$&quot;#,##0;\-&quot;$&quot;#,##0"/>
    <numFmt numFmtId="190" formatCode="_-* #,##0.0_-;\-* #,##0.0_-;_-* &quot;-&quot;??_-;_-@_-"/>
    <numFmt numFmtId="191" formatCode="_-* #,##0.00000_-;\-* #,##0.00000_-;_-* &quot;-&quot;??_-;_-@_-"/>
  </numFmts>
  <fonts count="91" x14ac:knownFonts="1">
    <font>
      <sz val="10"/>
      <name val="Arial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0"/>
      <name val="Arial"/>
      <family val="2"/>
    </font>
    <font>
      <sz val="12"/>
      <name val="Arial"/>
      <family val="2"/>
    </font>
    <font>
      <sz val="10"/>
      <name val="Arial"/>
      <family val="2"/>
    </font>
    <font>
      <sz val="11"/>
      <name val="Tahoma"/>
      <family val="2"/>
    </font>
    <font>
      <sz val="10"/>
      <name val="Arial Narrow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sz val="11"/>
      <color indexed="8"/>
      <name val="Calibri"/>
      <family val="2"/>
    </font>
    <font>
      <u/>
      <sz val="11"/>
      <color indexed="12"/>
      <name val="Times New Roman"/>
      <family val="1"/>
    </font>
    <font>
      <sz val="10"/>
      <name val="Arial"/>
      <family val="2"/>
    </font>
    <font>
      <sz val="10"/>
      <name val="Arial"/>
      <family val="2"/>
    </font>
    <font>
      <b/>
      <sz val="12"/>
      <name val="Arial"/>
      <family val="2"/>
    </font>
    <font>
      <b/>
      <sz val="10"/>
      <name val="Arial"/>
      <family val="2"/>
    </font>
    <font>
      <sz val="10"/>
      <name val="Arial"/>
      <family val="2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9C6500"/>
      <name val="Calibri"/>
      <family val="2"/>
      <scheme val="minor"/>
    </font>
    <font>
      <sz val="10"/>
      <name val="Arial"/>
      <family val="2"/>
    </font>
    <font>
      <sz val="12"/>
      <name val="Tahoma"/>
      <family val="2"/>
    </font>
    <font>
      <b/>
      <sz val="12"/>
      <name val="Tahoma"/>
      <family val="2"/>
    </font>
    <font>
      <b/>
      <sz val="10"/>
      <name val="Tahoma"/>
      <family val="2"/>
    </font>
    <font>
      <sz val="10"/>
      <name val="Tahoma"/>
      <family val="2"/>
    </font>
    <font>
      <b/>
      <i/>
      <u/>
      <sz val="10"/>
      <name val="Tahoma"/>
      <family val="2"/>
    </font>
    <font>
      <b/>
      <u/>
      <sz val="10"/>
      <name val="Tahoma"/>
      <family val="2"/>
    </font>
    <font>
      <b/>
      <sz val="10"/>
      <name val="Arial Narrow"/>
      <family val="2"/>
    </font>
    <font>
      <b/>
      <i/>
      <u/>
      <sz val="12"/>
      <name val="Arial Narrow"/>
      <family val="2"/>
    </font>
    <font>
      <sz val="12"/>
      <name val="Arial Narrow"/>
      <family val="2"/>
    </font>
    <font>
      <b/>
      <u/>
      <sz val="12"/>
      <name val="Arial"/>
      <family val="2"/>
    </font>
    <font>
      <sz val="16"/>
      <name val="Arial"/>
      <family val="2"/>
    </font>
    <font>
      <b/>
      <i/>
      <u/>
      <sz val="12"/>
      <name val="Tahoma"/>
      <family val="2"/>
    </font>
    <font>
      <b/>
      <u/>
      <sz val="12"/>
      <name val="Tahoma"/>
      <family val="2"/>
    </font>
    <font>
      <b/>
      <i/>
      <sz val="12"/>
      <name val="Tahoma"/>
      <family val="2"/>
    </font>
    <font>
      <sz val="18"/>
      <name val="Arial"/>
      <family val="2"/>
    </font>
    <font>
      <b/>
      <sz val="18"/>
      <name val="Arial"/>
      <family val="2"/>
    </font>
    <font>
      <b/>
      <i/>
      <u/>
      <sz val="18"/>
      <name val="Arial"/>
      <family val="2"/>
    </font>
    <font>
      <b/>
      <u/>
      <sz val="20"/>
      <name val="Arial"/>
      <family val="2"/>
    </font>
    <font>
      <b/>
      <u/>
      <sz val="18"/>
      <name val="Arial"/>
      <family val="2"/>
    </font>
    <font>
      <sz val="14"/>
      <name val="Arial"/>
      <family val="2"/>
    </font>
    <font>
      <b/>
      <sz val="14"/>
      <name val="Arial"/>
      <family val="2"/>
    </font>
    <font>
      <b/>
      <i/>
      <sz val="18"/>
      <name val="Arial"/>
      <family val="2"/>
    </font>
    <font>
      <sz val="12"/>
      <color rgb="FFFF0000"/>
      <name val="Tahoma"/>
      <family val="2"/>
    </font>
    <font>
      <sz val="12"/>
      <color theme="1"/>
      <name val="Tahoma"/>
      <family val="2"/>
    </font>
    <font>
      <b/>
      <sz val="11"/>
      <name val="Calibri"/>
      <family val="2"/>
    </font>
    <font>
      <sz val="11"/>
      <name val="Calibri"/>
      <family val="2"/>
    </font>
    <font>
      <sz val="10"/>
      <name val="Arial"/>
      <family val="2"/>
    </font>
    <font>
      <b/>
      <sz val="10"/>
      <color rgb="FFFF0000"/>
      <name val="Tahoma"/>
      <family val="2"/>
    </font>
    <font>
      <b/>
      <sz val="10"/>
      <color rgb="FFFF0000"/>
      <name val="Arial"/>
      <family val="2"/>
    </font>
    <font>
      <sz val="10"/>
      <color rgb="FFFF0000"/>
      <name val="Tahoma"/>
      <family val="2"/>
    </font>
    <font>
      <b/>
      <sz val="10"/>
      <color rgb="FF333333"/>
      <name val="Open Sans"/>
      <family val="2"/>
    </font>
    <font>
      <b/>
      <sz val="12"/>
      <color theme="1"/>
      <name val="Tahoma"/>
      <family val="2"/>
    </font>
    <font>
      <sz val="10"/>
      <color theme="1"/>
      <name val="Tahoma"/>
      <family val="2"/>
    </font>
    <font>
      <sz val="10"/>
      <color theme="1"/>
      <name val="Arial"/>
      <family val="2"/>
    </font>
    <font>
      <sz val="12"/>
      <color rgb="FFC00000"/>
      <name val="Tahoma"/>
      <family val="2"/>
    </font>
    <font>
      <sz val="7"/>
      <name val="Courier New"/>
      <family val="3"/>
    </font>
    <font>
      <sz val="11"/>
      <color rgb="FF000000"/>
      <name val="Calibri"/>
      <family val="2"/>
      <scheme val="minor"/>
    </font>
    <font>
      <b/>
      <sz val="12"/>
      <color rgb="FFC00000"/>
      <name val="Tahoma"/>
      <family val="2"/>
    </font>
    <font>
      <b/>
      <sz val="11"/>
      <name val="Arial"/>
      <family val="2"/>
    </font>
    <font>
      <sz val="10"/>
      <name val="Arial"/>
      <family val="2"/>
    </font>
    <font>
      <sz val="11"/>
      <name val="Calibri"/>
      <family val="2"/>
      <scheme val="minor"/>
    </font>
    <font>
      <sz val="10"/>
      <color rgb="FFFF0000"/>
      <name val="Arial"/>
      <family val="2"/>
    </font>
    <font>
      <b/>
      <sz val="10"/>
      <color theme="1"/>
      <name val="Tahoma"/>
      <family val="2"/>
    </font>
  </fonts>
  <fills count="58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</fills>
  <borders count="87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/>
      <right style="medium">
        <color indexed="64"/>
      </right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thin">
        <color indexed="64"/>
      </left>
      <right/>
      <top/>
      <bottom style="thin">
        <color indexed="8"/>
      </bottom>
      <diagonal/>
    </border>
    <border>
      <left/>
      <right/>
      <top/>
      <bottom style="thin">
        <color indexed="8"/>
      </bottom>
      <diagonal/>
    </border>
    <border>
      <left/>
      <right/>
      <top/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/>
      <top/>
      <bottom/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thin">
        <color indexed="64"/>
      </left>
      <right style="thin">
        <color indexed="8"/>
      </right>
      <top style="thin">
        <color indexed="64"/>
      </top>
      <bottom/>
      <diagonal/>
    </border>
    <border>
      <left style="thin">
        <color indexed="8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8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64"/>
      </left>
      <right style="thin">
        <color indexed="8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 style="medium">
        <color indexed="64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8"/>
      </top>
      <bottom/>
      <diagonal/>
    </border>
    <border>
      <left style="thin">
        <color indexed="64"/>
      </left>
      <right style="thin">
        <color indexed="64"/>
      </right>
      <top style="thin">
        <color indexed="8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6725">
    <xf numFmtId="0" fontId="0" fillId="0" borderId="0"/>
    <xf numFmtId="0" fontId="34" fillId="24" borderId="0" applyNumberFormat="0" applyBorder="0" applyAlignment="0" applyProtection="0"/>
    <xf numFmtId="0" fontId="34" fillId="24" borderId="0" applyNumberFormat="0" applyBorder="0" applyAlignment="0" applyProtection="0"/>
    <xf numFmtId="0" fontId="34" fillId="24" borderId="0" applyNumberFormat="0" applyBorder="0" applyAlignment="0" applyProtection="0"/>
    <xf numFmtId="0" fontId="34" fillId="24" borderId="0" applyNumberFormat="0" applyBorder="0" applyAlignment="0" applyProtection="0"/>
    <xf numFmtId="0" fontId="34" fillId="24" borderId="0" applyNumberFormat="0" applyBorder="0" applyAlignment="0" applyProtection="0"/>
    <xf numFmtId="0" fontId="34" fillId="24" borderId="0" applyNumberFormat="0" applyBorder="0" applyAlignment="0" applyProtection="0"/>
    <xf numFmtId="0" fontId="34" fillId="24" borderId="0" applyNumberFormat="0" applyBorder="0" applyAlignment="0" applyProtection="0"/>
    <xf numFmtId="0" fontId="34" fillId="24" borderId="0" applyNumberFormat="0" applyBorder="0" applyAlignment="0" applyProtection="0"/>
    <xf numFmtId="0" fontId="34" fillId="24" borderId="0" applyNumberFormat="0" applyBorder="0" applyAlignment="0" applyProtection="0"/>
    <xf numFmtId="0" fontId="5" fillId="2" borderId="0" applyNumberFormat="0" applyBorder="0" applyAlignment="0" applyProtection="0"/>
    <xf numFmtId="0" fontId="34" fillId="24" borderId="0" applyNumberFormat="0" applyBorder="0" applyAlignment="0" applyProtection="0"/>
    <xf numFmtId="0" fontId="34" fillId="24" borderId="0" applyNumberFormat="0" applyBorder="0" applyAlignment="0" applyProtection="0"/>
    <xf numFmtId="0" fontId="34" fillId="24" borderId="0" applyNumberFormat="0" applyBorder="0" applyAlignment="0" applyProtection="0"/>
    <xf numFmtId="0" fontId="5" fillId="2" borderId="0" applyNumberFormat="0" applyBorder="0" applyAlignment="0" applyProtection="0"/>
    <xf numFmtId="0" fontId="34" fillId="24" borderId="0" applyNumberFormat="0" applyBorder="0" applyAlignment="0" applyProtection="0"/>
    <xf numFmtId="0" fontId="34" fillId="24" borderId="0" applyNumberFormat="0" applyBorder="0" applyAlignment="0" applyProtection="0"/>
    <xf numFmtId="0" fontId="34" fillId="24" borderId="0" applyNumberFormat="0" applyBorder="0" applyAlignment="0" applyProtection="0"/>
    <xf numFmtId="0" fontId="34" fillId="24" borderId="0" applyNumberFormat="0" applyBorder="0" applyAlignment="0" applyProtection="0"/>
    <xf numFmtId="0" fontId="34" fillId="24" borderId="0" applyNumberFormat="0" applyBorder="0" applyAlignment="0" applyProtection="0"/>
    <xf numFmtId="0" fontId="34" fillId="24" borderId="0" applyNumberFormat="0" applyBorder="0" applyAlignment="0" applyProtection="0"/>
    <xf numFmtId="0" fontId="34" fillId="24" borderId="0" applyNumberFormat="0" applyBorder="0" applyAlignment="0" applyProtection="0"/>
    <xf numFmtId="0" fontId="34" fillId="24" borderId="0" applyNumberFormat="0" applyBorder="0" applyAlignment="0" applyProtection="0"/>
    <xf numFmtId="0" fontId="34" fillId="24" borderId="0" applyNumberFormat="0" applyBorder="0" applyAlignment="0" applyProtection="0"/>
    <xf numFmtId="0" fontId="34" fillId="24" borderId="0" applyNumberFormat="0" applyBorder="0" applyAlignment="0" applyProtection="0"/>
    <xf numFmtId="0" fontId="34" fillId="24" borderId="0" applyNumberFormat="0" applyBorder="0" applyAlignment="0" applyProtection="0"/>
    <xf numFmtId="0" fontId="34" fillId="24" borderId="0" applyNumberFormat="0" applyBorder="0" applyAlignment="0" applyProtection="0"/>
    <xf numFmtId="0" fontId="34" fillId="25" borderId="0" applyNumberFormat="0" applyBorder="0" applyAlignment="0" applyProtection="0"/>
    <xf numFmtId="0" fontId="34" fillId="25" borderId="0" applyNumberFormat="0" applyBorder="0" applyAlignment="0" applyProtection="0"/>
    <xf numFmtId="0" fontId="34" fillId="25" borderId="0" applyNumberFormat="0" applyBorder="0" applyAlignment="0" applyProtection="0"/>
    <xf numFmtId="0" fontId="34" fillId="25" borderId="0" applyNumberFormat="0" applyBorder="0" applyAlignment="0" applyProtection="0"/>
    <xf numFmtId="0" fontId="34" fillId="25" borderId="0" applyNumberFormat="0" applyBorder="0" applyAlignment="0" applyProtection="0"/>
    <xf numFmtId="0" fontId="34" fillId="25" borderId="0" applyNumberFormat="0" applyBorder="0" applyAlignment="0" applyProtection="0"/>
    <xf numFmtId="0" fontId="34" fillId="25" borderId="0" applyNumberFormat="0" applyBorder="0" applyAlignment="0" applyProtection="0"/>
    <xf numFmtId="0" fontId="34" fillId="25" borderId="0" applyNumberFormat="0" applyBorder="0" applyAlignment="0" applyProtection="0"/>
    <xf numFmtId="0" fontId="34" fillId="25" borderId="0" applyNumberFormat="0" applyBorder="0" applyAlignment="0" applyProtection="0"/>
    <xf numFmtId="0" fontId="5" fillId="3" borderId="0" applyNumberFormat="0" applyBorder="0" applyAlignment="0" applyProtection="0"/>
    <xf numFmtId="0" fontId="34" fillId="25" borderId="0" applyNumberFormat="0" applyBorder="0" applyAlignment="0" applyProtection="0"/>
    <xf numFmtId="0" fontId="34" fillId="25" borderId="0" applyNumberFormat="0" applyBorder="0" applyAlignment="0" applyProtection="0"/>
    <xf numFmtId="0" fontId="34" fillId="25" borderId="0" applyNumberFormat="0" applyBorder="0" applyAlignment="0" applyProtection="0"/>
    <xf numFmtId="0" fontId="5" fillId="3" borderId="0" applyNumberFormat="0" applyBorder="0" applyAlignment="0" applyProtection="0"/>
    <xf numFmtId="0" fontId="34" fillId="25" borderId="0" applyNumberFormat="0" applyBorder="0" applyAlignment="0" applyProtection="0"/>
    <xf numFmtId="0" fontId="34" fillId="25" borderId="0" applyNumberFormat="0" applyBorder="0" applyAlignment="0" applyProtection="0"/>
    <xf numFmtId="0" fontId="34" fillId="25" borderId="0" applyNumberFormat="0" applyBorder="0" applyAlignment="0" applyProtection="0"/>
    <xf numFmtId="0" fontId="34" fillId="25" borderId="0" applyNumberFormat="0" applyBorder="0" applyAlignment="0" applyProtection="0"/>
    <xf numFmtId="0" fontId="34" fillId="25" borderId="0" applyNumberFormat="0" applyBorder="0" applyAlignment="0" applyProtection="0"/>
    <xf numFmtId="0" fontId="34" fillId="25" borderId="0" applyNumberFormat="0" applyBorder="0" applyAlignment="0" applyProtection="0"/>
    <xf numFmtId="0" fontId="34" fillId="25" borderId="0" applyNumberFormat="0" applyBorder="0" applyAlignment="0" applyProtection="0"/>
    <xf numFmtId="0" fontId="34" fillId="25" borderId="0" applyNumberFormat="0" applyBorder="0" applyAlignment="0" applyProtection="0"/>
    <xf numFmtId="0" fontId="34" fillId="25" borderId="0" applyNumberFormat="0" applyBorder="0" applyAlignment="0" applyProtection="0"/>
    <xf numFmtId="0" fontId="34" fillId="25" borderId="0" applyNumberFormat="0" applyBorder="0" applyAlignment="0" applyProtection="0"/>
    <xf numFmtId="0" fontId="34" fillId="25" borderId="0" applyNumberFormat="0" applyBorder="0" applyAlignment="0" applyProtection="0"/>
    <xf numFmtId="0" fontId="34" fillId="25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5" fillId="4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5" fillId="4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7" borderId="0" applyNumberFormat="0" applyBorder="0" applyAlignment="0" applyProtection="0"/>
    <xf numFmtId="0" fontId="34" fillId="27" borderId="0" applyNumberFormat="0" applyBorder="0" applyAlignment="0" applyProtection="0"/>
    <xf numFmtId="0" fontId="34" fillId="27" borderId="0" applyNumberFormat="0" applyBorder="0" applyAlignment="0" applyProtection="0"/>
    <xf numFmtId="0" fontId="34" fillId="27" borderId="0" applyNumberFormat="0" applyBorder="0" applyAlignment="0" applyProtection="0"/>
    <xf numFmtId="0" fontId="34" fillId="27" borderId="0" applyNumberFormat="0" applyBorder="0" applyAlignment="0" applyProtection="0"/>
    <xf numFmtId="0" fontId="34" fillId="27" borderId="0" applyNumberFormat="0" applyBorder="0" applyAlignment="0" applyProtection="0"/>
    <xf numFmtId="0" fontId="34" fillId="27" borderId="0" applyNumberFormat="0" applyBorder="0" applyAlignment="0" applyProtection="0"/>
    <xf numFmtId="0" fontId="34" fillId="27" borderId="0" applyNumberFormat="0" applyBorder="0" applyAlignment="0" applyProtection="0"/>
    <xf numFmtId="0" fontId="34" fillId="27" borderId="0" applyNumberFormat="0" applyBorder="0" applyAlignment="0" applyProtection="0"/>
    <xf numFmtId="0" fontId="5" fillId="5" borderId="0" applyNumberFormat="0" applyBorder="0" applyAlignment="0" applyProtection="0"/>
    <xf numFmtId="0" fontId="34" fillId="27" borderId="0" applyNumberFormat="0" applyBorder="0" applyAlignment="0" applyProtection="0"/>
    <xf numFmtId="0" fontId="34" fillId="27" borderId="0" applyNumberFormat="0" applyBorder="0" applyAlignment="0" applyProtection="0"/>
    <xf numFmtId="0" fontId="34" fillId="27" borderId="0" applyNumberFormat="0" applyBorder="0" applyAlignment="0" applyProtection="0"/>
    <xf numFmtId="0" fontId="5" fillId="5" borderId="0" applyNumberFormat="0" applyBorder="0" applyAlignment="0" applyProtection="0"/>
    <xf numFmtId="0" fontId="34" fillId="27" borderId="0" applyNumberFormat="0" applyBorder="0" applyAlignment="0" applyProtection="0"/>
    <xf numFmtId="0" fontId="34" fillId="27" borderId="0" applyNumberFormat="0" applyBorder="0" applyAlignment="0" applyProtection="0"/>
    <xf numFmtId="0" fontId="34" fillId="27" borderId="0" applyNumberFormat="0" applyBorder="0" applyAlignment="0" applyProtection="0"/>
    <xf numFmtId="0" fontId="34" fillId="27" borderId="0" applyNumberFormat="0" applyBorder="0" applyAlignment="0" applyProtection="0"/>
    <xf numFmtId="0" fontId="34" fillId="27" borderId="0" applyNumberFormat="0" applyBorder="0" applyAlignment="0" applyProtection="0"/>
    <xf numFmtId="0" fontId="34" fillId="27" borderId="0" applyNumberFormat="0" applyBorder="0" applyAlignment="0" applyProtection="0"/>
    <xf numFmtId="0" fontId="34" fillId="27" borderId="0" applyNumberFormat="0" applyBorder="0" applyAlignment="0" applyProtection="0"/>
    <xf numFmtId="0" fontId="34" fillId="27" borderId="0" applyNumberFormat="0" applyBorder="0" applyAlignment="0" applyProtection="0"/>
    <xf numFmtId="0" fontId="34" fillId="27" borderId="0" applyNumberFormat="0" applyBorder="0" applyAlignment="0" applyProtection="0"/>
    <xf numFmtId="0" fontId="34" fillId="27" borderId="0" applyNumberFormat="0" applyBorder="0" applyAlignment="0" applyProtection="0"/>
    <xf numFmtId="0" fontId="34" fillId="27" borderId="0" applyNumberFormat="0" applyBorder="0" applyAlignment="0" applyProtection="0"/>
    <xf numFmtId="0" fontId="34" fillId="27" borderId="0" applyNumberFormat="0" applyBorder="0" applyAlignment="0" applyProtection="0"/>
    <xf numFmtId="0" fontId="34" fillId="28" borderId="0" applyNumberFormat="0" applyBorder="0" applyAlignment="0" applyProtection="0"/>
    <xf numFmtId="0" fontId="34" fillId="28" borderId="0" applyNumberFormat="0" applyBorder="0" applyAlignment="0" applyProtection="0"/>
    <xf numFmtId="0" fontId="34" fillId="28" borderId="0" applyNumberFormat="0" applyBorder="0" applyAlignment="0" applyProtection="0"/>
    <xf numFmtId="0" fontId="34" fillId="28" borderId="0" applyNumberFormat="0" applyBorder="0" applyAlignment="0" applyProtection="0"/>
    <xf numFmtId="0" fontId="34" fillId="28" borderId="0" applyNumberFormat="0" applyBorder="0" applyAlignment="0" applyProtection="0"/>
    <xf numFmtId="0" fontId="34" fillId="28" borderId="0" applyNumberFormat="0" applyBorder="0" applyAlignment="0" applyProtection="0"/>
    <xf numFmtId="0" fontId="34" fillId="28" borderId="0" applyNumberFormat="0" applyBorder="0" applyAlignment="0" applyProtection="0"/>
    <xf numFmtId="0" fontId="34" fillId="28" borderId="0" applyNumberFormat="0" applyBorder="0" applyAlignment="0" applyProtection="0"/>
    <xf numFmtId="0" fontId="34" fillId="28" borderId="0" applyNumberFormat="0" applyBorder="0" applyAlignment="0" applyProtection="0"/>
    <xf numFmtId="0" fontId="5" fillId="6" borderId="0" applyNumberFormat="0" applyBorder="0" applyAlignment="0" applyProtection="0"/>
    <xf numFmtId="0" fontId="34" fillId="28" borderId="0" applyNumberFormat="0" applyBorder="0" applyAlignment="0" applyProtection="0"/>
    <xf numFmtId="0" fontId="34" fillId="28" borderId="0" applyNumberFormat="0" applyBorder="0" applyAlignment="0" applyProtection="0"/>
    <xf numFmtId="0" fontId="34" fillId="28" borderId="0" applyNumberFormat="0" applyBorder="0" applyAlignment="0" applyProtection="0"/>
    <xf numFmtId="0" fontId="5" fillId="6" borderId="0" applyNumberFormat="0" applyBorder="0" applyAlignment="0" applyProtection="0"/>
    <xf numFmtId="0" fontId="34" fillId="28" borderId="0" applyNumberFormat="0" applyBorder="0" applyAlignment="0" applyProtection="0"/>
    <xf numFmtId="0" fontId="34" fillId="28" borderId="0" applyNumberFormat="0" applyBorder="0" applyAlignment="0" applyProtection="0"/>
    <xf numFmtId="0" fontId="34" fillId="28" borderId="0" applyNumberFormat="0" applyBorder="0" applyAlignment="0" applyProtection="0"/>
    <xf numFmtId="0" fontId="34" fillId="28" borderId="0" applyNumberFormat="0" applyBorder="0" applyAlignment="0" applyProtection="0"/>
    <xf numFmtId="0" fontId="34" fillId="28" borderId="0" applyNumberFormat="0" applyBorder="0" applyAlignment="0" applyProtection="0"/>
    <xf numFmtId="0" fontId="34" fillId="28" borderId="0" applyNumberFormat="0" applyBorder="0" applyAlignment="0" applyProtection="0"/>
    <xf numFmtId="0" fontId="34" fillId="28" borderId="0" applyNumberFormat="0" applyBorder="0" applyAlignment="0" applyProtection="0"/>
    <xf numFmtId="0" fontId="34" fillId="28" borderId="0" applyNumberFormat="0" applyBorder="0" applyAlignment="0" applyProtection="0"/>
    <xf numFmtId="0" fontId="34" fillId="28" borderId="0" applyNumberFormat="0" applyBorder="0" applyAlignment="0" applyProtection="0"/>
    <xf numFmtId="0" fontId="34" fillId="28" borderId="0" applyNumberFormat="0" applyBorder="0" applyAlignment="0" applyProtection="0"/>
    <xf numFmtId="0" fontId="34" fillId="28" borderId="0" applyNumberFormat="0" applyBorder="0" applyAlignment="0" applyProtection="0"/>
    <xf numFmtId="0" fontId="34" fillId="28" borderId="0" applyNumberFormat="0" applyBorder="0" applyAlignment="0" applyProtection="0"/>
    <xf numFmtId="0" fontId="34" fillId="29" borderId="0" applyNumberFormat="0" applyBorder="0" applyAlignment="0" applyProtection="0"/>
    <xf numFmtId="0" fontId="34" fillId="29" borderId="0" applyNumberFormat="0" applyBorder="0" applyAlignment="0" applyProtection="0"/>
    <xf numFmtId="0" fontId="34" fillId="29" borderId="0" applyNumberFormat="0" applyBorder="0" applyAlignment="0" applyProtection="0"/>
    <xf numFmtId="0" fontId="34" fillId="29" borderId="0" applyNumberFormat="0" applyBorder="0" applyAlignment="0" applyProtection="0"/>
    <xf numFmtId="0" fontId="34" fillId="29" borderId="0" applyNumberFormat="0" applyBorder="0" applyAlignment="0" applyProtection="0"/>
    <xf numFmtId="0" fontId="34" fillId="29" borderId="0" applyNumberFormat="0" applyBorder="0" applyAlignment="0" applyProtection="0"/>
    <xf numFmtId="0" fontId="34" fillId="29" borderId="0" applyNumberFormat="0" applyBorder="0" applyAlignment="0" applyProtection="0"/>
    <xf numFmtId="0" fontId="34" fillId="29" borderId="0" applyNumberFormat="0" applyBorder="0" applyAlignment="0" applyProtection="0"/>
    <xf numFmtId="0" fontId="34" fillId="29" borderId="0" applyNumberFormat="0" applyBorder="0" applyAlignment="0" applyProtection="0"/>
    <xf numFmtId="0" fontId="5" fillId="7" borderId="0" applyNumberFormat="0" applyBorder="0" applyAlignment="0" applyProtection="0"/>
    <xf numFmtId="0" fontId="34" fillId="29" borderId="0" applyNumberFormat="0" applyBorder="0" applyAlignment="0" applyProtection="0"/>
    <xf numFmtId="0" fontId="34" fillId="29" borderId="0" applyNumberFormat="0" applyBorder="0" applyAlignment="0" applyProtection="0"/>
    <xf numFmtId="0" fontId="34" fillId="29" borderId="0" applyNumberFormat="0" applyBorder="0" applyAlignment="0" applyProtection="0"/>
    <xf numFmtId="0" fontId="5" fillId="7" borderId="0" applyNumberFormat="0" applyBorder="0" applyAlignment="0" applyProtection="0"/>
    <xf numFmtId="0" fontId="34" fillId="29" borderId="0" applyNumberFormat="0" applyBorder="0" applyAlignment="0" applyProtection="0"/>
    <xf numFmtId="0" fontId="34" fillId="29" borderId="0" applyNumberFormat="0" applyBorder="0" applyAlignment="0" applyProtection="0"/>
    <xf numFmtId="0" fontId="34" fillId="29" borderId="0" applyNumberFormat="0" applyBorder="0" applyAlignment="0" applyProtection="0"/>
    <xf numFmtId="0" fontId="34" fillId="29" borderId="0" applyNumberFormat="0" applyBorder="0" applyAlignment="0" applyProtection="0"/>
    <xf numFmtId="0" fontId="34" fillId="29" borderId="0" applyNumberFormat="0" applyBorder="0" applyAlignment="0" applyProtection="0"/>
    <xf numFmtId="0" fontId="34" fillId="29" borderId="0" applyNumberFormat="0" applyBorder="0" applyAlignment="0" applyProtection="0"/>
    <xf numFmtId="0" fontId="34" fillId="29" borderId="0" applyNumberFormat="0" applyBorder="0" applyAlignment="0" applyProtection="0"/>
    <xf numFmtId="0" fontId="34" fillId="29" borderId="0" applyNumberFormat="0" applyBorder="0" applyAlignment="0" applyProtection="0"/>
    <xf numFmtId="0" fontId="34" fillId="29" borderId="0" applyNumberFormat="0" applyBorder="0" applyAlignment="0" applyProtection="0"/>
    <xf numFmtId="0" fontId="34" fillId="29" borderId="0" applyNumberFormat="0" applyBorder="0" applyAlignment="0" applyProtection="0"/>
    <xf numFmtId="0" fontId="34" fillId="29" borderId="0" applyNumberFormat="0" applyBorder="0" applyAlignment="0" applyProtection="0"/>
    <xf numFmtId="0" fontId="34" fillId="29" borderId="0" applyNumberFormat="0" applyBorder="0" applyAlignment="0" applyProtection="0"/>
    <xf numFmtId="0" fontId="34" fillId="30" borderId="0" applyNumberFormat="0" applyBorder="0" applyAlignment="0" applyProtection="0"/>
    <xf numFmtId="0" fontId="34" fillId="30" borderId="0" applyNumberFormat="0" applyBorder="0" applyAlignment="0" applyProtection="0"/>
    <xf numFmtId="0" fontId="34" fillId="30" borderId="0" applyNumberFormat="0" applyBorder="0" applyAlignment="0" applyProtection="0"/>
    <xf numFmtId="0" fontId="34" fillId="30" borderId="0" applyNumberFormat="0" applyBorder="0" applyAlignment="0" applyProtection="0"/>
    <xf numFmtId="0" fontId="34" fillId="30" borderId="0" applyNumberFormat="0" applyBorder="0" applyAlignment="0" applyProtection="0"/>
    <xf numFmtId="0" fontId="34" fillId="30" borderId="0" applyNumberFormat="0" applyBorder="0" applyAlignment="0" applyProtection="0"/>
    <xf numFmtId="0" fontId="34" fillId="30" borderId="0" applyNumberFormat="0" applyBorder="0" applyAlignment="0" applyProtection="0"/>
    <xf numFmtId="0" fontId="34" fillId="30" borderId="0" applyNumberFormat="0" applyBorder="0" applyAlignment="0" applyProtection="0"/>
    <xf numFmtId="0" fontId="34" fillId="30" borderId="0" applyNumberFormat="0" applyBorder="0" applyAlignment="0" applyProtection="0"/>
    <xf numFmtId="0" fontId="5" fillId="8" borderId="0" applyNumberFormat="0" applyBorder="0" applyAlignment="0" applyProtection="0"/>
    <xf numFmtId="0" fontId="34" fillId="30" borderId="0" applyNumberFormat="0" applyBorder="0" applyAlignment="0" applyProtection="0"/>
    <xf numFmtId="0" fontId="34" fillId="30" borderId="0" applyNumberFormat="0" applyBorder="0" applyAlignment="0" applyProtection="0"/>
    <xf numFmtId="0" fontId="34" fillId="30" borderId="0" applyNumberFormat="0" applyBorder="0" applyAlignment="0" applyProtection="0"/>
    <xf numFmtId="0" fontId="5" fillId="8" borderId="0" applyNumberFormat="0" applyBorder="0" applyAlignment="0" applyProtection="0"/>
    <xf numFmtId="0" fontId="34" fillId="30" borderId="0" applyNumberFormat="0" applyBorder="0" applyAlignment="0" applyProtection="0"/>
    <xf numFmtId="0" fontId="34" fillId="30" borderId="0" applyNumberFormat="0" applyBorder="0" applyAlignment="0" applyProtection="0"/>
    <xf numFmtId="0" fontId="34" fillId="30" borderId="0" applyNumberFormat="0" applyBorder="0" applyAlignment="0" applyProtection="0"/>
    <xf numFmtId="0" fontId="34" fillId="30" borderId="0" applyNumberFormat="0" applyBorder="0" applyAlignment="0" applyProtection="0"/>
    <xf numFmtId="0" fontId="34" fillId="30" borderId="0" applyNumberFormat="0" applyBorder="0" applyAlignment="0" applyProtection="0"/>
    <xf numFmtId="0" fontId="34" fillId="30" borderId="0" applyNumberFormat="0" applyBorder="0" applyAlignment="0" applyProtection="0"/>
    <xf numFmtId="0" fontId="34" fillId="30" borderId="0" applyNumberFormat="0" applyBorder="0" applyAlignment="0" applyProtection="0"/>
    <xf numFmtId="0" fontId="34" fillId="30" borderId="0" applyNumberFormat="0" applyBorder="0" applyAlignment="0" applyProtection="0"/>
    <xf numFmtId="0" fontId="34" fillId="30" borderId="0" applyNumberFormat="0" applyBorder="0" applyAlignment="0" applyProtection="0"/>
    <xf numFmtId="0" fontId="34" fillId="30" borderId="0" applyNumberFormat="0" applyBorder="0" applyAlignment="0" applyProtection="0"/>
    <xf numFmtId="0" fontId="34" fillId="30" borderId="0" applyNumberFormat="0" applyBorder="0" applyAlignment="0" applyProtection="0"/>
    <xf numFmtId="0" fontId="34" fillId="30" borderId="0" applyNumberFormat="0" applyBorder="0" applyAlignment="0" applyProtection="0"/>
    <xf numFmtId="0" fontId="34" fillId="31" borderId="0" applyNumberFormat="0" applyBorder="0" applyAlignment="0" applyProtection="0"/>
    <xf numFmtId="0" fontId="34" fillId="31" borderId="0" applyNumberFormat="0" applyBorder="0" applyAlignment="0" applyProtection="0"/>
    <xf numFmtId="0" fontId="34" fillId="31" borderId="0" applyNumberFormat="0" applyBorder="0" applyAlignment="0" applyProtection="0"/>
    <xf numFmtId="0" fontId="34" fillId="31" borderId="0" applyNumberFormat="0" applyBorder="0" applyAlignment="0" applyProtection="0"/>
    <xf numFmtId="0" fontId="34" fillId="31" borderId="0" applyNumberFormat="0" applyBorder="0" applyAlignment="0" applyProtection="0"/>
    <xf numFmtId="0" fontId="34" fillId="31" borderId="0" applyNumberFormat="0" applyBorder="0" applyAlignment="0" applyProtection="0"/>
    <xf numFmtId="0" fontId="34" fillId="31" borderId="0" applyNumberFormat="0" applyBorder="0" applyAlignment="0" applyProtection="0"/>
    <xf numFmtId="0" fontId="34" fillId="31" borderId="0" applyNumberFormat="0" applyBorder="0" applyAlignment="0" applyProtection="0"/>
    <xf numFmtId="0" fontId="34" fillId="31" borderId="0" applyNumberFormat="0" applyBorder="0" applyAlignment="0" applyProtection="0"/>
    <xf numFmtId="0" fontId="5" fillId="9" borderId="0" applyNumberFormat="0" applyBorder="0" applyAlignment="0" applyProtection="0"/>
    <xf numFmtId="0" fontId="34" fillId="31" borderId="0" applyNumberFormat="0" applyBorder="0" applyAlignment="0" applyProtection="0"/>
    <xf numFmtId="0" fontId="34" fillId="31" borderId="0" applyNumberFormat="0" applyBorder="0" applyAlignment="0" applyProtection="0"/>
    <xf numFmtId="0" fontId="34" fillId="31" borderId="0" applyNumberFormat="0" applyBorder="0" applyAlignment="0" applyProtection="0"/>
    <xf numFmtId="0" fontId="5" fillId="9" borderId="0" applyNumberFormat="0" applyBorder="0" applyAlignment="0" applyProtection="0"/>
    <xf numFmtId="0" fontId="34" fillId="31" borderId="0" applyNumberFormat="0" applyBorder="0" applyAlignment="0" applyProtection="0"/>
    <xf numFmtId="0" fontId="34" fillId="31" borderId="0" applyNumberFormat="0" applyBorder="0" applyAlignment="0" applyProtection="0"/>
    <xf numFmtId="0" fontId="34" fillId="31" borderId="0" applyNumberFormat="0" applyBorder="0" applyAlignment="0" applyProtection="0"/>
    <xf numFmtId="0" fontId="34" fillId="31" borderId="0" applyNumberFormat="0" applyBorder="0" applyAlignment="0" applyProtection="0"/>
    <xf numFmtId="0" fontId="34" fillId="31" borderId="0" applyNumberFormat="0" applyBorder="0" applyAlignment="0" applyProtection="0"/>
    <xf numFmtId="0" fontId="34" fillId="31" borderId="0" applyNumberFormat="0" applyBorder="0" applyAlignment="0" applyProtection="0"/>
    <xf numFmtId="0" fontId="34" fillId="31" borderId="0" applyNumberFormat="0" applyBorder="0" applyAlignment="0" applyProtection="0"/>
    <xf numFmtId="0" fontId="34" fillId="31" borderId="0" applyNumberFormat="0" applyBorder="0" applyAlignment="0" applyProtection="0"/>
    <xf numFmtId="0" fontId="34" fillId="31" borderId="0" applyNumberFormat="0" applyBorder="0" applyAlignment="0" applyProtection="0"/>
    <xf numFmtId="0" fontId="34" fillId="31" borderId="0" applyNumberFormat="0" applyBorder="0" applyAlignment="0" applyProtection="0"/>
    <xf numFmtId="0" fontId="34" fillId="31" borderId="0" applyNumberFormat="0" applyBorder="0" applyAlignment="0" applyProtection="0"/>
    <xf numFmtId="0" fontId="34" fillId="31" borderId="0" applyNumberFormat="0" applyBorder="0" applyAlignment="0" applyProtection="0"/>
    <xf numFmtId="0" fontId="34" fillId="32" borderId="0" applyNumberFormat="0" applyBorder="0" applyAlignment="0" applyProtection="0"/>
    <xf numFmtId="0" fontId="34" fillId="32" borderId="0" applyNumberFormat="0" applyBorder="0" applyAlignment="0" applyProtection="0"/>
    <xf numFmtId="0" fontId="34" fillId="32" borderId="0" applyNumberFormat="0" applyBorder="0" applyAlignment="0" applyProtection="0"/>
    <xf numFmtId="0" fontId="34" fillId="32" borderId="0" applyNumberFormat="0" applyBorder="0" applyAlignment="0" applyProtection="0"/>
    <xf numFmtId="0" fontId="34" fillId="32" borderId="0" applyNumberFormat="0" applyBorder="0" applyAlignment="0" applyProtection="0"/>
    <xf numFmtId="0" fontId="34" fillId="32" borderId="0" applyNumberFormat="0" applyBorder="0" applyAlignment="0" applyProtection="0"/>
    <xf numFmtId="0" fontId="34" fillId="32" borderId="0" applyNumberFormat="0" applyBorder="0" applyAlignment="0" applyProtection="0"/>
    <xf numFmtId="0" fontId="34" fillId="32" borderId="0" applyNumberFormat="0" applyBorder="0" applyAlignment="0" applyProtection="0"/>
    <xf numFmtId="0" fontId="34" fillId="32" borderId="0" applyNumberFormat="0" applyBorder="0" applyAlignment="0" applyProtection="0"/>
    <xf numFmtId="0" fontId="5" fillId="10" borderId="0" applyNumberFormat="0" applyBorder="0" applyAlignment="0" applyProtection="0"/>
    <xf numFmtId="0" fontId="34" fillId="32" borderId="0" applyNumberFormat="0" applyBorder="0" applyAlignment="0" applyProtection="0"/>
    <xf numFmtId="0" fontId="34" fillId="32" borderId="0" applyNumberFormat="0" applyBorder="0" applyAlignment="0" applyProtection="0"/>
    <xf numFmtId="0" fontId="34" fillId="32" borderId="0" applyNumberFormat="0" applyBorder="0" applyAlignment="0" applyProtection="0"/>
    <xf numFmtId="0" fontId="5" fillId="10" borderId="0" applyNumberFormat="0" applyBorder="0" applyAlignment="0" applyProtection="0"/>
    <xf numFmtId="0" fontId="34" fillId="32" borderId="0" applyNumberFormat="0" applyBorder="0" applyAlignment="0" applyProtection="0"/>
    <xf numFmtId="0" fontId="34" fillId="32" borderId="0" applyNumberFormat="0" applyBorder="0" applyAlignment="0" applyProtection="0"/>
    <xf numFmtId="0" fontId="34" fillId="32" borderId="0" applyNumberFormat="0" applyBorder="0" applyAlignment="0" applyProtection="0"/>
    <xf numFmtId="0" fontId="34" fillId="32" borderId="0" applyNumberFormat="0" applyBorder="0" applyAlignment="0" applyProtection="0"/>
    <xf numFmtId="0" fontId="34" fillId="32" borderId="0" applyNumberFormat="0" applyBorder="0" applyAlignment="0" applyProtection="0"/>
    <xf numFmtId="0" fontId="34" fillId="32" borderId="0" applyNumberFormat="0" applyBorder="0" applyAlignment="0" applyProtection="0"/>
    <xf numFmtId="0" fontId="34" fillId="32" borderId="0" applyNumberFormat="0" applyBorder="0" applyAlignment="0" applyProtection="0"/>
    <xf numFmtId="0" fontId="34" fillId="32" borderId="0" applyNumberFormat="0" applyBorder="0" applyAlignment="0" applyProtection="0"/>
    <xf numFmtId="0" fontId="34" fillId="32" borderId="0" applyNumberFormat="0" applyBorder="0" applyAlignment="0" applyProtection="0"/>
    <xf numFmtId="0" fontId="34" fillId="32" borderId="0" applyNumberFormat="0" applyBorder="0" applyAlignment="0" applyProtection="0"/>
    <xf numFmtId="0" fontId="34" fillId="32" borderId="0" applyNumberFormat="0" applyBorder="0" applyAlignment="0" applyProtection="0"/>
    <xf numFmtId="0" fontId="34" fillId="32" borderId="0" applyNumberFormat="0" applyBorder="0" applyAlignment="0" applyProtection="0"/>
    <xf numFmtId="0" fontId="34" fillId="33" borderId="0" applyNumberFormat="0" applyBorder="0" applyAlignment="0" applyProtection="0"/>
    <xf numFmtId="0" fontId="34" fillId="33" borderId="0" applyNumberFormat="0" applyBorder="0" applyAlignment="0" applyProtection="0"/>
    <xf numFmtId="0" fontId="34" fillId="33" borderId="0" applyNumberFormat="0" applyBorder="0" applyAlignment="0" applyProtection="0"/>
    <xf numFmtId="0" fontId="34" fillId="33" borderId="0" applyNumberFormat="0" applyBorder="0" applyAlignment="0" applyProtection="0"/>
    <xf numFmtId="0" fontId="34" fillId="33" borderId="0" applyNumberFormat="0" applyBorder="0" applyAlignment="0" applyProtection="0"/>
    <xf numFmtId="0" fontId="34" fillId="33" borderId="0" applyNumberFormat="0" applyBorder="0" applyAlignment="0" applyProtection="0"/>
    <xf numFmtId="0" fontId="34" fillId="33" borderId="0" applyNumberFormat="0" applyBorder="0" applyAlignment="0" applyProtection="0"/>
    <xf numFmtId="0" fontId="34" fillId="33" borderId="0" applyNumberFormat="0" applyBorder="0" applyAlignment="0" applyProtection="0"/>
    <xf numFmtId="0" fontId="34" fillId="33" borderId="0" applyNumberFormat="0" applyBorder="0" applyAlignment="0" applyProtection="0"/>
    <xf numFmtId="0" fontId="5" fillId="5" borderId="0" applyNumberFormat="0" applyBorder="0" applyAlignment="0" applyProtection="0"/>
    <xf numFmtId="0" fontId="34" fillId="33" borderId="0" applyNumberFormat="0" applyBorder="0" applyAlignment="0" applyProtection="0"/>
    <xf numFmtId="0" fontId="34" fillId="33" borderId="0" applyNumberFormat="0" applyBorder="0" applyAlignment="0" applyProtection="0"/>
    <xf numFmtId="0" fontId="34" fillId="33" borderId="0" applyNumberFormat="0" applyBorder="0" applyAlignment="0" applyProtection="0"/>
    <xf numFmtId="0" fontId="5" fillId="5" borderId="0" applyNumberFormat="0" applyBorder="0" applyAlignment="0" applyProtection="0"/>
    <xf numFmtId="0" fontId="34" fillId="33" borderId="0" applyNumberFormat="0" applyBorder="0" applyAlignment="0" applyProtection="0"/>
    <xf numFmtId="0" fontId="34" fillId="33" borderId="0" applyNumberFormat="0" applyBorder="0" applyAlignment="0" applyProtection="0"/>
    <xf numFmtId="0" fontId="34" fillId="33" borderId="0" applyNumberFormat="0" applyBorder="0" applyAlignment="0" applyProtection="0"/>
    <xf numFmtId="0" fontId="34" fillId="33" borderId="0" applyNumberFormat="0" applyBorder="0" applyAlignment="0" applyProtection="0"/>
    <xf numFmtId="0" fontId="34" fillId="33" borderId="0" applyNumberFormat="0" applyBorder="0" applyAlignment="0" applyProtection="0"/>
    <xf numFmtId="0" fontId="34" fillId="33" borderId="0" applyNumberFormat="0" applyBorder="0" applyAlignment="0" applyProtection="0"/>
    <xf numFmtId="0" fontId="34" fillId="33" borderId="0" applyNumberFormat="0" applyBorder="0" applyAlignment="0" applyProtection="0"/>
    <xf numFmtId="0" fontId="34" fillId="33" borderId="0" applyNumberFormat="0" applyBorder="0" applyAlignment="0" applyProtection="0"/>
    <xf numFmtId="0" fontId="34" fillId="33" borderId="0" applyNumberFormat="0" applyBorder="0" applyAlignment="0" applyProtection="0"/>
    <xf numFmtId="0" fontId="34" fillId="33" borderId="0" applyNumberFormat="0" applyBorder="0" applyAlignment="0" applyProtection="0"/>
    <xf numFmtId="0" fontId="34" fillId="33" borderId="0" applyNumberFormat="0" applyBorder="0" applyAlignment="0" applyProtection="0"/>
    <xf numFmtId="0" fontId="34" fillId="33" borderId="0" applyNumberFormat="0" applyBorder="0" applyAlignment="0" applyProtection="0"/>
    <xf numFmtId="0" fontId="34" fillId="34" borderId="0" applyNumberFormat="0" applyBorder="0" applyAlignment="0" applyProtection="0"/>
    <xf numFmtId="0" fontId="34" fillId="34" borderId="0" applyNumberFormat="0" applyBorder="0" applyAlignment="0" applyProtection="0"/>
    <xf numFmtId="0" fontId="34" fillId="34" borderId="0" applyNumberFormat="0" applyBorder="0" applyAlignment="0" applyProtection="0"/>
    <xf numFmtId="0" fontId="34" fillId="34" borderId="0" applyNumberFormat="0" applyBorder="0" applyAlignment="0" applyProtection="0"/>
    <xf numFmtId="0" fontId="34" fillId="34" borderId="0" applyNumberFormat="0" applyBorder="0" applyAlignment="0" applyProtection="0"/>
    <xf numFmtId="0" fontId="34" fillId="34" borderId="0" applyNumberFormat="0" applyBorder="0" applyAlignment="0" applyProtection="0"/>
    <xf numFmtId="0" fontId="34" fillId="34" borderId="0" applyNumberFormat="0" applyBorder="0" applyAlignment="0" applyProtection="0"/>
    <xf numFmtId="0" fontId="34" fillId="34" borderId="0" applyNumberFormat="0" applyBorder="0" applyAlignment="0" applyProtection="0"/>
    <xf numFmtId="0" fontId="34" fillId="34" borderId="0" applyNumberFormat="0" applyBorder="0" applyAlignment="0" applyProtection="0"/>
    <xf numFmtId="0" fontId="5" fillId="8" borderId="0" applyNumberFormat="0" applyBorder="0" applyAlignment="0" applyProtection="0"/>
    <xf numFmtId="0" fontId="34" fillId="34" borderId="0" applyNumberFormat="0" applyBorder="0" applyAlignment="0" applyProtection="0"/>
    <xf numFmtId="0" fontId="34" fillId="34" borderId="0" applyNumberFormat="0" applyBorder="0" applyAlignment="0" applyProtection="0"/>
    <xf numFmtId="0" fontId="34" fillId="34" borderId="0" applyNumberFormat="0" applyBorder="0" applyAlignment="0" applyProtection="0"/>
    <xf numFmtId="0" fontId="5" fillId="8" borderId="0" applyNumberFormat="0" applyBorder="0" applyAlignment="0" applyProtection="0"/>
    <xf numFmtId="0" fontId="34" fillId="34" borderId="0" applyNumberFormat="0" applyBorder="0" applyAlignment="0" applyProtection="0"/>
    <xf numFmtId="0" fontId="34" fillId="34" borderId="0" applyNumberFormat="0" applyBorder="0" applyAlignment="0" applyProtection="0"/>
    <xf numFmtId="0" fontId="34" fillId="34" borderId="0" applyNumberFormat="0" applyBorder="0" applyAlignment="0" applyProtection="0"/>
    <xf numFmtId="0" fontId="34" fillId="34" borderId="0" applyNumberFormat="0" applyBorder="0" applyAlignment="0" applyProtection="0"/>
    <xf numFmtId="0" fontId="34" fillId="34" borderId="0" applyNumberFormat="0" applyBorder="0" applyAlignment="0" applyProtection="0"/>
    <xf numFmtId="0" fontId="34" fillId="34" borderId="0" applyNumberFormat="0" applyBorder="0" applyAlignment="0" applyProtection="0"/>
    <xf numFmtId="0" fontId="34" fillId="34" borderId="0" applyNumberFormat="0" applyBorder="0" applyAlignment="0" applyProtection="0"/>
    <xf numFmtId="0" fontId="34" fillId="34" borderId="0" applyNumberFormat="0" applyBorder="0" applyAlignment="0" applyProtection="0"/>
    <xf numFmtId="0" fontId="34" fillId="34" borderId="0" applyNumberFormat="0" applyBorder="0" applyAlignment="0" applyProtection="0"/>
    <xf numFmtId="0" fontId="34" fillId="34" borderId="0" applyNumberFormat="0" applyBorder="0" applyAlignment="0" applyProtection="0"/>
    <xf numFmtId="0" fontId="34" fillId="34" borderId="0" applyNumberFormat="0" applyBorder="0" applyAlignment="0" applyProtection="0"/>
    <xf numFmtId="0" fontId="34" fillId="34" borderId="0" applyNumberFormat="0" applyBorder="0" applyAlignment="0" applyProtection="0"/>
    <xf numFmtId="0" fontId="34" fillId="35" borderId="0" applyNumberFormat="0" applyBorder="0" applyAlignment="0" applyProtection="0"/>
    <xf numFmtId="0" fontId="34" fillId="35" borderId="0" applyNumberFormat="0" applyBorder="0" applyAlignment="0" applyProtection="0"/>
    <xf numFmtId="0" fontId="34" fillId="35" borderId="0" applyNumberFormat="0" applyBorder="0" applyAlignment="0" applyProtection="0"/>
    <xf numFmtId="0" fontId="34" fillId="35" borderId="0" applyNumberFormat="0" applyBorder="0" applyAlignment="0" applyProtection="0"/>
    <xf numFmtId="0" fontId="34" fillId="35" borderId="0" applyNumberFormat="0" applyBorder="0" applyAlignment="0" applyProtection="0"/>
    <xf numFmtId="0" fontId="34" fillId="35" borderId="0" applyNumberFormat="0" applyBorder="0" applyAlignment="0" applyProtection="0"/>
    <xf numFmtId="0" fontId="34" fillId="35" borderId="0" applyNumberFormat="0" applyBorder="0" applyAlignment="0" applyProtection="0"/>
    <xf numFmtId="0" fontId="34" fillId="35" borderId="0" applyNumberFormat="0" applyBorder="0" applyAlignment="0" applyProtection="0"/>
    <xf numFmtId="0" fontId="34" fillId="35" borderId="0" applyNumberFormat="0" applyBorder="0" applyAlignment="0" applyProtection="0"/>
    <xf numFmtId="0" fontId="5" fillId="11" borderId="0" applyNumberFormat="0" applyBorder="0" applyAlignment="0" applyProtection="0"/>
    <xf numFmtId="0" fontId="34" fillId="35" borderId="0" applyNumberFormat="0" applyBorder="0" applyAlignment="0" applyProtection="0"/>
    <xf numFmtId="0" fontId="34" fillId="35" borderId="0" applyNumberFormat="0" applyBorder="0" applyAlignment="0" applyProtection="0"/>
    <xf numFmtId="0" fontId="34" fillId="35" borderId="0" applyNumberFormat="0" applyBorder="0" applyAlignment="0" applyProtection="0"/>
    <xf numFmtId="0" fontId="5" fillId="11" borderId="0" applyNumberFormat="0" applyBorder="0" applyAlignment="0" applyProtection="0"/>
    <xf numFmtId="0" fontId="34" fillId="35" borderId="0" applyNumberFormat="0" applyBorder="0" applyAlignment="0" applyProtection="0"/>
    <xf numFmtId="0" fontId="34" fillId="35" borderId="0" applyNumberFormat="0" applyBorder="0" applyAlignment="0" applyProtection="0"/>
    <xf numFmtId="0" fontId="34" fillId="35" borderId="0" applyNumberFormat="0" applyBorder="0" applyAlignment="0" applyProtection="0"/>
    <xf numFmtId="0" fontId="34" fillId="35" borderId="0" applyNumberFormat="0" applyBorder="0" applyAlignment="0" applyProtection="0"/>
    <xf numFmtId="0" fontId="34" fillId="35" borderId="0" applyNumberFormat="0" applyBorder="0" applyAlignment="0" applyProtection="0"/>
    <xf numFmtId="0" fontId="34" fillId="35" borderId="0" applyNumberFormat="0" applyBorder="0" applyAlignment="0" applyProtection="0"/>
    <xf numFmtId="0" fontId="34" fillId="35" borderId="0" applyNumberFormat="0" applyBorder="0" applyAlignment="0" applyProtection="0"/>
    <xf numFmtId="0" fontId="34" fillId="35" borderId="0" applyNumberFormat="0" applyBorder="0" applyAlignment="0" applyProtection="0"/>
    <xf numFmtId="0" fontId="34" fillId="35" borderId="0" applyNumberFormat="0" applyBorder="0" applyAlignment="0" applyProtection="0"/>
    <xf numFmtId="0" fontId="34" fillId="35" borderId="0" applyNumberFormat="0" applyBorder="0" applyAlignment="0" applyProtection="0"/>
    <xf numFmtId="0" fontId="34" fillId="35" borderId="0" applyNumberFormat="0" applyBorder="0" applyAlignment="0" applyProtection="0"/>
    <xf numFmtId="0" fontId="34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36" borderId="0" applyNumberFormat="0" applyBorder="0" applyAlignment="0" applyProtection="0"/>
    <xf numFmtId="0" fontId="35" fillId="36" borderId="0" applyNumberFormat="0" applyBorder="0" applyAlignment="0" applyProtection="0"/>
    <xf numFmtId="0" fontId="35" fillId="36" borderId="0" applyNumberFormat="0" applyBorder="0" applyAlignment="0" applyProtection="0"/>
    <xf numFmtId="0" fontId="35" fillId="36" borderId="0" applyNumberFormat="0" applyBorder="0" applyAlignment="0" applyProtection="0"/>
    <xf numFmtId="0" fontId="35" fillId="36" borderId="0" applyNumberFormat="0" applyBorder="0" applyAlignment="0" applyProtection="0"/>
    <xf numFmtId="0" fontId="35" fillId="36" borderId="0" applyNumberFormat="0" applyBorder="0" applyAlignment="0" applyProtection="0"/>
    <xf numFmtId="0" fontId="35" fillId="36" borderId="0" applyNumberFormat="0" applyBorder="0" applyAlignment="0" applyProtection="0"/>
    <xf numFmtId="0" fontId="35" fillId="36" borderId="0" applyNumberFormat="0" applyBorder="0" applyAlignment="0" applyProtection="0"/>
    <xf numFmtId="0" fontId="15" fillId="12" borderId="0" applyNumberFormat="0" applyBorder="0" applyAlignment="0" applyProtection="0"/>
    <xf numFmtId="0" fontId="15" fillId="12" borderId="0" applyNumberFormat="0" applyBorder="0" applyAlignment="0" applyProtection="0"/>
    <xf numFmtId="0" fontId="35" fillId="36" borderId="0" applyNumberFormat="0" applyBorder="0" applyAlignment="0" applyProtection="0"/>
    <xf numFmtId="0" fontId="35" fillId="36" borderId="0" applyNumberFormat="0" applyBorder="0" applyAlignment="0" applyProtection="0"/>
    <xf numFmtId="0" fontId="35" fillId="36" borderId="0" applyNumberFormat="0" applyBorder="0" applyAlignment="0" applyProtection="0"/>
    <xf numFmtId="0" fontId="35" fillId="36" borderId="0" applyNumberFormat="0" applyBorder="0" applyAlignment="0" applyProtection="0"/>
    <xf numFmtId="0" fontId="35" fillId="36" borderId="0" applyNumberFormat="0" applyBorder="0" applyAlignment="0" applyProtection="0"/>
    <xf numFmtId="0" fontId="35" fillId="36" borderId="0" applyNumberFormat="0" applyBorder="0" applyAlignment="0" applyProtection="0"/>
    <xf numFmtId="0" fontId="35" fillId="36" borderId="0" applyNumberFormat="0" applyBorder="0" applyAlignment="0" applyProtection="0"/>
    <xf numFmtId="0" fontId="35" fillId="36" borderId="0" applyNumberFormat="0" applyBorder="0" applyAlignment="0" applyProtection="0"/>
    <xf numFmtId="0" fontId="35" fillId="36" borderId="0" applyNumberFormat="0" applyBorder="0" applyAlignment="0" applyProtection="0"/>
    <xf numFmtId="0" fontId="35" fillId="37" borderId="0" applyNumberFormat="0" applyBorder="0" applyAlignment="0" applyProtection="0"/>
    <xf numFmtId="0" fontId="35" fillId="37" borderId="0" applyNumberFormat="0" applyBorder="0" applyAlignment="0" applyProtection="0"/>
    <xf numFmtId="0" fontId="35" fillId="37" borderId="0" applyNumberFormat="0" applyBorder="0" applyAlignment="0" applyProtection="0"/>
    <xf numFmtId="0" fontId="35" fillId="37" borderId="0" applyNumberFormat="0" applyBorder="0" applyAlignment="0" applyProtection="0"/>
    <xf numFmtId="0" fontId="35" fillId="37" borderId="0" applyNumberFormat="0" applyBorder="0" applyAlignment="0" applyProtection="0"/>
    <xf numFmtId="0" fontId="35" fillId="37" borderId="0" applyNumberFormat="0" applyBorder="0" applyAlignment="0" applyProtection="0"/>
    <xf numFmtId="0" fontId="35" fillId="37" borderId="0" applyNumberFormat="0" applyBorder="0" applyAlignment="0" applyProtection="0"/>
    <xf numFmtId="0" fontId="35" fillId="37" borderId="0" applyNumberFormat="0" applyBorder="0" applyAlignment="0" applyProtection="0"/>
    <xf numFmtId="0" fontId="35" fillId="37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35" fillId="37" borderId="0" applyNumberFormat="0" applyBorder="0" applyAlignment="0" applyProtection="0"/>
    <xf numFmtId="0" fontId="35" fillId="37" borderId="0" applyNumberFormat="0" applyBorder="0" applyAlignment="0" applyProtection="0"/>
    <xf numFmtId="0" fontId="35" fillId="37" borderId="0" applyNumberFormat="0" applyBorder="0" applyAlignment="0" applyProtection="0"/>
    <xf numFmtId="0" fontId="35" fillId="37" borderId="0" applyNumberFormat="0" applyBorder="0" applyAlignment="0" applyProtection="0"/>
    <xf numFmtId="0" fontId="35" fillId="37" borderId="0" applyNumberFormat="0" applyBorder="0" applyAlignment="0" applyProtection="0"/>
    <xf numFmtId="0" fontId="35" fillId="37" borderId="0" applyNumberFormat="0" applyBorder="0" applyAlignment="0" applyProtection="0"/>
    <xf numFmtId="0" fontId="35" fillId="37" borderId="0" applyNumberFormat="0" applyBorder="0" applyAlignment="0" applyProtection="0"/>
    <xf numFmtId="0" fontId="35" fillId="37" borderId="0" applyNumberFormat="0" applyBorder="0" applyAlignment="0" applyProtection="0"/>
    <xf numFmtId="0" fontId="35" fillId="37" borderId="0" applyNumberFormat="0" applyBorder="0" applyAlignment="0" applyProtection="0"/>
    <xf numFmtId="0" fontId="35" fillId="38" borderId="0" applyNumberFormat="0" applyBorder="0" applyAlignment="0" applyProtection="0"/>
    <xf numFmtId="0" fontId="35" fillId="38" borderId="0" applyNumberFormat="0" applyBorder="0" applyAlignment="0" applyProtection="0"/>
    <xf numFmtId="0" fontId="35" fillId="38" borderId="0" applyNumberFormat="0" applyBorder="0" applyAlignment="0" applyProtection="0"/>
    <xf numFmtId="0" fontId="35" fillId="38" borderId="0" applyNumberFormat="0" applyBorder="0" applyAlignment="0" applyProtection="0"/>
    <xf numFmtId="0" fontId="35" fillId="38" borderId="0" applyNumberFormat="0" applyBorder="0" applyAlignment="0" applyProtection="0"/>
    <xf numFmtId="0" fontId="35" fillId="38" borderId="0" applyNumberFormat="0" applyBorder="0" applyAlignment="0" applyProtection="0"/>
    <xf numFmtId="0" fontId="35" fillId="38" borderId="0" applyNumberFormat="0" applyBorder="0" applyAlignment="0" applyProtection="0"/>
    <xf numFmtId="0" fontId="35" fillId="38" borderId="0" applyNumberFormat="0" applyBorder="0" applyAlignment="0" applyProtection="0"/>
    <xf numFmtId="0" fontId="35" fillId="38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35" fillId="38" borderId="0" applyNumberFormat="0" applyBorder="0" applyAlignment="0" applyProtection="0"/>
    <xf numFmtId="0" fontId="35" fillId="38" borderId="0" applyNumberFormat="0" applyBorder="0" applyAlignment="0" applyProtection="0"/>
    <xf numFmtId="0" fontId="35" fillId="38" borderId="0" applyNumberFormat="0" applyBorder="0" applyAlignment="0" applyProtection="0"/>
    <xf numFmtId="0" fontId="35" fillId="38" borderId="0" applyNumberFormat="0" applyBorder="0" applyAlignment="0" applyProtection="0"/>
    <xf numFmtId="0" fontId="35" fillId="38" borderId="0" applyNumberFormat="0" applyBorder="0" applyAlignment="0" applyProtection="0"/>
    <xf numFmtId="0" fontId="35" fillId="38" borderId="0" applyNumberFormat="0" applyBorder="0" applyAlignment="0" applyProtection="0"/>
    <xf numFmtId="0" fontId="35" fillId="38" borderId="0" applyNumberFormat="0" applyBorder="0" applyAlignment="0" applyProtection="0"/>
    <xf numFmtId="0" fontId="35" fillId="38" borderId="0" applyNumberFormat="0" applyBorder="0" applyAlignment="0" applyProtection="0"/>
    <xf numFmtId="0" fontId="35" fillId="38" borderId="0" applyNumberFormat="0" applyBorder="0" applyAlignment="0" applyProtection="0"/>
    <xf numFmtId="0" fontId="35" fillId="39" borderId="0" applyNumberFormat="0" applyBorder="0" applyAlignment="0" applyProtection="0"/>
    <xf numFmtId="0" fontId="35" fillId="39" borderId="0" applyNumberFormat="0" applyBorder="0" applyAlignment="0" applyProtection="0"/>
    <xf numFmtId="0" fontId="35" fillId="39" borderId="0" applyNumberFormat="0" applyBorder="0" applyAlignment="0" applyProtection="0"/>
    <xf numFmtId="0" fontId="35" fillId="39" borderId="0" applyNumberFormat="0" applyBorder="0" applyAlignment="0" applyProtection="0"/>
    <xf numFmtId="0" fontId="35" fillId="39" borderId="0" applyNumberFormat="0" applyBorder="0" applyAlignment="0" applyProtection="0"/>
    <xf numFmtId="0" fontId="35" fillId="39" borderId="0" applyNumberFormat="0" applyBorder="0" applyAlignment="0" applyProtection="0"/>
    <xf numFmtId="0" fontId="35" fillId="39" borderId="0" applyNumberFormat="0" applyBorder="0" applyAlignment="0" applyProtection="0"/>
    <xf numFmtId="0" fontId="35" fillId="39" borderId="0" applyNumberFormat="0" applyBorder="0" applyAlignment="0" applyProtection="0"/>
    <xf numFmtId="0" fontId="35" fillId="39" borderId="0" applyNumberFormat="0" applyBorder="0" applyAlignment="0" applyProtection="0"/>
    <xf numFmtId="0" fontId="15" fillId="13" borderId="0" applyNumberFormat="0" applyBorder="0" applyAlignment="0" applyProtection="0"/>
    <xf numFmtId="0" fontId="15" fillId="13" borderId="0" applyNumberFormat="0" applyBorder="0" applyAlignment="0" applyProtection="0"/>
    <xf numFmtId="0" fontId="35" fillId="39" borderId="0" applyNumberFormat="0" applyBorder="0" applyAlignment="0" applyProtection="0"/>
    <xf numFmtId="0" fontId="35" fillId="39" borderId="0" applyNumberFormat="0" applyBorder="0" applyAlignment="0" applyProtection="0"/>
    <xf numFmtId="0" fontId="35" fillId="39" borderId="0" applyNumberFormat="0" applyBorder="0" applyAlignment="0" applyProtection="0"/>
    <xf numFmtId="0" fontId="35" fillId="39" borderId="0" applyNumberFormat="0" applyBorder="0" applyAlignment="0" applyProtection="0"/>
    <xf numFmtId="0" fontId="35" fillId="39" borderId="0" applyNumberFormat="0" applyBorder="0" applyAlignment="0" applyProtection="0"/>
    <xf numFmtId="0" fontId="35" fillId="39" borderId="0" applyNumberFormat="0" applyBorder="0" applyAlignment="0" applyProtection="0"/>
    <xf numFmtId="0" fontId="35" fillId="39" borderId="0" applyNumberFormat="0" applyBorder="0" applyAlignment="0" applyProtection="0"/>
    <xf numFmtId="0" fontId="35" fillId="39" borderId="0" applyNumberFormat="0" applyBorder="0" applyAlignment="0" applyProtection="0"/>
    <xf numFmtId="0" fontId="35" fillId="39" borderId="0" applyNumberFormat="0" applyBorder="0" applyAlignment="0" applyProtection="0"/>
    <xf numFmtId="0" fontId="35" fillId="40" borderId="0" applyNumberFormat="0" applyBorder="0" applyAlignment="0" applyProtection="0"/>
    <xf numFmtId="0" fontId="35" fillId="40" borderId="0" applyNumberFormat="0" applyBorder="0" applyAlignment="0" applyProtection="0"/>
    <xf numFmtId="0" fontId="35" fillId="40" borderId="0" applyNumberFormat="0" applyBorder="0" applyAlignment="0" applyProtection="0"/>
    <xf numFmtId="0" fontId="35" fillId="40" borderId="0" applyNumberFormat="0" applyBorder="0" applyAlignment="0" applyProtection="0"/>
    <xf numFmtId="0" fontId="35" fillId="40" borderId="0" applyNumberFormat="0" applyBorder="0" applyAlignment="0" applyProtection="0"/>
    <xf numFmtId="0" fontId="35" fillId="40" borderId="0" applyNumberFormat="0" applyBorder="0" applyAlignment="0" applyProtection="0"/>
    <xf numFmtId="0" fontId="35" fillId="40" borderId="0" applyNumberFormat="0" applyBorder="0" applyAlignment="0" applyProtection="0"/>
    <xf numFmtId="0" fontId="35" fillId="40" borderId="0" applyNumberFormat="0" applyBorder="0" applyAlignment="0" applyProtection="0"/>
    <xf numFmtId="0" fontId="35" fillId="40" borderId="0" applyNumberFormat="0" applyBorder="0" applyAlignment="0" applyProtection="0"/>
    <xf numFmtId="0" fontId="15" fillId="14" borderId="0" applyNumberFormat="0" applyBorder="0" applyAlignment="0" applyProtection="0"/>
    <xf numFmtId="0" fontId="15" fillId="14" borderId="0" applyNumberFormat="0" applyBorder="0" applyAlignment="0" applyProtection="0"/>
    <xf numFmtId="0" fontId="35" fillId="40" borderId="0" applyNumberFormat="0" applyBorder="0" applyAlignment="0" applyProtection="0"/>
    <xf numFmtId="0" fontId="35" fillId="40" borderId="0" applyNumberFormat="0" applyBorder="0" applyAlignment="0" applyProtection="0"/>
    <xf numFmtId="0" fontId="35" fillId="40" borderId="0" applyNumberFormat="0" applyBorder="0" applyAlignment="0" applyProtection="0"/>
    <xf numFmtId="0" fontId="35" fillId="40" borderId="0" applyNumberFormat="0" applyBorder="0" applyAlignment="0" applyProtection="0"/>
    <xf numFmtId="0" fontId="35" fillId="40" borderId="0" applyNumberFormat="0" applyBorder="0" applyAlignment="0" applyProtection="0"/>
    <xf numFmtId="0" fontId="35" fillId="40" borderId="0" applyNumberFormat="0" applyBorder="0" applyAlignment="0" applyProtection="0"/>
    <xf numFmtId="0" fontId="35" fillId="40" borderId="0" applyNumberFormat="0" applyBorder="0" applyAlignment="0" applyProtection="0"/>
    <xf numFmtId="0" fontId="35" fillId="40" borderId="0" applyNumberFormat="0" applyBorder="0" applyAlignment="0" applyProtection="0"/>
    <xf numFmtId="0" fontId="35" fillId="40" borderId="0" applyNumberFormat="0" applyBorder="0" applyAlignment="0" applyProtection="0"/>
    <xf numFmtId="0" fontId="35" fillId="41" borderId="0" applyNumberFormat="0" applyBorder="0" applyAlignment="0" applyProtection="0"/>
    <xf numFmtId="0" fontId="35" fillId="41" borderId="0" applyNumberFormat="0" applyBorder="0" applyAlignment="0" applyProtection="0"/>
    <xf numFmtId="0" fontId="35" fillId="41" borderId="0" applyNumberFormat="0" applyBorder="0" applyAlignment="0" applyProtection="0"/>
    <xf numFmtId="0" fontId="35" fillId="41" borderId="0" applyNumberFormat="0" applyBorder="0" applyAlignment="0" applyProtection="0"/>
    <xf numFmtId="0" fontId="35" fillId="41" borderId="0" applyNumberFormat="0" applyBorder="0" applyAlignment="0" applyProtection="0"/>
    <xf numFmtId="0" fontId="35" fillId="41" borderId="0" applyNumberFormat="0" applyBorder="0" applyAlignment="0" applyProtection="0"/>
    <xf numFmtId="0" fontId="35" fillId="41" borderId="0" applyNumberFormat="0" applyBorder="0" applyAlignment="0" applyProtection="0"/>
    <xf numFmtId="0" fontId="35" fillId="41" borderId="0" applyNumberFormat="0" applyBorder="0" applyAlignment="0" applyProtection="0"/>
    <xf numFmtId="0" fontId="35" fillId="41" borderId="0" applyNumberFormat="0" applyBorder="0" applyAlignment="0" applyProtection="0"/>
    <xf numFmtId="0" fontId="15" fillId="15" borderId="0" applyNumberFormat="0" applyBorder="0" applyAlignment="0" applyProtection="0"/>
    <xf numFmtId="0" fontId="15" fillId="15" borderId="0" applyNumberFormat="0" applyBorder="0" applyAlignment="0" applyProtection="0"/>
    <xf numFmtId="0" fontId="35" fillId="41" borderId="0" applyNumberFormat="0" applyBorder="0" applyAlignment="0" applyProtection="0"/>
    <xf numFmtId="0" fontId="35" fillId="41" borderId="0" applyNumberFormat="0" applyBorder="0" applyAlignment="0" applyProtection="0"/>
    <xf numFmtId="0" fontId="35" fillId="41" borderId="0" applyNumberFormat="0" applyBorder="0" applyAlignment="0" applyProtection="0"/>
    <xf numFmtId="0" fontId="35" fillId="41" borderId="0" applyNumberFormat="0" applyBorder="0" applyAlignment="0" applyProtection="0"/>
    <xf numFmtId="0" fontId="35" fillId="41" borderId="0" applyNumberFormat="0" applyBorder="0" applyAlignment="0" applyProtection="0"/>
    <xf numFmtId="0" fontId="35" fillId="41" borderId="0" applyNumberFormat="0" applyBorder="0" applyAlignment="0" applyProtection="0"/>
    <xf numFmtId="0" fontId="35" fillId="41" borderId="0" applyNumberFormat="0" applyBorder="0" applyAlignment="0" applyProtection="0"/>
    <xf numFmtId="0" fontId="35" fillId="41" borderId="0" applyNumberFormat="0" applyBorder="0" applyAlignment="0" applyProtection="0"/>
    <xf numFmtId="0" fontId="35" fillId="41" borderId="0" applyNumberFormat="0" applyBorder="0" applyAlignment="0" applyProtection="0"/>
    <xf numFmtId="0" fontId="35" fillId="42" borderId="0" applyNumberFormat="0" applyBorder="0" applyAlignment="0" applyProtection="0"/>
    <xf numFmtId="0" fontId="35" fillId="42" borderId="0" applyNumberFormat="0" applyBorder="0" applyAlignment="0" applyProtection="0"/>
    <xf numFmtId="0" fontId="35" fillId="42" borderId="0" applyNumberFormat="0" applyBorder="0" applyAlignment="0" applyProtection="0"/>
    <xf numFmtId="0" fontId="35" fillId="42" borderId="0" applyNumberFormat="0" applyBorder="0" applyAlignment="0" applyProtection="0"/>
    <xf numFmtId="0" fontId="35" fillId="42" borderId="0" applyNumberFormat="0" applyBorder="0" applyAlignment="0" applyProtection="0"/>
    <xf numFmtId="0" fontId="35" fillId="42" borderId="0" applyNumberFormat="0" applyBorder="0" applyAlignment="0" applyProtection="0"/>
    <xf numFmtId="0" fontId="35" fillId="42" borderId="0" applyNumberFormat="0" applyBorder="0" applyAlignment="0" applyProtection="0"/>
    <xf numFmtId="0" fontId="35" fillId="42" borderId="0" applyNumberFormat="0" applyBorder="0" applyAlignment="0" applyProtection="0"/>
    <xf numFmtId="0" fontId="35" fillId="42" borderId="0" applyNumberFormat="0" applyBorder="0" applyAlignment="0" applyProtection="0"/>
    <xf numFmtId="0" fontId="15" fillId="16" borderId="0" applyNumberFormat="0" applyBorder="0" applyAlignment="0" applyProtection="0"/>
    <xf numFmtId="0" fontId="15" fillId="16" borderId="0" applyNumberFormat="0" applyBorder="0" applyAlignment="0" applyProtection="0"/>
    <xf numFmtId="0" fontId="35" fillId="42" borderId="0" applyNumberFormat="0" applyBorder="0" applyAlignment="0" applyProtection="0"/>
    <xf numFmtId="0" fontId="35" fillId="42" borderId="0" applyNumberFormat="0" applyBorder="0" applyAlignment="0" applyProtection="0"/>
    <xf numFmtId="0" fontId="35" fillId="42" borderId="0" applyNumberFormat="0" applyBorder="0" applyAlignment="0" applyProtection="0"/>
    <xf numFmtId="0" fontId="35" fillId="42" borderId="0" applyNumberFormat="0" applyBorder="0" applyAlignment="0" applyProtection="0"/>
    <xf numFmtId="0" fontId="35" fillId="42" borderId="0" applyNumberFormat="0" applyBorder="0" applyAlignment="0" applyProtection="0"/>
    <xf numFmtId="0" fontId="35" fillId="42" borderId="0" applyNumberFormat="0" applyBorder="0" applyAlignment="0" applyProtection="0"/>
    <xf numFmtId="0" fontId="35" fillId="42" borderId="0" applyNumberFormat="0" applyBorder="0" applyAlignment="0" applyProtection="0"/>
    <xf numFmtId="0" fontId="35" fillId="42" borderId="0" applyNumberFormat="0" applyBorder="0" applyAlignment="0" applyProtection="0"/>
    <xf numFmtId="0" fontId="35" fillId="42" borderId="0" applyNumberFormat="0" applyBorder="0" applyAlignment="0" applyProtection="0"/>
    <xf numFmtId="0" fontId="35" fillId="43" borderId="0" applyNumberFormat="0" applyBorder="0" applyAlignment="0" applyProtection="0"/>
    <xf numFmtId="0" fontId="35" fillId="43" borderId="0" applyNumberFormat="0" applyBorder="0" applyAlignment="0" applyProtection="0"/>
    <xf numFmtId="0" fontId="35" fillId="43" borderId="0" applyNumberFormat="0" applyBorder="0" applyAlignment="0" applyProtection="0"/>
    <xf numFmtId="0" fontId="35" fillId="43" borderId="0" applyNumberFormat="0" applyBorder="0" applyAlignment="0" applyProtection="0"/>
    <xf numFmtId="0" fontId="35" fillId="43" borderId="0" applyNumberFormat="0" applyBorder="0" applyAlignment="0" applyProtection="0"/>
    <xf numFmtId="0" fontId="35" fillId="43" borderId="0" applyNumberFormat="0" applyBorder="0" applyAlignment="0" applyProtection="0"/>
    <xf numFmtId="0" fontId="35" fillId="43" borderId="0" applyNumberFormat="0" applyBorder="0" applyAlignment="0" applyProtection="0"/>
    <xf numFmtId="0" fontId="35" fillId="43" borderId="0" applyNumberFormat="0" applyBorder="0" applyAlignment="0" applyProtection="0"/>
    <xf numFmtId="0" fontId="35" fillId="43" borderId="0" applyNumberFormat="0" applyBorder="0" applyAlignment="0" applyProtection="0"/>
    <xf numFmtId="0" fontId="15" fillId="17" borderId="0" applyNumberFormat="0" applyBorder="0" applyAlignment="0" applyProtection="0"/>
    <xf numFmtId="0" fontId="15" fillId="17" borderId="0" applyNumberFormat="0" applyBorder="0" applyAlignment="0" applyProtection="0"/>
    <xf numFmtId="0" fontId="35" fillId="43" borderId="0" applyNumberFormat="0" applyBorder="0" applyAlignment="0" applyProtection="0"/>
    <xf numFmtId="0" fontId="35" fillId="43" borderId="0" applyNumberFormat="0" applyBorder="0" applyAlignment="0" applyProtection="0"/>
    <xf numFmtId="0" fontId="35" fillId="43" borderId="0" applyNumberFormat="0" applyBorder="0" applyAlignment="0" applyProtection="0"/>
    <xf numFmtId="0" fontId="35" fillId="43" borderId="0" applyNumberFormat="0" applyBorder="0" applyAlignment="0" applyProtection="0"/>
    <xf numFmtId="0" fontId="35" fillId="43" borderId="0" applyNumberFormat="0" applyBorder="0" applyAlignment="0" applyProtection="0"/>
    <xf numFmtId="0" fontId="35" fillId="43" borderId="0" applyNumberFormat="0" applyBorder="0" applyAlignment="0" applyProtection="0"/>
    <xf numFmtId="0" fontId="35" fillId="43" borderId="0" applyNumberFormat="0" applyBorder="0" applyAlignment="0" applyProtection="0"/>
    <xf numFmtId="0" fontId="35" fillId="43" borderId="0" applyNumberFormat="0" applyBorder="0" applyAlignment="0" applyProtection="0"/>
    <xf numFmtId="0" fontId="35" fillId="43" borderId="0" applyNumberFormat="0" applyBorder="0" applyAlignment="0" applyProtection="0"/>
    <xf numFmtId="0" fontId="35" fillId="44" borderId="0" applyNumberFormat="0" applyBorder="0" applyAlignment="0" applyProtection="0"/>
    <xf numFmtId="0" fontId="35" fillId="44" borderId="0" applyNumberFormat="0" applyBorder="0" applyAlignment="0" applyProtection="0"/>
    <xf numFmtId="0" fontId="35" fillId="44" borderId="0" applyNumberFormat="0" applyBorder="0" applyAlignment="0" applyProtection="0"/>
    <xf numFmtId="0" fontId="35" fillId="44" borderId="0" applyNumberFormat="0" applyBorder="0" applyAlignment="0" applyProtection="0"/>
    <xf numFmtId="0" fontId="35" fillId="44" borderId="0" applyNumberFormat="0" applyBorder="0" applyAlignment="0" applyProtection="0"/>
    <xf numFmtId="0" fontId="35" fillId="44" borderId="0" applyNumberFormat="0" applyBorder="0" applyAlignment="0" applyProtection="0"/>
    <xf numFmtId="0" fontId="35" fillId="44" borderId="0" applyNumberFormat="0" applyBorder="0" applyAlignment="0" applyProtection="0"/>
    <xf numFmtId="0" fontId="35" fillId="44" borderId="0" applyNumberFormat="0" applyBorder="0" applyAlignment="0" applyProtection="0"/>
    <xf numFmtId="0" fontId="35" fillId="44" borderId="0" applyNumberFormat="0" applyBorder="0" applyAlignment="0" applyProtection="0"/>
    <xf numFmtId="0" fontId="15" fillId="18" borderId="0" applyNumberFormat="0" applyBorder="0" applyAlignment="0" applyProtection="0"/>
    <xf numFmtId="0" fontId="15" fillId="18" borderId="0" applyNumberFormat="0" applyBorder="0" applyAlignment="0" applyProtection="0"/>
    <xf numFmtId="0" fontId="35" fillId="44" borderId="0" applyNumberFormat="0" applyBorder="0" applyAlignment="0" applyProtection="0"/>
    <xf numFmtId="0" fontId="35" fillId="44" borderId="0" applyNumberFormat="0" applyBorder="0" applyAlignment="0" applyProtection="0"/>
    <xf numFmtId="0" fontId="35" fillId="44" borderId="0" applyNumberFormat="0" applyBorder="0" applyAlignment="0" applyProtection="0"/>
    <xf numFmtId="0" fontId="35" fillId="44" borderId="0" applyNumberFormat="0" applyBorder="0" applyAlignment="0" applyProtection="0"/>
    <xf numFmtId="0" fontId="35" fillId="44" borderId="0" applyNumberFormat="0" applyBorder="0" applyAlignment="0" applyProtection="0"/>
    <xf numFmtId="0" fontId="35" fillId="44" borderId="0" applyNumberFormat="0" applyBorder="0" applyAlignment="0" applyProtection="0"/>
    <xf numFmtId="0" fontId="35" fillId="44" borderId="0" applyNumberFormat="0" applyBorder="0" applyAlignment="0" applyProtection="0"/>
    <xf numFmtId="0" fontId="35" fillId="44" borderId="0" applyNumberFormat="0" applyBorder="0" applyAlignment="0" applyProtection="0"/>
    <xf numFmtId="0" fontId="35" fillId="44" borderId="0" applyNumberFormat="0" applyBorder="0" applyAlignment="0" applyProtection="0"/>
    <xf numFmtId="0" fontId="35" fillId="45" borderId="0" applyNumberFormat="0" applyBorder="0" applyAlignment="0" applyProtection="0"/>
    <xf numFmtId="0" fontId="35" fillId="45" borderId="0" applyNumberFormat="0" applyBorder="0" applyAlignment="0" applyProtection="0"/>
    <xf numFmtId="0" fontId="35" fillId="45" borderId="0" applyNumberFormat="0" applyBorder="0" applyAlignment="0" applyProtection="0"/>
    <xf numFmtId="0" fontId="35" fillId="45" borderId="0" applyNumberFormat="0" applyBorder="0" applyAlignment="0" applyProtection="0"/>
    <xf numFmtId="0" fontId="35" fillId="45" borderId="0" applyNumberFormat="0" applyBorder="0" applyAlignment="0" applyProtection="0"/>
    <xf numFmtId="0" fontId="35" fillId="45" borderId="0" applyNumberFormat="0" applyBorder="0" applyAlignment="0" applyProtection="0"/>
    <xf numFmtId="0" fontId="35" fillId="45" borderId="0" applyNumberFormat="0" applyBorder="0" applyAlignment="0" applyProtection="0"/>
    <xf numFmtId="0" fontId="35" fillId="45" borderId="0" applyNumberFormat="0" applyBorder="0" applyAlignment="0" applyProtection="0"/>
    <xf numFmtId="0" fontId="35" fillId="45" borderId="0" applyNumberFormat="0" applyBorder="0" applyAlignment="0" applyProtection="0"/>
    <xf numFmtId="0" fontId="15" fillId="13" borderId="0" applyNumberFormat="0" applyBorder="0" applyAlignment="0" applyProtection="0"/>
    <xf numFmtId="0" fontId="15" fillId="13" borderId="0" applyNumberFormat="0" applyBorder="0" applyAlignment="0" applyProtection="0"/>
    <xf numFmtId="0" fontId="35" fillId="45" borderId="0" applyNumberFormat="0" applyBorder="0" applyAlignment="0" applyProtection="0"/>
    <xf numFmtId="0" fontId="35" fillId="45" borderId="0" applyNumberFormat="0" applyBorder="0" applyAlignment="0" applyProtection="0"/>
    <xf numFmtId="0" fontId="35" fillId="45" borderId="0" applyNumberFormat="0" applyBorder="0" applyAlignment="0" applyProtection="0"/>
    <xf numFmtId="0" fontId="35" fillId="45" borderId="0" applyNumberFormat="0" applyBorder="0" applyAlignment="0" applyProtection="0"/>
    <xf numFmtId="0" fontId="35" fillId="45" borderId="0" applyNumberFormat="0" applyBorder="0" applyAlignment="0" applyProtection="0"/>
    <xf numFmtId="0" fontId="35" fillId="45" borderId="0" applyNumberFormat="0" applyBorder="0" applyAlignment="0" applyProtection="0"/>
    <xf numFmtId="0" fontId="35" fillId="45" borderId="0" applyNumberFormat="0" applyBorder="0" applyAlignment="0" applyProtection="0"/>
    <xf numFmtId="0" fontId="35" fillId="45" borderId="0" applyNumberFormat="0" applyBorder="0" applyAlignment="0" applyProtection="0"/>
    <xf numFmtId="0" fontId="35" fillId="45" borderId="0" applyNumberFormat="0" applyBorder="0" applyAlignment="0" applyProtection="0"/>
    <xf numFmtId="0" fontId="35" fillId="46" borderId="0" applyNumberFormat="0" applyBorder="0" applyAlignment="0" applyProtection="0"/>
    <xf numFmtId="0" fontId="35" fillId="46" borderId="0" applyNumberFormat="0" applyBorder="0" applyAlignment="0" applyProtection="0"/>
    <xf numFmtId="0" fontId="35" fillId="46" borderId="0" applyNumberFormat="0" applyBorder="0" applyAlignment="0" applyProtection="0"/>
    <xf numFmtId="0" fontId="35" fillId="46" borderId="0" applyNumberFormat="0" applyBorder="0" applyAlignment="0" applyProtection="0"/>
    <xf numFmtId="0" fontId="35" fillId="46" borderId="0" applyNumberFormat="0" applyBorder="0" applyAlignment="0" applyProtection="0"/>
    <xf numFmtId="0" fontId="35" fillId="46" borderId="0" applyNumberFormat="0" applyBorder="0" applyAlignment="0" applyProtection="0"/>
    <xf numFmtId="0" fontId="35" fillId="46" borderId="0" applyNumberFormat="0" applyBorder="0" applyAlignment="0" applyProtection="0"/>
    <xf numFmtId="0" fontId="35" fillId="46" borderId="0" applyNumberFormat="0" applyBorder="0" applyAlignment="0" applyProtection="0"/>
    <xf numFmtId="0" fontId="35" fillId="46" borderId="0" applyNumberFormat="0" applyBorder="0" applyAlignment="0" applyProtection="0"/>
    <xf numFmtId="0" fontId="15" fillId="14" borderId="0" applyNumberFormat="0" applyBorder="0" applyAlignment="0" applyProtection="0"/>
    <xf numFmtId="0" fontId="15" fillId="14" borderId="0" applyNumberFormat="0" applyBorder="0" applyAlignment="0" applyProtection="0"/>
    <xf numFmtId="0" fontId="35" fillId="46" borderId="0" applyNumberFormat="0" applyBorder="0" applyAlignment="0" applyProtection="0"/>
    <xf numFmtId="0" fontId="35" fillId="46" borderId="0" applyNumberFormat="0" applyBorder="0" applyAlignment="0" applyProtection="0"/>
    <xf numFmtId="0" fontId="35" fillId="46" borderId="0" applyNumberFormat="0" applyBorder="0" applyAlignment="0" applyProtection="0"/>
    <xf numFmtId="0" fontId="35" fillId="46" borderId="0" applyNumberFormat="0" applyBorder="0" applyAlignment="0" applyProtection="0"/>
    <xf numFmtId="0" fontId="35" fillId="46" borderId="0" applyNumberFormat="0" applyBorder="0" applyAlignment="0" applyProtection="0"/>
    <xf numFmtId="0" fontId="35" fillId="46" borderId="0" applyNumberFormat="0" applyBorder="0" applyAlignment="0" applyProtection="0"/>
    <xf numFmtId="0" fontId="35" fillId="46" borderId="0" applyNumberFormat="0" applyBorder="0" applyAlignment="0" applyProtection="0"/>
    <xf numFmtId="0" fontId="35" fillId="46" borderId="0" applyNumberFormat="0" applyBorder="0" applyAlignment="0" applyProtection="0"/>
    <xf numFmtId="0" fontId="35" fillId="46" borderId="0" applyNumberFormat="0" applyBorder="0" applyAlignment="0" applyProtection="0"/>
    <xf numFmtId="0" fontId="35" fillId="47" borderId="0" applyNumberFormat="0" applyBorder="0" applyAlignment="0" applyProtection="0"/>
    <xf numFmtId="0" fontId="35" fillId="47" borderId="0" applyNumberFormat="0" applyBorder="0" applyAlignment="0" applyProtection="0"/>
    <xf numFmtId="0" fontId="35" fillId="47" borderId="0" applyNumberFormat="0" applyBorder="0" applyAlignment="0" applyProtection="0"/>
    <xf numFmtId="0" fontId="35" fillId="47" borderId="0" applyNumberFormat="0" applyBorder="0" applyAlignment="0" applyProtection="0"/>
    <xf numFmtId="0" fontId="35" fillId="47" borderId="0" applyNumberFormat="0" applyBorder="0" applyAlignment="0" applyProtection="0"/>
    <xf numFmtId="0" fontId="35" fillId="47" borderId="0" applyNumberFormat="0" applyBorder="0" applyAlignment="0" applyProtection="0"/>
    <xf numFmtId="0" fontId="35" fillId="47" borderId="0" applyNumberFormat="0" applyBorder="0" applyAlignment="0" applyProtection="0"/>
    <xf numFmtId="0" fontId="35" fillId="47" borderId="0" applyNumberFormat="0" applyBorder="0" applyAlignment="0" applyProtection="0"/>
    <xf numFmtId="0" fontId="35" fillId="47" borderId="0" applyNumberFormat="0" applyBorder="0" applyAlignment="0" applyProtection="0"/>
    <xf numFmtId="0" fontId="15" fillId="19" borderId="0" applyNumberFormat="0" applyBorder="0" applyAlignment="0" applyProtection="0"/>
    <xf numFmtId="0" fontId="15" fillId="19" borderId="0" applyNumberFormat="0" applyBorder="0" applyAlignment="0" applyProtection="0"/>
    <xf numFmtId="0" fontId="35" fillId="47" borderId="0" applyNumberFormat="0" applyBorder="0" applyAlignment="0" applyProtection="0"/>
    <xf numFmtId="0" fontId="35" fillId="47" borderId="0" applyNumberFormat="0" applyBorder="0" applyAlignment="0" applyProtection="0"/>
    <xf numFmtId="0" fontId="35" fillId="47" borderId="0" applyNumberFormat="0" applyBorder="0" applyAlignment="0" applyProtection="0"/>
    <xf numFmtId="0" fontId="35" fillId="47" borderId="0" applyNumberFormat="0" applyBorder="0" applyAlignment="0" applyProtection="0"/>
    <xf numFmtId="0" fontId="35" fillId="47" borderId="0" applyNumberFormat="0" applyBorder="0" applyAlignment="0" applyProtection="0"/>
    <xf numFmtId="0" fontId="35" fillId="47" borderId="0" applyNumberFormat="0" applyBorder="0" applyAlignment="0" applyProtection="0"/>
    <xf numFmtId="0" fontId="35" fillId="47" borderId="0" applyNumberFormat="0" applyBorder="0" applyAlignment="0" applyProtection="0"/>
    <xf numFmtId="0" fontId="35" fillId="47" borderId="0" applyNumberFormat="0" applyBorder="0" applyAlignment="0" applyProtection="0"/>
    <xf numFmtId="0" fontId="35" fillId="47" borderId="0" applyNumberFormat="0" applyBorder="0" applyAlignment="0" applyProtection="0"/>
    <xf numFmtId="0" fontId="36" fillId="48" borderId="0" applyNumberFormat="0" applyBorder="0" applyAlignment="0" applyProtection="0"/>
    <xf numFmtId="0" fontId="36" fillId="48" borderId="0" applyNumberFormat="0" applyBorder="0" applyAlignment="0" applyProtection="0"/>
    <xf numFmtId="0" fontId="36" fillId="48" borderId="0" applyNumberFormat="0" applyBorder="0" applyAlignment="0" applyProtection="0"/>
    <xf numFmtId="0" fontId="36" fillId="48" borderId="0" applyNumberFormat="0" applyBorder="0" applyAlignment="0" applyProtection="0"/>
    <xf numFmtId="0" fontId="36" fillId="48" borderId="0" applyNumberFormat="0" applyBorder="0" applyAlignment="0" applyProtection="0"/>
    <xf numFmtId="0" fontId="36" fillId="48" borderId="0" applyNumberFormat="0" applyBorder="0" applyAlignment="0" applyProtection="0"/>
    <xf numFmtId="0" fontId="36" fillId="48" borderId="0" applyNumberFormat="0" applyBorder="0" applyAlignment="0" applyProtection="0"/>
    <xf numFmtId="0" fontId="36" fillId="48" borderId="0" applyNumberFormat="0" applyBorder="0" applyAlignment="0" applyProtection="0"/>
    <xf numFmtId="0" fontId="36" fillId="48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36" fillId="48" borderId="0" applyNumberFormat="0" applyBorder="0" applyAlignment="0" applyProtection="0"/>
    <xf numFmtId="0" fontId="36" fillId="48" borderId="0" applyNumberFormat="0" applyBorder="0" applyAlignment="0" applyProtection="0"/>
    <xf numFmtId="0" fontId="36" fillId="48" borderId="0" applyNumberFormat="0" applyBorder="0" applyAlignment="0" applyProtection="0"/>
    <xf numFmtId="0" fontId="36" fillId="48" borderId="0" applyNumberFormat="0" applyBorder="0" applyAlignment="0" applyProtection="0"/>
    <xf numFmtId="0" fontId="36" fillId="48" borderId="0" applyNumberFormat="0" applyBorder="0" applyAlignment="0" applyProtection="0"/>
    <xf numFmtId="0" fontId="36" fillId="48" borderId="0" applyNumberFormat="0" applyBorder="0" applyAlignment="0" applyProtection="0"/>
    <xf numFmtId="0" fontId="36" fillId="48" borderId="0" applyNumberFormat="0" applyBorder="0" applyAlignment="0" applyProtection="0"/>
    <xf numFmtId="0" fontId="36" fillId="48" borderId="0" applyNumberFormat="0" applyBorder="0" applyAlignment="0" applyProtection="0"/>
    <xf numFmtId="0" fontId="36" fillId="48" borderId="0" applyNumberFormat="0" applyBorder="0" applyAlignment="0" applyProtection="0"/>
    <xf numFmtId="0" fontId="37" fillId="49" borderId="28" applyNumberFormat="0" applyAlignment="0" applyProtection="0"/>
    <xf numFmtId="0" fontId="37" fillId="49" borderId="28" applyNumberFormat="0" applyAlignment="0" applyProtection="0"/>
    <xf numFmtId="0" fontId="37" fillId="49" borderId="28" applyNumberFormat="0" applyAlignment="0" applyProtection="0"/>
    <xf numFmtId="0" fontId="37" fillId="49" borderId="28" applyNumberFormat="0" applyAlignment="0" applyProtection="0"/>
    <xf numFmtId="0" fontId="37" fillId="49" borderId="28" applyNumberFormat="0" applyAlignment="0" applyProtection="0"/>
    <xf numFmtId="0" fontId="37" fillId="49" borderId="28" applyNumberFormat="0" applyAlignment="0" applyProtection="0"/>
    <xf numFmtId="0" fontId="37" fillId="49" borderId="28" applyNumberFormat="0" applyAlignment="0" applyProtection="0"/>
    <xf numFmtId="0" fontId="37" fillId="49" borderId="28" applyNumberFormat="0" applyAlignment="0" applyProtection="0"/>
    <xf numFmtId="0" fontId="37" fillId="49" borderId="28" applyNumberFormat="0" applyAlignment="0" applyProtection="0"/>
    <xf numFmtId="0" fontId="17" fillId="20" borderId="1" applyNumberFormat="0" applyAlignment="0" applyProtection="0"/>
    <xf numFmtId="0" fontId="17" fillId="20" borderId="1" applyNumberFormat="0" applyAlignment="0" applyProtection="0"/>
    <xf numFmtId="0" fontId="37" fillId="49" borderId="28" applyNumberFormat="0" applyAlignment="0" applyProtection="0"/>
    <xf numFmtId="0" fontId="37" fillId="49" borderId="28" applyNumberFormat="0" applyAlignment="0" applyProtection="0"/>
    <xf numFmtId="0" fontId="37" fillId="49" borderId="28" applyNumberFormat="0" applyAlignment="0" applyProtection="0"/>
    <xf numFmtId="0" fontId="37" fillId="49" borderId="28" applyNumberFormat="0" applyAlignment="0" applyProtection="0"/>
    <xf numFmtId="0" fontId="37" fillId="49" borderId="28" applyNumberFormat="0" applyAlignment="0" applyProtection="0"/>
    <xf numFmtId="0" fontId="37" fillId="49" borderId="28" applyNumberFormat="0" applyAlignment="0" applyProtection="0"/>
    <xf numFmtId="0" fontId="37" fillId="49" borderId="28" applyNumberFormat="0" applyAlignment="0" applyProtection="0"/>
    <xf numFmtId="0" fontId="37" fillId="49" borderId="28" applyNumberFormat="0" applyAlignment="0" applyProtection="0"/>
    <xf numFmtId="0" fontId="37" fillId="49" borderId="28" applyNumberFormat="0" applyAlignment="0" applyProtection="0"/>
    <xf numFmtId="0" fontId="38" fillId="50" borderId="29" applyNumberFormat="0" applyAlignment="0" applyProtection="0"/>
    <xf numFmtId="0" fontId="38" fillId="50" borderId="29" applyNumberFormat="0" applyAlignment="0" applyProtection="0"/>
    <xf numFmtId="0" fontId="38" fillId="50" borderId="29" applyNumberFormat="0" applyAlignment="0" applyProtection="0"/>
    <xf numFmtId="0" fontId="38" fillId="50" borderId="29" applyNumberFormat="0" applyAlignment="0" applyProtection="0"/>
    <xf numFmtId="0" fontId="38" fillId="50" borderId="29" applyNumberFormat="0" applyAlignment="0" applyProtection="0"/>
    <xf numFmtId="0" fontId="38" fillId="50" borderId="29" applyNumberFormat="0" applyAlignment="0" applyProtection="0"/>
    <xf numFmtId="0" fontId="38" fillId="50" borderId="29" applyNumberFormat="0" applyAlignment="0" applyProtection="0"/>
    <xf numFmtId="0" fontId="38" fillId="50" borderId="29" applyNumberFormat="0" applyAlignment="0" applyProtection="0"/>
    <xf numFmtId="0" fontId="38" fillId="50" borderId="29" applyNumberFormat="0" applyAlignment="0" applyProtection="0"/>
    <xf numFmtId="0" fontId="18" fillId="21" borderId="2" applyNumberFormat="0" applyAlignment="0" applyProtection="0"/>
    <xf numFmtId="0" fontId="18" fillId="21" borderId="2" applyNumberFormat="0" applyAlignment="0" applyProtection="0"/>
    <xf numFmtId="0" fontId="38" fillId="50" borderId="29" applyNumberFormat="0" applyAlignment="0" applyProtection="0"/>
    <xf numFmtId="0" fontId="38" fillId="50" borderId="29" applyNumberFormat="0" applyAlignment="0" applyProtection="0"/>
    <xf numFmtId="0" fontId="38" fillId="50" borderId="29" applyNumberFormat="0" applyAlignment="0" applyProtection="0"/>
    <xf numFmtId="0" fontId="38" fillId="50" borderId="29" applyNumberFormat="0" applyAlignment="0" applyProtection="0"/>
    <xf numFmtId="0" fontId="38" fillId="50" borderId="29" applyNumberFormat="0" applyAlignment="0" applyProtection="0"/>
    <xf numFmtId="0" fontId="38" fillId="50" borderId="29" applyNumberFormat="0" applyAlignment="0" applyProtection="0"/>
    <xf numFmtId="0" fontId="38" fillId="50" borderId="29" applyNumberFormat="0" applyAlignment="0" applyProtection="0"/>
    <xf numFmtId="0" fontId="38" fillId="50" borderId="29" applyNumberFormat="0" applyAlignment="0" applyProtection="0"/>
    <xf numFmtId="0" fontId="38" fillId="50" borderId="29" applyNumberFormat="0" applyAlignment="0" applyProtection="0"/>
    <xf numFmtId="43" fontId="6" fillId="0" borderId="0" applyFont="0" applyFill="0" applyBorder="0" applyAlignment="0" applyProtection="0"/>
    <xf numFmtId="179" fontId="6" fillId="0" borderId="0" applyFont="0" applyFill="0" applyBorder="0" applyAlignment="0" applyProtection="0"/>
    <xf numFmtId="179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9" fontId="6" fillId="0" borderId="0" applyFont="0" applyFill="0" applyBorder="0" applyAlignment="0" applyProtection="0"/>
    <xf numFmtId="179" fontId="6" fillId="0" borderId="0" applyFont="0" applyFill="0" applyBorder="0" applyAlignment="0" applyProtection="0"/>
    <xf numFmtId="179" fontId="6" fillId="0" borderId="0" applyFont="0" applyFill="0" applyBorder="0" applyAlignment="0" applyProtection="0"/>
    <xf numFmtId="179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85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80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7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71" fontId="5" fillId="0" borderId="0" applyFont="0" applyFill="0" applyBorder="0" applyAlignment="0" applyProtection="0"/>
    <xf numFmtId="43" fontId="6" fillId="0" borderId="0" applyFont="0" applyFill="0" applyBorder="0" applyAlignment="0" applyProtection="0"/>
    <xf numFmtId="171" fontId="5" fillId="0" borderId="0" applyFont="0" applyFill="0" applyBorder="0" applyAlignment="0" applyProtection="0"/>
    <xf numFmtId="171" fontId="5" fillId="0" borderId="0" applyFont="0" applyFill="0" applyBorder="0" applyAlignment="0" applyProtection="0"/>
    <xf numFmtId="43" fontId="6" fillId="0" borderId="0" applyFont="0" applyFill="0" applyBorder="0" applyAlignment="0" applyProtection="0"/>
    <xf numFmtId="171" fontId="5" fillId="0" borderId="0" applyFont="0" applyFill="0" applyBorder="0" applyAlignment="0" applyProtection="0"/>
    <xf numFmtId="171" fontId="5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82" fontId="27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 applyFont="0" applyFill="0" applyBorder="0" applyAlignment="0" applyProtection="0"/>
    <xf numFmtId="0" fontId="6" fillId="0" borderId="0" applyFont="0" applyFill="0" applyBorder="0" applyAlignment="0" applyProtection="0"/>
    <xf numFmtId="0" fontId="6" fillId="0" borderId="0" applyFont="0" applyFill="0" applyBorder="0" applyAlignment="0" applyProtection="0"/>
    <xf numFmtId="0" fontId="6" fillId="0" borderId="0" applyFont="0" applyFill="0" applyBorder="0" applyAlignment="0" applyProtection="0"/>
    <xf numFmtId="0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 applyFont="0" applyFill="0" applyBorder="0" applyAlignment="0" applyProtection="0"/>
    <xf numFmtId="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 applyFont="0" applyFill="0" applyBorder="0" applyAlignment="0" applyProtection="0"/>
    <xf numFmtId="0" fontId="6" fillId="0" borderId="0" applyFont="0" applyFill="0" applyBorder="0" applyAlignment="0" applyProtection="0"/>
    <xf numFmtId="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2" fontId="6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 applyFont="0" applyFill="0" applyBorder="0" applyAlignment="0" applyProtection="0"/>
    <xf numFmtId="0" fontId="6" fillId="0" borderId="0" applyFont="0" applyFill="0" applyBorder="0" applyAlignment="0" applyProtection="0"/>
    <xf numFmtId="182" fontId="27" fillId="0" borderId="0" applyFont="0" applyFill="0" applyBorder="0" applyAlignment="0" applyProtection="0"/>
    <xf numFmtId="0" fontId="6" fillId="0" borderId="0" applyFont="0" applyFill="0" applyBorder="0" applyAlignment="0" applyProtection="0"/>
    <xf numFmtId="175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0" fontId="6" fillId="0" borderId="0" applyFont="0" applyFill="0" applyBorder="0" applyAlignment="0" applyProtection="0"/>
    <xf numFmtId="0" fontId="6" fillId="0" borderId="0" applyFont="0" applyFill="0" applyBorder="0" applyAlignment="0" applyProtection="0"/>
    <xf numFmtId="0" fontId="6" fillId="0" borderId="0" applyFont="0" applyFill="0" applyBorder="0" applyAlignment="0" applyProtection="0"/>
    <xf numFmtId="0" fontId="6" fillId="0" borderId="0" applyFont="0" applyFill="0" applyBorder="0" applyAlignment="0" applyProtection="0"/>
    <xf numFmtId="187" fontId="6" fillId="0" borderId="0" applyFont="0" applyFill="0" applyBorder="0" applyAlignment="0" applyProtection="0"/>
    <xf numFmtId="187" fontId="6" fillId="0" borderId="0" applyFont="0" applyFill="0" applyBorder="0" applyAlignment="0" applyProtection="0"/>
    <xf numFmtId="187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1" fontId="27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87" fontId="6" fillId="0" borderId="0" applyFont="0" applyFill="0" applyBorder="0" applyAlignment="0" applyProtection="0"/>
    <xf numFmtId="187" fontId="6" fillId="0" borderId="0" applyFont="0" applyFill="0" applyBorder="0" applyAlignment="0" applyProtection="0"/>
    <xf numFmtId="187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87" fontId="6" fillId="0" borderId="0" applyFont="0" applyFill="0" applyBorder="0" applyAlignment="0" applyProtection="0"/>
    <xf numFmtId="187" fontId="6" fillId="0" borderId="0" applyFont="0" applyFill="0" applyBorder="0" applyAlignment="0" applyProtection="0"/>
    <xf numFmtId="187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5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6" fillId="0" borderId="0" applyFont="0" applyFill="0" applyBorder="0" applyAlignment="0" applyProtection="0"/>
    <xf numFmtId="172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167" fontId="27" fillId="0" borderId="0" applyFont="0" applyFill="0" applyBorder="0" applyAlignment="0" applyProtection="0"/>
    <xf numFmtId="167" fontId="27" fillId="0" borderId="0" applyFont="0" applyFill="0" applyBorder="0" applyAlignment="0" applyProtection="0"/>
    <xf numFmtId="179" fontId="6" fillId="0" borderId="0" applyFont="0" applyFill="0" applyBorder="0" applyAlignment="0" applyProtection="0"/>
    <xf numFmtId="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89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7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9" fontId="6" fillId="0" borderId="0" applyFont="0" applyFill="0" applyBorder="0" applyAlignment="0" applyProtection="0"/>
    <xf numFmtId="186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88" fontId="6" fillId="0" borderId="0" applyFont="0" applyFill="0" applyBorder="0" applyAlignment="0" applyProtection="0"/>
    <xf numFmtId="188" fontId="6" fillId="0" borderId="0" applyFont="0" applyFill="0" applyBorder="0" applyAlignment="0" applyProtection="0"/>
    <xf numFmtId="188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79" fontId="6" fillId="0" borderId="0" applyFont="0" applyFill="0" applyBorder="0" applyAlignment="0" applyProtection="0"/>
    <xf numFmtId="17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27" fillId="0" borderId="0" applyFont="0" applyFill="0" applyBorder="0" applyAlignment="0" applyProtection="0"/>
    <xf numFmtId="179" fontId="6" fillId="0" borderId="0" applyFont="0" applyFill="0" applyBorder="0" applyAlignment="0" applyProtection="0"/>
    <xf numFmtId="17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27" fillId="0" borderId="0" applyFont="0" applyFill="0" applyBorder="0" applyAlignment="0" applyProtection="0"/>
    <xf numFmtId="179" fontId="6" fillId="0" borderId="0" applyFont="0" applyFill="0" applyBorder="0" applyAlignment="0" applyProtection="0"/>
    <xf numFmtId="179" fontId="6" fillId="0" borderId="0" applyFont="0" applyFill="0" applyBorder="0" applyAlignment="0" applyProtection="0"/>
    <xf numFmtId="0" fontId="27" fillId="0" borderId="0" applyFont="0" applyFill="0" applyBorder="0" applyAlignment="0" applyProtection="0"/>
    <xf numFmtId="179" fontId="6" fillId="0" borderId="0" applyFont="0" applyFill="0" applyBorder="0" applyAlignment="0" applyProtection="0"/>
    <xf numFmtId="0" fontId="27" fillId="0" borderId="0" applyFont="0" applyFill="0" applyBorder="0" applyAlignment="0" applyProtection="0"/>
    <xf numFmtId="0" fontId="6" fillId="0" borderId="0" applyFont="0" applyFill="0" applyBorder="0" applyAlignment="0" applyProtection="0"/>
    <xf numFmtId="0" fontId="6" fillId="0" borderId="0" applyFont="0" applyFill="0" applyBorder="0" applyAlignment="0" applyProtection="0"/>
    <xf numFmtId="0" fontId="6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5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27" fillId="0" borderId="0" applyFont="0" applyFill="0" applyBorder="0" applyAlignment="0" applyProtection="0"/>
    <xf numFmtId="167" fontId="27" fillId="0" borderId="0" applyFont="0" applyFill="0" applyBorder="0" applyAlignment="0" applyProtection="0"/>
    <xf numFmtId="0" fontId="6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75" fontId="6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6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7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179" fontId="6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43" fontId="27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6" fillId="0" borderId="0" applyFont="0" applyFill="0" applyBorder="0" applyAlignment="0" applyProtection="0"/>
    <xf numFmtId="179" fontId="6" fillId="0" borderId="0" applyFont="0" applyFill="0" applyBorder="0" applyAlignment="0" applyProtection="0"/>
    <xf numFmtId="43" fontId="27" fillId="0" borderId="0" applyFont="0" applyFill="0" applyBorder="0" applyAlignment="0" applyProtection="0"/>
    <xf numFmtId="179" fontId="6" fillId="0" borderId="0" applyFont="0" applyFill="0" applyBorder="0" applyAlignment="0" applyProtection="0"/>
    <xf numFmtId="179" fontId="6" fillId="0" borderId="0" applyFont="0" applyFill="0" applyBorder="0" applyAlignment="0" applyProtection="0"/>
    <xf numFmtId="43" fontId="27" fillId="0" borderId="0" applyFont="0" applyFill="0" applyBorder="0" applyAlignment="0" applyProtection="0"/>
    <xf numFmtId="179" fontId="6" fillId="0" borderId="0" applyFont="0" applyFill="0" applyBorder="0" applyAlignment="0" applyProtection="0"/>
    <xf numFmtId="17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84" fontId="6" fillId="0" borderId="0" applyFont="0" applyFill="0" applyBorder="0" applyAlignment="0" applyProtection="0"/>
    <xf numFmtId="17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9" fontId="6" fillId="0" borderId="0" applyFont="0" applyFill="0" applyBorder="0" applyAlignment="0" applyProtection="0"/>
    <xf numFmtId="43" fontId="27" fillId="0" borderId="0" applyFont="0" applyFill="0" applyBorder="0" applyAlignment="0" applyProtection="0"/>
    <xf numFmtId="0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69" fontId="6" fillId="0" borderId="0" applyFont="0" applyFill="0" applyBorder="0" applyAlignment="0" applyProtection="0"/>
    <xf numFmtId="170" fontId="5" fillId="0" borderId="0" applyFont="0" applyFill="0" applyBorder="0" applyAlignment="0" applyProtection="0"/>
    <xf numFmtId="169" fontId="6" fillId="0" borderId="0" applyFont="0" applyFill="0" applyBorder="0" applyAlignment="0" applyProtection="0"/>
    <xf numFmtId="170" fontId="5" fillId="0" borderId="0" applyFont="0" applyFill="0" applyBorder="0" applyAlignment="0" applyProtection="0"/>
    <xf numFmtId="169" fontId="6" fillId="0" borderId="0" applyFont="0" applyFill="0" applyBorder="0" applyAlignment="0" applyProtection="0"/>
    <xf numFmtId="170" fontId="5" fillId="0" borderId="0" applyFont="0" applyFill="0" applyBorder="0" applyAlignment="0" applyProtection="0"/>
    <xf numFmtId="169" fontId="6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69" fontId="6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69" fontId="6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69" fontId="6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70" fontId="5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69" fontId="6" fillId="0" borderId="0" applyFont="0" applyFill="0" applyBorder="0" applyAlignment="0" applyProtection="0"/>
    <xf numFmtId="170" fontId="5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70" fontId="5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69" fontId="6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70" fontId="5" fillId="0" borderId="0" applyFont="0" applyFill="0" applyBorder="0" applyAlignment="0" applyProtection="0"/>
    <xf numFmtId="169" fontId="6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69" fontId="6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27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27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27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27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27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40" fillId="51" borderId="0" applyNumberFormat="0" applyBorder="0" applyAlignment="0" applyProtection="0"/>
    <xf numFmtId="0" fontId="40" fillId="51" borderId="0" applyNumberFormat="0" applyBorder="0" applyAlignment="0" applyProtection="0"/>
    <xf numFmtId="0" fontId="40" fillId="51" borderId="0" applyNumberFormat="0" applyBorder="0" applyAlignment="0" applyProtection="0"/>
    <xf numFmtId="0" fontId="40" fillId="51" borderId="0" applyNumberFormat="0" applyBorder="0" applyAlignment="0" applyProtection="0"/>
    <xf numFmtId="0" fontId="40" fillId="51" borderId="0" applyNumberFormat="0" applyBorder="0" applyAlignment="0" applyProtection="0"/>
    <xf numFmtId="0" fontId="40" fillId="51" borderId="0" applyNumberFormat="0" applyBorder="0" applyAlignment="0" applyProtection="0"/>
    <xf numFmtId="0" fontId="40" fillId="51" borderId="0" applyNumberFormat="0" applyBorder="0" applyAlignment="0" applyProtection="0"/>
    <xf numFmtId="0" fontId="40" fillId="51" borderId="0" applyNumberFormat="0" applyBorder="0" applyAlignment="0" applyProtection="0"/>
    <xf numFmtId="0" fontId="40" fillId="51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40" fillId="51" borderId="0" applyNumberFormat="0" applyBorder="0" applyAlignment="0" applyProtection="0"/>
    <xf numFmtId="0" fontId="40" fillId="51" borderId="0" applyNumberFormat="0" applyBorder="0" applyAlignment="0" applyProtection="0"/>
    <xf numFmtId="0" fontId="40" fillId="51" borderId="0" applyNumberFormat="0" applyBorder="0" applyAlignment="0" applyProtection="0"/>
    <xf numFmtId="0" fontId="40" fillId="51" borderId="0" applyNumberFormat="0" applyBorder="0" applyAlignment="0" applyProtection="0"/>
    <xf numFmtId="0" fontId="40" fillId="51" borderId="0" applyNumberFormat="0" applyBorder="0" applyAlignment="0" applyProtection="0"/>
    <xf numFmtId="0" fontId="40" fillId="51" borderId="0" applyNumberFormat="0" applyBorder="0" applyAlignment="0" applyProtection="0"/>
    <xf numFmtId="0" fontId="40" fillId="51" borderId="0" applyNumberFormat="0" applyBorder="0" applyAlignment="0" applyProtection="0"/>
    <xf numFmtId="0" fontId="40" fillId="51" borderId="0" applyNumberFormat="0" applyBorder="0" applyAlignment="0" applyProtection="0"/>
    <xf numFmtId="0" fontId="40" fillId="51" borderId="0" applyNumberFormat="0" applyBorder="0" applyAlignment="0" applyProtection="0"/>
    <xf numFmtId="0" fontId="41" fillId="0" borderId="30" applyNumberFormat="0" applyFill="0" applyAlignment="0" applyProtection="0"/>
    <xf numFmtId="0" fontId="41" fillId="0" borderId="30" applyNumberFormat="0" applyFill="0" applyAlignment="0" applyProtection="0"/>
    <xf numFmtId="0" fontId="41" fillId="0" borderId="30" applyNumberFormat="0" applyFill="0" applyAlignment="0" applyProtection="0"/>
    <xf numFmtId="0" fontId="41" fillId="0" borderId="30" applyNumberFormat="0" applyFill="0" applyAlignment="0" applyProtection="0"/>
    <xf numFmtId="0" fontId="41" fillId="0" borderId="30" applyNumberFormat="0" applyFill="0" applyAlignment="0" applyProtection="0"/>
    <xf numFmtId="0" fontId="41" fillId="0" borderId="30" applyNumberFormat="0" applyFill="0" applyAlignment="0" applyProtection="0"/>
    <xf numFmtId="0" fontId="41" fillId="0" borderId="30" applyNumberFormat="0" applyFill="0" applyAlignment="0" applyProtection="0"/>
    <xf numFmtId="0" fontId="41" fillId="0" borderId="30" applyNumberFormat="0" applyFill="0" applyAlignment="0" applyProtection="0"/>
    <xf numFmtId="0" fontId="41" fillId="0" borderId="30" applyNumberFormat="0" applyFill="0" applyAlignment="0" applyProtection="0"/>
    <xf numFmtId="0" fontId="21" fillId="0" borderId="3" applyNumberFormat="0" applyFill="0" applyAlignment="0" applyProtection="0"/>
    <xf numFmtId="0" fontId="21" fillId="0" borderId="3" applyNumberFormat="0" applyFill="0" applyAlignment="0" applyProtection="0"/>
    <xf numFmtId="0" fontId="41" fillId="0" borderId="30" applyNumberFormat="0" applyFill="0" applyAlignment="0" applyProtection="0"/>
    <xf numFmtId="0" fontId="41" fillId="0" borderId="30" applyNumberFormat="0" applyFill="0" applyAlignment="0" applyProtection="0"/>
    <xf numFmtId="0" fontId="41" fillId="0" borderId="30" applyNumberFormat="0" applyFill="0" applyAlignment="0" applyProtection="0"/>
    <xf numFmtId="0" fontId="41" fillId="0" borderId="30" applyNumberFormat="0" applyFill="0" applyAlignment="0" applyProtection="0"/>
    <xf numFmtId="0" fontId="41" fillId="0" borderId="30" applyNumberFormat="0" applyFill="0" applyAlignment="0" applyProtection="0"/>
    <xf numFmtId="0" fontId="41" fillId="0" borderId="30" applyNumberFormat="0" applyFill="0" applyAlignment="0" applyProtection="0"/>
    <xf numFmtId="0" fontId="41" fillId="0" borderId="30" applyNumberFormat="0" applyFill="0" applyAlignment="0" applyProtection="0"/>
    <xf numFmtId="0" fontId="41" fillId="0" borderId="30" applyNumberFormat="0" applyFill="0" applyAlignment="0" applyProtection="0"/>
    <xf numFmtId="0" fontId="41" fillId="0" borderId="30" applyNumberFormat="0" applyFill="0" applyAlignment="0" applyProtection="0"/>
    <xf numFmtId="0" fontId="42" fillId="0" borderId="31" applyNumberFormat="0" applyFill="0" applyAlignment="0" applyProtection="0"/>
    <xf numFmtId="0" fontId="42" fillId="0" borderId="31" applyNumberFormat="0" applyFill="0" applyAlignment="0" applyProtection="0"/>
    <xf numFmtId="0" fontId="42" fillId="0" borderId="31" applyNumberFormat="0" applyFill="0" applyAlignment="0" applyProtection="0"/>
    <xf numFmtId="0" fontId="42" fillId="0" borderId="31" applyNumberFormat="0" applyFill="0" applyAlignment="0" applyProtection="0"/>
    <xf numFmtId="0" fontId="42" fillId="0" borderId="31" applyNumberFormat="0" applyFill="0" applyAlignment="0" applyProtection="0"/>
    <xf numFmtId="0" fontId="42" fillId="0" borderId="31" applyNumberFormat="0" applyFill="0" applyAlignment="0" applyProtection="0"/>
    <xf numFmtId="0" fontId="42" fillId="0" borderId="31" applyNumberFormat="0" applyFill="0" applyAlignment="0" applyProtection="0"/>
    <xf numFmtId="0" fontId="42" fillId="0" borderId="31" applyNumberFormat="0" applyFill="0" applyAlignment="0" applyProtection="0"/>
    <xf numFmtId="0" fontId="42" fillId="0" borderId="31" applyNumberFormat="0" applyFill="0" applyAlignment="0" applyProtection="0"/>
    <xf numFmtId="0" fontId="22" fillId="0" borderId="4" applyNumberFormat="0" applyFill="0" applyAlignment="0" applyProtection="0"/>
    <xf numFmtId="0" fontId="22" fillId="0" borderId="4" applyNumberFormat="0" applyFill="0" applyAlignment="0" applyProtection="0"/>
    <xf numFmtId="0" fontId="42" fillId="0" borderId="31" applyNumberFormat="0" applyFill="0" applyAlignment="0" applyProtection="0"/>
    <xf numFmtId="0" fontId="42" fillId="0" borderId="31" applyNumberFormat="0" applyFill="0" applyAlignment="0" applyProtection="0"/>
    <xf numFmtId="0" fontId="42" fillId="0" borderId="31" applyNumberFormat="0" applyFill="0" applyAlignment="0" applyProtection="0"/>
    <xf numFmtId="0" fontId="42" fillId="0" borderId="31" applyNumberFormat="0" applyFill="0" applyAlignment="0" applyProtection="0"/>
    <xf numFmtId="0" fontId="42" fillId="0" borderId="31" applyNumberFormat="0" applyFill="0" applyAlignment="0" applyProtection="0"/>
    <xf numFmtId="0" fontId="42" fillId="0" borderId="31" applyNumberFormat="0" applyFill="0" applyAlignment="0" applyProtection="0"/>
    <xf numFmtId="0" fontId="42" fillId="0" borderId="31" applyNumberFormat="0" applyFill="0" applyAlignment="0" applyProtection="0"/>
    <xf numFmtId="0" fontId="42" fillId="0" borderId="31" applyNumberFormat="0" applyFill="0" applyAlignment="0" applyProtection="0"/>
    <xf numFmtId="0" fontId="42" fillId="0" borderId="31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23" fillId="0" borderId="5" applyNumberFormat="0" applyFill="0" applyAlignment="0" applyProtection="0"/>
    <xf numFmtId="0" fontId="23" fillId="0" borderId="5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28" fillId="0" borderId="0" applyNumberFormat="0" applyFill="0" applyBorder="0" applyAlignment="0" applyProtection="0">
      <alignment vertical="top"/>
      <protection locked="0"/>
    </xf>
    <xf numFmtId="0" fontId="44" fillId="52" borderId="28" applyNumberFormat="0" applyAlignment="0" applyProtection="0"/>
    <xf numFmtId="0" fontId="44" fillId="52" borderId="28" applyNumberFormat="0" applyAlignment="0" applyProtection="0"/>
    <xf numFmtId="0" fontId="44" fillId="52" borderId="28" applyNumberFormat="0" applyAlignment="0" applyProtection="0"/>
    <xf numFmtId="0" fontId="44" fillId="52" borderId="28" applyNumberFormat="0" applyAlignment="0" applyProtection="0"/>
    <xf numFmtId="0" fontId="44" fillId="52" borderId="28" applyNumberFormat="0" applyAlignment="0" applyProtection="0"/>
    <xf numFmtId="0" fontId="44" fillId="52" borderId="28" applyNumberFormat="0" applyAlignment="0" applyProtection="0"/>
    <xf numFmtId="0" fontId="44" fillId="52" borderId="28" applyNumberFormat="0" applyAlignment="0" applyProtection="0"/>
    <xf numFmtId="0" fontId="44" fillId="52" borderId="28" applyNumberFormat="0" applyAlignment="0" applyProtection="0"/>
    <xf numFmtId="0" fontId="44" fillId="52" borderId="28" applyNumberFormat="0" applyAlignment="0" applyProtection="0"/>
    <xf numFmtId="0" fontId="24" fillId="7" borderId="1" applyNumberFormat="0" applyAlignment="0" applyProtection="0"/>
    <xf numFmtId="0" fontId="24" fillId="7" borderId="1" applyNumberFormat="0" applyAlignment="0" applyProtection="0"/>
    <xf numFmtId="0" fontId="44" fillId="52" borderId="28" applyNumberFormat="0" applyAlignment="0" applyProtection="0"/>
    <xf numFmtId="0" fontId="44" fillId="52" borderId="28" applyNumberFormat="0" applyAlignment="0" applyProtection="0"/>
    <xf numFmtId="0" fontId="44" fillId="52" borderId="28" applyNumberFormat="0" applyAlignment="0" applyProtection="0"/>
    <xf numFmtId="0" fontId="44" fillId="52" borderId="28" applyNumberFormat="0" applyAlignment="0" applyProtection="0"/>
    <xf numFmtId="0" fontId="44" fillId="52" borderId="28" applyNumberFormat="0" applyAlignment="0" applyProtection="0"/>
    <xf numFmtId="0" fontId="44" fillId="52" borderId="28" applyNumberFormat="0" applyAlignment="0" applyProtection="0"/>
    <xf numFmtId="0" fontId="44" fillId="52" borderId="28" applyNumberFormat="0" applyAlignment="0" applyProtection="0"/>
    <xf numFmtId="0" fontId="44" fillId="52" borderId="28" applyNumberFormat="0" applyAlignment="0" applyProtection="0"/>
    <xf numFmtId="0" fontId="44" fillId="52" borderId="28" applyNumberFormat="0" applyAlignment="0" applyProtection="0"/>
    <xf numFmtId="0" fontId="45" fillId="0" borderId="33" applyNumberFormat="0" applyFill="0" applyAlignment="0" applyProtection="0"/>
    <xf numFmtId="0" fontId="45" fillId="0" borderId="33" applyNumberFormat="0" applyFill="0" applyAlignment="0" applyProtection="0"/>
    <xf numFmtId="0" fontId="45" fillId="0" borderId="33" applyNumberFormat="0" applyFill="0" applyAlignment="0" applyProtection="0"/>
    <xf numFmtId="0" fontId="45" fillId="0" borderId="33" applyNumberFormat="0" applyFill="0" applyAlignment="0" applyProtection="0"/>
    <xf numFmtId="0" fontId="45" fillId="0" borderId="33" applyNumberFormat="0" applyFill="0" applyAlignment="0" applyProtection="0"/>
    <xf numFmtId="0" fontId="45" fillId="0" borderId="33" applyNumberFormat="0" applyFill="0" applyAlignment="0" applyProtection="0"/>
    <xf numFmtId="0" fontId="45" fillId="0" borderId="33" applyNumberFormat="0" applyFill="0" applyAlignment="0" applyProtection="0"/>
    <xf numFmtId="0" fontId="45" fillId="0" borderId="33" applyNumberFormat="0" applyFill="0" applyAlignment="0" applyProtection="0"/>
    <xf numFmtId="0" fontId="45" fillId="0" borderId="33" applyNumberFormat="0" applyFill="0" applyAlignment="0" applyProtection="0"/>
    <xf numFmtId="0" fontId="25" fillId="0" borderId="6" applyNumberFormat="0" applyFill="0" applyAlignment="0" applyProtection="0"/>
    <xf numFmtId="0" fontId="25" fillId="0" borderId="6" applyNumberFormat="0" applyFill="0" applyAlignment="0" applyProtection="0"/>
    <xf numFmtId="0" fontId="45" fillId="0" borderId="33" applyNumberFormat="0" applyFill="0" applyAlignment="0" applyProtection="0"/>
    <xf numFmtId="0" fontId="45" fillId="0" borderId="33" applyNumberFormat="0" applyFill="0" applyAlignment="0" applyProtection="0"/>
    <xf numFmtId="0" fontId="45" fillId="0" borderId="33" applyNumberFormat="0" applyFill="0" applyAlignment="0" applyProtection="0"/>
    <xf numFmtId="0" fontId="45" fillId="0" borderId="33" applyNumberFormat="0" applyFill="0" applyAlignment="0" applyProtection="0"/>
    <xf numFmtId="0" fontId="45" fillId="0" borderId="33" applyNumberFormat="0" applyFill="0" applyAlignment="0" applyProtection="0"/>
    <xf numFmtId="0" fontId="45" fillId="0" borderId="33" applyNumberFormat="0" applyFill="0" applyAlignment="0" applyProtection="0"/>
    <xf numFmtId="0" fontId="45" fillId="0" borderId="33" applyNumberFormat="0" applyFill="0" applyAlignment="0" applyProtection="0"/>
    <xf numFmtId="0" fontId="45" fillId="0" borderId="33" applyNumberFormat="0" applyFill="0" applyAlignment="0" applyProtection="0"/>
    <xf numFmtId="0" fontId="45" fillId="0" borderId="33" applyNumberFormat="0" applyFill="0" applyAlignment="0" applyProtection="0"/>
    <xf numFmtId="0" fontId="46" fillId="53" borderId="0" applyNumberFormat="0" applyBorder="0" applyAlignment="0" applyProtection="0"/>
    <xf numFmtId="0" fontId="46" fillId="53" borderId="0" applyNumberFormat="0" applyBorder="0" applyAlignment="0" applyProtection="0"/>
    <xf numFmtId="0" fontId="46" fillId="53" borderId="0" applyNumberFormat="0" applyBorder="0" applyAlignment="0" applyProtection="0"/>
    <xf numFmtId="0" fontId="46" fillId="53" borderId="0" applyNumberFormat="0" applyBorder="0" applyAlignment="0" applyProtection="0"/>
    <xf numFmtId="0" fontId="46" fillId="53" borderId="0" applyNumberFormat="0" applyBorder="0" applyAlignment="0" applyProtection="0"/>
    <xf numFmtId="0" fontId="46" fillId="53" borderId="0" applyNumberFormat="0" applyBorder="0" applyAlignment="0" applyProtection="0"/>
    <xf numFmtId="0" fontId="46" fillId="53" borderId="0" applyNumberFormat="0" applyBorder="0" applyAlignment="0" applyProtection="0"/>
    <xf numFmtId="0" fontId="46" fillId="53" borderId="0" applyNumberFormat="0" applyBorder="0" applyAlignment="0" applyProtection="0"/>
    <xf numFmtId="0" fontId="46" fillId="53" borderId="0" applyNumberFormat="0" applyBorder="0" applyAlignment="0" applyProtection="0"/>
    <xf numFmtId="0" fontId="26" fillId="22" borderId="0" applyNumberFormat="0" applyBorder="0" applyAlignment="0" applyProtection="0"/>
    <xf numFmtId="0" fontId="26" fillId="22" borderId="0" applyNumberFormat="0" applyBorder="0" applyAlignment="0" applyProtection="0"/>
    <xf numFmtId="0" fontId="46" fillId="53" borderId="0" applyNumberFormat="0" applyBorder="0" applyAlignment="0" applyProtection="0"/>
    <xf numFmtId="0" fontId="46" fillId="53" borderId="0" applyNumberFormat="0" applyBorder="0" applyAlignment="0" applyProtection="0"/>
    <xf numFmtId="0" fontId="46" fillId="53" borderId="0" applyNumberFormat="0" applyBorder="0" applyAlignment="0" applyProtection="0"/>
    <xf numFmtId="0" fontId="46" fillId="53" borderId="0" applyNumberFormat="0" applyBorder="0" applyAlignment="0" applyProtection="0"/>
    <xf numFmtId="0" fontId="46" fillId="53" borderId="0" applyNumberFormat="0" applyBorder="0" applyAlignment="0" applyProtection="0"/>
    <xf numFmtId="0" fontId="46" fillId="53" borderId="0" applyNumberFormat="0" applyBorder="0" applyAlignment="0" applyProtection="0"/>
    <xf numFmtId="0" fontId="46" fillId="53" borderId="0" applyNumberFormat="0" applyBorder="0" applyAlignment="0" applyProtection="0"/>
    <xf numFmtId="0" fontId="46" fillId="53" borderId="0" applyNumberFormat="0" applyBorder="0" applyAlignment="0" applyProtection="0"/>
    <xf numFmtId="0" fontId="46" fillId="53" borderId="0" applyNumberFormat="0" applyBorder="0" applyAlignment="0" applyProtection="0"/>
    <xf numFmtId="0" fontId="6" fillId="0" borderId="0"/>
    <xf numFmtId="0" fontId="34" fillId="0" borderId="0"/>
    <xf numFmtId="0" fontId="34" fillId="0" borderId="0"/>
    <xf numFmtId="0" fontId="34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6" fillId="0" borderId="0"/>
    <xf numFmtId="0" fontId="6" fillId="0" borderId="0"/>
    <xf numFmtId="0" fontId="34" fillId="0" borderId="0"/>
    <xf numFmtId="0" fontId="6" fillId="0" borderId="0"/>
    <xf numFmtId="0" fontId="6" fillId="0" borderId="0"/>
    <xf numFmtId="0" fontId="34" fillId="0" borderId="0"/>
    <xf numFmtId="0" fontId="7" fillId="0" borderId="0"/>
    <xf numFmtId="0" fontId="34" fillId="0" borderId="0"/>
    <xf numFmtId="0" fontId="34" fillId="0" borderId="0"/>
    <xf numFmtId="0" fontId="34" fillId="0" borderId="0"/>
    <xf numFmtId="0" fontId="6" fillId="0" borderId="0"/>
    <xf numFmtId="0" fontId="7" fillId="0" borderId="0"/>
    <xf numFmtId="0" fontId="7" fillId="0" borderId="0"/>
    <xf numFmtId="0" fontId="34" fillId="0" borderId="0"/>
    <xf numFmtId="0" fontId="34" fillId="0" borderId="0"/>
    <xf numFmtId="0" fontId="34" fillId="0" borderId="0"/>
    <xf numFmtId="0" fontId="6" fillId="0" borderId="0"/>
    <xf numFmtId="0" fontId="29" fillId="0" borderId="0"/>
    <xf numFmtId="0" fontId="34" fillId="0" borderId="0"/>
    <xf numFmtId="0" fontId="34" fillId="0" borderId="0"/>
    <xf numFmtId="0" fontId="34" fillId="0" borderId="0"/>
    <xf numFmtId="0" fontId="6" fillId="0" borderId="0"/>
    <xf numFmtId="0" fontId="34" fillId="0" borderId="0"/>
    <xf numFmtId="0" fontId="34" fillId="0" borderId="0"/>
    <xf numFmtId="0" fontId="34" fillId="0" borderId="0"/>
    <xf numFmtId="0" fontId="6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" fillId="0" borderId="0"/>
    <xf numFmtId="0" fontId="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34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4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4" fillId="0" borderId="0"/>
    <xf numFmtId="0" fontId="6" fillId="0" borderId="0"/>
    <xf numFmtId="0" fontId="34" fillId="0" borderId="0"/>
    <xf numFmtId="0" fontId="6" fillId="0" borderId="0"/>
    <xf numFmtId="0" fontId="34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4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6" fillId="0" borderId="0"/>
    <xf numFmtId="0" fontId="7" fillId="0" borderId="0"/>
    <xf numFmtId="0" fontId="34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9" fillId="0" borderId="0"/>
    <xf numFmtId="0" fontId="9" fillId="0" borderId="0"/>
    <xf numFmtId="0" fontId="6" fillId="0" borderId="0"/>
    <xf numFmtId="0" fontId="9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4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6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6" fillId="0" borderId="0"/>
    <xf numFmtId="0" fontId="34" fillId="0" borderId="0"/>
    <xf numFmtId="0" fontId="34" fillId="0" borderId="0"/>
    <xf numFmtId="0" fontId="6" fillId="0" borderId="0"/>
    <xf numFmtId="0" fontId="34" fillId="0" borderId="0"/>
    <xf numFmtId="0" fontId="34" fillId="0" borderId="0"/>
    <xf numFmtId="0" fontId="6" fillId="0" borderId="0"/>
    <xf numFmtId="0" fontId="34" fillId="0" borderId="0"/>
    <xf numFmtId="0" fontId="34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4" fillId="0" borderId="0"/>
    <xf numFmtId="0" fontId="34" fillId="0" borderId="0"/>
    <xf numFmtId="0" fontId="34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11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11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27" fillId="54" borderId="34" applyNumberFormat="0" applyFont="0" applyAlignment="0" applyProtection="0"/>
    <xf numFmtId="0" fontId="11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11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11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11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11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11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11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27" fillId="54" borderId="34" applyNumberFormat="0" applyFont="0" applyAlignment="0" applyProtection="0"/>
    <xf numFmtId="0" fontId="11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11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11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11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11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11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11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27" fillId="54" borderId="34" applyNumberFormat="0" applyFont="0" applyAlignment="0" applyProtection="0"/>
    <xf numFmtId="0" fontId="5" fillId="54" borderId="34" applyNumberFormat="0" applyFont="0" applyAlignment="0" applyProtection="0"/>
    <xf numFmtId="0" fontId="11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11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11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11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11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11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11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27" fillId="54" borderId="34" applyNumberFormat="0" applyFont="0" applyAlignment="0" applyProtection="0"/>
    <xf numFmtId="0" fontId="5" fillId="54" borderId="34" applyNumberFormat="0" applyFont="0" applyAlignment="0" applyProtection="0"/>
    <xf numFmtId="0" fontId="11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11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11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11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11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11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11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27" fillId="54" borderId="34" applyNumberFormat="0" applyFont="0" applyAlignment="0" applyProtection="0"/>
    <xf numFmtId="0" fontId="5" fillId="54" borderId="34" applyNumberFormat="0" applyFont="0" applyAlignment="0" applyProtection="0"/>
    <xf numFmtId="0" fontId="11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11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11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11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11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11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11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27" fillId="54" borderId="34" applyNumberFormat="0" applyFont="0" applyAlignment="0" applyProtection="0"/>
    <xf numFmtId="0" fontId="5" fillId="54" borderId="34" applyNumberFormat="0" applyFont="0" applyAlignment="0" applyProtection="0"/>
    <xf numFmtId="0" fontId="11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11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11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11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11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11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11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27" fillId="54" borderId="34" applyNumberFormat="0" applyFont="0" applyAlignment="0" applyProtection="0"/>
    <xf numFmtId="0" fontId="5" fillId="54" borderId="34" applyNumberFormat="0" applyFont="0" applyAlignment="0" applyProtection="0"/>
    <xf numFmtId="0" fontId="11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11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11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11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11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11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11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27" fillId="54" borderId="34" applyNumberFormat="0" applyFont="0" applyAlignment="0" applyProtection="0"/>
    <xf numFmtId="0" fontId="5" fillId="54" borderId="34" applyNumberFormat="0" applyFont="0" applyAlignment="0" applyProtection="0"/>
    <xf numFmtId="0" fontId="11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11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11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11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11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11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23" borderId="7" applyNumberFormat="0" applyFont="0" applyAlignment="0" applyProtection="0"/>
    <xf numFmtId="0" fontId="5" fillId="54" borderId="34" applyNumberFormat="0" applyFont="0" applyAlignment="0" applyProtection="0"/>
    <xf numFmtId="0" fontId="11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11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11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11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11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11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11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11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11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11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11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11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11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11" fillId="54" borderId="34" applyNumberFormat="0" applyFont="0" applyAlignment="0" applyProtection="0"/>
    <xf numFmtId="0" fontId="11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11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11" fillId="54" borderId="34" applyNumberFormat="0" applyFont="0" applyAlignment="0" applyProtection="0"/>
    <xf numFmtId="0" fontId="5" fillId="54" borderId="34" applyNumberFormat="0" applyFont="0" applyAlignment="0" applyProtection="0"/>
    <xf numFmtId="0" fontId="27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11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23" borderId="7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27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11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11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11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11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11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11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11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11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11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11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11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11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11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11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11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11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11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11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11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11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11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11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11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11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11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11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11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11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11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11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11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11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11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11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11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11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11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11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11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11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11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11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11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11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11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11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11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11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11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11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11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11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11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11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11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11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11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11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11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11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11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11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11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11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11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11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11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11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11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11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11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11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11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11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11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11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11" fillId="54" borderId="34" applyNumberFormat="0" applyFont="0" applyAlignment="0" applyProtection="0"/>
    <xf numFmtId="0" fontId="11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11" fillId="54" borderId="34" applyNumberFormat="0" applyFont="0" applyAlignment="0" applyProtection="0"/>
    <xf numFmtId="0" fontId="5" fillId="54" borderId="34" applyNumberFormat="0" applyFont="0" applyAlignment="0" applyProtection="0"/>
    <xf numFmtId="0" fontId="27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11" fillId="54" borderId="34" applyNumberFormat="0" applyFont="0" applyAlignment="0" applyProtection="0"/>
    <xf numFmtId="0" fontId="5" fillId="54" borderId="34" applyNumberFormat="0" applyFont="0" applyAlignment="0" applyProtection="0"/>
    <xf numFmtId="0" fontId="27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11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11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11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11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11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11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11" fillId="54" borderId="34" applyNumberFormat="0" applyFont="0" applyAlignment="0" applyProtection="0"/>
    <xf numFmtId="0" fontId="11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11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11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11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11" fillId="54" borderId="34" applyNumberFormat="0" applyFont="0" applyAlignment="0" applyProtection="0"/>
    <xf numFmtId="0" fontId="11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11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11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11" fillId="54" borderId="34" applyNumberFormat="0" applyFont="0" applyAlignment="0" applyProtection="0"/>
    <xf numFmtId="0" fontId="11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11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11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11" fillId="54" borderId="34" applyNumberFormat="0" applyFont="0" applyAlignment="0" applyProtection="0"/>
    <xf numFmtId="0" fontId="11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11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11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11" fillId="54" borderId="34" applyNumberFormat="0" applyFont="0" applyAlignment="0" applyProtection="0"/>
    <xf numFmtId="0" fontId="11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11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11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11" fillId="54" borderId="34" applyNumberFormat="0" applyFont="0" applyAlignment="0" applyProtection="0"/>
    <xf numFmtId="0" fontId="11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11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11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11" fillId="54" borderId="34" applyNumberFormat="0" applyFont="0" applyAlignment="0" applyProtection="0"/>
    <xf numFmtId="0" fontId="11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11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11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11" fillId="54" borderId="34" applyNumberFormat="0" applyFont="0" applyAlignment="0" applyProtection="0"/>
    <xf numFmtId="0" fontId="11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11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11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11" fillId="54" borderId="34" applyNumberFormat="0" applyFont="0" applyAlignment="0" applyProtection="0"/>
    <xf numFmtId="0" fontId="11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11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11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11" fillId="54" borderId="34" applyNumberFormat="0" applyFont="0" applyAlignment="0" applyProtection="0"/>
    <xf numFmtId="0" fontId="11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11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11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11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11" fillId="54" borderId="34" applyNumberFormat="0" applyFont="0" applyAlignment="0" applyProtection="0"/>
    <xf numFmtId="0" fontId="5" fillId="54" borderId="34" applyNumberFormat="0" applyFont="0" applyAlignment="0" applyProtection="0"/>
    <xf numFmtId="0" fontId="27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11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11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11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11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11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11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11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11" fillId="54" borderId="34" applyNumberFormat="0" applyFont="0" applyAlignment="0" applyProtection="0"/>
    <xf numFmtId="0" fontId="11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11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11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11" fillId="54" borderId="34" applyNumberFormat="0" applyFont="0" applyAlignment="0" applyProtection="0"/>
    <xf numFmtId="0" fontId="11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11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11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11" fillId="54" borderId="34" applyNumberFormat="0" applyFont="0" applyAlignment="0" applyProtection="0"/>
    <xf numFmtId="0" fontId="11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11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11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11" fillId="54" borderId="34" applyNumberFormat="0" applyFont="0" applyAlignment="0" applyProtection="0"/>
    <xf numFmtId="0" fontId="11" fillId="54" borderId="34" applyNumberFormat="0" applyFont="0" applyAlignment="0" applyProtection="0"/>
    <xf numFmtId="0" fontId="5" fillId="54" borderId="34" applyNumberFormat="0" applyFont="0" applyAlignment="0" applyProtection="0"/>
    <xf numFmtId="0" fontId="11" fillId="54" borderId="34" applyNumberFormat="0" applyFont="0" applyAlignment="0" applyProtection="0"/>
    <xf numFmtId="0" fontId="5" fillId="54" borderId="34" applyNumberFormat="0" applyFont="0" applyAlignment="0" applyProtection="0"/>
    <xf numFmtId="0" fontId="11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11" fillId="54" borderId="34" applyNumberFormat="0" applyFont="0" applyAlignment="0" applyProtection="0"/>
    <xf numFmtId="0" fontId="11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11" fillId="54" borderId="34" applyNumberFormat="0" applyFont="0" applyAlignment="0" applyProtection="0"/>
    <xf numFmtId="0" fontId="11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11" fillId="54" borderId="34" applyNumberFormat="0" applyFont="0" applyAlignment="0" applyProtection="0"/>
    <xf numFmtId="0" fontId="5" fillId="54" borderId="34" applyNumberFormat="0" applyFont="0" applyAlignment="0" applyProtection="0"/>
    <xf numFmtId="0" fontId="11" fillId="54" borderId="34" applyNumberFormat="0" applyFont="0" applyAlignment="0" applyProtection="0"/>
    <xf numFmtId="0" fontId="5" fillId="54" borderId="34" applyNumberFormat="0" applyFont="0" applyAlignment="0" applyProtection="0"/>
    <xf numFmtId="0" fontId="11" fillId="54" borderId="34" applyNumberFormat="0" applyFont="0" applyAlignment="0" applyProtection="0"/>
    <xf numFmtId="0" fontId="5" fillId="54" borderId="34" applyNumberFormat="0" applyFont="0" applyAlignment="0" applyProtection="0"/>
    <xf numFmtId="0" fontId="11" fillId="54" borderId="34" applyNumberFormat="0" applyFont="0" applyAlignment="0" applyProtection="0"/>
    <xf numFmtId="0" fontId="5" fillId="54" borderId="34" applyNumberFormat="0" applyFont="0" applyAlignment="0" applyProtection="0"/>
    <xf numFmtId="0" fontId="11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11" fillId="54" borderId="34" applyNumberFormat="0" applyFont="0" applyAlignment="0" applyProtection="0"/>
    <xf numFmtId="0" fontId="5" fillId="54" borderId="34" applyNumberFormat="0" applyFont="0" applyAlignment="0" applyProtection="0"/>
    <xf numFmtId="0" fontId="27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11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11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11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11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11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11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11" fillId="54" borderId="34" applyNumberFormat="0" applyFont="0" applyAlignment="0" applyProtection="0"/>
    <xf numFmtId="0" fontId="5" fillId="54" borderId="34" applyNumberFormat="0" applyFont="0" applyAlignment="0" applyProtection="0"/>
    <xf numFmtId="0" fontId="12" fillId="54" borderId="34" applyNumberFormat="0" applyFont="0" applyAlignment="0" applyProtection="0"/>
    <xf numFmtId="0" fontId="5" fillId="54" borderId="34" applyNumberFormat="0" applyFont="0" applyAlignment="0" applyProtection="0"/>
    <xf numFmtId="0" fontId="12" fillId="54" borderId="34" applyNumberFormat="0" applyFont="0" applyAlignment="0" applyProtection="0"/>
    <xf numFmtId="0" fontId="5" fillId="54" borderId="34" applyNumberFormat="0" applyFont="0" applyAlignment="0" applyProtection="0"/>
    <xf numFmtId="0" fontId="12" fillId="54" borderId="34" applyNumberFormat="0" applyFont="0" applyAlignment="0" applyProtection="0"/>
    <xf numFmtId="0" fontId="5" fillId="54" borderId="34" applyNumberFormat="0" applyFont="0" applyAlignment="0" applyProtection="0"/>
    <xf numFmtId="0" fontId="12" fillId="54" borderId="34" applyNumberFormat="0" applyFont="0" applyAlignment="0" applyProtection="0"/>
    <xf numFmtId="0" fontId="5" fillId="54" borderId="34" applyNumberFormat="0" applyFont="0" applyAlignment="0" applyProtection="0"/>
    <xf numFmtId="0" fontId="12" fillId="54" borderId="34" applyNumberFormat="0" applyFont="0" applyAlignment="0" applyProtection="0"/>
    <xf numFmtId="0" fontId="5" fillId="54" borderId="34" applyNumberFormat="0" applyFont="0" applyAlignment="0" applyProtection="0"/>
    <xf numFmtId="0" fontId="12" fillId="54" borderId="34" applyNumberFormat="0" applyFont="0" applyAlignment="0" applyProtection="0"/>
    <xf numFmtId="0" fontId="5" fillId="54" borderId="34" applyNumberFormat="0" applyFont="0" applyAlignment="0" applyProtection="0"/>
    <xf numFmtId="0" fontId="13" fillId="54" borderId="34" applyNumberFormat="0" applyFont="0" applyAlignment="0" applyProtection="0"/>
    <xf numFmtId="0" fontId="5" fillId="54" borderId="34" applyNumberFormat="0" applyFont="0" applyAlignment="0" applyProtection="0"/>
    <xf numFmtId="0" fontId="14" fillId="54" borderId="34" applyNumberFormat="0" applyFont="0" applyAlignment="0" applyProtection="0"/>
    <xf numFmtId="0" fontId="5" fillId="54" borderId="34" applyNumberFormat="0" applyFont="0" applyAlignment="0" applyProtection="0"/>
    <xf numFmtId="0" fontId="27" fillId="54" borderId="34" applyNumberFormat="0" applyFont="0" applyAlignment="0" applyProtection="0"/>
    <xf numFmtId="0" fontId="11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11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27" fillId="54" borderId="34" applyNumberFormat="0" applyFont="0" applyAlignment="0" applyProtection="0"/>
    <xf numFmtId="0" fontId="11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11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11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11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11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11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11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27" fillId="54" borderId="34" applyNumberFormat="0" applyFont="0" applyAlignment="0" applyProtection="0"/>
    <xf numFmtId="0" fontId="11" fillId="54" borderId="34" applyNumberFormat="0" applyFont="0" applyAlignment="0" applyProtection="0"/>
    <xf numFmtId="0" fontId="30" fillId="0" borderId="0"/>
    <xf numFmtId="0" fontId="33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7" fillId="0" borderId="0"/>
    <xf numFmtId="0" fontId="4" fillId="0" borderId="0"/>
    <xf numFmtId="43" fontId="4" fillId="0" borderId="0" applyFont="0" applyFill="0" applyBorder="0" applyAlignment="0" applyProtection="0"/>
    <xf numFmtId="0" fontId="4" fillId="24" borderId="0" applyNumberFormat="0" applyBorder="0" applyAlignment="0" applyProtection="0"/>
    <xf numFmtId="0" fontId="4" fillId="30" borderId="0" applyNumberFormat="0" applyBorder="0" applyAlignment="0" applyProtection="0"/>
    <xf numFmtId="0" fontId="4" fillId="25" borderId="0" applyNumberFormat="0" applyBorder="0" applyAlignment="0" applyProtection="0"/>
    <xf numFmtId="0" fontId="4" fillId="31" borderId="0" applyNumberFormat="0" applyBorder="0" applyAlignment="0" applyProtection="0"/>
    <xf numFmtId="0" fontId="4" fillId="26" borderId="0" applyNumberFormat="0" applyBorder="0" applyAlignment="0" applyProtection="0"/>
    <xf numFmtId="0" fontId="4" fillId="32" borderId="0" applyNumberFormat="0" applyBorder="0" applyAlignment="0" applyProtection="0"/>
    <xf numFmtId="0" fontId="4" fillId="27" borderId="0" applyNumberFormat="0" applyBorder="0" applyAlignment="0" applyProtection="0"/>
    <xf numFmtId="0" fontId="4" fillId="33" borderId="0" applyNumberFormat="0" applyBorder="0" applyAlignment="0" applyProtection="0"/>
    <xf numFmtId="0" fontId="4" fillId="28" borderId="0" applyNumberFormat="0" applyBorder="0" applyAlignment="0" applyProtection="0"/>
    <xf numFmtId="0" fontId="4" fillId="34" borderId="0" applyNumberFormat="0" applyBorder="0" applyAlignment="0" applyProtection="0"/>
    <xf numFmtId="0" fontId="4" fillId="29" borderId="0" applyNumberFormat="0" applyBorder="0" applyAlignment="0" applyProtection="0"/>
    <xf numFmtId="0" fontId="4" fillId="35" borderId="0" applyNumberFormat="0" applyBorder="0" applyAlignment="0" applyProtection="0"/>
    <xf numFmtId="0" fontId="74" fillId="0" borderId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82" fontId="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6" fillId="0" borderId="0" applyFont="0" applyFill="0" applyBorder="0" applyAlignment="0" applyProtection="0"/>
    <xf numFmtId="182" fontId="5" fillId="0" borderId="0" applyFont="0" applyFill="0" applyBorder="0" applyAlignment="0" applyProtection="0"/>
    <xf numFmtId="175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1" fontId="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5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5" fillId="0" borderId="0" applyFont="0" applyFill="0" applyBorder="0" applyAlignment="0" applyProtection="0"/>
    <xf numFmtId="0" fontId="5" fillId="0" borderId="0" applyFont="0" applyFill="0" applyBorder="0" applyAlignment="0" applyProtection="0"/>
    <xf numFmtId="0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69" fontId="6" fillId="0" borderId="0" applyFont="0" applyFill="0" applyBorder="0" applyAlignment="0" applyProtection="0"/>
    <xf numFmtId="170" fontId="5" fillId="0" borderId="0" applyFont="0" applyFill="0" applyBorder="0" applyAlignment="0" applyProtection="0"/>
    <xf numFmtId="169" fontId="6" fillId="0" borderId="0" applyFont="0" applyFill="0" applyBorder="0" applyAlignment="0" applyProtection="0"/>
    <xf numFmtId="170" fontId="5" fillId="0" borderId="0" applyFont="0" applyFill="0" applyBorder="0" applyAlignment="0" applyProtection="0"/>
    <xf numFmtId="169" fontId="6" fillId="0" borderId="0" applyFont="0" applyFill="0" applyBorder="0" applyAlignment="0" applyProtection="0"/>
    <xf numFmtId="170" fontId="5" fillId="0" borderId="0" applyFont="0" applyFill="0" applyBorder="0" applyAlignment="0" applyProtection="0"/>
    <xf numFmtId="169" fontId="6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69" fontId="6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69" fontId="6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69" fontId="6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70" fontId="5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69" fontId="6" fillId="0" borderId="0" applyFont="0" applyFill="0" applyBorder="0" applyAlignment="0" applyProtection="0"/>
    <xf numFmtId="170" fontId="5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70" fontId="5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69" fontId="6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70" fontId="5" fillId="0" borderId="0" applyFont="0" applyFill="0" applyBorder="0" applyAlignment="0" applyProtection="0"/>
    <xf numFmtId="169" fontId="6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69" fontId="6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6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5" fillId="54" borderId="34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6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6" fillId="0" borderId="0"/>
    <xf numFmtId="0" fontId="84" fillId="0" borderId="0"/>
    <xf numFmtId="43" fontId="84" fillId="0" borderId="0" applyFont="0" applyFill="0" applyBorder="0" applyAlignment="0" applyProtection="0"/>
    <xf numFmtId="0" fontId="3" fillId="0" borderId="0"/>
    <xf numFmtId="43" fontId="6" fillId="0" borderId="0" applyFont="0" applyFill="0" applyBorder="0" applyAlignment="0" applyProtection="0"/>
    <xf numFmtId="43" fontId="8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84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87" fillId="0" borderId="0"/>
    <xf numFmtId="0" fontId="4" fillId="24" borderId="0" applyNumberFormat="0" applyBorder="0" applyAlignment="0" applyProtection="0"/>
    <xf numFmtId="0" fontId="4" fillId="25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29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3" borderId="0" applyNumberFormat="0" applyBorder="0" applyAlignment="0" applyProtection="0"/>
    <xf numFmtId="0" fontId="4" fillId="34" borderId="0" applyNumberFormat="0" applyBorder="0" applyAlignment="0" applyProtection="0"/>
    <xf numFmtId="0" fontId="4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37" borderId="0" applyNumberFormat="0" applyBorder="0" applyAlignment="0" applyProtection="0"/>
    <xf numFmtId="0" fontId="35" fillId="38" borderId="0" applyNumberFormat="0" applyBorder="0" applyAlignment="0" applyProtection="0"/>
    <xf numFmtId="0" fontId="35" fillId="39" borderId="0" applyNumberFormat="0" applyBorder="0" applyAlignment="0" applyProtection="0"/>
    <xf numFmtId="0" fontId="35" fillId="40" borderId="0" applyNumberFormat="0" applyBorder="0" applyAlignment="0" applyProtection="0"/>
    <xf numFmtId="0" fontId="35" fillId="41" borderId="0" applyNumberFormat="0" applyBorder="0" applyAlignment="0" applyProtection="0"/>
    <xf numFmtId="0" fontId="35" fillId="42" borderId="0" applyNumberFormat="0" applyBorder="0" applyAlignment="0" applyProtection="0"/>
    <xf numFmtId="0" fontId="35" fillId="43" borderId="0" applyNumberFormat="0" applyBorder="0" applyAlignment="0" applyProtection="0"/>
    <xf numFmtId="0" fontId="35" fillId="44" borderId="0" applyNumberFormat="0" applyBorder="0" applyAlignment="0" applyProtection="0"/>
    <xf numFmtId="0" fontId="35" fillId="45" borderId="0" applyNumberFormat="0" applyBorder="0" applyAlignment="0" applyProtection="0"/>
    <xf numFmtId="0" fontId="35" fillId="46" borderId="0" applyNumberFormat="0" applyBorder="0" applyAlignment="0" applyProtection="0"/>
    <xf numFmtId="0" fontId="35" fillId="47" borderId="0" applyNumberFormat="0" applyBorder="0" applyAlignment="0" applyProtection="0"/>
    <xf numFmtId="0" fontId="36" fillId="48" borderId="0" applyNumberFormat="0" applyBorder="0" applyAlignment="0" applyProtection="0"/>
    <xf numFmtId="0" fontId="37" fillId="49" borderId="28" applyNumberFormat="0" applyAlignment="0" applyProtection="0"/>
    <xf numFmtId="0" fontId="38" fillId="50" borderId="29" applyNumberFormat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39" fillId="0" borderId="0" applyNumberFormat="0" applyFill="0" applyBorder="0" applyAlignment="0" applyProtection="0"/>
    <xf numFmtId="0" fontId="40" fillId="51" borderId="0" applyNumberFormat="0" applyBorder="0" applyAlignment="0" applyProtection="0"/>
    <xf numFmtId="0" fontId="41" fillId="0" borderId="30" applyNumberFormat="0" applyFill="0" applyAlignment="0" applyProtection="0"/>
    <xf numFmtId="0" fontId="42" fillId="0" borderId="31" applyNumberFormat="0" applyFill="0" applyAlignment="0" applyProtection="0"/>
    <xf numFmtId="0" fontId="43" fillId="0" borderId="32" applyNumberFormat="0" applyFill="0" applyAlignment="0" applyProtection="0"/>
    <xf numFmtId="0" fontId="43" fillId="0" borderId="0" applyNumberFormat="0" applyFill="0" applyBorder="0" applyAlignment="0" applyProtection="0"/>
    <xf numFmtId="0" fontId="44" fillId="52" borderId="28" applyNumberFormat="0" applyAlignment="0" applyProtection="0"/>
    <xf numFmtId="0" fontId="45" fillId="0" borderId="33" applyNumberFormat="0" applyFill="0" applyAlignment="0" applyProtection="0"/>
    <xf numFmtId="0" fontId="46" fillId="53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88" fillId="0" borderId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88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84" fillId="0" borderId="0" applyFont="0" applyFill="0" applyBorder="0" applyAlignment="0" applyProtection="0"/>
    <xf numFmtId="0" fontId="2" fillId="0" borderId="0"/>
    <xf numFmtId="43" fontId="6" fillId="0" borderId="0" applyFont="0" applyFill="0" applyBorder="0" applyAlignment="0" applyProtection="0"/>
    <xf numFmtId="43" fontId="8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84" fillId="0" borderId="0" applyFont="0" applyFill="0" applyBorder="0" applyAlignment="0" applyProtection="0"/>
    <xf numFmtId="0" fontId="1" fillId="0" borderId="0"/>
  </cellStyleXfs>
  <cellXfs count="921">
    <xf numFmtId="0" fontId="0" fillId="0" borderId="0" xfId="0"/>
    <xf numFmtId="43" fontId="7" fillId="0" borderId="0" xfId="613" applyFont="1" applyFill="1"/>
    <xf numFmtId="43" fontId="48" fillId="0" borderId="0" xfId="613" applyFont="1" applyFill="1" applyBorder="1" applyProtection="1"/>
    <xf numFmtId="43" fontId="48" fillId="0" borderId="0" xfId="613" applyFont="1" applyFill="1"/>
    <xf numFmtId="0" fontId="52" fillId="0" borderId="35" xfId="1697" applyFont="1" applyFill="1" applyBorder="1" applyProtection="1"/>
    <xf numFmtId="0" fontId="52" fillId="0" borderId="36" xfId="1697" applyFont="1" applyFill="1" applyBorder="1" applyProtection="1"/>
    <xf numFmtId="0" fontId="51" fillId="0" borderId="0" xfId="1697" applyFont="1" applyFill="1" applyBorder="1"/>
    <xf numFmtId="0" fontId="50" fillId="0" borderId="0" xfId="1697" applyFont="1" applyFill="1" applyBorder="1" applyAlignment="1" applyProtection="1">
      <alignment horizontal="center"/>
    </xf>
    <xf numFmtId="43" fontId="50" fillId="0" borderId="0" xfId="644" applyFont="1" applyFill="1" applyBorder="1" applyAlignment="1" applyProtection="1">
      <alignment horizontal="center"/>
    </xf>
    <xf numFmtId="175" fontId="50" fillId="0" borderId="0" xfId="613" applyNumberFormat="1" applyFont="1" applyFill="1" applyBorder="1"/>
    <xf numFmtId="171" fontId="50" fillId="0" borderId="0" xfId="644" applyNumberFormat="1" applyFont="1" applyFill="1" applyBorder="1" applyProtection="1"/>
    <xf numFmtId="0" fontId="6" fillId="0" borderId="0" xfId="0" applyFont="1" applyFill="1"/>
    <xf numFmtId="10" fontId="51" fillId="0" borderId="0" xfId="4129" applyNumberFormat="1" applyFont="1" applyFill="1" applyBorder="1" applyAlignment="1" applyProtection="1">
      <alignment horizontal="center"/>
    </xf>
    <xf numFmtId="43" fontId="51" fillId="0" borderId="0" xfId="644" applyFont="1" applyFill="1" applyBorder="1"/>
    <xf numFmtId="0" fontId="52" fillId="0" borderId="37" xfId="1697" applyFont="1" applyFill="1" applyBorder="1" applyProtection="1"/>
    <xf numFmtId="0" fontId="52" fillId="0" borderId="0" xfId="1697" applyFont="1" applyFill="1" applyBorder="1" applyProtection="1"/>
    <xf numFmtId="0" fontId="51" fillId="0" borderId="0" xfId="1697" applyFont="1" applyFill="1" applyBorder="1" applyAlignment="1" applyProtection="1">
      <alignment horizontal="center"/>
    </xf>
    <xf numFmtId="171" fontId="51" fillId="0" borderId="0" xfId="644" applyNumberFormat="1" applyFont="1" applyFill="1" applyBorder="1" applyProtection="1"/>
    <xf numFmtId="175" fontId="50" fillId="0" borderId="0" xfId="613" applyNumberFormat="1" applyFont="1" applyFill="1" applyBorder="1" applyProtection="1"/>
    <xf numFmtId="43" fontId="51" fillId="0" borderId="0" xfId="644" applyFont="1" applyFill="1" applyBorder="1" applyAlignment="1" applyProtection="1">
      <alignment horizontal="center"/>
    </xf>
    <xf numFmtId="43" fontId="6" fillId="0" borderId="0" xfId="613" applyFont="1" applyFill="1"/>
    <xf numFmtId="171" fontId="50" fillId="0" borderId="0" xfId="644" applyNumberFormat="1" applyFont="1" applyFill="1" applyBorder="1" applyAlignment="1" applyProtection="1">
      <alignment horizontal="center"/>
    </xf>
    <xf numFmtId="171" fontId="51" fillId="0" borderId="0" xfId="644" applyNumberFormat="1" applyFont="1" applyFill="1" applyBorder="1" applyAlignment="1" applyProtection="1">
      <alignment horizontal="center"/>
    </xf>
    <xf numFmtId="0" fontId="53" fillId="0" borderId="37" xfId="1697" applyFont="1" applyFill="1" applyBorder="1" applyProtection="1"/>
    <xf numFmtId="0" fontId="53" fillId="0" borderId="0" xfId="1697" applyFont="1" applyFill="1" applyBorder="1" applyProtection="1"/>
    <xf numFmtId="0" fontId="51" fillId="0" borderId="0" xfId="1697" applyFont="1" applyFill="1" applyBorder="1" applyAlignment="1">
      <alignment horizontal="center"/>
    </xf>
    <xf numFmtId="14" fontId="51" fillId="0" borderId="0" xfId="1697" applyNumberFormat="1" applyFont="1" applyFill="1" applyBorder="1" applyAlignment="1">
      <alignment horizontal="center"/>
    </xf>
    <xf numFmtId="10" fontId="51" fillId="0" borderId="0" xfId="4129" applyNumberFormat="1" applyFont="1" applyFill="1" applyBorder="1" applyAlignment="1">
      <alignment horizontal="center"/>
    </xf>
    <xf numFmtId="43" fontId="51" fillId="0" borderId="0" xfId="613" applyFont="1" applyFill="1" applyBorder="1"/>
    <xf numFmtId="43" fontId="51" fillId="0" borderId="0" xfId="644" applyFont="1" applyFill="1"/>
    <xf numFmtId="0" fontId="51" fillId="0" borderId="0" xfId="1697" applyFont="1" applyFill="1"/>
    <xf numFmtId="43" fontId="51" fillId="0" borderId="0" xfId="613" applyFont="1" applyFill="1" applyBorder="1" applyAlignment="1">
      <alignment horizontal="center"/>
    </xf>
    <xf numFmtId="0" fontId="50" fillId="0" borderId="40" xfId="1697" applyFont="1" applyFill="1" applyBorder="1" applyAlignment="1" applyProtection="1">
      <alignment horizontal="center"/>
    </xf>
    <xf numFmtId="0" fontId="50" fillId="0" borderId="41" xfId="1697" applyFont="1" applyFill="1" applyBorder="1" applyAlignment="1" applyProtection="1">
      <alignment horizontal="center"/>
    </xf>
    <xf numFmtId="0" fontId="50" fillId="0" borderId="36" xfId="1697" applyFont="1" applyFill="1" applyBorder="1" applyAlignment="1" applyProtection="1">
      <alignment horizontal="center"/>
    </xf>
    <xf numFmtId="175" fontId="50" fillId="0" borderId="41" xfId="613" applyNumberFormat="1" applyFont="1" applyFill="1" applyBorder="1" applyAlignment="1" applyProtection="1">
      <alignment horizontal="center"/>
    </xf>
    <xf numFmtId="10" fontId="50" fillId="0" borderId="41" xfId="4129" applyNumberFormat="1" applyFont="1" applyFill="1" applyBorder="1" applyAlignment="1" applyProtection="1">
      <alignment horizontal="center"/>
    </xf>
    <xf numFmtId="0" fontId="50" fillId="0" borderId="42" xfId="1697" applyFont="1" applyFill="1" applyBorder="1" applyAlignment="1" applyProtection="1">
      <alignment horizontal="center"/>
    </xf>
    <xf numFmtId="0" fontId="50" fillId="0" borderId="43" xfId="1697" applyFont="1" applyFill="1" applyBorder="1" applyAlignment="1" applyProtection="1">
      <alignment horizontal="center"/>
    </xf>
    <xf numFmtId="0" fontId="50" fillId="0" borderId="44" xfId="1697" applyFont="1" applyFill="1" applyBorder="1" applyAlignment="1" applyProtection="1">
      <alignment horizontal="center"/>
    </xf>
    <xf numFmtId="175" fontId="50" fillId="0" borderId="43" xfId="613" applyNumberFormat="1" applyFont="1" applyFill="1" applyBorder="1" applyAlignment="1" applyProtection="1">
      <alignment horizontal="center"/>
    </xf>
    <xf numFmtId="173" fontId="50" fillId="0" borderId="43" xfId="1697" applyNumberFormat="1" applyFont="1" applyFill="1" applyBorder="1" applyAlignment="1" applyProtection="1">
      <alignment horizontal="center"/>
    </xf>
    <xf numFmtId="173" fontId="54" fillId="0" borderId="43" xfId="1697" applyNumberFormat="1" applyFont="1" applyFill="1" applyBorder="1" applyAlignment="1" applyProtection="1">
      <alignment horizontal="center"/>
    </xf>
    <xf numFmtId="10" fontId="50" fillId="0" borderId="43" xfId="4129" applyNumberFormat="1" applyFont="1" applyFill="1" applyBorder="1" applyAlignment="1" applyProtection="1">
      <alignment horizontal="center"/>
    </xf>
    <xf numFmtId="17" fontId="51" fillId="0" borderId="37" xfId="1697" applyNumberFormat="1" applyFont="1" applyFill="1" applyBorder="1" applyAlignment="1" applyProtection="1">
      <alignment horizontal="center"/>
    </xf>
    <xf numFmtId="17" fontId="51" fillId="0" borderId="0" xfId="1697" applyNumberFormat="1" applyFont="1" applyFill="1" applyBorder="1" applyAlignment="1" applyProtection="1">
      <alignment horizontal="center"/>
    </xf>
    <xf numFmtId="37" fontId="51" fillId="0" borderId="0" xfId="1697" applyNumberFormat="1" applyFont="1" applyFill="1" applyBorder="1" applyProtection="1"/>
    <xf numFmtId="173" fontId="51" fillId="0" borderId="0" xfId="1697" applyNumberFormat="1" applyFont="1" applyFill="1" applyBorder="1" applyAlignment="1" applyProtection="1">
      <alignment horizontal="center"/>
    </xf>
    <xf numFmtId="173" fontId="51" fillId="0" borderId="0" xfId="4129" applyNumberFormat="1" applyFont="1" applyFill="1" applyBorder="1" applyAlignment="1" applyProtection="1">
      <alignment horizontal="center"/>
    </xf>
    <xf numFmtId="0" fontId="51" fillId="0" borderId="0" xfId="1697" applyNumberFormat="1" applyFont="1" applyFill="1" applyBorder="1" applyAlignment="1" applyProtection="1">
      <alignment horizontal="center"/>
    </xf>
    <xf numFmtId="166" fontId="51" fillId="0" borderId="0" xfId="644" applyNumberFormat="1" applyFont="1" applyFill="1" applyBorder="1"/>
    <xf numFmtId="166" fontId="51" fillId="0" borderId="0" xfId="644" applyNumberFormat="1" applyFont="1" applyFill="1"/>
    <xf numFmtId="17" fontId="50" fillId="0" borderId="0" xfId="1697" applyNumberFormat="1" applyFont="1" applyFill="1" applyBorder="1" applyAlignment="1" applyProtection="1">
      <alignment horizontal="center"/>
    </xf>
    <xf numFmtId="175" fontId="50" fillId="0" borderId="0" xfId="613" applyNumberFormat="1" applyFont="1" applyFill="1" applyBorder="1" applyAlignment="1" applyProtection="1"/>
    <xf numFmtId="17" fontId="50" fillId="0" borderId="37" xfId="1697" applyNumberFormat="1" applyFont="1" applyFill="1" applyBorder="1" applyAlignment="1" applyProtection="1">
      <alignment horizontal="center"/>
    </xf>
    <xf numFmtId="37" fontId="50" fillId="0" borderId="45" xfId="1697" applyNumberFormat="1" applyFont="1" applyFill="1" applyBorder="1" applyProtection="1"/>
    <xf numFmtId="37" fontId="50" fillId="0" borderId="46" xfId="1697" applyNumberFormat="1" applyFont="1" applyFill="1" applyBorder="1" applyProtection="1"/>
    <xf numFmtId="37" fontId="50" fillId="0" borderId="0" xfId="1697" applyNumberFormat="1" applyFont="1" applyFill="1" applyBorder="1" applyProtection="1"/>
    <xf numFmtId="43" fontId="51" fillId="0" borderId="0" xfId="613" applyFont="1" applyFill="1" applyBorder="1" applyProtection="1"/>
    <xf numFmtId="37" fontId="50" fillId="0" borderId="47" xfId="1697" applyNumberFormat="1" applyFont="1" applyFill="1" applyBorder="1" applyProtection="1"/>
    <xf numFmtId="0" fontId="50" fillId="0" borderId="37" xfId="1697" applyFont="1" applyFill="1" applyBorder="1" applyAlignment="1" applyProtection="1">
      <alignment horizontal="center"/>
    </xf>
    <xf numFmtId="172" fontId="51" fillId="0" borderId="0" xfId="1697" applyNumberFormat="1" applyFont="1" applyFill="1" applyBorder="1" applyAlignment="1" applyProtection="1">
      <alignment horizontal="left"/>
    </xf>
    <xf numFmtId="37" fontId="50" fillId="0" borderId="48" xfId="1697" applyNumberFormat="1" applyFont="1" applyFill="1" applyBorder="1" applyProtection="1"/>
    <xf numFmtId="175" fontId="50" fillId="0" borderId="48" xfId="613" applyNumberFormat="1" applyFont="1" applyFill="1" applyBorder="1" applyProtection="1"/>
    <xf numFmtId="0" fontId="51" fillId="0" borderId="36" xfId="1697" applyFont="1" applyFill="1" applyBorder="1"/>
    <xf numFmtId="175" fontId="51" fillId="0" borderId="36" xfId="613" applyNumberFormat="1" applyFont="1" applyFill="1" applyBorder="1"/>
    <xf numFmtId="0" fontId="51" fillId="0" borderId="36" xfId="1697" applyFont="1" applyFill="1" applyBorder="1" applyAlignment="1">
      <alignment horizontal="center"/>
    </xf>
    <xf numFmtId="10" fontId="51" fillId="0" borderId="36" xfId="4129" applyNumberFormat="1" applyFont="1" applyFill="1" applyBorder="1" applyAlignment="1">
      <alignment horizontal="center"/>
    </xf>
    <xf numFmtId="0" fontId="51" fillId="0" borderId="37" xfId="1697" applyFont="1" applyFill="1" applyBorder="1"/>
    <xf numFmtId="175" fontId="50" fillId="0" borderId="0" xfId="613" applyNumberFormat="1" applyFont="1" applyFill="1" applyBorder="1" applyAlignment="1" applyProtection="1">
      <alignment horizontal="center"/>
    </xf>
    <xf numFmtId="173" fontId="50" fillId="0" borderId="0" xfId="1697" applyNumberFormat="1" applyFont="1" applyFill="1" applyBorder="1" applyAlignment="1" applyProtection="1">
      <alignment horizontal="center"/>
    </xf>
    <xf numFmtId="173" fontId="54" fillId="0" borderId="0" xfId="1697" applyNumberFormat="1" applyFont="1" applyFill="1" applyBorder="1" applyAlignment="1" applyProtection="1">
      <alignment horizontal="center"/>
    </xf>
    <xf numFmtId="10" fontId="50" fillId="0" borderId="0" xfId="4129" applyNumberFormat="1" applyFont="1" applyFill="1" applyBorder="1" applyAlignment="1" applyProtection="1">
      <alignment horizontal="center"/>
    </xf>
    <xf numFmtId="1" fontId="51" fillId="0" borderId="0" xfId="1697" applyNumberFormat="1" applyFont="1" applyFill="1" applyBorder="1" applyAlignment="1" applyProtection="1">
      <alignment horizontal="center"/>
    </xf>
    <xf numFmtId="37" fontId="51" fillId="0" borderId="0" xfId="1697" applyNumberFormat="1" applyFont="1" applyFill="1" applyBorder="1"/>
    <xf numFmtId="39" fontId="51" fillId="0" borderId="0" xfId="1697" applyNumberFormat="1" applyFont="1" applyFill="1" applyBorder="1" applyProtection="1"/>
    <xf numFmtId="172" fontId="50" fillId="0" borderId="0" xfId="1697" applyNumberFormat="1" applyFont="1" applyFill="1" applyBorder="1" applyAlignment="1" applyProtection="1">
      <alignment horizontal="left"/>
    </xf>
    <xf numFmtId="172" fontId="50" fillId="0" borderId="0" xfId="1697" applyNumberFormat="1" applyFont="1" applyFill="1" applyBorder="1" applyAlignment="1" applyProtection="1">
      <alignment horizontal="center"/>
    </xf>
    <xf numFmtId="37" fontId="50" fillId="0" borderId="50" xfId="1697" applyNumberFormat="1" applyFont="1" applyFill="1" applyBorder="1" applyProtection="1"/>
    <xf numFmtId="37" fontId="50" fillId="0" borderId="51" xfId="1697" applyNumberFormat="1" applyFont="1" applyFill="1" applyBorder="1" applyProtection="1"/>
    <xf numFmtId="43" fontId="50" fillId="0" borderId="0" xfId="644" applyFont="1" applyFill="1" applyBorder="1"/>
    <xf numFmtId="43" fontId="50" fillId="0" borderId="0" xfId="644" applyFont="1" applyFill="1"/>
    <xf numFmtId="0" fontId="50" fillId="0" borderId="0" xfId="1697" applyFont="1" applyFill="1"/>
    <xf numFmtId="43" fontId="51" fillId="0" borderId="0" xfId="613" applyFont="1" applyFill="1"/>
    <xf numFmtId="43" fontId="51" fillId="0" borderId="37" xfId="644" applyFont="1" applyFill="1" applyBorder="1"/>
    <xf numFmtId="0" fontId="50" fillId="0" borderId="12" xfId="1697" applyFont="1" applyFill="1" applyBorder="1"/>
    <xf numFmtId="0" fontId="50" fillId="0" borderId="0" xfId="1697" applyFont="1" applyFill="1" applyBorder="1"/>
    <xf numFmtId="0" fontId="51" fillId="0" borderId="12" xfId="1697" applyFont="1" applyFill="1" applyBorder="1"/>
    <xf numFmtId="37" fontId="51" fillId="0" borderId="0" xfId="1151" applyNumberFormat="1" applyFont="1" applyFill="1" applyBorder="1"/>
    <xf numFmtId="43" fontId="51" fillId="0" borderId="0" xfId="1697" applyNumberFormat="1" applyFont="1" applyFill="1" applyBorder="1" applyAlignment="1">
      <alignment horizontal="center"/>
    </xf>
    <xf numFmtId="43" fontId="51" fillId="0" borderId="38" xfId="644" applyFont="1" applyFill="1" applyBorder="1"/>
    <xf numFmtId="17" fontId="50" fillId="0" borderId="12" xfId="1697" applyNumberFormat="1" applyFont="1" applyFill="1" applyBorder="1" applyAlignment="1" applyProtection="1">
      <alignment horizontal="left"/>
    </xf>
    <xf numFmtId="17" fontId="50" fillId="0" borderId="0" xfId="1697" applyNumberFormat="1" applyFont="1" applyFill="1" applyBorder="1" applyAlignment="1" applyProtection="1">
      <alignment horizontal="left"/>
    </xf>
    <xf numFmtId="17" fontId="50" fillId="0" borderId="52" xfId="1697" applyNumberFormat="1" applyFont="1" applyFill="1" applyBorder="1" applyAlignment="1" applyProtection="1">
      <alignment horizontal="left"/>
    </xf>
    <xf numFmtId="17" fontId="50" fillId="0" borderId="53" xfId="1697" applyNumberFormat="1" applyFont="1" applyFill="1" applyBorder="1" applyAlignment="1" applyProtection="1">
      <alignment horizontal="left"/>
    </xf>
    <xf numFmtId="172" fontId="50" fillId="0" borderId="53" xfId="1697" applyNumberFormat="1" applyFont="1" applyFill="1" applyBorder="1" applyAlignment="1" applyProtection="1">
      <alignment horizontal="center"/>
    </xf>
    <xf numFmtId="0" fontId="50" fillId="0" borderId="53" xfId="1697" applyFont="1" applyFill="1" applyBorder="1" applyAlignment="1" applyProtection="1">
      <alignment horizontal="center"/>
    </xf>
    <xf numFmtId="37" fontId="50" fillId="0" borderId="53" xfId="1697" applyNumberFormat="1" applyFont="1" applyFill="1" applyBorder="1" applyProtection="1"/>
    <xf numFmtId="39" fontId="50" fillId="0" borderId="0" xfId="1697" applyNumberFormat="1" applyFont="1" applyFill="1" applyBorder="1" applyProtection="1"/>
    <xf numFmtId="0" fontId="51" fillId="0" borderId="0" xfId="1697" applyFont="1" applyFill="1" applyAlignment="1">
      <alignment horizontal="center"/>
    </xf>
    <xf numFmtId="175" fontId="50" fillId="0" borderId="0" xfId="613" applyNumberFormat="1" applyFont="1" applyFill="1"/>
    <xf numFmtId="10" fontId="51" fillId="0" borderId="0" xfId="4129" applyNumberFormat="1" applyFont="1" applyFill="1" applyAlignment="1">
      <alignment horizontal="center"/>
    </xf>
    <xf numFmtId="0" fontId="7" fillId="0" borderId="0" xfId="1697" applyFont="1" applyFill="1" applyBorder="1"/>
    <xf numFmtId="179" fontId="7" fillId="0" borderId="0" xfId="1697" applyNumberFormat="1" applyFont="1" applyFill="1" applyBorder="1"/>
    <xf numFmtId="0" fontId="7" fillId="0" borderId="0" xfId="1697" applyFont="1" applyFill="1"/>
    <xf numFmtId="0" fontId="31" fillId="0" borderId="0" xfId="1697" applyFont="1" applyFill="1" applyBorder="1"/>
    <xf numFmtId="0" fontId="55" fillId="0" borderId="0" xfId="1697" applyFont="1" applyFill="1" applyBorder="1" applyProtection="1"/>
    <xf numFmtId="0" fontId="56" fillId="0" borderId="0" xfId="1697" applyFont="1" applyFill="1" applyBorder="1" applyAlignment="1" applyProtection="1">
      <alignment horizontal="center"/>
    </xf>
    <xf numFmtId="0" fontId="56" fillId="0" borderId="0" xfId="1697" applyFont="1" applyFill="1" applyBorder="1" applyProtection="1"/>
    <xf numFmtId="0" fontId="57" fillId="0" borderId="0" xfId="1697" applyFont="1" applyFill="1" applyBorder="1"/>
    <xf numFmtId="179" fontId="31" fillId="0" borderId="0" xfId="1697" applyNumberFormat="1" applyFont="1" applyFill="1" applyBorder="1"/>
    <xf numFmtId="43" fontId="7" fillId="0" borderId="0" xfId="613" applyFont="1" applyFill="1" applyBorder="1"/>
    <xf numFmtId="0" fontId="31" fillId="0" borderId="49" xfId="1697" applyFont="1" applyFill="1" applyBorder="1" applyAlignment="1" applyProtection="1">
      <alignment horizontal="center"/>
    </xf>
    <xf numFmtId="179" fontId="31" fillId="0" borderId="10" xfId="1697" applyNumberFormat="1" applyFont="1" applyFill="1" applyBorder="1" applyAlignment="1" applyProtection="1">
      <alignment horizontal="center"/>
    </xf>
    <xf numFmtId="0" fontId="7" fillId="0" borderId="0" xfId="1697" applyFont="1" applyFill="1" applyAlignment="1">
      <alignment horizontal="center"/>
    </xf>
    <xf numFmtId="0" fontId="31" fillId="0" borderId="54" xfId="1697" applyFont="1" applyFill="1" applyBorder="1" applyAlignment="1" applyProtection="1">
      <alignment horizontal="center"/>
    </xf>
    <xf numFmtId="179" fontId="31" fillId="0" borderId="55" xfId="1697" applyNumberFormat="1" applyFont="1" applyFill="1" applyBorder="1" applyAlignment="1" applyProtection="1">
      <alignment horizontal="center"/>
    </xf>
    <xf numFmtId="17" fontId="7" fillId="0" borderId="0" xfId="1697" applyNumberFormat="1" applyFont="1" applyFill="1" applyBorder="1" applyAlignment="1">
      <alignment horizontal="center"/>
    </xf>
    <xf numFmtId="179" fontId="7" fillId="0" borderId="0" xfId="1697" applyNumberFormat="1" applyFont="1" applyFill="1" applyBorder="1" applyAlignment="1">
      <alignment horizontal="center"/>
    </xf>
    <xf numFmtId="0" fontId="7" fillId="0" borderId="0" xfId="1697" applyFont="1" applyFill="1" applyBorder="1" applyAlignment="1">
      <alignment horizontal="center"/>
    </xf>
    <xf numFmtId="166" fontId="7" fillId="0" borderId="0" xfId="613" applyNumberFormat="1" applyFont="1" applyFill="1" applyBorder="1" applyAlignment="1">
      <alignment horizontal="center"/>
    </xf>
    <xf numFmtId="166" fontId="7" fillId="0" borderId="0" xfId="613" applyNumberFormat="1" applyFont="1" applyFill="1" applyBorder="1" applyAlignment="1"/>
    <xf numFmtId="0" fontId="31" fillId="0" borderId="0" xfId="1697" applyFont="1" applyFill="1"/>
    <xf numFmtId="166" fontId="7" fillId="0" borderId="0" xfId="613" applyNumberFormat="1" applyFont="1" applyFill="1" applyBorder="1"/>
    <xf numFmtId="0" fontId="57" fillId="0" borderId="0" xfId="1697" applyFont="1" applyFill="1" applyBorder="1" applyAlignment="1">
      <alignment horizontal="left"/>
    </xf>
    <xf numFmtId="0" fontId="7" fillId="0" borderId="39" xfId="1697" applyFont="1" applyFill="1" applyBorder="1" applyAlignment="1">
      <alignment horizontal="center"/>
    </xf>
    <xf numFmtId="179" fontId="7" fillId="0" borderId="38" xfId="1697" applyNumberFormat="1" applyFont="1" applyFill="1" applyBorder="1" applyAlignment="1">
      <alignment horizontal="center"/>
    </xf>
    <xf numFmtId="166" fontId="7" fillId="0" borderId="39" xfId="613" applyNumberFormat="1" applyFont="1" applyFill="1" applyBorder="1" applyAlignment="1">
      <alignment horizontal="center"/>
    </xf>
    <xf numFmtId="166" fontId="7" fillId="0" borderId="38" xfId="613" applyNumberFormat="1" applyFont="1" applyFill="1" applyBorder="1" applyAlignment="1"/>
    <xf numFmtId="17" fontId="7" fillId="0" borderId="37" xfId="1697" applyNumberFormat="1" applyFont="1" applyFill="1" applyBorder="1" applyAlignment="1">
      <alignment horizontal="center"/>
    </xf>
    <xf numFmtId="166" fontId="7" fillId="0" borderId="39" xfId="613" applyNumberFormat="1" applyFont="1" applyFill="1" applyBorder="1"/>
    <xf numFmtId="0" fontId="31" fillId="0" borderId="56" xfId="1697" applyFont="1" applyFill="1" applyBorder="1"/>
    <xf numFmtId="0" fontId="31" fillId="0" borderId="48" xfId="1697" applyFont="1" applyFill="1" applyBorder="1"/>
    <xf numFmtId="179" fontId="31" fillId="0" borderId="48" xfId="1697" applyNumberFormat="1" applyFont="1" applyFill="1" applyBorder="1"/>
    <xf numFmtId="0" fontId="31" fillId="0" borderId="47" xfId="1697" applyFont="1" applyFill="1" applyBorder="1"/>
    <xf numFmtId="0" fontId="7" fillId="0" borderId="48" xfId="1697" applyFont="1" applyFill="1" applyBorder="1"/>
    <xf numFmtId="179" fontId="7" fillId="0" borderId="48" xfId="1697" applyNumberFormat="1" applyFont="1" applyFill="1" applyBorder="1"/>
    <xf numFmtId="0" fontId="6" fillId="0" borderId="37" xfId="1697" applyFont="1" applyFill="1" applyBorder="1"/>
    <xf numFmtId="0" fontId="6" fillId="0" borderId="48" xfId="1697" applyFont="1" applyFill="1" applyBorder="1"/>
    <xf numFmtId="0" fontId="6" fillId="0" borderId="0" xfId="1697" applyFont="1" applyFill="1"/>
    <xf numFmtId="179" fontId="6" fillId="0" borderId="0" xfId="1697" applyNumberFormat="1" applyFont="1" applyFill="1"/>
    <xf numFmtId="0" fontId="59" fillId="0" borderId="8" xfId="1697" applyFont="1" applyFill="1" applyBorder="1" applyProtection="1"/>
    <xf numFmtId="0" fontId="59" fillId="0" borderId="9" xfId="1697" applyFont="1" applyFill="1" applyBorder="1" applyProtection="1"/>
    <xf numFmtId="43" fontId="48" fillId="0" borderId="9" xfId="613" applyFont="1" applyFill="1" applyBorder="1"/>
    <xf numFmtId="172" fontId="49" fillId="0" borderId="9" xfId="1697" applyNumberFormat="1" applyFont="1" applyFill="1" applyBorder="1" applyProtection="1"/>
    <xf numFmtId="43" fontId="49" fillId="0" borderId="9" xfId="613" applyFont="1" applyFill="1" applyBorder="1" applyProtection="1"/>
    <xf numFmtId="10" fontId="49" fillId="0" borderId="9" xfId="4108" applyNumberFormat="1" applyFont="1" applyFill="1" applyBorder="1" applyAlignment="1" applyProtection="1">
      <alignment horizontal="center"/>
    </xf>
    <xf numFmtId="14" fontId="49" fillId="0" borderId="9" xfId="613" applyNumberFormat="1" applyFont="1" applyFill="1" applyBorder="1" applyProtection="1"/>
    <xf numFmtId="0" fontId="48" fillId="0" borderId="0" xfId="1697" applyFont="1" applyFill="1" applyBorder="1"/>
    <xf numFmtId="0" fontId="60" fillId="0" borderId="12" xfId="1697" applyFont="1" applyFill="1" applyBorder="1" applyProtection="1"/>
    <xf numFmtId="0" fontId="60" fillId="0" borderId="0" xfId="1697" applyFont="1" applyFill="1" applyBorder="1" applyProtection="1"/>
    <xf numFmtId="0" fontId="48" fillId="0" borderId="0" xfId="1697" applyFont="1" applyFill="1" applyBorder="1" applyAlignment="1" applyProtection="1">
      <alignment horizontal="center"/>
    </xf>
    <xf numFmtId="43" fontId="48" fillId="0" borderId="0" xfId="613" applyFont="1" applyFill="1" applyBorder="1" applyAlignment="1" applyProtection="1">
      <alignment horizontal="center"/>
    </xf>
    <xf numFmtId="10" fontId="49" fillId="0" borderId="0" xfId="4108" applyNumberFormat="1" applyFont="1" applyFill="1" applyBorder="1" applyAlignment="1" applyProtection="1">
      <alignment horizontal="center"/>
    </xf>
    <xf numFmtId="43" fontId="49" fillId="0" borderId="0" xfId="613" applyFont="1" applyFill="1" applyBorder="1" applyProtection="1"/>
    <xf numFmtId="43" fontId="49" fillId="0" borderId="0" xfId="613" applyFont="1" applyFill="1" applyBorder="1"/>
    <xf numFmtId="43" fontId="49" fillId="0" borderId="13" xfId="613" applyFont="1" applyFill="1" applyBorder="1"/>
    <xf numFmtId="43" fontId="48" fillId="0" borderId="0" xfId="613" applyFont="1" applyFill="1" applyBorder="1"/>
    <xf numFmtId="43" fontId="49" fillId="0" borderId="0" xfId="613" applyFont="1" applyFill="1" applyBorder="1" applyAlignment="1" applyProtection="1">
      <alignment horizontal="center"/>
    </xf>
    <xf numFmtId="10" fontId="48" fillId="0" borderId="0" xfId="4108" applyNumberFormat="1" applyFont="1" applyFill="1" applyBorder="1" applyAlignment="1" applyProtection="1">
      <alignment horizontal="center"/>
    </xf>
    <xf numFmtId="43" fontId="48" fillId="0" borderId="13" xfId="613" applyFont="1" applyFill="1" applyBorder="1"/>
    <xf numFmtId="0" fontId="49" fillId="0" borderId="58" xfId="1697" applyFont="1" applyFill="1" applyBorder="1" applyAlignment="1" applyProtection="1">
      <alignment horizontal="center"/>
    </xf>
    <xf numFmtId="0" fontId="49" fillId="0" borderId="36" xfId="1697" applyFont="1" applyFill="1" applyBorder="1" applyAlignment="1" applyProtection="1">
      <alignment horizontal="center"/>
    </xf>
    <xf numFmtId="43" fontId="49" fillId="0" borderId="36" xfId="613" applyFont="1" applyFill="1" applyBorder="1" applyAlignment="1" applyProtection="1">
      <alignment horizontal="center"/>
    </xf>
    <xf numFmtId="10" fontId="49" fillId="0" borderId="36" xfId="4108" applyNumberFormat="1" applyFont="1" applyFill="1" applyBorder="1" applyAlignment="1" applyProtection="1">
      <alignment horizontal="center"/>
    </xf>
    <xf numFmtId="43" fontId="48" fillId="0" borderId="36" xfId="613" applyFont="1" applyFill="1" applyBorder="1"/>
    <xf numFmtId="43" fontId="48" fillId="0" borderId="59" xfId="613" applyFont="1" applyFill="1" applyBorder="1"/>
    <xf numFmtId="0" fontId="49" fillId="0" borderId="60" xfId="1697" applyFont="1" applyFill="1" applyBorder="1" applyAlignment="1" applyProtection="1">
      <alignment horizontal="center"/>
    </xf>
    <xf numFmtId="0" fontId="49" fillId="0" borderId="44" xfId="1697" applyFont="1" applyFill="1" applyBorder="1" applyAlignment="1" applyProtection="1">
      <alignment horizontal="center"/>
    </xf>
    <xf numFmtId="43" fontId="49" fillId="0" borderId="44" xfId="613" applyFont="1" applyFill="1" applyBorder="1" applyAlignment="1" applyProtection="1">
      <alignment horizontal="center"/>
    </xf>
    <xf numFmtId="10" fontId="49" fillId="0" borderId="44" xfId="4108" applyNumberFormat="1" applyFont="1" applyFill="1" applyBorder="1" applyAlignment="1" applyProtection="1">
      <alignment horizontal="center"/>
    </xf>
    <xf numFmtId="43" fontId="48" fillId="0" borderId="44" xfId="613" applyFont="1" applyFill="1" applyBorder="1"/>
    <xf numFmtId="43" fontId="48" fillId="0" borderId="61" xfId="613" applyFont="1" applyFill="1" applyBorder="1"/>
    <xf numFmtId="0" fontId="48" fillId="0" borderId="12" xfId="1697" applyFont="1" applyFill="1" applyBorder="1" applyAlignment="1" applyProtection="1">
      <alignment horizontal="left"/>
    </xf>
    <xf numFmtId="0" fontId="48" fillId="0" borderId="0" xfId="1697" applyFont="1" applyFill="1" applyBorder="1" applyAlignment="1" applyProtection="1">
      <alignment horizontal="left"/>
    </xf>
    <xf numFmtId="172" fontId="48" fillId="0" borderId="0" xfId="1697" applyNumberFormat="1" applyFont="1" applyFill="1" applyBorder="1" applyAlignment="1" applyProtection="1">
      <alignment horizontal="center"/>
    </xf>
    <xf numFmtId="39" fontId="48" fillId="0" borderId="0" xfId="1697" applyNumberFormat="1" applyFont="1" applyFill="1" applyBorder="1" applyProtection="1"/>
    <xf numFmtId="173" fontId="48" fillId="0" borderId="0" xfId="1697" applyNumberFormat="1" applyFont="1" applyFill="1" applyBorder="1" applyAlignment="1" applyProtection="1">
      <alignment horizontal="center"/>
    </xf>
    <xf numFmtId="0" fontId="49" fillId="0" borderId="12" xfId="1697" applyFont="1" applyFill="1" applyBorder="1" applyAlignment="1" applyProtection="1">
      <alignment horizontal="left"/>
    </xf>
    <xf numFmtId="0" fontId="49" fillId="0" borderId="0" xfId="1697" applyFont="1" applyFill="1" applyBorder="1" applyAlignment="1" applyProtection="1">
      <alignment horizontal="left"/>
    </xf>
    <xf numFmtId="172" fontId="49" fillId="0" borderId="0" xfId="1697" applyNumberFormat="1" applyFont="1" applyFill="1" applyBorder="1" applyAlignment="1" applyProtection="1">
      <alignment horizontal="center"/>
    </xf>
    <xf numFmtId="43" fontId="49" fillId="0" borderId="47" xfId="613" applyFont="1" applyFill="1" applyBorder="1" applyProtection="1"/>
    <xf numFmtId="43" fontId="49" fillId="0" borderId="47" xfId="1697" applyNumberFormat="1" applyFont="1" applyFill="1" applyBorder="1" applyProtection="1"/>
    <xf numFmtId="0" fontId="48" fillId="0" borderId="12" xfId="1697" applyFont="1" applyFill="1" applyBorder="1"/>
    <xf numFmtId="0" fontId="48" fillId="0" borderId="0" xfId="1697" applyFont="1" applyFill="1" applyBorder="1" applyAlignment="1">
      <alignment horizontal="center"/>
    </xf>
    <xf numFmtId="43" fontId="48" fillId="0" borderId="0" xfId="613" applyFont="1" applyFill="1" applyBorder="1" applyAlignment="1">
      <alignment horizontal="center"/>
    </xf>
    <xf numFmtId="10" fontId="49" fillId="0" borderId="0" xfId="4108" applyNumberFormat="1" applyFont="1" applyFill="1" applyBorder="1" applyAlignment="1">
      <alignment horizontal="center"/>
    </xf>
    <xf numFmtId="0" fontId="48" fillId="0" borderId="0" xfId="1697" quotePrefix="1" applyFont="1" applyFill="1" applyBorder="1" applyAlignment="1" applyProtection="1">
      <alignment horizontal="left"/>
    </xf>
    <xf numFmtId="0" fontId="48" fillId="0" borderId="0" xfId="1697" applyFont="1" applyFill="1" applyBorder="1" applyProtection="1"/>
    <xf numFmtId="10" fontId="48" fillId="0" borderId="0" xfId="4108" applyNumberFormat="1" applyFont="1" applyFill="1" applyBorder="1" applyAlignment="1">
      <alignment horizontal="center"/>
    </xf>
    <xf numFmtId="43" fontId="48" fillId="0" borderId="0" xfId="4108" applyNumberFormat="1" applyFont="1" applyFill="1" applyBorder="1" applyAlignment="1" applyProtection="1">
      <alignment horizontal="center"/>
    </xf>
    <xf numFmtId="39" fontId="49" fillId="0" borderId="0" xfId="1697" applyNumberFormat="1" applyFont="1" applyFill="1" applyBorder="1" applyProtection="1"/>
    <xf numFmtId="0" fontId="48" fillId="0" borderId="0" xfId="0" applyFont="1" applyFill="1"/>
    <xf numFmtId="43" fontId="49" fillId="0" borderId="0" xfId="1697" applyNumberFormat="1" applyFont="1" applyFill="1" applyBorder="1" applyProtection="1"/>
    <xf numFmtId="43" fontId="49" fillId="0" borderId="0" xfId="1697" applyNumberFormat="1" applyFont="1" applyFill="1" applyBorder="1" applyAlignment="1" applyProtection="1">
      <alignment horizontal="center"/>
    </xf>
    <xf numFmtId="43" fontId="49" fillId="0" borderId="13" xfId="613" applyFont="1" applyFill="1" applyBorder="1" applyProtection="1"/>
    <xf numFmtId="43" fontId="49" fillId="0" borderId="27" xfId="613" applyFont="1" applyFill="1" applyBorder="1" applyProtection="1"/>
    <xf numFmtId="0" fontId="49" fillId="0" borderId="12" xfId="1697" applyFont="1" applyFill="1" applyBorder="1"/>
    <xf numFmtId="0" fontId="49" fillId="0" borderId="0" xfId="1697" applyFont="1" applyFill="1" applyBorder="1"/>
    <xf numFmtId="0" fontId="49" fillId="0" borderId="12" xfId="1697" applyFont="1" applyFill="1" applyBorder="1" applyAlignment="1" applyProtection="1">
      <alignment horizontal="center"/>
    </xf>
    <xf numFmtId="0" fontId="49" fillId="0" borderId="0" xfId="1697" applyFont="1" applyFill="1" applyBorder="1" applyAlignment="1" applyProtection="1">
      <alignment horizontal="center"/>
    </xf>
    <xf numFmtId="183" fontId="48" fillId="0" borderId="0" xfId="613" applyNumberFormat="1" applyFont="1" applyFill="1" applyBorder="1"/>
    <xf numFmtId="183" fontId="48" fillId="0" borderId="0" xfId="1697" applyNumberFormat="1" applyFont="1" applyFill="1" applyBorder="1"/>
    <xf numFmtId="180" fontId="48" fillId="0" borderId="0" xfId="1697" applyNumberFormat="1" applyFont="1" applyFill="1" applyBorder="1" applyProtection="1"/>
    <xf numFmtId="39" fontId="49" fillId="0" borderId="0" xfId="1697" applyNumberFormat="1" applyFont="1" applyFill="1" applyBorder="1" applyAlignment="1" applyProtection="1">
      <alignment horizontal="center"/>
    </xf>
    <xf numFmtId="0" fontId="61" fillId="0" borderId="0" xfId="1697" applyFont="1" applyFill="1" applyBorder="1" applyAlignment="1" applyProtection="1">
      <alignment horizontal="left"/>
    </xf>
    <xf numFmtId="0" fontId="61" fillId="0" borderId="12" xfId="1697" applyFont="1" applyFill="1" applyBorder="1" applyAlignment="1" applyProtection="1">
      <alignment horizontal="left"/>
    </xf>
    <xf numFmtId="0" fontId="48" fillId="0" borderId="12" xfId="1697" applyFont="1" applyFill="1" applyBorder="1" applyProtection="1"/>
    <xf numFmtId="43" fontId="49" fillId="0" borderId="44" xfId="613" applyFont="1" applyFill="1" applyBorder="1"/>
    <xf numFmtId="43" fontId="49" fillId="0" borderId="61" xfId="613" applyFont="1" applyFill="1" applyBorder="1"/>
    <xf numFmtId="172" fontId="61" fillId="0" borderId="0" xfId="1697" applyNumberFormat="1" applyFont="1" applyFill="1" applyBorder="1" applyAlignment="1" applyProtection="1">
      <alignment horizontal="center"/>
    </xf>
    <xf numFmtId="0" fontId="61" fillId="0" borderId="0" xfId="1697" applyFont="1" applyFill="1" applyBorder="1" applyAlignment="1" applyProtection="1">
      <alignment horizontal="center"/>
    </xf>
    <xf numFmtId="43" fontId="61" fillId="0" borderId="0" xfId="613" applyFont="1" applyFill="1" applyBorder="1" applyProtection="1"/>
    <xf numFmtId="39" fontId="61" fillId="0" borderId="0" xfId="1697" applyNumberFormat="1" applyFont="1" applyFill="1" applyBorder="1" applyProtection="1"/>
    <xf numFmtId="10" fontId="61" fillId="0" borderId="0" xfId="4108" applyNumberFormat="1" applyFont="1" applyFill="1" applyBorder="1" applyAlignment="1" applyProtection="1">
      <alignment horizontal="center"/>
    </xf>
    <xf numFmtId="43" fontId="61" fillId="0" borderId="0" xfId="613" applyFont="1" applyFill="1" applyBorder="1" applyAlignment="1" applyProtection="1"/>
    <xf numFmtId="43" fontId="61" fillId="0" borderId="13" xfId="613" applyFont="1" applyFill="1" applyBorder="1" applyProtection="1"/>
    <xf numFmtId="0" fontId="49" fillId="0" borderId="60" xfId="1697" applyFont="1" applyFill="1" applyBorder="1" applyAlignment="1" applyProtection="1">
      <alignment horizontal="left"/>
    </xf>
    <xf numFmtId="0" fontId="49" fillId="0" borderId="44" xfId="1697" applyFont="1" applyFill="1" applyBorder="1" applyAlignment="1" applyProtection="1">
      <alignment horizontal="left"/>
    </xf>
    <xf numFmtId="172" fontId="49" fillId="0" borderId="44" xfId="1697" applyNumberFormat="1" applyFont="1" applyFill="1" applyBorder="1" applyAlignment="1" applyProtection="1">
      <alignment horizontal="center"/>
    </xf>
    <xf numFmtId="43" fontId="49" fillId="0" borderId="44" xfId="613" applyFont="1" applyFill="1" applyBorder="1" applyProtection="1"/>
    <xf numFmtId="39" fontId="49" fillId="0" borderId="44" xfId="1697" applyNumberFormat="1" applyFont="1" applyFill="1" applyBorder="1" applyProtection="1"/>
    <xf numFmtId="0" fontId="49" fillId="0" borderId="47" xfId="1697" applyFont="1" applyFill="1" applyBorder="1" applyAlignment="1" applyProtection="1">
      <alignment horizontal="left"/>
    </xf>
    <xf numFmtId="172" fontId="49" fillId="0" borderId="47" xfId="1697" applyNumberFormat="1" applyFont="1" applyFill="1" applyBorder="1" applyAlignment="1" applyProtection="1">
      <alignment horizontal="center"/>
    </xf>
    <xf numFmtId="0" fontId="49" fillId="0" borderId="47" xfId="1697" applyFont="1" applyFill="1" applyBorder="1" applyAlignment="1" applyProtection="1">
      <alignment horizontal="center"/>
    </xf>
    <xf numFmtId="1" fontId="48" fillId="0" borderId="0" xfId="1697" applyNumberFormat="1" applyFont="1" applyFill="1" applyBorder="1" applyAlignment="1" applyProtection="1">
      <alignment horizontal="center"/>
    </xf>
    <xf numFmtId="43" fontId="61" fillId="0" borderId="13" xfId="613" applyFont="1" applyFill="1" applyBorder="1"/>
    <xf numFmtId="43" fontId="49" fillId="0" borderId="61" xfId="613" applyFont="1" applyFill="1" applyBorder="1" applyProtection="1"/>
    <xf numFmtId="0" fontId="6" fillId="0" borderId="13" xfId="0" applyFont="1" applyFill="1" applyBorder="1"/>
    <xf numFmtId="0" fontId="49" fillId="0" borderId="12" xfId="1697" applyFont="1" applyFill="1" applyBorder="1" applyProtection="1"/>
    <xf numFmtId="0" fontId="49" fillId="0" borderId="0" xfId="1697" applyFont="1" applyFill="1" applyBorder="1" applyProtection="1"/>
    <xf numFmtId="0" fontId="48" fillId="0" borderId="12" xfId="1697" applyFont="1" applyFill="1" applyBorder="1" applyAlignment="1" applyProtection="1">
      <alignment horizontal="center"/>
    </xf>
    <xf numFmtId="4" fontId="48" fillId="0" borderId="0" xfId="1697" applyNumberFormat="1" applyFont="1" applyFill="1"/>
    <xf numFmtId="43" fontId="48" fillId="0" borderId="35" xfId="613" applyFont="1" applyFill="1" applyBorder="1" applyProtection="1"/>
    <xf numFmtId="43" fontId="48" fillId="0" borderId="37" xfId="613" applyFont="1" applyFill="1" applyBorder="1"/>
    <xf numFmtId="43" fontId="48" fillId="0" borderId="63" xfId="613" applyFont="1" applyFill="1" applyBorder="1"/>
    <xf numFmtId="43" fontId="48" fillId="0" borderId="54" xfId="613" applyFont="1" applyFill="1" applyBorder="1"/>
    <xf numFmtId="43" fontId="49" fillId="0" borderId="56" xfId="613" applyFont="1" applyFill="1" applyBorder="1"/>
    <xf numFmtId="43" fontId="48" fillId="0" borderId="0" xfId="1697" applyNumberFormat="1" applyFont="1" applyFill="1" applyBorder="1" applyAlignment="1">
      <alignment horizontal="center"/>
    </xf>
    <xf numFmtId="0" fontId="62" fillId="0" borderId="0" xfId="4253" applyFont="1" applyFill="1"/>
    <xf numFmtId="43" fontId="62" fillId="0" borderId="0" xfId="644" applyNumberFormat="1" applyFont="1" applyFill="1"/>
    <xf numFmtId="37" fontId="62" fillId="0" borderId="0" xfId="4253" applyNumberFormat="1" applyFont="1" applyFill="1" applyBorder="1" applyAlignment="1" applyProtection="1">
      <alignment horizontal="right"/>
    </xf>
    <xf numFmtId="43" fontId="62" fillId="0" borderId="0" xfId="4253" applyNumberFormat="1" applyFont="1" applyFill="1" applyAlignment="1">
      <alignment horizontal="center"/>
    </xf>
    <xf numFmtId="43" fontId="62" fillId="0" borderId="0" xfId="613" applyFont="1" applyFill="1"/>
    <xf numFmtId="0" fontId="62" fillId="0" borderId="0" xfId="4253" applyFont="1" applyFill="1" applyAlignment="1">
      <alignment horizontal="left"/>
    </xf>
    <xf numFmtId="37" fontId="63" fillId="0" borderId="0" xfId="4253" applyNumberFormat="1" applyFont="1" applyFill="1"/>
    <xf numFmtId="171" fontId="63" fillId="0" borderId="0" xfId="4253" applyNumberFormat="1" applyFont="1" applyFill="1" applyAlignment="1">
      <alignment horizontal="left"/>
    </xf>
    <xf numFmtId="0" fontId="63" fillId="0" borderId="0" xfId="4253" applyFont="1" applyFill="1" applyAlignment="1">
      <alignment horizontal="left"/>
    </xf>
    <xf numFmtId="0" fontId="63" fillId="0" borderId="0" xfId="4253" applyFont="1" applyFill="1" applyBorder="1" applyAlignment="1">
      <alignment horizontal="center"/>
    </xf>
    <xf numFmtId="10" fontId="62" fillId="0" borderId="0" xfId="4253" applyNumberFormat="1" applyFont="1" applyFill="1" applyAlignment="1">
      <alignment horizontal="left"/>
    </xf>
    <xf numFmtId="0" fontId="64" fillId="0" borderId="0" xfId="4253" applyFont="1" applyFill="1"/>
    <xf numFmtId="171" fontId="62" fillId="0" borderId="0" xfId="644" applyNumberFormat="1" applyFont="1" applyFill="1" applyBorder="1" applyAlignment="1" applyProtection="1">
      <alignment horizontal="right"/>
    </xf>
    <xf numFmtId="43" fontId="62" fillId="0" borderId="0" xfId="4253" applyNumberFormat="1" applyFont="1" applyFill="1" applyBorder="1" applyAlignment="1">
      <alignment horizontal="center"/>
    </xf>
    <xf numFmtId="171" fontId="62" fillId="0" borderId="0" xfId="4253" applyNumberFormat="1" applyFont="1" applyFill="1" applyBorder="1" applyAlignment="1" applyProtection="1">
      <alignment horizontal="right"/>
    </xf>
    <xf numFmtId="43" fontId="62" fillId="0" borderId="0" xfId="613" applyFont="1" applyFill="1" applyBorder="1"/>
    <xf numFmtId="0" fontId="62" fillId="0" borderId="0" xfId="4253" applyFont="1" applyFill="1" applyBorder="1"/>
    <xf numFmtId="171" fontId="62" fillId="0" borderId="0" xfId="613" applyNumberFormat="1" applyFont="1" applyFill="1"/>
    <xf numFmtId="181" fontId="62" fillId="0" borderId="0" xfId="4253" applyNumberFormat="1" applyFont="1" applyFill="1"/>
    <xf numFmtId="43" fontId="62" fillId="0" borderId="0" xfId="644" applyNumberFormat="1" applyFont="1" applyFill="1" applyAlignment="1">
      <alignment horizontal="left"/>
    </xf>
    <xf numFmtId="37" fontId="62" fillId="0" borderId="0" xfId="4253" applyNumberFormat="1" applyFont="1" applyFill="1" applyAlignment="1">
      <alignment horizontal="left"/>
    </xf>
    <xf numFmtId="43" fontId="63" fillId="0" borderId="0" xfId="644" applyNumberFormat="1" applyFont="1" applyFill="1"/>
    <xf numFmtId="43" fontId="63" fillId="0" borderId="0" xfId="644" applyNumberFormat="1" applyFont="1" applyFill="1" applyBorder="1"/>
    <xf numFmtId="43" fontId="62" fillId="0" borderId="0" xfId="644" applyNumberFormat="1" applyFont="1" applyFill="1" applyBorder="1"/>
    <xf numFmtId="43" fontId="62" fillId="0" borderId="0" xfId="4253" applyNumberFormat="1" applyFont="1" applyFill="1"/>
    <xf numFmtId="43" fontId="62" fillId="0" borderId="0" xfId="4253" applyNumberFormat="1" applyFont="1" applyFill="1" applyAlignment="1">
      <alignment horizontal="left"/>
    </xf>
    <xf numFmtId="171" fontId="62" fillId="0" borderId="0" xfId="4253" applyNumberFormat="1" applyFont="1" applyFill="1"/>
    <xf numFmtId="171" fontId="62" fillId="0" borderId="0" xfId="644" applyNumberFormat="1" applyFont="1" applyFill="1" applyAlignment="1">
      <alignment horizontal="left"/>
    </xf>
    <xf numFmtId="0" fontId="65" fillId="0" borderId="0" xfId="4253" applyFont="1" applyFill="1"/>
    <xf numFmtId="0" fontId="66" fillId="0" borderId="0" xfId="4253" applyFont="1" applyFill="1"/>
    <xf numFmtId="43" fontId="63" fillId="0" borderId="0" xfId="4253" applyNumberFormat="1" applyFont="1" applyFill="1" applyBorder="1" applyAlignment="1">
      <alignment horizontal="center"/>
    </xf>
    <xf numFmtId="43" fontId="63" fillId="0" borderId="0" xfId="613" applyFont="1" applyFill="1" applyBorder="1" applyAlignment="1">
      <alignment horizontal="center"/>
    </xf>
    <xf numFmtId="171" fontId="62" fillId="0" borderId="0" xfId="4253" applyNumberFormat="1" applyFont="1" applyFill="1" applyBorder="1"/>
    <xf numFmtId="14" fontId="63" fillId="0" borderId="0" xfId="4253" applyNumberFormat="1" applyFont="1" applyFill="1"/>
    <xf numFmtId="0" fontId="62" fillId="0" borderId="0" xfId="4253" applyFont="1" applyFill="1" applyBorder="1" applyAlignment="1">
      <alignment horizontal="center"/>
    </xf>
    <xf numFmtId="43" fontId="62" fillId="0" borderId="0" xfId="4253" applyNumberFormat="1" applyFont="1" applyFill="1" applyBorder="1"/>
    <xf numFmtId="0" fontId="63" fillId="0" borderId="0" xfId="4253" applyFont="1" applyFill="1"/>
    <xf numFmtId="0" fontId="62" fillId="0" borderId="44" xfId="4253" applyFont="1" applyFill="1" applyBorder="1"/>
    <xf numFmtId="43" fontId="62" fillId="0" borderId="44" xfId="644" applyNumberFormat="1" applyFont="1" applyFill="1" applyBorder="1"/>
    <xf numFmtId="0" fontId="62" fillId="0" borderId="44" xfId="4253" applyFont="1" applyFill="1" applyBorder="1" applyAlignment="1">
      <alignment horizontal="center"/>
    </xf>
    <xf numFmtId="43" fontId="62" fillId="0" borderId="44" xfId="613" applyFont="1" applyFill="1" applyBorder="1"/>
    <xf numFmtId="10" fontId="62" fillId="0" borderId="0" xfId="4253" applyNumberFormat="1" applyFont="1" applyFill="1" applyBorder="1" applyAlignment="1">
      <alignment horizontal="left"/>
    </xf>
    <xf numFmtId="0" fontId="63" fillId="0" borderId="64" xfId="4253" applyFont="1" applyFill="1" applyBorder="1"/>
    <xf numFmtId="0" fontId="62" fillId="0" borderId="41" xfId="4253" applyFont="1" applyFill="1" applyBorder="1"/>
    <xf numFmtId="0" fontId="63" fillId="0" borderId="41" xfId="4253" applyFont="1" applyFill="1" applyBorder="1" applyAlignment="1">
      <alignment horizontal="right"/>
    </xf>
    <xf numFmtId="0" fontId="63" fillId="0" borderId="35" xfId="4253" applyFont="1" applyFill="1" applyBorder="1" applyAlignment="1">
      <alignment horizontal="right"/>
    </xf>
    <xf numFmtId="0" fontId="62" fillId="0" borderId="49" xfId="4253" applyFont="1" applyFill="1" applyBorder="1"/>
    <xf numFmtId="0" fontId="62" fillId="0" borderId="37" xfId="4253" applyFont="1" applyFill="1" applyBorder="1" applyAlignment="1"/>
    <xf numFmtId="0" fontId="62" fillId="0" borderId="0" xfId="4253" applyFont="1" applyFill="1" applyBorder="1" applyAlignment="1"/>
    <xf numFmtId="0" fontId="63" fillId="0" borderId="37" xfId="4253" applyFont="1" applyFill="1" applyBorder="1" applyAlignment="1">
      <alignment horizontal="center" wrapText="1"/>
    </xf>
    <xf numFmtId="0" fontId="63" fillId="0" borderId="39" xfId="4253" applyFont="1" applyFill="1" applyBorder="1" applyAlignment="1">
      <alignment horizontal="center" wrapText="1"/>
    </xf>
    <xf numFmtId="0" fontId="63" fillId="0" borderId="66" xfId="4253" applyFont="1" applyFill="1" applyBorder="1"/>
    <xf numFmtId="0" fontId="63" fillId="0" borderId="0" xfId="4253" applyFont="1" applyFill="1" applyAlignment="1">
      <alignment horizontal="center"/>
    </xf>
    <xf numFmtId="0" fontId="63" fillId="0" borderId="37" xfId="4253" applyFont="1" applyFill="1" applyBorder="1" applyAlignment="1">
      <alignment horizontal="center"/>
    </xf>
    <xf numFmtId="0" fontId="63" fillId="0" borderId="39" xfId="4253" applyFont="1" applyFill="1" applyBorder="1" applyAlignment="1">
      <alignment horizontal="center"/>
    </xf>
    <xf numFmtId="43" fontId="63" fillId="0" borderId="39" xfId="644" applyNumberFormat="1" applyFont="1" applyFill="1" applyBorder="1" applyAlignment="1">
      <alignment horizontal="center"/>
    </xf>
    <xf numFmtId="0" fontId="63" fillId="0" borderId="38" xfId="4253" applyFont="1" applyFill="1" applyBorder="1" applyAlignment="1">
      <alignment horizontal="center"/>
    </xf>
    <xf numFmtId="0" fontId="62" fillId="0" borderId="0" xfId="4253" applyFont="1" applyFill="1" applyBorder="1" applyAlignment="1">
      <alignment horizontal="centerContinuous"/>
    </xf>
    <xf numFmtId="0" fontId="63" fillId="0" borderId="67" xfId="4253" applyFont="1" applyFill="1" applyBorder="1" applyAlignment="1">
      <alignment vertical="center"/>
    </xf>
    <xf numFmtId="0" fontId="62" fillId="0" borderId="43" xfId="4253" applyFont="1" applyFill="1" applyBorder="1"/>
    <xf numFmtId="0" fontId="63" fillId="0" borderId="43" xfId="4253" applyFont="1" applyFill="1" applyBorder="1" applyAlignment="1">
      <alignment horizontal="right"/>
    </xf>
    <xf numFmtId="0" fontId="63" fillId="0" borderId="63" xfId="4253" applyFont="1" applyFill="1" applyBorder="1" applyAlignment="1">
      <alignment horizontal="center"/>
    </xf>
    <xf numFmtId="0" fontId="63" fillId="0" borderId="54" xfId="4253" applyFont="1" applyFill="1" applyBorder="1" applyAlignment="1">
      <alignment horizontal="center"/>
    </xf>
    <xf numFmtId="43" fontId="63" fillId="0" borderId="54" xfId="644" applyNumberFormat="1" applyFont="1" applyFill="1" applyBorder="1" applyAlignment="1">
      <alignment horizontal="center"/>
    </xf>
    <xf numFmtId="0" fontId="63" fillId="0" borderId="55" xfId="4253" applyFont="1" applyFill="1" applyBorder="1" applyAlignment="1">
      <alignment horizontal="center"/>
    </xf>
    <xf numFmtId="0" fontId="63" fillId="0" borderId="54" xfId="4253" applyFont="1" applyFill="1" applyBorder="1" applyAlignment="1">
      <alignment horizontal="right"/>
    </xf>
    <xf numFmtId="0" fontId="63" fillId="0" borderId="54" xfId="4253" applyFont="1" applyFill="1" applyBorder="1" applyAlignment="1">
      <alignment horizontal="right" wrapText="1"/>
    </xf>
    <xf numFmtId="0" fontId="63" fillId="0" borderId="63" xfId="4253" applyFont="1" applyFill="1" applyBorder="1" applyAlignment="1">
      <alignment horizontal="center" wrapText="1"/>
    </xf>
    <xf numFmtId="0" fontId="63" fillId="0" borderId="63" xfId="4253" applyFont="1" applyFill="1" applyBorder="1" applyAlignment="1">
      <alignment horizontal="right"/>
    </xf>
    <xf numFmtId="0" fontId="63" fillId="0" borderId="54" xfId="4253" applyFont="1" applyFill="1" applyBorder="1" applyAlignment="1">
      <alignment horizontal="center" wrapText="1"/>
    </xf>
    <xf numFmtId="0" fontId="62" fillId="0" borderId="66" xfId="4253" applyFont="1" applyFill="1" applyBorder="1"/>
    <xf numFmtId="0" fontId="62" fillId="0" borderId="0" xfId="4253" applyFont="1" applyFill="1" applyAlignment="1">
      <alignment horizontal="right"/>
    </xf>
    <xf numFmtId="0" fontId="62" fillId="0" borderId="37" xfId="4253" applyFont="1" applyFill="1" applyBorder="1" applyAlignment="1">
      <alignment horizontal="right"/>
    </xf>
    <xf numFmtId="37" fontId="62" fillId="0" borderId="35" xfId="4253" applyNumberFormat="1" applyFont="1" applyFill="1" applyBorder="1" applyAlignment="1" applyProtection="1">
      <alignment horizontal="right"/>
    </xf>
    <xf numFmtId="43" fontId="62" fillId="0" borderId="49" xfId="644" applyNumberFormat="1" applyFont="1" applyFill="1" applyBorder="1" applyAlignment="1">
      <alignment horizontal="center"/>
    </xf>
    <xf numFmtId="0" fontId="62" fillId="0" borderId="49" xfId="4253" applyFont="1" applyFill="1" applyBorder="1" applyAlignment="1">
      <alignment horizontal="center"/>
    </xf>
    <xf numFmtId="0" fontId="62" fillId="0" borderId="37" xfId="4253" applyFont="1" applyFill="1" applyBorder="1" applyAlignment="1">
      <alignment horizontal="center"/>
    </xf>
    <xf numFmtId="0" fontId="62" fillId="0" borderId="68" xfId="4253" applyFont="1" applyFill="1" applyBorder="1" applyAlignment="1">
      <alignment horizontal="center"/>
    </xf>
    <xf numFmtId="43" fontId="62" fillId="0" borderId="69" xfId="644" applyNumberFormat="1" applyFont="1" applyFill="1" applyBorder="1"/>
    <xf numFmtId="0" fontId="62" fillId="0" borderId="69" xfId="4253" applyFont="1" applyFill="1" applyBorder="1" applyAlignment="1">
      <alignment horizontal="center"/>
    </xf>
    <xf numFmtId="0" fontId="62" fillId="0" borderId="69" xfId="4253" applyFont="1" applyFill="1" applyBorder="1"/>
    <xf numFmtId="43" fontId="62" fillId="0" borderId="69" xfId="613" applyFont="1" applyFill="1" applyBorder="1"/>
    <xf numFmtId="0" fontId="62" fillId="0" borderId="0" xfId="4253" applyFont="1" applyFill="1" applyBorder="1" applyAlignment="1">
      <alignment horizontal="center" wrapText="1"/>
    </xf>
    <xf numFmtId="0" fontId="62" fillId="0" borderId="49" xfId="4253" applyFont="1" applyFill="1" applyBorder="1" applyAlignment="1">
      <alignment horizontal="left"/>
    </xf>
    <xf numFmtId="0" fontId="62" fillId="0" borderId="39" xfId="4253" applyFont="1" applyFill="1" applyBorder="1"/>
    <xf numFmtId="10" fontId="62" fillId="0" borderId="49" xfId="4253" applyNumberFormat="1" applyFont="1" applyFill="1" applyBorder="1" applyAlignment="1">
      <alignment horizontal="left"/>
    </xf>
    <xf numFmtId="0" fontId="62" fillId="0" borderId="37" xfId="4253" applyFont="1" applyFill="1" applyBorder="1"/>
    <xf numFmtId="171" fontId="62" fillId="0" borderId="39" xfId="644" applyNumberFormat="1" applyFont="1" applyFill="1" applyBorder="1" applyAlignment="1" applyProtection="1">
      <alignment horizontal="right"/>
    </xf>
    <xf numFmtId="0" fontId="62" fillId="0" borderId="38" xfId="4253" applyFont="1" applyFill="1" applyBorder="1" applyAlignment="1">
      <alignment horizontal="center"/>
    </xf>
    <xf numFmtId="0" fontId="62" fillId="0" borderId="39" xfId="4253" applyFont="1" applyFill="1" applyBorder="1" applyAlignment="1">
      <alignment horizontal="center"/>
    </xf>
    <xf numFmtId="171" fontId="62" fillId="0" borderId="39" xfId="644" applyNumberFormat="1" applyFont="1" applyFill="1" applyBorder="1"/>
    <xf numFmtId="171" fontId="62" fillId="0" borderId="39" xfId="644" applyNumberFormat="1" applyFont="1" applyFill="1" applyBorder="1" applyAlignment="1">
      <alignment horizontal="center"/>
    </xf>
    <xf numFmtId="39" fontId="62" fillId="0" borderId="39" xfId="4253" applyNumberFormat="1" applyFont="1" applyFill="1" applyBorder="1" applyAlignment="1" applyProtection="1">
      <alignment horizontal="center"/>
    </xf>
    <xf numFmtId="171" fontId="62" fillId="0" borderId="39" xfId="4253" applyNumberFormat="1" applyFont="1" applyFill="1" applyBorder="1" applyAlignment="1">
      <alignment horizontal="center"/>
    </xf>
    <xf numFmtId="43" fontId="62" fillId="0" borderId="39" xfId="613" applyFont="1" applyFill="1" applyBorder="1" applyAlignment="1">
      <alignment horizontal="center"/>
    </xf>
    <xf numFmtId="39" fontId="62" fillId="0" borderId="38" xfId="4253" applyNumberFormat="1" applyFont="1" applyFill="1" applyBorder="1" applyAlignment="1" applyProtection="1">
      <alignment horizontal="center"/>
    </xf>
    <xf numFmtId="171" fontId="62" fillId="0" borderId="37" xfId="644" applyNumberFormat="1" applyFont="1" applyFill="1" applyBorder="1" applyAlignment="1">
      <alignment horizontal="center"/>
    </xf>
    <xf numFmtId="178" fontId="62" fillId="0" borderId="39" xfId="4253" applyNumberFormat="1" applyFont="1" applyFill="1" applyBorder="1" applyAlignment="1">
      <alignment horizontal="center"/>
    </xf>
    <xf numFmtId="10" fontId="62" fillId="0" borderId="39" xfId="4129" applyNumberFormat="1" applyFont="1" applyFill="1" applyBorder="1" applyAlignment="1">
      <alignment horizontal="center"/>
    </xf>
    <xf numFmtId="39" fontId="62" fillId="0" borderId="0" xfId="4253" applyNumberFormat="1" applyFont="1" applyFill="1" applyAlignment="1" applyProtection="1">
      <alignment horizontal="right"/>
    </xf>
    <xf numFmtId="39" fontId="62" fillId="0" borderId="39" xfId="4253" applyNumberFormat="1" applyFont="1" applyFill="1" applyBorder="1" applyAlignment="1" applyProtection="1">
      <alignment horizontal="right"/>
    </xf>
    <xf numFmtId="37" fontId="62" fillId="0" borderId="39" xfId="4253" applyNumberFormat="1" applyFont="1" applyFill="1" applyBorder="1" applyAlignment="1" applyProtection="1">
      <alignment horizontal="right"/>
    </xf>
    <xf numFmtId="37" fontId="62" fillId="0" borderId="38" xfId="4253" applyNumberFormat="1" applyFont="1" applyFill="1" applyBorder="1" applyAlignment="1" applyProtection="1">
      <alignment horizontal="right"/>
    </xf>
    <xf numFmtId="37" fontId="62" fillId="0" borderId="37" xfId="4253" applyNumberFormat="1" applyFont="1" applyFill="1" applyBorder="1" applyAlignment="1" applyProtection="1">
      <alignment horizontal="right"/>
    </xf>
    <xf numFmtId="37" fontId="62" fillId="0" borderId="0" xfId="4253" applyNumberFormat="1" applyFont="1" applyFill="1" applyBorder="1" applyProtection="1"/>
    <xf numFmtId="166" fontId="62" fillId="0" borderId="39" xfId="644" applyNumberFormat="1" applyFont="1" applyFill="1" applyBorder="1" applyAlignment="1" applyProtection="1">
      <alignment horizontal="right"/>
    </xf>
    <xf numFmtId="171" fontId="62" fillId="0" borderId="39" xfId="4253" applyNumberFormat="1" applyFont="1" applyFill="1" applyBorder="1" applyAlignment="1" applyProtection="1">
      <alignment horizontal="right"/>
    </xf>
    <xf numFmtId="37" fontId="62" fillId="0" borderId="37" xfId="4253" applyNumberFormat="1" applyFont="1" applyFill="1" applyBorder="1" applyProtection="1"/>
    <xf numFmtId="176" fontId="62" fillId="0" borderId="39" xfId="4129" applyNumberFormat="1" applyFont="1" applyFill="1" applyBorder="1" applyAlignment="1">
      <alignment horizontal="center"/>
    </xf>
    <xf numFmtId="176" fontId="62" fillId="0" borderId="38" xfId="4129" applyNumberFormat="1" applyFont="1" applyFill="1" applyBorder="1" applyAlignment="1">
      <alignment horizontal="center"/>
    </xf>
    <xf numFmtId="171" fontId="62" fillId="0" borderId="39" xfId="4253" applyNumberFormat="1" applyFont="1" applyFill="1" applyBorder="1"/>
    <xf numFmtId="39" fontId="62" fillId="0" borderId="37" xfId="4253" applyNumberFormat="1" applyFont="1" applyFill="1" applyBorder="1" applyAlignment="1" applyProtection="1">
      <alignment horizontal="right"/>
    </xf>
    <xf numFmtId="171" fontId="62" fillId="0" borderId="39" xfId="644" applyNumberFormat="1" applyFont="1" applyFill="1" applyBorder="1" applyProtection="1"/>
    <xf numFmtId="43" fontId="62" fillId="0" borderId="37" xfId="613" applyFont="1" applyFill="1" applyBorder="1" applyAlignment="1" applyProtection="1">
      <alignment horizontal="right"/>
    </xf>
    <xf numFmtId="43" fontId="62" fillId="0" borderId="39" xfId="4253" applyNumberFormat="1" applyFont="1" applyFill="1" applyBorder="1"/>
    <xf numFmtId="171" fontId="63" fillId="0" borderId="39" xfId="644" applyNumberFormat="1" applyFont="1" applyFill="1" applyBorder="1" applyAlignment="1" applyProtection="1">
      <alignment horizontal="right"/>
    </xf>
    <xf numFmtId="39" fontId="63" fillId="0" borderId="39" xfId="4253" applyNumberFormat="1" applyFont="1" applyFill="1" applyBorder="1" applyAlignment="1" applyProtection="1">
      <alignment horizontal="right"/>
    </xf>
    <xf numFmtId="37" fontId="62" fillId="0" borderId="39" xfId="4253" applyNumberFormat="1" applyFont="1" applyFill="1" applyBorder="1" applyProtection="1"/>
    <xf numFmtId="39" fontId="63" fillId="0" borderId="39" xfId="4253" applyNumberFormat="1" applyFont="1" applyFill="1" applyBorder="1" applyAlignment="1" applyProtection="1">
      <alignment horizontal="center"/>
    </xf>
    <xf numFmtId="10" fontId="63" fillId="0" borderId="39" xfId="4108" applyNumberFormat="1" applyFont="1" applyFill="1" applyBorder="1" applyAlignment="1" applyProtection="1">
      <alignment horizontal="right"/>
    </xf>
    <xf numFmtId="176" fontId="63" fillId="0" borderId="39" xfId="4129" applyNumberFormat="1" applyFont="1" applyFill="1" applyBorder="1" applyAlignment="1">
      <alignment horizontal="center"/>
    </xf>
    <xf numFmtId="10" fontId="63" fillId="0" borderId="39" xfId="4129" applyNumberFormat="1" applyFont="1" applyFill="1" applyBorder="1" applyAlignment="1">
      <alignment horizontal="center"/>
    </xf>
    <xf numFmtId="171" fontId="63" fillId="0" borderId="37" xfId="4253" applyNumberFormat="1" applyFont="1" applyFill="1" applyBorder="1" applyProtection="1"/>
    <xf numFmtId="171" fontId="63" fillId="0" borderId="37" xfId="644" applyNumberFormat="1" applyFont="1" applyFill="1" applyBorder="1" applyAlignment="1" applyProtection="1">
      <alignment horizontal="right"/>
    </xf>
    <xf numFmtId="171" fontId="62" fillId="0" borderId="39" xfId="4253" applyNumberFormat="1" applyFont="1" applyFill="1" applyBorder="1" applyProtection="1"/>
    <xf numFmtId="43" fontId="62" fillId="0" borderId="39" xfId="613" applyFont="1" applyFill="1" applyBorder="1" applyProtection="1"/>
    <xf numFmtId="171" fontId="62" fillId="0" borderId="37" xfId="4253" applyNumberFormat="1" applyFont="1" applyFill="1" applyBorder="1"/>
    <xf numFmtId="171" fontId="62" fillId="0" borderId="37" xfId="644" applyNumberFormat="1" applyFont="1" applyFill="1" applyBorder="1" applyProtection="1"/>
    <xf numFmtId="175" fontId="62" fillId="0" borderId="39" xfId="699" applyNumberFormat="1" applyFont="1" applyFill="1" applyBorder="1" applyProtection="1"/>
    <xf numFmtId="37" fontId="62" fillId="0" borderId="38" xfId="4253" applyNumberFormat="1" applyFont="1" applyFill="1" applyBorder="1" applyProtection="1"/>
    <xf numFmtId="43" fontId="62" fillId="0" borderId="39" xfId="4253" applyNumberFormat="1" applyFont="1" applyFill="1" applyBorder="1" applyAlignment="1" applyProtection="1">
      <alignment horizontal="right"/>
    </xf>
    <xf numFmtId="0" fontId="0" fillId="0" borderId="38" xfId="0" applyBorder="1"/>
    <xf numFmtId="43" fontId="63" fillId="0" borderId="39" xfId="613" applyFont="1" applyFill="1" applyBorder="1" applyAlignment="1" applyProtection="1">
      <alignment horizontal="right"/>
    </xf>
    <xf numFmtId="171" fontId="63" fillId="0" borderId="38" xfId="644" applyNumberFormat="1" applyFont="1" applyFill="1" applyBorder="1" applyAlignment="1" applyProtection="1">
      <alignment horizontal="right"/>
    </xf>
    <xf numFmtId="37" fontId="62" fillId="0" borderId="38" xfId="4253" applyNumberFormat="1" applyFont="1" applyFill="1" applyBorder="1" applyAlignment="1" applyProtection="1">
      <alignment horizontal="center"/>
    </xf>
    <xf numFmtId="43" fontId="63" fillId="0" borderId="38" xfId="613" applyFont="1" applyFill="1" applyBorder="1" applyAlignment="1" applyProtection="1">
      <alignment horizontal="right"/>
    </xf>
    <xf numFmtId="176" fontId="63" fillId="0" borderId="0" xfId="4129" applyNumberFormat="1" applyFont="1" applyFill="1" applyBorder="1" applyAlignment="1">
      <alignment horizontal="center"/>
    </xf>
    <xf numFmtId="171" fontId="63" fillId="0" borderId="0" xfId="4253" applyNumberFormat="1" applyFont="1" applyFill="1" applyBorder="1" applyProtection="1"/>
    <xf numFmtId="171" fontId="62" fillId="0" borderId="37" xfId="644" applyNumberFormat="1" applyFont="1" applyFill="1" applyBorder="1" applyAlignment="1" applyProtection="1">
      <alignment horizontal="right"/>
    </xf>
    <xf numFmtId="43" fontId="62" fillId="0" borderId="39" xfId="613" applyFont="1" applyFill="1" applyBorder="1" applyAlignment="1" applyProtection="1">
      <alignment horizontal="right"/>
    </xf>
    <xf numFmtId="171" fontId="62" fillId="0" borderId="38" xfId="644" applyNumberFormat="1" applyFont="1" applyFill="1" applyBorder="1" applyAlignment="1" applyProtection="1">
      <alignment horizontal="right"/>
    </xf>
    <xf numFmtId="166" fontId="62" fillId="0" borderId="38" xfId="644" applyNumberFormat="1" applyFont="1" applyFill="1" applyBorder="1" applyAlignment="1" applyProtection="1">
      <alignment horizontal="right"/>
    </xf>
    <xf numFmtId="166" fontId="63" fillId="0" borderId="39" xfId="644" applyNumberFormat="1" applyFont="1" applyFill="1" applyBorder="1" applyAlignment="1" applyProtection="1">
      <alignment horizontal="right"/>
    </xf>
    <xf numFmtId="43" fontId="63" fillId="0" borderId="38" xfId="613" applyFont="1" applyFill="1" applyBorder="1" applyAlignment="1" applyProtection="1">
      <alignment horizontal="center"/>
    </xf>
    <xf numFmtId="43" fontId="62" fillId="0" borderId="38" xfId="613" applyFont="1" applyFill="1" applyBorder="1" applyAlignment="1" applyProtection="1">
      <alignment horizontal="center"/>
    </xf>
    <xf numFmtId="39" fontId="62" fillId="0" borderId="37" xfId="4253" applyNumberFormat="1" applyFont="1" applyFill="1" applyBorder="1" applyAlignment="1" applyProtection="1">
      <alignment horizontal="center"/>
    </xf>
    <xf numFmtId="37" fontId="62" fillId="0" borderId="54" xfId="4253" applyNumberFormat="1" applyFont="1" applyFill="1" applyBorder="1" applyAlignment="1" applyProtection="1">
      <alignment horizontal="right"/>
    </xf>
    <xf numFmtId="43" fontId="62" fillId="0" borderId="69" xfId="613" applyFont="1" applyFill="1" applyBorder="1" applyProtection="1"/>
    <xf numFmtId="0" fontId="62" fillId="0" borderId="48" xfId="4253" applyFont="1" applyFill="1" applyBorder="1"/>
    <xf numFmtId="0" fontId="62" fillId="0" borderId="55" xfId="4253" applyFont="1" applyFill="1" applyBorder="1"/>
    <xf numFmtId="171" fontId="63" fillId="0" borderId="70" xfId="644" applyNumberFormat="1" applyFont="1" applyFill="1" applyBorder="1" applyAlignment="1" applyProtection="1">
      <alignment horizontal="center"/>
    </xf>
    <xf numFmtId="37" fontId="63" fillId="0" borderId="0" xfId="4253" applyNumberFormat="1" applyFont="1" applyFill="1" applyBorder="1" applyAlignment="1" applyProtection="1">
      <alignment horizontal="right"/>
    </xf>
    <xf numFmtId="37" fontId="63" fillId="0" borderId="70" xfId="4253" applyNumberFormat="1" applyFont="1" applyFill="1" applyBorder="1" applyAlignment="1" applyProtection="1">
      <alignment horizontal="center"/>
    </xf>
    <xf numFmtId="43" fontId="63" fillId="0" borderId="70" xfId="613" applyFont="1" applyFill="1" applyBorder="1" applyAlignment="1" applyProtection="1">
      <alignment horizontal="center"/>
    </xf>
    <xf numFmtId="0" fontId="7" fillId="0" borderId="0" xfId="4253" applyFont="1" applyFill="1"/>
    <xf numFmtId="43" fontId="7" fillId="0" borderId="0" xfId="644" applyNumberFormat="1" applyFont="1" applyFill="1"/>
    <xf numFmtId="0" fontId="7" fillId="0" borderId="0" xfId="4253" applyFont="1" applyFill="1" applyAlignment="1">
      <alignment horizontal="center"/>
    </xf>
    <xf numFmtId="0" fontId="7" fillId="0" borderId="0" xfId="4253" applyFont="1" applyFill="1" applyAlignment="1">
      <alignment horizontal="left"/>
    </xf>
    <xf numFmtId="10" fontId="7" fillId="0" borderId="0" xfId="4253" applyNumberFormat="1" applyFont="1" applyFill="1" applyAlignment="1">
      <alignment horizontal="left"/>
    </xf>
    <xf numFmtId="43" fontId="7" fillId="0" borderId="0" xfId="4253" applyNumberFormat="1" applyFont="1" applyFill="1"/>
    <xf numFmtId="43" fontId="62" fillId="0" borderId="49" xfId="613" applyFont="1" applyFill="1" applyBorder="1" applyAlignment="1">
      <alignment horizontal="center"/>
    </xf>
    <xf numFmtId="171" fontId="63" fillId="0" borderId="0" xfId="644" applyNumberFormat="1" applyFont="1" applyFill="1" applyBorder="1" applyAlignment="1" applyProtection="1">
      <alignment horizontal="right"/>
    </xf>
    <xf numFmtId="43" fontId="62" fillId="0" borderId="39" xfId="613" applyFont="1" applyFill="1" applyBorder="1"/>
    <xf numFmtId="43" fontId="62" fillId="0" borderId="71" xfId="613" applyFont="1" applyFill="1" applyBorder="1"/>
    <xf numFmtId="43" fontId="62" fillId="0" borderId="71" xfId="613" applyFont="1" applyFill="1" applyBorder="1" applyProtection="1"/>
    <xf numFmtId="39" fontId="62" fillId="0" borderId="0" xfId="4253" applyNumberFormat="1" applyFont="1" applyFill="1" applyAlignment="1" applyProtection="1">
      <alignment horizontal="center"/>
    </xf>
    <xf numFmtId="37" fontId="62" fillId="0" borderId="54" xfId="4253" applyNumberFormat="1" applyFont="1" applyFill="1" applyBorder="1" applyAlignment="1" applyProtection="1">
      <alignment horizontal="center"/>
    </xf>
    <xf numFmtId="37" fontId="63" fillId="0" borderId="72" xfId="4253" applyNumberFormat="1" applyFont="1" applyFill="1" applyBorder="1" applyAlignment="1" applyProtection="1">
      <alignment horizontal="center"/>
    </xf>
    <xf numFmtId="0" fontId="7" fillId="0" borderId="0" xfId="4253" applyFont="1" applyFill="1" applyBorder="1"/>
    <xf numFmtId="43" fontId="49" fillId="0" borderId="0" xfId="4108" applyNumberFormat="1" applyFont="1" applyFill="1" applyBorder="1" applyAlignment="1" applyProtection="1">
      <alignment horizontal="center"/>
    </xf>
    <xf numFmtId="0" fontId="67" fillId="0" borderId="0" xfId="2403" applyFont="1" applyFill="1"/>
    <xf numFmtId="0" fontId="68" fillId="0" borderId="0" xfId="2403" applyFont="1" applyFill="1"/>
    <xf numFmtId="0" fontId="67" fillId="0" borderId="9" xfId="2403" applyFont="1" applyFill="1" applyBorder="1"/>
    <xf numFmtId="0" fontId="68" fillId="0" borderId="9" xfId="2403" applyFont="1" applyFill="1" applyBorder="1"/>
    <xf numFmtId="0" fontId="68" fillId="0" borderId="9" xfId="2403" applyFont="1" applyFill="1" applyBorder="1" applyAlignment="1">
      <alignment horizontal="left"/>
    </xf>
    <xf numFmtId="0" fontId="68" fillId="0" borderId="11" xfId="2403" applyFont="1" applyFill="1" applyBorder="1"/>
    <xf numFmtId="0" fontId="67" fillId="0" borderId="0" xfId="2403" applyFont="1" applyFill="1" applyBorder="1"/>
    <xf numFmtId="0" fontId="68" fillId="0" borderId="0" xfId="2403" applyFont="1" applyFill="1" applyBorder="1"/>
    <xf numFmtId="0" fontId="68" fillId="0" borderId="13" xfId="2403" applyFont="1" applyFill="1" applyBorder="1"/>
    <xf numFmtId="172" fontId="68" fillId="0" borderId="22" xfId="1697" applyNumberFormat="1" applyFont="1" applyFill="1" applyBorder="1" applyProtection="1"/>
    <xf numFmtId="0" fontId="67" fillId="0" borderId="9" xfId="2403" applyFont="1" applyFill="1" applyBorder="1" applyAlignment="1">
      <alignment horizontal="center"/>
    </xf>
    <xf numFmtId="0" fontId="67" fillId="0" borderId="8" xfId="2403" applyFont="1" applyFill="1" applyBorder="1"/>
    <xf numFmtId="0" fontId="68" fillId="0" borderId="9" xfId="2403" applyFont="1" applyFill="1" applyBorder="1" applyAlignment="1">
      <alignment horizontal="center"/>
    </xf>
    <xf numFmtId="0" fontId="68" fillId="0" borderId="14" xfId="2403" applyFont="1" applyFill="1" applyBorder="1"/>
    <xf numFmtId="0" fontId="67" fillId="0" borderId="15" xfId="2403" applyFont="1" applyFill="1" applyBorder="1"/>
    <xf numFmtId="0" fontId="67" fillId="0" borderId="22" xfId="2403" applyFont="1" applyFill="1" applyBorder="1"/>
    <xf numFmtId="0" fontId="68" fillId="0" borderId="22" xfId="2403" applyFont="1" applyFill="1" applyBorder="1"/>
    <xf numFmtId="0" fontId="68" fillId="0" borderId="17" xfId="2403" applyFont="1" applyFill="1" applyBorder="1"/>
    <xf numFmtId="0" fontId="68" fillId="0" borderId="16" xfId="2403" applyFont="1" applyFill="1" applyBorder="1" applyAlignment="1">
      <alignment horizontal="center"/>
    </xf>
    <xf numFmtId="0" fontId="68" fillId="0" borderId="11" xfId="2403" applyFont="1" applyFill="1" applyBorder="1" applyAlignment="1">
      <alignment horizontal="center"/>
    </xf>
    <xf numFmtId="171" fontId="68" fillId="0" borderId="0" xfId="1182" applyNumberFormat="1" applyFont="1" applyFill="1" applyBorder="1" applyAlignment="1" applyProtection="1">
      <alignment horizontal="center"/>
    </xf>
    <xf numFmtId="0" fontId="68" fillId="0" borderId="13" xfId="2403" applyFont="1" applyFill="1" applyBorder="1" applyAlignment="1">
      <alignment horizontal="center"/>
    </xf>
    <xf numFmtId="0" fontId="68" fillId="0" borderId="17" xfId="2403" applyFont="1" applyFill="1" applyBorder="1" applyAlignment="1">
      <alignment horizontal="center"/>
    </xf>
    <xf numFmtId="0" fontId="68" fillId="0" borderId="0" xfId="2403" applyFont="1" applyFill="1" applyBorder="1" applyAlignment="1">
      <alignment horizontal="center"/>
    </xf>
    <xf numFmtId="0" fontId="68" fillId="0" borderId="23" xfId="2403" applyFont="1" applyFill="1" applyBorder="1" applyAlignment="1">
      <alignment horizontal="center"/>
    </xf>
    <xf numFmtId="0" fontId="68" fillId="0" borderId="19" xfId="2403" applyFont="1" applyFill="1" applyBorder="1" applyAlignment="1">
      <alignment horizontal="center"/>
    </xf>
    <xf numFmtId="0" fontId="68" fillId="0" borderId="20" xfId="2403" applyFont="1" applyFill="1" applyBorder="1" applyAlignment="1">
      <alignment horizontal="center"/>
    </xf>
    <xf numFmtId="0" fontId="67" fillId="0" borderId="17" xfId="2403" applyFont="1" applyFill="1" applyBorder="1" applyProtection="1"/>
    <xf numFmtId="43" fontId="67" fillId="0" borderId="0" xfId="613" applyFont="1" applyFill="1" applyBorder="1" applyProtection="1"/>
    <xf numFmtId="171" fontId="67" fillId="0" borderId="17" xfId="1182" applyNumberFormat="1" applyFont="1" applyFill="1" applyBorder="1" applyProtection="1"/>
    <xf numFmtId="171" fontId="68" fillId="0" borderId="17" xfId="1182" applyNumberFormat="1" applyFont="1" applyFill="1" applyBorder="1" applyProtection="1"/>
    <xf numFmtId="171" fontId="67" fillId="0" borderId="12" xfId="1182" applyNumberFormat="1" applyFont="1" applyFill="1" applyBorder="1" applyProtection="1"/>
    <xf numFmtId="43" fontId="67" fillId="0" borderId="12" xfId="613" applyFont="1" applyFill="1" applyBorder="1" applyProtection="1"/>
    <xf numFmtId="171" fontId="67" fillId="0" borderId="0" xfId="1182" applyNumberFormat="1" applyFont="1" applyFill="1" applyBorder="1" applyProtection="1"/>
    <xf numFmtId="171" fontId="67" fillId="0" borderId="13" xfId="1182" applyNumberFormat="1" applyFont="1" applyFill="1" applyBorder="1" applyProtection="1"/>
    <xf numFmtId="171" fontId="67" fillId="0" borderId="20" xfId="1182" applyNumberFormat="1" applyFont="1" applyFill="1" applyBorder="1" applyProtection="1"/>
    <xf numFmtId="171" fontId="67" fillId="0" borderId="19" xfId="1182" applyNumberFormat="1" applyFont="1" applyFill="1" applyBorder="1" applyProtection="1"/>
    <xf numFmtId="171" fontId="68" fillId="0" borderId="0" xfId="1182" applyNumberFormat="1" applyFont="1" applyFill="1" applyBorder="1" applyProtection="1"/>
    <xf numFmtId="0" fontId="68" fillId="0" borderId="17" xfId="2403" applyFont="1" applyFill="1" applyBorder="1" applyProtection="1"/>
    <xf numFmtId="171" fontId="68" fillId="0" borderId="14" xfId="1182" applyNumberFormat="1" applyFont="1" applyFill="1" applyBorder="1" applyProtection="1"/>
    <xf numFmtId="171" fontId="68" fillId="0" borderId="22" xfId="1182" applyNumberFormat="1" applyFont="1" applyFill="1" applyBorder="1" applyProtection="1"/>
    <xf numFmtId="175" fontId="68" fillId="0" borderId="22" xfId="2403" applyNumberFormat="1" applyFont="1" applyFill="1" applyBorder="1" applyProtection="1"/>
    <xf numFmtId="175" fontId="68" fillId="0" borderId="14" xfId="2403" applyNumberFormat="1" applyFont="1" applyFill="1" applyBorder="1" applyProtection="1"/>
    <xf numFmtId="175" fontId="68" fillId="0" borderId="21" xfId="2403" applyNumberFormat="1" applyFont="1" applyFill="1" applyBorder="1" applyProtection="1"/>
    <xf numFmtId="9" fontId="68" fillId="0" borderId="14" xfId="4129" applyNumberFormat="1" applyFont="1" applyFill="1" applyBorder="1" applyProtection="1"/>
    <xf numFmtId="175" fontId="68" fillId="0" borderId="15" xfId="2403" applyNumberFormat="1" applyFont="1" applyFill="1" applyBorder="1" applyProtection="1"/>
    <xf numFmtId="0" fontId="67" fillId="0" borderId="23" xfId="2403" applyFont="1" applyFill="1" applyBorder="1"/>
    <xf numFmtId="171" fontId="68" fillId="0" borderId="21" xfId="1182" applyNumberFormat="1" applyFont="1" applyFill="1" applyBorder="1" applyProtection="1"/>
    <xf numFmtId="171" fontId="68" fillId="0" borderId="15" xfId="1182" applyNumberFormat="1" applyFont="1" applyFill="1" applyBorder="1" applyProtection="1"/>
    <xf numFmtId="9" fontId="68" fillId="0" borderId="15" xfId="4129" applyNumberFormat="1" applyFont="1" applyFill="1" applyBorder="1" applyProtection="1"/>
    <xf numFmtId="0" fontId="68" fillId="0" borderId="14" xfId="4129" applyFont="1" applyFill="1" applyBorder="1" applyProtection="1"/>
    <xf numFmtId="0" fontId="68" fillId="0" borderId="15" xfId="4129" applyFont="1" applyFill="1" applyBorder="1" applyProtection="1"/>
    <xf numFmtId="0" fontId="68" fillId="0" borderId="22" xfId="4129" applyFont="1" applyFill="1" applyBorder="1" applyProtection="1"/>
    <xf numFmtId="0" fontId="67" fillId="0" borderId="12" xfId="2403" applyFont="1" applyFill="1" applyBorder="1" applyProtection="1"/>
    <xf numFmtId="9" fontId="68" fillId="0" borderId="17" xfId="1182" applyNumberFormat="1" applyFont="1" applyFill="1" applyBorder="1" applyProtection="1"/>
    <xf numFmtId="0" fontId="68" fillId="0" borderId="12" xfId="2403" applyFont="1" applyFill="1" applyBorder="1" applyProtection="1"/>
    <xf numFmtId="171" fontId="68" fillId="0" borderId="16" xfId="1182" applyNumberFormat="1" applyFont="1" applyFill="1" applyBorder="1" applyProtection="1"/>
    <xf numFmtId="171" fontId="67" fillId="0" borderId="16" xfId="1182" applyNumberFormat="1" applyFont="1" applyFill="1" applyBorder="1" applyProtection="1"/>
    <xf numFmtId="171" fontId="67" fillId="0" borderId="11" xfId="1182" applyNumberFormat="1" applyFont="1" applyFill="1" applyBorder="1" applyProtection="1"/>
    <xf numFmtId="0" fontId="68" fillId="0" borderId="8" xfId="2403" applyFont="1" applyFill="1" applyBorder="1" applyProtection="1"/>
    <xf numFmtId="0" fontId="67" fillId="0" borderId="8" xfId="2403" applyFont="1" applyFill="1" applyBorder="1" applyProtection="1"/>
    <xf numFmtId="171" fontId="68" fillId="0" borderId="13" xfId="1182" applyNumberFormat="1" applyFont="1" applyFill="1" applyBorder="1" applyProtection="1"/>
    <xf numFmtId="0" fontId="67" fillId="0" borderId="0" xfId="4129" applyFont="1" applyFill="1" applyBorder="1" applyProtection="1"/>
    <xf numFmtId="0" fontId="67" fillId="0" borderId="13" xfId="4129" applyFont="1" applyFill="1" applyBorder="1" applyProtection="1"/>
    <xf numFmtId="0" fontId="67" fillId="0" borderId="16" xfId="4129" applyFont="1" applyFill="1" applyBorder="1" applyProtection="1"/>
    <xf numFmtId="0" fontId="67" fillId="0" borderId="12" xfId="2403" applyFont="1" applyFill="1" applyBorder="1" applyAlignment="1">
      <alignment wrapText="1"/>
    </xf>
    <xf numFmtId="0" fontId="67" fillId="0" borderId="17" xfId="4129" applyFont="1" applyFill="1" applyBorder="1" applyProtection="1"/>
    <xf numFmtId="9" fontId="68" fillId="0" borderId="17" xfId="4129" applyNumberFormat="1" applyFont="1" applyFill="1" applyBorder="1" applyProtection="1"/>
    <xf numFmtId="171" fontId="67" fillId="0" borderId="23" xfId="1182" applyNumberFormat="1" applyFont="1" applyFill="1" applyBorder="1" applyProtection="1"/>
    <xf numFmtId="0" fontId="67" fillId="0" borderId="23" xfId="4129" applyFont="1" applyFill="1" applyBorder="1" applyProtection="1"/>
    <xf numFmtId="0" fontId="67" fillId="0" borderId="20" xfId="4129" applyFont="1" applyFill="1" applyBorder="1" applyProtection="1"/>
    <xf numFmtId="171" fontId="68" fillId="0" borderId="19" xfId="1182" applyNumberFormat="1" applyFont="1" applyFill="1" applyBorder="1" applyProtection="1"/>
    <xf numFmtId="0" fontId="67" fillId="0" borderId="19" xfId="4129" applyFont="1" applyFill="1" applyBorder="1" applyProtection="1"/>
    <xf numFmtId="171" fontId="67" fillId="0" borderId="8" xfId="1182" applyNumberFormat="1" applyFont="1" applyFill="1" applyBorder="1" applyProtection="1"/>
    <xf numFmtId="0" fontId="68" fillId="0" borderId="17" xfId="4129" applyFont="1" applyFill="1" applyBorder="1" applyProtection="1"/>
    <xf numFmtId="0" fontId="68" fillId="0" borderId="0" xfId="4129" applyFont="1" applyFill="1" applyBorder="1" applyProtection="1"/>
    <xf numFmtId="0" fontId="68" fillId="0" borderId="13" xfId="4129" applyFont="1" applyFill="1" applyBorder="1" applyProtection="1"/>
    <xf numFmtId="0" fontId="68" fillId="0" borderId="18" xfId="2403" applyFont="1" applyFill="1" applyBorder="1" applyAlignment="1" applyProtection="1">
      <alignment wrapText="1"/>
    </xf>
    <xf numFmtId="171" fontId="68" fillId="0" borderId="24" xfId="1182" applyNumberFormat="1" applyFont="1" applyFill="1" applyBorder="1" applyProtection="1"/>
    <xf numFmtId="171" fontId="68" fillId="0" borderId="25" xfId="1182" applyNumberFormat="1" applyFont="1" applyFill="1" applyBorder="1" applyProtection="1"/>
    <xf numFmtId="171" fontId="68" fillId="0" borderId="26" xfId="1182" applyNumberFormat="1" applyFont="1" applyFill="1" applyBorder="1" applyProtection="1"/>
    <xf numFmtId="171" fontId="68" fillId="0" borderId="27" xfId="1182" applyNumberFormat="1" applyFont="1" applyFill="1" applyBorder="1" applyProtection="1"/>
    <xf numFmtId="0" fontId="68" fillId="0" borderId="27" xfId="4129" applyFont="1" applyFill="1" applyBorder="1" applyProtection="1"/>
    <xf numFmtId="0" fontId="68" fillId="0" borderId="26" xfId="4129" applyFont="1" applyFill="1" applyBorder="1" applyProtection="1"/>
    <xf numFmtId="0" fontId="68" fillId="0" borderId="25" xfId="4129" applyFont="1" applyFill="1" applyBorder="1" applyProtection="1"/>
    <xf numFmtId="171" fontId="67" fillId="0" borderId="0" xfId="2403" applyNumberFormat="1" applyFont="1" applyFill="1"/>
    <xf numFmtId="171" fontId="68" fillId="0" borderId="0" xfId="2403" applyNumberFormat="1" applyFont="1" applyFill="1"/>
    <xf numFmtId="0" fontId="69" fillId="0" borderId="16" xfId="2403" applyFont="1" applyFill="1" applyBorder="1" applyProtection="1"/>
    <xf numFmtId="0" fontId="62" fillId="0" borderId="9" xfId="2403" applyFont="1" applyFill="1" applyBorder="1"/>
    <xf numFmtId="0" fontId="62" fillId="0" borderId="0" xfId="2403" applyFont="1" applyFill="1" applyBorder="1"/>
    <xf numFmtId="172" fontId="63" fillId="0" borderId="0" xfId="1697" applyNumberFormat="1" applyFont="1" applyFill="1" applyBorder="1" applyProtection="1"/>
    <xf numFmtId="0" fontId="63" fillId="0" borderId="17" xfId="2403" applyFont="1" applyFill="1" applyBorder="1" applyProtection="1"/>
    <xf numFmtId="9" fontId="68" fillId="0" borderId="13" xfId="1182" applyNumberFormat="1" applyFont="1" applyFill="1" applyBorder="1" applyProtection="1"/>
    <xf numFmtId="175" fontId="68" fillId="0" borderId="17" xfId="2403" applyNumberFormat="1" applyFont="1" applyFill="1" applyBorder="1" applyProtection="1"/>
    <xf numFmtId="0" fontId="68" fillId="0" borderId="17" xfId="0" applyFont="1" applyFill="1" applyBorder="1"/>
    <xf numFmtId="0" fontId="68" fillId="0" borderId="21" xfId="2403" applyFont="1" applyFill="1" applyBorder="1" applyAlignment="1" applyProtection="1">
      <alignment wrapText="1"/>
    </xf>
    <xf numFmtId="9" fontId="68" fillId="0" borderId="19" xfId="4129" applyNumberFormat="1" applyFont="1" applyFill="1" applyBorder="1" applyProtection="1"/>
    <xf numFmtId="171" fontId="68" fillId="0" borderId="20" xfId="1182" applyNumberFormat="1" applyFont="1" applyFill="1" applyBorder="1" applyProtection="1"/>
    <xf numFmtId="171" fontId="67" fillId="0" borderId="18" xfId="1182" applyNumberFormat="1" applyFont="1" applyFill="1" applyBorder="1" applyProtection="1"/>
    <xf numFmtId="43" fontId="67" fillId="0" borderId="8" xfId="613" applyFont="1" applyFill="1" applyBorder="1" applyProtection="1"/>
    <xf numFmtId="166" fontId="7" fillId="0" borderId="0" xfId="1697" applyNumberFormat="1" applyFont="1" applyFill="1" applyBorder="1"/>
    <xf numFmtId="166" fontId="56" fillId="0" borderId="0" xfId="1697" applyNumberFormat="1" applyFont="1" applyFill="1" applyBorder="1" applyProtection="1"/>
    <xf numFmtId="166" fontId="56" fillId="0" borderId="0" xfId="1697" applyNumberFormat="1" applyFont="1" applyFill="1" applyBorder="1" applyAlignment="1" applyProtection="1">
      <alignment horizontal="center"/>
    </xf>
    <xf numFmtId="166" fontId="31" fillId="0" borderId="49" xfId="1697" applyNumberFormat="1" applyFont="1" applyFill="1" applyBorder="1" applyAlignment="1" applyProtection="1">
      <alignment horizontal="center"/>
    </xf>
    <xf numFmtId="166" fontId="31" fillId="0" borderId="49" xfId="1697" applyNumberFormat="1" applyFont="1" applyFill="1" applyBorder="1" applyAlignment="1">
      <alignment horizontal="center"/>
    </xf>
    <xf numFmtId="166" fontId="31" fillId="0" borderId="10" xfId="1697" applyNumberFormat="1" applyFont="1" applyFill="1" applyBorder="1" applyAlignment="1">
      <alignment horizontal="center"/>
    </xf>
    <xf numFmtId="166" fontId="31" fillId="0" borderId="54" xfId="1697" applyNumberFormat="1" applyFont="1" applyFill="1" applyBorder="1" applyAlignment="1" applyProtection="1">
      <alignment horizontal="center"/>
    </xf>
    <xf numFmtId="166" fontId="31" fillId="0" borderId="54" xfId="1697" applyNumberFormat="1" applyFont="1" applyFill="1" applyBorder="1" applyAlignment="1">
      <alignment horizontal="center"/>
    </xf>
    <xf numFmtId="166" fontId="31" fillId="0" borderId="55" xfId="1697" applyNumberFormat="1" applyFont="1" applyFill="1" applyBorder="1" applyAlignment="1">
      <alignment horizontal="center"/>
    </xf>
    <xf numFmtId="166" fontId="31" fillId="0" borderId="27" xfId="1697" applyNumberFormat="1" applyFont="1" applyFill="1" applyBorder="1"/>
    <xf numFmtId="166" fontId="7" fillId="0" borderId="39" xfId="613" applyNumberFormat="1" applyFont="1" applyFill="1" applyBorder="1" applyAlignment="1"/>
    <xf numFmtId="166" fontId="31" fillId="0" borderId="48" xfId="1697" applyNumberFormat="1" applyFont="1" applyFill="1" applyBorder="1"/>
    <xf numFmtId="166" fontId="7" fillId="0" borderId="57" xfId="613" applyNumberFormat="1" applyFont="1" applyFill="1" applyBorder="1" applyAlignment="1"/>
    <xf numFmtId="166" fontId="7" fillId="0" borderId="57" xfId="613" applyNumberFormat="1" applyFont="1" applyFill="1" applyBorder="1" applyAlignment="1">
      <alignment horizontal="center"/>
    </xf>
    <xf numFmtId="166" fontId="7" fillId="0" borderId="48" xfId="1697" applyNumberFormat="1" applyFont="1" applyFill="1" applyBorder="1"/>
    <xf numFmtId="166" fontId="7" fillId="0" borderId="48" xfId="613" applyNumberFormat="1" applyFont="1" applyFill="1" applyBorder="1"/>
    <xf numFmtId="166" fontId="7" fillId="0" borderId="54" xfId="1697" applyNumberFormat="1" applyFont="1" applyFill="1" applyBorder="1"/>
    <xf numFmtId="166" fontId="7" fillId="0" borderId="54" xfId="613" applyNumberFormat="1" applyFont="1" applyFill="1" applyBorder="1"/>
    <xf numFmtId="166" fontId="6" fillId="0" borderId="0" xfId="0" applyNumberFormat="1" applyFont="1" applyFill="1"/>
    <xf numFmtId="166" fontId="6" fillId="0" borderId="0" xfId="1697" applyNumberFormat="1" applyFont="1" applyFill="1"/>
    <xf numFmtId="166" fontId="32" fillId="0" borderId="0" xfId="1697" applyNumberFormat="1" applyFont="1" applyFill="1"/>
    <xf numFmtId="172" fontId="50" fillId="0" borderId="10" xfId="1697" applyNumberFormat="1" applyFont="1" applyFill="1" applyBorder="1" applyProtection="1"/>
    <xf numFmtId="14" fontId="31" fillId="0" borderId="0" xfId="1697" applyNumberFormat="1" applyFont="1" applyFill="1" applyBorder="1"/>
    <xf numFmtId="43" fontId="63" fillId="0" borderId="39" xfId="4253" applyNumberFormat="1" applyFont="1" applyFill="1" applyBorder="1"/>
    <xf numFmtId="43" fontId="62" fillId="55" borderId="0" xfId="613" applyFont="1" applyFill="1" applyBorder="1"/>
    <xf numFmtId="43" fontId="48" fillId="0" borderId="73" xfId="613" applyFont="1" applyFill="1" applyBorder="1" applyProtection="1"/>
    <xf numFmtId="43" fontId="48" fillId="0" borderId="74" xfId="613" applyFont="1" applyFill="1" applyBorder="1"/>
    <xf numFmtId="43" fontId="49" fillId="0" borderId="75" xfId="613" applyFont="1" applyFill="1" applyBorder="1"/>
    <xf numFmtId="10" fontId="63" fillId="0" borderId="70" xfId="4108" applyNumberFormat="1" applyFont="1" applyFill="1" applyBorder="1" applyAlignment="1" applyProtection="1">
      <alignment horizontal="center"/>
    </xf>
    <xf numFmtId="0" fontId="0" fillId="0" borderId="0" xfId="0" applyFill="1"/>
    <xf numFmtId="0" fontId="49" fillId="0" borderId="62" xfId="1697" applyFont="1" applyFill="1" applyBorder="1"/>
    <xf numFmtId="0" fontId="49" fillId="0" borderId="47" xfId="1697" applyFont="1" applyFill="1" applyBorder="1"/>
    <xf numFmtId="43" fontId="49" fillId="0" borderId="47" xfId="1697" applyNumberFormat="1" applyFont="1" applyFill="1" applyBorder="1" applyAlignment="1" applyProtection="1">
      <alignment horizontal="center"/>
    </xf>
    <xf numFmtId="43" fontId="49" fillId="0" borderId="53" xfId="613" applyFont="1" applyFill="1" applyBorder="1" applyProtection="1"/>
    <xf numFmtId="0" fontId="49" fillId="0" borderId="62" xfId="1697" applyFont="1" applyFill="1" applyBorder="1" applyProtection="1"/>
    <xf numFmtId="0" fontId="49" fillId="0" borderId="47" xfId="1697" applyFont="1" applyFill="1" applyBorder="1" applyProtection="1"/>
    <xf numFmtId="0" fontId="48" fillId="0" borderId="47" xfId="1697" applyFont="1" applyFill="1" applyBorder="1" applyProtection="1"/>
    <xf numFmtId="0" fontId="48" fillId="0" borderId="47" xfId="1697" applyFont="1" applyFill="1" applyBorder="1" applyAlignment="1" applyProtection="1">
      <alignment horizontal="center"/>
    </xf>
    <xf numFmtId="0" fontId="49" fillId="0" borderId="62" xfId="1697" applyFont="1" applyFill="1" applyBorder="1" applyAlignment="1" applyProtection="1">
      <alignment horizontal="left"/>
    </xf>
    <xf numFmtId="172" fontId="48" fillId="0" borderId="47" xfId="1697" applyNumberFormat="1" applyFont="1" applyFill="1" applyBorder="1" applyAlignment="1" applyProtection="1">
      <alignment horizontal="center"/>
    </xf>
    <xf numFmtId="172" fontId="49" fillId="0" borderId="53" xfId="1697" applyNumberFormat="1" applyFont="1" applyFill="1" applyBorder="1" applyAlignment="1" applyProtection="1">
      <alignment horizontal="left"/>
    </xf>
    <xf numFmtId="172" fontId="49" fillId="0" borderId="53" xfId="1697" applyNumberFormat="1" applyFont="1" applyFill="1" applyBorder="1" applyAlignment="1" applyProtection="1">
      <alignment horizontal="center"/>
    </xf>
    <xf numFmtId="0" fontId="48" fillId="0" borderId="53" xfId="1697" applyFont="1" applyFill="1" applyBorder="1" applyAlignment="1" applyProtection="1">
      <alignment horizontal="center"/>
    </xf>
    <xf numFmtId="172" fontId="48" fillId="0" borderId="53" xfId="1697" applyNumberFormat="1" applyFont="1" applyFill="1" applyBorder="1" applyAlignment="1" applyProtection="1">
      <alignment horizontal="center"/>
    </xf>
    <xf numFmtId="43" fontId="49" fillId="0" borderId="47" xfId="613" applyNumberFormat="1" applyFont="1" applyFill="1" applyBorder="1" applyProtection="1"/>
    <xf numFmtId="17" fontId="51" fillId="0" borderId="0" xfId="1697" applyNumberFormat="1" applyFont="1" applyFill="1" applyBorder="1" applyAlignment="1" applyProtection="1">
      <alignment horizontal="left"/>
    </xf>
    <xf numFmtId="37" fontId="7" fillId="0" borderId="0" xfId="4253" applyNumberFormat="1" applyFont="1" applyFill="1"/>
    <xf numFmtId="179" fontId="7" fillId="0" borderId="39" xfId="1697" applyNumberFormat="1" applyFont="1" applyFill="1" applyBorder="1" applyAlignment="1">
      <alignment horizontal="center"/>
    </xf>
    <xf numFmtId="17" fontId="7" fillId="0" borderId="76" xfId="1697" applyNumberFormat="1" applyFont="1" applyFill="1" applyBorder="1" applyAlignment="1">
      <alignment horizontal="center"/>
    </xf>
    <xf numFmtId="179" fontId="7" fillId="0" borderId="49" xfId="1697" applyNumberFormat="1" applyFont="1" applyFill="1" applyBorder="1" applyAlignment="1">
      <alignment horizontal="center"/>
    </xf>
    <xf numFmtId="43" fontId="71" fillId="0" borderId="0" xfId="613" applyFont="1" applyFill="1" applyBorder="1"/>
    <xf numFmtId="43" fontId="71" fillId="0" borderId="13" xfId="613" applyFont="1" applyFill="1" applyBorder="1"/>
    <xf numFmtId="0" fontId="6" fillId="0" borderId="0" xfId="0" applyFont="1" applyFill="1" applyBorder="1"/>
    <xf numFmtId="175" fontId="51" fillId="0" borderId="0" xfId="613" applyNumberFormat="1" applyFont="1" applyFill="1" applyBorder="1" applyProtection="1"/>
    <xf numFmtId="43" fontId="51" fillId="0" borderId="39" xfId="613" applyFont="1" applyFill="1" applyBorder="1"/>
    <xf numFmtId="43" fontId="50" fillId="0" borderId="57" xfId="613" applyFont="1" applyFill="1" applyBorder="1" applyProtection="1"/>
    <xf numFmtId="43" fontId="6" fillId="0" borderId="39" xfId="613" applyFont="1" applyFill="1" applyBorder="1"/>
    <xf numFmtId="43" fontId="51" fillId="0" borderId="54" xfId="613" applyFont="1" applyFill="1" applyBorder="1"/>
    <xf numFmtId="43" fontId="51" fillId="0" borderId="10" xfId="644" applyFont="1" applyFill="1" applyBorder="1"/>
    <xf numFmtId="37" fontId="50" fillId="0" borderId="77" xfId="1697" applyNumberFormat="1" applyFont="1" applyFill="1" applyBorder="1" applyProtection="1"/>
    <xf numFmtId="37" fontId="50" fillId="0" borderId="78" xfId="1697" applyNumberFormat="1" applyFont="1" applyFill="1" applyBorder="1" applyProtection="1"/>
    <xf numFmtId="14" fontId="50" fillId="0" borderId="36" xfId="644" applyNumberFormat="1" applyFont="1" applyFill="1" applyBorder="1" applyProtection="1"/>
    <xf numFmtId="172" fontId="51" fillId="0" borderId="0" xfId="1697" applyNumberFormat="1" applyFont="1" applyFill="1" applyBorder="1" applyProtection="1"/>
    <xf numFmtId="37" fontId="50" fillId="0" borderId="79" xfId="1697" applyNumberFormat="1" applyFont="1" applyFill="1" applyBorder="1" applyProtection="1"/>
    <xf numFmtId="37" fontId="50" fillId="0" borderId="56" xfId="1697" applyNumberFormat="1" applyFont="1" applyFill="1" applyBorder="1" applyProtection="1"/>
    <xf numFmtId="37" fontId="50" fillId="0" borderId="64" xfId="1697" applyNumberFormat="1" applyFont="1" applyFill="1" applyBorder="1" applyProtection="1"/>
    <xf numFmtId="37" fontId="50" fillId="0" borderId="80" xfId="1697" applyNumberFormat="1" applyFont="1" applyFill="1" applyBorder="1" applyProtection="1"/>
    <xf numFmtId="14" fontId="50" fillId="0" borderId="49" xfId="613" applyNumberFormat="1" applyFont="1" applyFill="1" applyBorder="1" applyProtection="1"/>
    <xf numFmtId="43" fontId="50" fillId="0" borderId="39" xfId="613" applyFont="1" applyFill="1" applyBorder="1"/>
    <xf numFmtId="43" fontId="51" fillId="0" borderId="49" xfId="613" applyFont="1" applyFill="1" applyBorder="1"/>
    <xf numFmtId="43" fontId="50" fillId="0" borderId="39" xfId="613" applyFont="1" applyFill="1" applyBorder="1" applyProtection="1"/>
    <xf numFmtId="37" fontId="50" fillId="0" borderId="39" xfId="1697" applyNumberFormat="1" applyFont="1" applyFill="1" applyBorder="1" applyProtection="1"/>
    <xf numFmtId="37" fontId="50" fillId="0" borderId="81" xfId="1697" applyNumberFormat="1" applyFont="1" applyFill="1" applyBorder="1" applyProtection="1"/>
    <xf numFmtId="37" fontId="50" fillId="0" borderId="82" xfId="1697" applyNumberFormat="1" applyFont="1" applyFill="1" applyBorder="1" applyProtection="1"/>
    <xf numFmtId="2" fontId="51" fillId="0" borderId="0" xfId="1697" applyNumberFormat="1" applyFont="1" applyFill="1" applyBorder="1" applyAlignment="1" applyProtection="1">
      <alignment horizontal="center"/>
    </xf>
    <xf numFmtId="43" fontId="72" fillId="0" borderId="0" xfId="613" applyFont="1" applyFill="1" applyBorder="1"/>
    <xf numFmtId="43" fontId="73" fillId="0" borderId="0" xfId="613" applyFont="1" applyFill="1" applyBorder="1"/>
    <xf numFmtId="43" fontId="0" fillId="0" borderId="0" xfId="613" applyFont="1" applyFill="1"/>
    <xf numFmtId="14" fontId="0" fillId="0" borderId="0" xfId="0" applyNumberFormat="1" applyFill="1"/>
    <xf numFmtId="0" fontId="6" fillId="0" borderId="0" xfId="0" quotePrefix="1" applyFont="1" applyFill="1"/>
    <xf numFmtId="43" fontId="32" fillId="0" borderId="27" xfId="613" applyFont="1" applyFill="1" applyBorder="1"/>
    <xf numFmtId="0" fontId="32" fillId="0" borderId="0" xfId="0" applyFont="1" applyFill="1"/>
    <xf numFmtId="9" fontId="68" fillId="0" borderId="13" xfId="4108" applyNumberFormat="1" applyFont="1" applyFill="1" applyBorder="1"/>
    <xf numFmtId="9" fontId="68" fillId="0" borderId="19" xfId="4108" applyNumberFormat="1" applyFont="1" applyFill="1" applyBorder="1"/>
    <xf numFmtId="9" fontId="68" fillId="0" borderId="22" xfId="4108" applyNumberFormat="1" applyFont="1" applyFill="1" applyBorder="1"/>
    <xf numFmtId="9" fontId="68" fillId="0" borderId="15" xfId="4108" applyNumberFormat="1" applyFont="1" applyFill="1" applyBorder="1"/>
    <xf numFmtId="171" fontId="68" fillId="0" borderId="23" xfId="1182" applyNumberFormat="1" applyFont="1" applyFill="1" applyBorder="1" applyProtection="1"/>
    <xf numFmtId="175" fontId="68" fillId="0" borderId="83" xfId="2403" applyNumberFormat="1" applyFont="1" applyFill="1" applyBorder="1" applyProtection="1"/>
    <xf numFmtId="2" fontId="48" fillId="0" borderId="0" xfId="1697" applyNumberFormat="1" applyFont="1" applyFill="1" applyBorder="1" applyAlignment="1" applyProtection="1">
      <alignment horizontal="center"/>
    </xf>
    <xf numFmtId="43" fontId="48" fillId="0" borderId="0" xfId="1697" applyNumberFormat="1" applyFont="1" applyFill="1" applyBorder="1" applyAlignment="1" applyProtection="1">
      <alignment horizontal="center"/>
    </xf>
    <xf numFmtId="0" fontId="49" fillId="0" borderId="14" xfId="1697" applyFont="1" applyFill="1" applyBorder="1" applyAlignment="1" applyProtection="1">
      <alignment horizontal="left"/>
    </xf>
    <xf numFmtId="172" fontId="49" fillId="0" borderId="14" xfId="1697" applyNumberFormat="1" applyFont="1" applyFill="1" applyBorder="1" applyAlignment="1" applyProtection="1">
      <alignment horizontal="center"/>
    </xf>
    <xf numFmtId="0" fontId="49" fillId="0" borderId="14" xfId="1697" applyFont="1" applyFill="1" applyBorder="1" applyAlignment="1" applyProtection="1">
      <alignment horizontal="center"/>
    </xf>
    <xf numFmtId="43" fontId="49" fillId="0" borderId="14" xfId="613" applyFont="1" applyFill="1" applyBorder="1" applyProtection="1"/>
    <xf numFmtId="0" fontId="0" fillId="0" borderId="0" xfId="0" applyFill="1" applyBorder="1"/>
    <xf numFmtId="43" fontId="48" fillId="0" borderId="12" xfId="613" applyFont="1" applyFill="1" applyBorder="1"/>
    <xf numFmtId="43" fontId="58" fillId="0" borderId="0" xfId="613" applyFont="1" applyFill="1" applyBorder="1"/>
    <xf numFmtId="0" fontId="49" fillId="0" borderId="18" xfId="1697" applyFont="1" applyFill="1" applyBorder="1" applyAlignment="1" applyProtection="1">
      <alignment horizontal="left"/>
    </xf>
    <xf numFmtId="172" fontId="51" fillId="0" borderId="0" xfId="1697" applyNumberFormat="1" applyFont="1" applyFill="1" applyBorder="1"/>
    <xf numFmtId="4" fontId="68" fillId="0" borderId="9" xfId="2403" applyNumberFormat="1" applyFont="1" applyFill="1" applyBorder="1"/>
    <xf numFmtId="171" fontId="67" fillId="0" borderId="0" xfId="2403" applyNumberFormat="1" applyFont="1" applyFill="1" applyBorder="1"/>
    <xf numFmtId="171" fontId="7" fillId="0" borderId="0" xfId="4253" applyNumberFormat="1" applyFont="1" applyFill="1"/>
    <xf numFmtId="1" fontId="50" fillId="0" borderId="36" xfId="1697" quotePrefix="1" applyNumberFormat="1" applyFont="1" applyFill="1" applyBorder="1" applyProtection="1"/>
    <xf numFmtId="43" fontId="48" fillId="0" borderId="10" xfId="613" applyFont="1" applyFill="1" applyBorder="1"/>
    <xf numFmtId="43" fontId="48" fillId="0" borderId="55" xfId="613" applyFont="1" applyFill="1" applyBorder="1"/>
    <xf numFmtId="10" fontId="49" fillId="0" borderId="27" xfId="4108" applyNumberFormat="1" applyFont="1" applyFill="1" applyBorder="1" applyAlignment="1" applyProtection="1">
      <alignment horizontal="center"/>
    </xf>
    <xf numFmtId="2" fontId="50" fillId="0" borderId="0" xfId="1697" applyNumberFormat="1" applyFont="1" applyFill="1" applyBorder="1" applyAlignment="1" applyProtection="1">
      <alignment horizontal="center"/>
    </xf>
    <xf numFmtId="166" fontId="48" fillId="0" borderId="0" xfId="1697" applyNumberFormat="1" applyFont="1" applyFill="1" applyBorder="1" applyAlignment="1" applyProtection="1">
      <alignment horizontal="center"/>
    </xf>
    <xf numFmtId="166" fontId="48" fillId="0" borderId="0" xfId="1697" applyNumberFormat="1" applyFont="1" applyFill="1" applyBorder="1" applyAlignment="1">
      <alignment horizontal="center"/>
    </xf>
    <xf numFmtId="166" fontId="48" fillId="0" borderId="0" xfId="1697" applyNumberFormat="1" applyFont="1" applyFill="1" applyBorder="1" applyProtection="1"/>
    <xf numFmtId="171" fontId="67" fillId="0" borderId="9" xfId="2403" applyNumberFormat="1" applyFont="1" applyFill="1" applyBorder="1"/>
    <xf numFmtId="43" fontId="67" fillId="0" borderId="9" xfId="613" applyFont="1" applyFill="1" applyBorder="1"/>
    <xf numFmtId="10" fontId="68" fillId="0" borderId="0" xfId="4108" applyNumberFormat="1" applyFont="1" applyFill="1"/>
    <xf numFmtId="1" fontId="51" fillId="0" borderId="0" xfId="1697" applyNumberFormat="1" applyFont="1" applyFill="1" applyBorder="1" applyAlignment="1">
      <alignment horizontal="center"/>
    </xf>
    <xf numFmtId="43" fontId="6" fillId="0" borderId="0" xfId="1697" applyNumberFormat="1" applyFont="1" applyFill="1"/>
    <xf numFmtId="43" fontId="75" fillId="0" borderId="0" xfId="644" applyFont="1" applyFill="1"/>
    <xf numFmtId="43" fontId="32" fillId="0" borderId="0" xfId="613" applyFont="1" applyFill="1"/>
    <xf numFmtId="172" fontId="50" fillId="0" borderId="0" xfId="1697" applyNumberFormat="1" applyFont="1" applyFill="1" applyBorder="1" applyProtection="1"/>
    <xf numFmtId="4" fontId="67" fillId="0" borderId="0" xfId="2403" applyNumberFormat="1" applyFont="1" applyFill="1" applyBorder="1"/>
    <xf numFmtId="43" fontId="7" fillId="0" borderId="0" xfId="1697" applyNumberFormat="1" applyFont="1" applyFill="1" applyBorder="1"/>
    <xf numFmtId="172" fontId="75" fillId="0" borderId="0" xfId="1697" applyNumberFormat="1" applyFont="1" applyFill="1" applyBorder="1" applyAlignment="1" applyProtection="1">
      <alignment horizontal="center"/>
    </xf>
    <xf numFmtId="175" fontId="75" fillId="0" borderId="0" xfId="613" applyNumberFormat="1" applyFont="1" applyFill="1" applyBorder="1" applyProtection="1"/>
    <xf numFmtId="179" fontId="7" fillId="0" borderId="37" xfId="1697" applyNumberFormat="1" applyFont="1" applyFill="1" applyBorder="1" applyAlignment="1">
      <alignment horizontal="center"/>
    </xf>
    <xf numFmtId="4" fontId="67" fillId="0" borderId="9" xfId="2403" applyNumberFormat="1" applyFont="1" applyFill="1" applyBorder="1"/>
    <xf numFmtId="0" fontId="47" fillId="0" borderId="0" xfId="4108"/>
    <xf numFmtId="37" fontId="47" fillId="0" borderId="0" xfId="4108" applyNumberFormat="1"/>
    <xf numFmtId="43" fontId="63" fillId="0" borderId="0" xfId="613" applyFont="1" applyFill="1" applyBorder="1" applyAlignment="1" applyProtection="1">
      <alignment horizontal="right"/>
    </xf>
    <xf numFmtId="43" fontId="63" fillId="0" borderId="0" xfId="613" applyFont="1" applyFill="1" applyBorder="1" applyAlignment="1" applyProtection="1">
      <alignment horizontal="center"/>
    </xf>
    <xf numFmtId="172" fontId="71" fillId="0" borderId="0" xfId="1697" applyNumberFormat="1" applyFont="1" applyFill="1" applyBorder="1" applyAlignment="1" applyProtection="1">
      <alignment horizontal="center"/>
    </xf>
    <xf numFmtId="43" fontId="67" fillId="0" borderId="0" xfId="2403" applyNumberFormat="1" applyFont="1" applyFill="1"/>
    <xf numFmtId="4" fontId="67" fillId="0" borderId="0" xfId="2403" applyNumberFormat="1" applyFont="1" applyFill="1"/>
    <xf numFmtId="4" fontId="0" fillId="0" borderId="0" xfId="0" applyNumberFormat="1" applyFill="1"/>
    <xf numFmtId="175" fontId="67" fillId="0" borderId="17" xfId="613" applyNumberFormat="1" applyFont="1" applyFill="1" applyBorder="1"/>
    <xf numFmtId="3" fontId="78" fillId="0" borderId="0" xfId="0" applyNumberFormat="1" applyFont="1" applyFill="1"/>
    <xf numFmtId="0" fontId="71" fillId="0" borderId="0" xfId="1697" applyFont="1" applyFill="1" applyBorder="1" applyAlignment="1" applyProtection="1">
      <alignment horizontal="center"/>
    </xf>
    <xf numFmtId="43" fontId="48" fillId="0" borderId="0" xfId="613" applyFont="1" applyFill="1" applyBorder="1" applyAlignment="1" applyProtection="1">
      <alignment horizontal="left"/>
    </xf>
    <xf numFmtId="0" fontId="79" fillId="0" borderId="0" xfId="1697" applyFont="1" applyFill="1" applyBorder="1" applyAlignment="1" applyProtection="1">
      <alignment horizontal="center"/>
    </xf>
    <xf numFmtId="37" fontId="6" fillId="0" borderId="0" xfId="0" applyNumberFormat="1" applyFont="1" applyFill="1"/>
    <xf numFmtId="43" fontId="49" fillId="0" borderId="11" xfId="613" quotePrefix="1" applyFont="1" applyFill="1" applyBorder="1" applyAlignment="1" applyProtection="1">
      <alignment horizontal="right"/>
    </xf>
    <xf numFmtId="0" fontId="32" fillId="0" borderId="12" xfId="0" applyFont="1" applyFill="1" applyBorder="1"/>
    <xf numFmtId="183" fontId="48" fillId="0" borderId="0" xfId="613" applyNumberFormat="1" applyFont="1" applyFill="1" applyBorder="1" applyAlignment="1" applyProtection="1">
      <alignment horizontal="center"/>
    </xf>
    <xf numFmtId="0" fontId="32" fillId="0" borderId="0" xfId="1697" applyFont="1"/>
    <xf numFmtId="43" fontId="32" fillId="0" borderId="0" xfId="613" applyFont="1"/>
    <xf numFmtId="43" fontId="32" fillId="0" borderId="0" xfId="1697" applyNumberFormat="1" applyFont="1"/>
    <xf numFmtId="0" fontId="32" fillId="0" borderId="0" xfId="5614" applyFont="1"/>
    <xf numFmtId="0" fontId="6" fillId="0" borderId="0" xfId="1697"/>
    <xf numFmtId="43" fontId="0" fillId="0" borderId="0" xfId="613" applyFont="1"/>
    <xf numFmtId="0" fontId="6" fillId="0" borderId="0" xfId="5614"/>
    <xf numFmtId="43" fontId="6" fillId="0" borderId="0" xfId="613"/>
    <xf numFmtId="175" fontId="6" fillId="0" borderId="0" xfId="613" applyNumberFormat="1"/>
    <xf numFmtId="43" fontId="32" fillId="0" borderId="27" xfId="613" applyFont="1" applyBorder="1"/>
    <xf numFmtId="183" fontId="32" fillId="0" borderId="27" xfId="613" applyNumberFormat="1" applyFont="1" applyBorder="1"/>
    <xf numFmtId="190" fontId="0" fillId="0" borderId="0" xfId="613" applyNumberFormat="1" applyFont="1"/>
    <xf numFmtId="166" fontId="6" fillId="0" borderId="0" xfId="1697" applyNumberFormat="1"/>
    <xf numFmtId="43" fontId="6" fillId="0" borderId="0" xfId="1697" applyNumberFormat="1"/>
    <xf numFmtId="14" fontId="51" fillId="0" borderId="0" xfId="1697" applyNumberFormat="1" applyFont="1" applyFill="1" applyBorder="1"/>
    <xf numFmtId="43" fontId="80" fillId="0" borderId="0" xfId="644" applyFont="1" applyFill="1"/>
    <xf numFmtId="4" fontId="67" fillId="0" borderId="0" xfId="0" applyNumberFormat="1" applyFont="1" applyFill="1"/>
    <xf numFmtId="2" fontId="47" fillId="0" borderId="0" xfId="4108" applyNumberFormat="1"/>
    <xf numFmtId="177" fontId="68" fillId="0" borderId="0" xfId="2403" applyNumberFormat="1" applyFont="1" applyFill="1" applyBorder="1"/>
    <xf numFmtId="0" fontId="82" fillId="0" borderId="0" xfId="1697" applyFont="1" applyFill="1" applyBorder="1" applyAlignment="1" applyProtection="1">
      <alignment horizontal="center"/>
    </xf>
    <xf numFmtId="2" fontId="51" fillId="0" borderId="0" xfId="1697" applyNumberFormat="1" applyFont="1" applyFill="1" applyBorder="1" applyAlignment="1">
      <alignment horizontal="center"/>
    </xf>
    <xf numFmtId="43" fontId="48" fillId="0" borderId="0" xfId="613" applyNumberFormat="1" applyFont="1" applyFill="1" applyBorder="1" applyAlignment="1" applyProtection="1">
      <alignment horizontal="center"/>
    </xf>
    <xf numFmtId="0" fontId="0" fillId="0" borderId="0" xfId="0" quotePrefix="1" applyFill="1"/>
    <xf numFmtId="4" fontId="83" fillId="0" borderId="0" xfId="0" applyNumberFormat="1" applyFont="1"/>
    <xf numFmtId="4" fontId="70" fillId="0" borderId="0" xfId="1697" applyNumberFormat="1" applyFont="1" applyFill="1" applyBorder="1" applyAlignment="1" applyProtection="1">
      <alignment horizontal="center"/>
    </xf>
    <xf numFmtId="171" fontId="67" fillId="0" borderId="84" xfId="5759" applyNumberFormat="1" applyFont="1" applyFill="1" applyBorder="1" applyProtection="1"/>
    <xf numFmtId="0" fontId="32" fillId="0" borderId="0" xfId="0" applyFont="1" applyFill="1" applyBorder="1"/>
    <xf numFmtId="0" fontId="31" fillId="0" borderId="37" xfId="1697" applyFont="1" applyFill="1" applyBorder="1" applyAlignment="1" applyProtection="1">
      <alignment horizontal="center"/>
    </xf>
    <xf numFmtId="0" fontId="31" fillId="0" borderId="39" xfId="1697" applyFont="1" applyFill="1" applyBorder="1" applyAlignment="1" applyProtection="1">
      <alignment horizontal="center"/>
    </xf>
    <xf numFmtId="179" fontId="31" fillId="0" borderId="38" xfId="1697" applyNumberFormat="1" applyFont="1" applyFill="1" applyBorder="1" applyAlignment="1" applyProtection="1">
      <alignment horizontal="center"/>
    </xf>
    <xf numFmtId="166" fontId="31" fillId="0" borderId="39" xfId="1697" applyNumberFormat="1" applyFont="1" applyFill="1" applyBorder="1" applyAlignment="1" applyProtection="1">
      <alignment horizontal="center"/>
    </xf>
    <xf numFmtId="166" fontId="31" fillId="0" borderId="39" xfId="1697" applyNumberFormat="1" applyFont="1" applyFill="1" applyBorder="1" applyAlignment="1">
      <alignment horizontal="center"/>
    </xf>
    <xf numFmtId="166" fontId="31" fillId="0" borderId="38" xfId="1697" applyNumberFormat="1" applyFont="1" applyFill="1" applyBorder="1" applyAlignment="1">
      <alignment horizontal="center"/>
    </xf>
    <xf numFmtId="171" fontId="86" fillId="0" borderId="0" xfId="1697" applyNumberFormat="1" applyFont="1" applyFill="1" applyBorder="1"/>
    <xf numFmtId="0" fontId="85" fillId="0" borderId="0" xfId="1697" applyFont="1" applyFill="1" applyBorder="1" applyAlignment="1" applyProtection="1">
      <alignment horizontal="center"/>
    </xf>
    <xf numFmtId="0" fontId="0" fillId="0" borderId="0" xfId="0" applyFill="1" applyAlignment="1">
      <alignment vertical="center" wrapText="1"/>
    </xf>
    <xf numFmtId="4" fontId="0" fillId="0" borderId="0" xfId="0" applyNumberFormat="1" applyFill="1" applyAlignment="1">
      <alignment vertical="center" wrapText="1"/>
    </xf>
    <xf numFmtId="43" fontId="62" fillId="0" borderId="0" xfId="613" applyFont="1" applyFill="1" applyAlignment="1">
      <alignment horizontal="center"/>
    </xf>
    <xf numFmtId="43" fontId="62" fillId="0" borderId="0" xfId="613" applyFont="1" applyFill="1" applyAlignment="1">
      <alignment horizontal="left"/>
    </xf>
    <xf numFmtId="43" fontId="62" fillId="0" borderId="0" xfId="613" applyFont="1" applyFill="1" applyBorder="1" applyAlignment="1">
      <alignment horizontal="center"/>
    </xf>
    <xf numFmtId="43" fontId="62" fillId="0" borderId="0" xfId="613" applyFont="1" applyFill="1" applyBorder="1" applyAlignment="1">
      <alignment horizontal="left"/>
    </xf>
    <xf numFmtId="43" fontId="62" fillId="0" borderId="44" xfId="613" applyFont="1" applyFill="1" applyBorder="1" applyAlignment="1">
      <alignment horizontal="center"/>
    </xf>
    <xf numFmtId="43" fontId="62" fillId="0" borderId="44" xfId="613" applyFont="1" applyFill="1" applyBorder="1" applyAlignment="1">
      <alignment horizontal="left"/>
    </xf>
    <xf numFmtId="43" fontId="62" fillId="0" borderId="48" xfId="613" applyFont="1" applyFill="1" applyBorder="1"/>
    <xf numFmtId="43" fontId="62" fillId="0" borderId="37" xfId="613" applyFont="1" applyFill="1" applyBorder="1" applyAlignment="1"/>
    <xf numFmtId="43" fontId="62" fillId="0" borderId="0" xfId="613" applyFont="1" applyFill="1" applyBorder="1" applyAlignment="1"/>
    <xf numFmtId="43" fontId="63" fillId="0" borderId="37" xfId="613" applyFont="1" applyFill="1" applyBorder="1" applyAlignment="1">
      <alignment horizontal="center" wrapText="1"/>
    </xf>
    <xf numFmtId="43" fontId="63" fillId="0" borderId="39" xfId="613" applyFont="1" applyFill="1" applyBorder="1" applyAlignment="1">
      <alignment horizontal="center" wrapText="1"/>
    </xf>
    <xf numFmtId="43" fontId="63" fillId="0" borderId="39" xfId="613" applyFont="1" applyFill="1" applyBorder="1" applyAlignment="1">
      <alignment horizontal="center"/>
    </xf>
    <xf numFmtId="43" fontId="62" fillId="0" borderId="0" xfId="613" applyFont="1" applyFill="1" applyBorder="1" applyAlignment="1">
      <alignment horizontal="centerContinuous"/>
    </xf>
    <xf numFmtId="43" fontId="63" fillId="0" borderId="38" xfId="613" applyFont="1" applyFill="1" applyBorder="1" applyAlignment="1">
      <alignment horizontal="center"/>
    </xf>
    <xf numFmtId="43" fontId="63" fillId="0" borderId="54" xfId="613" applyFont="1" applyFill="1" applyBorder="1" applyAlignment="1">
      <alignment horizontal="center"/>
    </xf>
    <xf numFmtId="43" fontId="63" fillId="0" borderId="54" xfId="613" applyFont="1" applyFill="1" applyBorder="1" applyAlignment="1">
      <alignment horizontal="right"/>
    </xf>
    <xf numFmtId="43" fontId="63" fillId="0" borderId="54" xfId="613" applyFont="1" applyFill="1" applyBorder="1" applyAlignment="1">
      <alignment horizontal="right" wrapText="1"/>
    </xf>
    <xf numFmtId="43" fontId="63" fillId="0" borderId="54" xfId="613" applyFont="1" applyFill="1" applyBorder="1" applyAlignment="1">
      <alignment horizontal="center" wrapText="1"/>
    </xf>
    <xf numFmtId="43" fontId="63" fillId="0" borderId="63" xfId="613" applyFont="1" applyFill="1" applyBorder="1" applyAlignment="1">
      <alignment horizontal="center" wrapText="1"/>
    </xf>
    <xf numFmtId="43" fontId="63" fillId="0" borderId="63" xfId="613" applyFont="1" applyFill="1" applyBorder="1" applyAlignment="1">
      <alignment horizontal="right"/>
    </xf>
    <xf numFmtId="43" fontId="62" fillId="0" borderId="68" xfId="613" applyFont="1" applyFill="1" applyBorder="1" applyAlignment="1">
      <alignment horizontal="center"/>
    </xf>
    <xf numFmtId="43" fontId="62" fillId="0" borderId="69" xfId="613" applyFont="1" applyFill="1" applyBorder="1" applyAlignment="1">
      <alignment horizontal="center"/>
    </xf>
    <xf numFmtId="43" fontId="62" fillId="0" borderId="38" xfId="613" applyFont="1" applyFill="1" applyBorder="1" applyAlignment="1">
      <alignment horizontal="left"/>
    </xf>
    <xf numFmtId="43" fontId="62" fillId="0" borderId="37" xfId="613" applyFont="1" applyFill="1" applyBorder="1" applyAlignment="1">
      <alignment horizontal="center"/>
    </xf>
    <xf numFmtId="43" fontId="62" fillId="0" borderId="0" xfId="613" applyFont="1" applyFill="1" applyBorder="1" applyAlignment="1" applyProtection="1">
      <alignment horizontal="right"/>
    </xf>
    <xf numFmtId="43" fontId="62" fillId="0" borderId="71" xfId="613" applyFont="1" applyFill="1" applyBorder="1" applyAlignment="1" applyProtection="1">
      <alignment horizontal="center"/>
    </xf>
    <xf numFmtId="43" fontId="62" fillId="0" borderId="38" xfId="613" applyFont="1" applyFill="1" applyBorder="1" applyProtection="1"/>
    <xf numFmtId="43" fontId="62" fillId="0" borderId="37" xfId="613" applyFont="1" applyFill="1" applyBorder="1" applyAlignment="1" applyProtection="1">
      <alignment horizontal="center"/>
    </xf>
    <xf numFmtId="43" fontId="63" fillId="0" borderId="38" xfId="613" applyFont="1" applyFill="1" applyBorder="1" applyAlignment="1">
      <alignment horizontal="left"/>
    </xf>
    <xf numFmtId="43" fontId="62" fillId="0" borderId="0" xfId="613" applyFont="1" applyFill="1" applyBorder="1" applyAlignment="1" applyProtection="1">
      <alignment horizontal="center"/>
    </xf>
    <xf numFmtId="43" fontId="62" fillId="0" borderId="39" xfId="613" applyFont="1" applyFill="1" applyBorder="1" applyAlignment="1" applyProtection="1">
      <alignment horizontal="center"/>
    </xf>
    <xf numFmtId="43" fontId="62" fillId="0" borderId="37" xfId="613" applyFont="1" applyFill="1" applyBorder="1"/>
    <xf numFmtId="43" fontId="62" fillId="0" borderId="0" xfId="613" applyFont="1" applyFill="1" applyBorder="1" applyProtection="1"/>
    <xf numFmtId="43" fontId="63" fillId="0" borderId="71" xfId="613" applyFont="1" applyFill="1" applyBorder="1" applyAlignment="1" applyProtection="1">
      <alignment horizontal="center"/>
    </xf>
    <xf numFmtId="43" fontId="63" fillId="0" borderId="39" xfId="613" applyFont="1" applyFill="1" applyBorder="1" applyAlignment="1">
      <alignment horizontal="left"/>
    </xf>
    <xf numFmtId="43" fontId="62" fillId="0" borderId="38" xfId="613" applyFont="1" applyFill="1" applyBorder="1"/>
    <xf numFmtId="43" fontId="62" fillId="0" borderId="39" xfId="613" applyFont="1" applyFill="1" applyBorder="1" applyAlignment="1">
      <alignment horizontal="left"/>
    </xf>
    <xf numFmtId="43" fontId="63" fillId="0" borderId="37" xfId="613" applyFont="1" applyFill="1" applyBorder="1" applyProtection="1"/>
    <xf numFmtId="43" fontId="63" fillId="0" borderId="0" xfId="613" applyFont="1" applyFill="1" applyBorder="1" applyAlignment="1">
      <alignment horizontal="left"/>
    </xf>
    <xf numFmtId="43" fontId="63" fillId="0" borderId="0" xfId="613" applyFont="1" applyFill="1" applyBorder="1" applyProtection="1"/>
    <xf numFmtId="43" fontId="62" fillId="0" borderId="38" xfId="613" applyFont="1" applyFill="1" applyBorder="1" applyAlignment="1" applyProtection="1">
      <alignment horizontal="right"/>
    </xf>
    <xf numFmtId="43" fontId="63" fillId="0" borderId="37" xfId="613" applyFont="1" applyFill="1" applyBorder="1" applyAlignment="1" applyProtection="1">
      <alignment horizontal="right"/>
    </xf>
    <xf numFmtId="43" fontId="63" fillId="0" borderId="72" xfId="613" applyFont="1" applyFill="1" applyBorder="1" applyAlignment="1" applyProtection="1">
      <alignment horizontal="center"/>
    </xf>
    <xf numFmtId="43" fontId="63" fillId="0" borderId="0" xfId="613" applyFont="1" applyFill="1" applyAlignment="1">
      <alignment horizontal="left"/>
    </xf>
    <xf numFmtId="43" fontId="7" fillId="0" borderId="0" xfId="613" applyFont="1" applyFill="1" applyAlignment="1">
      <alignment horizontal="center"/>
    </xf>
    <xf numFmtId="43" fontId="7" fillId="0" borderId="0" xfId="613" applyFont="1" applyFill="1" applyAlignment="1">
      <alignment horizontal="left"/>
    </xf>
    <xf numFmtId="166" fontId="63" fillId="0" borderId="38" xfId="644" applyNumberFormat="1" applyFont="1" applyFill="1" applyBorder="1" applyAlignment="1" applyProtection="1">
      <alignment horizontal="right"/>
    </xf>
    <xf numFmtId="10" fontId="62" fillId="0" borderId="39" xfId="4108" applyNumberFormat="1" applyFont="1" applyFill="1" applyBorder="1" applyAlignment="1" applyProtection="1">
      <alignment horizontal="right"/>
    </xf>
    <xf numFmtId="0" fontId="63" fillId="0" borderId="0" xfId="4253" applyFont="1" applyFill="1" applyBorder="1"/>
    <xf numFmtId="172" fontId="51" fillId="0" borderId="0" xfId="1697" applyNumberFormat="1" applyFont="1" applyFill="1" applyBorder="1" applyAlignment="1" applyProtection="1">
      <alignment horizontal="center"/>
    </xf>
    <xf numFmtId="10" fontId="50" fillId="0" borderId="0" xfId="1697" applyNumberFormat="1" applyFont="1" applyFill="1" applyBorder="1" applyAlignment="1" applyProtection="1">
      <alignment horizontal="center"/>
    </xf>
    <xf numFmtId="43" fontId="50" fillId="0" borderId="0" xfId="613" applyFont="1" applyFill="1" applyBorder="1" applyAlignment="1" applyProtection="1">
      <alignment horizontal="center"/>
    </xf>
    <xf numFmtId="43" fontId="68" fillId="0" borderId="0" xfId="613" applyFont="1" applyFill="1"/>
    <xf numFmtId="4" fontId="48" fillId="0" borderId="0" xfId="1697" applyNumberFormat="1" applyFont="1" applyFill="1" applyBorder="1" applyAlignment="1" applyProtection="1">
      <alignment horizontal="center"/>
    </xf>
    <xf numFmtId="17" fontId="80" fillId="0" borderId="37" xfId="1697" applyNumberFormat="1" applyFont="1" applyFill="1" applyBorder="1" applyAlignment="1" applyProtection="1">
      <alignment horizontal="center"/>
    </xf>
    <xf numFmtId="17" fontId="80" fillId="0" borderId="0" xfId="1697" applyNumberFormat="1" applyFont="1" applyFill="1" applyBorder="1" applyAlignment="1" applyProtection="1">
      <alignment horizontal="center"/>
    </xf>
    <xf numFmtId="172" fontId="80" fillId="0" borderId="0" xfId="1697" applyNumberFormat="1" applyFont="1" applyFill="1" applyBorder="1" applyAlignment="1" applyProtection="1">
      <alignment horizontal="center"/>
    </xf>
    <xf numFmtId="1" fontId="80" fillId="0" borderId="0" xfId="1697" applyNumberFormat="1" applyFont="1" applyFill="1" applyBorder="1" applyAlignment="1" applyProtection="1">
      <alignment horizontal="center"/>
    </xf>
    <xf numFmtId="37" fontId="80" fillId="0" borderId="0" xfId="1697" applyNumberFormat="1" applyFont="1" applyFill="1" applyBorder="1" applyProtection="1"/>
    <xf numFmtId="43" fontId="81" fillId="0" borderId="0" xfId="613" applyFont="1" applyFill="1"/>
    <xf numFmtId="173" fontId="80" fillId="0" borderId="0" xfId="1697" applyNumberFormat="1" applyFont="1" applyFill="1" applyBorder="1" applyAlignment="1" applyProtection="1">
      <alignment horizontal="center"/>
    </xf>
    <xf numFmtId="171" fontId="80" fillId="0" borderId="0" xfId="644" applyNumberFormat="1" applyFont="1" applyFill="1" applyBorder="1" applyAlignment="1" applyProtection="1">
      <alignment horizontal="center"/>
    </xf>
    <xf numFmtId="10" fontId="80" fillId="0" borderId="0" xfId="4129" applyNumberFormat="1" applyFont="1" applyFill="1" applyBorder="1" applyAlignment="1" applyProtection="1">
      <alignment horizontal="center"/>
    </xf>
    <xf numFmtId="39" fontId="80" fillId="0" borderId="0" xfId="1697" applyNumberFormat="1" applyFont="1" applyFill="1" applyBorder="1" applyProtection="1"/>
    <xf numFmtId="43" fontId="80" fillId="0" borderId="39" xfId="613" applyFont="1" applyFill="1" applyBorder="1"/>
    <xf numFmtId="43" fontId="80" fillId="0" borderId="0" xfId="644" applyFont="1" applyFill="1" applyBorder="1"/>
    <xf numFmtId="0" fontId="80" fillId="0" borderId="0" xfId="1697" applyFont="1" applyFill="1"/>
    <xf numFmtId="175" fontId="32" fillId="0" borderId="27" xfId="613" applyNumberFormat="1" applyFont="1" applyBorder="1"/>
    <xf numFmtId="175" fontId="0" fillId="0" borderId="0" xfId="613" applyNumberFormat="1" applyFont="1"/>
    <xf numFmtId="175" fontId="6" fillId="0" borderId="0" xfId="1697" applyNumberFormat="1"/>
    <xf numFmtId="175" fontId="0" fillId="55" borderId="0" xfId="613" applyNumberFormat="1" applyFont="1" applyFill="1"/>
    <xf numFmtId="175" fontId="0" fillId="0" borderId="0" xfId="613" applyNumberFormat="1" applyFont="1" applyFill="1"/>
    <xf numFmtId="3" fontId="32" fillId="0" borderId="0" xfId="1697" applyNumberFormat="1" applyFont="1"/>
    <xf numFmtId="0" fontId="0" fillId="0" borderId="0" xfId="0"/>
    <xf numFmtId="171" fontId="68" fillId="0" borderId="12" xfId="1182" applyNumberFormat="1" applyFont="1" applyFill="1" applyBorder="1" applyProtection="1"/>
    <xf numFmtId="171" fontId="68" fillId="0" borderId="9" xfId="1182" applyNumberFormat="1" applyFont="1" applyFill="1" applyBorder="1" applyProtection="1"/>
    <xf numFmtId="9" fontId="68" fillId="0" borderId="0" xfId="4129" applyNumberFormat="1" applyFont="1" applyFill="1" applyBorder="1" applyProtection="1"/>
    <xf numFmtId="171" fontId="68" fillId="0" borderId="11" xfId="1182" applyNumberFormat="1" applyFont="1" applyFill="1" applyBorder="1" applyProtection="1"/>
    <xf numFmtId="9" fontId="68" fillId="0" borderId="17" xfId="4108" applyNumberFormat="1" applyFont="1" applyFill="1" applyBorder="1"/>
    <xf numFmtId="9" fontId="68" fillId="0" borderId="11" xfId="4108" applyNumberFormat="1" applyFont="1" applyFill="1" applyBorder="1"/>
    <xf numFmtId="9" fontId="68" fillId="0" borderId="20" xfId="1182" applyNumberFormat="1" applyFont="1" applyFill="1" applyBorder="1" applyProtection="1"/>
    <xf numFmtId="0" fontId="68" fillId="0" borderId="62" xfId="2403" applyFont="1" applyFill="1" applyBorder="1" applyProtection="1"/>
    <xf numFmtId="171" fontId="68" fillId="0" borderId="62" xfId="1182" applyNumberFormat="1" applyFont="1" applyFill="1" applyBorder="1" applyProtection="1"/>
    <xf numFmtId="171" fontId="68" fillId="0" borderId="85" xfId="1182" applyNumberFormat="1" applyFont="1" applyFill="1" applyBorder="1" applyProtection="1"/>
    <xf numFmtId="171" fontId="68" fillId="0" borderId="47" xfId="1182" applyNumberFormat="1" applyFont="1" applyFill="1" applyBorder="1" applyProtection="1"/>
    <xf numFmtId="171" fontId="68" fillId="0" borderId="86" xfId="1182" applyNumberFormat="1" applyFont="1" applyFill="1" applyBorder="1" applyProtection="1"/>
    <xf numFmtId="9" fontId="68" fillId="0" borderId="85" xfId="4108" applyNumberFormat="1" applyFont="1" applyFill="1" applyBorder="1"/>
    <xf numFmtId="175" fontId="68" fillId="0" borderId="85" xfId="2403" applyNumberFormat="1" applyFont="1" applyFill="1" applyBorder="1" applyProtection="1"/>
    <xf numFmtId="9" fontId="68" fillId="0" borderId="86" xfId="4108" applyNumberFormat="1" applyFont="1" applyFill="1" applyBorder="1"/>
    <xf numFmtId="0" fontId="68" fillId="0" borderId="47" xfId="2403" applyFont="1" applyFill="1" applyBorder="1"/>
    <xf numFmtId="43" fontId="68" fillId="0" borderId="14" xfId="1182" applyNumberFormat="1" applyFont="1" applyFill="1" applyBorder="1" applyProtection="1"/>
    <xf numFmtId="0" fontId="32" fillId="0" borderId="0" xfId="1697" applyFont="1" applyFill="1"/>
    <xf numFmtId="175" fontId="32" fillId="0" borderId="27" xfId="613" applyNumberFormat="1" applyFont="1" applyFill="1" applyBorder="1"/>
    <xf numFmtId="0" fontId="6" fillId="0" borderId="0" xfId="1697" applyFill="1"/>
    <xf numFmtId="175" fontId="6" fillId="0" borderId="0" xfId="1697" applyNumberFormat="1" applyFill="1"/>
    <xf numFmtId="43" fontId="6" fillId="0" borderId="0" xfId="1697" applyNumberFormat="1" applyFill="1"/>
    <xf numFmtId="175" fontId="50" fillId="0" borderId="0" xfId="1697" applyNumberFormat="1" applyFont="1" applyFill="1" applyBorder="1" applyAlignment="1" applyProtection="1">
      <alignment horizontal="center"/>
    </xf>
    <xf numFmtId="171" fontId="63" fillId="0" borderId="56" xfId="644" applyNumberFormat="1" applyFont="1" applyFill="1" applyBorder="1" applyAlignment="1" applyProtection="1">
      <alignment horizontal="center"/>
    </xf>
    <xf numFmtId="43" fontId="62" fillId="0" borderId="54" xfId="613" applyFont="1" applyFill="1" applyBorder="1"/>
    <xf numFmtId="3" fontId="6" fillId="0" borderId="0" xfId="0" applyNumberFormat="1" applyFont="1" applyFill="1"/>
    <xf numFmtId="43" fontId="32" fillId="0" borderId="0" xfId="0" applyNumberFormat="1" applyFont="1" applyFill="1"/>
    <xf numFmtId="43" fontId="0" fillId="0" borderId="0" xfId="0" applyNumberFormat="1" applyFill="1"/>
    <xf numFmtId="0" fontId="6" fillId="0" borderId="0" xfId="5614" applyFill="1"/>
    <xf numFmtId="175" fontId="6" fillId="0" borderId="0" xfId="613" applyNumberFormat="1" applyFill="1"/>
    <xf numFmtId="43" fontId="6" fillId="0" borderId="0" xfId="613" applyFill="1"/>
    <xf numFmtId="171" fontId="7" fillId="0" borderId="0" xfId="4253" applyNumberFormat="1" applyFont="1" applyFill="1" applyAlignment="1">
      <alignment horizontal="left"/>
    </xf>
    <xf numFmtId="43" fontId="7" fillId="0" borderId="0" xfId="4253" applyNumberFormat="1" applyFont="1" applyFill="1" applyAlignment="1">
      <alignment horizontal="left"/>
    </xf>
    <xf numFmtId="191" fontId="48" fillId="0" borderId="0" xfId="613" applyNumberFormat="1" applyFont="1" applyFill="1" applyBorder="1" applyAlignment="1" applyProtection="1">
      <alignment horizontal="center"/>
    </xf>
    <xf numFmtId="175" fontId="90" fillId="0" borderId="0" xfId="613" applyNumberFormat="1" applyFont="1" applyFill="1" applyBorder="1" applyProtection="1"/>
    <xf numFmtId="0" fontId="68" fillId="0" borderId="21" xfId="2403" applyFont="1" applyFill="1" applyBorder="1" applyAlignment="1">
      <alignment horizontal="center"/>
    </xf>
    <xf numFmtId="0" fontId="68" fillId="0" borderId="14" xfId="2403" applyFont="1" applyFill="1" applyBorder="1" applyAlignment="1">
      <alignment horizontal="center"/>
    </xf>
    <xf numFmtId="0" fontId="68" fillId="0" borderId="15" xfId="2403" applyFont="1" applyFill="1" applyBorder="1" applyAlignment="1">
      <alignment horizontal="center"/>
    </xf>
    <xf numFmtId="3" fontId="0" fillId="0" borderId="0" xfId="0" applyNumberFormat="1" applyFill="1"/>
    <xf numFmtId="173" fontId="80" fillId="0" borderId="0" xfId="4129" applyNumberFormat="1" applyFont="1" applyFill="1" applyBorder="1" applyAlignment="1" applyProtection="1">
      <alignment horizontal="center"/>
    </xf>
    <xf numFmtId="37" fontId="51" fillId="0" borderId="53" xfId="1697" applyNumberFormat="1" applyFont="1" applyFill="1" applyBorder="1" applyProtection="1"/>
    <xf numFmtId="183" fontId="47" fillId="0" borderId="0" xfId="613" applyNumberFormat="1" applyFont="1"/>
    <xf numFmtId="14" fontId="48" fillId="0" borderId="0" xfId="1697" applyNumberFormat="1" applyFont="1" applyFill="1" applyBorder="1" applyAlignment="1">
      <alignment horizontal="center"/>
    </xf>
    <xf numFmtId="0" fontId="68" fillId="0" borderId="21" xfId="2403" applyFont="1" applyFill="1" applyBorder="1" applyAlignment="1">
      <alignment horizontal="center"/>
    </xf>
    <xf numFmtId="171" fontId="67" fillId="0" borderId="14" xfId="1182" applyNumberFormat="1" applyFont="1" applyFill="1" applyBorder="1" applyProtection="1"/>
    <xf numFmtId="4" fontId="7" fillId="0" borderId="0" xfId="4253" applyNumberFormat="1" applyFont="1" applyFill="1"/>
    <xf numFmtId="191" fontId="47" fillId="0" borderId="0" xfId="613" applyNumberFormat="1" applyFont="1"/>
    <xf numFmtId="175" fontId="47" fillId="0" borderId="0" xfId="4108" applyNumberFormat="1"/>
    <xf numFmtId="2" fontId="51" fillId="0" borderId="0" xfId="1697" applyNumberFormat="1" applyFont="1" applyFill="1" applyBorder="1"/>
    <xf numFmtId="0" fontId="47" fillId="0" borderId="0" xfId="4108" applyFill="1"/>
    <xf numFmtId="14" fontId="0" fillId="55" borderId="0" xfId="0" applyNumberFormat="1" applyFill="1"/>
    <xf numFmtId="37" fontId="63" fillId="0" borderId="39" xfId="4253" applyNumberFormat="1" applyFont="1" applyFill="1" applyBorder="1" applyAlignment="1" applyProtection="1">
      <alignment horizontal="right"/>
    </xf>
    <xf numFmtId="43" fontId="63" fillId="0" borderId="56" xfId="613" applyFont="1" applyFill="1" applyBorder="1" applyAlignment="1" applyProtection="1">
      <alignment horizontal="center"/>
    </xf>
    <xf numFmtId="43" fontId="63" fillId="0" borderId="48" xfId="613" applyFont="1" applyFill="1" applyBorder="1" applyAlignment="1">
      <alignment horizontal="center"/>
    </xf>
    <xf numFmtId="0" fontId="0" fillId="55" borderId="0" xfId="0" applyFill="1"/>
    <xf numFmtId="43" fontId="0" fillId="55" borderId="0" xfId="613" applyFont="1" applyFill="1"/>
    <xf numFmtId="0" fontId="0" fillId="55" borderId="0" xfId="0" quotePrefix="1" applyFill="1"/>
    <xf numFmtId="43" fontId="90" fillId="0" borderId="0" xfId="644" applyFont="1" applyFill="1"/>
    <xf numFmtId="171" fontId="62" fillId="0" borderId="38" xfId="613" applyNumberFormat="1" applyFont="1" applyFill="1" applyBorder="1" applyAlignment="1" applyProtection="1">
      <alignment horizontal="center"/>
    </xf>
    <xf numFmtId="175" fontId="62" fillId="0" borderId="39" xfId="613" applyNumberFormat="1" applyFont="1" applyFill="1" applyBorder="1" applyProtection="1"/>
    <xf numFmtId="175" fontId="62" fillId="0" borderId="38" xfId="613" applyNumberFormat="1" applyFont="1" applyFill="1" applyBorder="1" applyAlignment="1" applyProtection="1">
      <alignment horizontal="right"/>
    </xf>
    <xf numFmtId="175" fontId="62" fillId="0" borderId="38" xfId="613" applyNumberFormat="1" applyFont="1" applyFill="1" applyBorder="1" applyAlignment="1" applyProtection="1">
      <alignment horizontal="center"/>
    </xf>
    <xf numFmtId="43" fontId="47" fillId="0" borderId="0" xfId="4108" applyNumberFormat="1"/>
    <xf numFmtId="1" fontId="50" fillId="0" borderId="0" xfId="1697" applyNumberFormat="1" applyFont="1" applyFill="1" applyBorder="1" applyAlignment="1" applyProtection="1">
      <alignment horizontal="center"/>
    </xf>
    <xf numFmtId="17" fontId="77" fillId="0" borderId="37" xfId="1697" applyNumberFormat="1" applyFont="1" applyFill="1" applyBorder="1" applyAlignment="1" applyProtection="1">
      <alignment horizontal="center"/>
    </xf>
    <xf numFmtId="17" fontId="77" fillId="0" borderId="0" xfId="1697" applyNumberFormat="1" applyFont="1" applyFill="1" applyBorder="1" applyAlignment="1" applyProtection="1">
      <alignment horizontal="center"/>
    </xf>
    <xf numFmtId="172" fontId="77" fillId="0" borderId="0" xfId="1697" applyNumberFormat="1" applyFont="1" applyFill="1" applyBorder="1" applyAlignment="1" applyProtection="1">
      <alignment horizontal="center"/>
    </xf>
    <xf numFmtId="1" fontId="77" fillId="0" borderId="0" xfId="1697" applyNumberFormat="1" applyFont="1" applyFill="1" applyBorder="1" applyAlignment="1" applyProtection="1">
      <alignment horizontal="center"/>
    </xf>
    <xf numFmtId="37" fontId="77" fillId="0" borderId="0" xfId="1697" applyNumberFormat="1" applyFont="1" applyFill="1" applyBorder="1" applyProtection="1"/>
    <xf numFmtId="43" fontId="89" fillId="0" borderId="0" xfId="613" applyFont="1" applyFill="1"/>
    <xf numFmtId="173" fontId="77" fillId="0" borderId="0" xfId="1697" applyNumberFormat="1" applyFont="1" applyFill="1" applyBorder="1" applyAlignment="1" applyProtection="1">
      <alignment horizontal="center"/>
    </xf>
    <xf numFmtId="171" fontId="77" fillId="0" borderId="0" xfId="644" applyNumberFormat="1" applyFont="1" applyFill="1" applyBorder="1" applyAlignment="1" applyProtection="1">
      <alignment horizontal="center"/>
    </xf>
    <xf numFmtId="10" fontId="77" fillId="0" borderId="0" xfId="4129" applyNumberFormat="1" applyFont="1" applyFill="1" applyBorder="1" applyAlignment="1" applyProtection="1">
      <alignment horizontal="center"/>
    </xf>
    <xf numFmtId="39" fontId="77" fillId="0" borderId="0" xfId="1697" applyNumberFormat="1" applyFont="1" applyFill="1" applyBorder="1" applyProtection="1"/>
    <xf numFmtId="43" fontId="77" fillId="0" borderId="39" xfId="613" applyFont="1" applyFill="1" applyBorder="1"/>
    <xf numFmtId="43" fontId="77" fillId="0" borderId="0" xfId="644" applyFont="1" applyFill="1" applyBorder="1"/>
    <xf numFmtId="43" fontId="77" fillId="0" borderId="0" xfId="644" applyFont="1" applyFill="1"/>
    <xf numFmtId="0" fontId="77" fillId="0" borderId="0" xfId="1697" applyFont="1" applyFill="1"/>
    <xf numFmtId="166" fontId="51" fillId="0" borderId="38" xfId="644" applyNumberFormat="1" applyFont="1" applyFill="1" applyBorder="1"/>
    <xf numFmtId="175" fontId="80" fillId="0" borderId="0" xfId="613" applyNumberFormat="1" applyFont="1" applyFill="1" applyBorder="1" applyProtection="1"/>
    <xf numFmtId="17" fontId="75" fillId="0" borderId="37" xfId="1697" applyNumberFormat="1" applyFont="1" applyFill="1" applyBorder="1" applyAlignment="1" applyProtection="1">
      <alignment horizontal="center"/>
    </xf>
    <xf numFmtId="17" fontId="75" fillId="0" borderId="0" xfId="1697" applyNumberFormat="1" applyFont="1" applyFill="1" applyBorder="1" applyAlignment="1" applyProtection="1">
      <alignment horizontal="center"/>
    </xf>
    <xf numFmtId="1" fontId="75" fillId="0" borderId="0" xfId="1697" applyNumberFormat="1" applyFont="1" applyFill="1" applyBorder="1" applyAlignment="1" applyProtection="1">
      <alignment horizontal="center"/>
    </xf>
    <xf numFmtId="37" fontId="75" fillId="0" borderId="0" xfId="1697" applyNumberFormat="1" applyFont="1" applyFill="1" applyBorder="1" applyProtection="1"/>
    <xf numFmtId="43" fontId="76" fillId="0" borderId="0" xfId="613" applyFont="1" applyFill="1"/>
    <xf numFmtId="173" fontId="75" fillId="0" borderId="0" xfId="1697" applyNumberFormat="1" applyFont="1" applyFill="1" applyBorder="1" applyAlignment="1" applyProtection="1">
      <alignment horizontal="center"/>
    </xf>
    <xf numFmtId="173" fontId="75" fillId="0" borderId="0" xfId="4129" applyNumberFormat="1" applyFont="1" applyFill="1" applyBorder="1" applyAlignment="1" applyProtection="1">
      <alignment horizontal="center"/>
    </xf>
    <xf numFmtId="171" fontId="75" fillId="0" borderId="0" xfId="644" applyNumberFormat="1" applyFont="1" applyFill="1" applyBorder="1" applyAlignment="1" applyProtection="1">
      <alignment horizontal="center"/>
    </xf>
    <xf numFmtId="10" fontId="75" fillId="0" borderId="0" xfId="4129" applyNumberFormat="1" applyFont="1" applyFill="1" applyBorder="1" applyAlignment="1" applyProtection="1">
      <alignment horizontal="center"/>
    </xf>
    <xf numFmtId="39" fontId="75" fillId="0" borderId="0" xfId="1697" applyNumberFormat="1" applyFont="1" applyFill="1" applyBorder="1" applyProtection="1"/>
    <xf numFmtId="43" fontId="75" fillId="0" borderId="39" xfId="613" applyFont="1" applyFill="1" applyBorder="1"/>
    <xf numFmtId="43" fontId="75" fillId="0" borderId="0" xfId="644" applyFont="1" applyFill="1" applyBorder="1"/>
    <xf numFmtId="0" fontId="75" fillId="0" borderId="0" xfId="1697" applyFont="1" applyFill="1"/>
    <xf numFmtId="175" fontId="75" fillId="0" borderId="0" xfId="613" applyNumberFormat="1" applyFont="1" applyFill="1" applyBorder="1" applyAlignment="1" applyProtection="1"/>
    <xf numFmtId="0" fontId="75" fillId="0" borderId="0" xfId="1697" applyFont="1" applyFill="1" applyBorder="1" applyAlignment="1" applyProtection="1">
      <alignment horizontal="center"/>
    </xf>
    <xf numFmtId="43" fontId="75" fillId="0" borderId="38" xfId="644" applyFont="1" applyFill="1" applyBorder="1"/>
    <xf numFmtId="175" fontId="67" fillId="55" borderId="14" xfId="2403" applyNumberFormat="1" applyFont="1" applyFill="1" applyBorder="1" applyProtection="1"/>
    <xf numFmtId="172" fontId="48" fillId="56" borderId="0" xfId="1697" applyNumberFormat="1" applyFont="1" applyFill="1" applyBorder="1" applyAlignment="1" applyProtection="1">
      <alignment horizontal="center"/>
    </xf>
    <xf numFmtId="172" fontId="48" fillId="55" borderId="0" xfId="1697" applyNumberFormat="1" applyFont="1" applyFill="1" applyBorder="1" applyAlignment="1" applyProtection="1">
      <alignment horizontal="center"/>
    </xf>
    <xf numFmtId="43" fontId="48" fillId="55" borderId="0" xfId="613" applyFont="1" applyFill="1" applyBorder="1" applyProtection="1"/>
    <xf numFmtId="172" fontId="71" fillId="55" borderId="0" xfId="1697" applyNumberFormat="1" applyFont="1" applyFill="1" applyBorder="1" applyAlignment="1" applyProtection="1">
      <alignment horizontal="center"/>
    </xf>
    <xf numFmtId="0" fontId="79" fillId="57" borderId="0" xfId="1697" applyFont="1" applyFill="1" applyBorder="1" applyAlignment="1" applyProtection="1">
      <alignment horizontal="center"/>
    </xf>
    <xf numFmtId="0" fontId="85" fillId="57" borderId="0" xfId="1697" applyFont="1" applyFill="1" applyBorder="1" applyAlignment="1" applyProtection="1">
      <alignment horizontal="center"/>
    </xf>
    <xf numFmtId="0" fontId="48" fillId="57" borderId="0" xfId="1697" applyFont="1" applyFill="1" applyBorder="1" applyAlignment="1" applyProtection="1">
      <alignment horizontal="center"/>
    </xf>
    <xf numFmtId="1" fontId="47" fillId="0" borderId="0" xfId="4108" applyNumberFormat="1"/>
    <xf numFmtId="0" fontId="68" fillId="0" borderId="21" xfId="2403" applyFont="1" applyFill="1" applyBorder="1" applyAlignment="1">
      <alignment horizontal="center"/>
    </xf>
    <xf numFmtId="0" fontId="68" fillId="0" borderId="14" xfId="2403" applyFont="1" applyFill="1" applyBorder="1" applyAlignment="1">
      <alignment horizontal="center"/>
    </xf>
    <xf numFmtId="0" fontId="68" fillId="0" borderId="15" xfId="2403" applyFont="1" applyFill="1" applyBorder="1" applyAlignment="1">
      <alignment horizontal="center"/>
    </xf>
    <xf numFmtId="0" fontId="68" fillId="0" borderId="21" xfId="2403" applyFont="1" applyFill="1" applyBorder="1" applyAlignment="1">
      <alignment horizontal="center" wrapText="1"/>
    </xf>
    <xf numFmtId="0" fontId="68" fillId="0" borderId="14" xfId="2403" applyFont="1" applyFill="1" applyBorder="1" applyAlignment="1">
      <alignment horizontal="center" wrapText="1"/>
    </xf>
    <xf numFmtId="0" fontId="68" fillId="0" borderId="15" xfId="2403" applyFont="1" applyFill="1" applyBorder="1" applyAlignment="1">
      <alignment horizontal="center" wrapText="1"/>
    </xf>
    <xf numFmtId="0" fontId="63" fillId="0" borderId="49" xfId="4253" applyFont="1" applyFill="1" applyBorder="1" applyAlignment="1">
      <alignment horizontal="center" wrapText="1"/>
    </xf>
    <xf numFmtId="0" fontId="0" fillId="0" borderId="39" xfId="0" applyBorder="1"/>
    <xf numFmtId="0" fontId="63" fillId="0" borderId="10" xfId="4253" applyFont="1" applyFill="1" applyBorder="1" applyAlignment="1">
      <alignment horizontal="center" wrapText="1"/>
    </xf>
    <xf numFmtId="0" fontId="0" fillId="0" borderId="0" xfId="0"/>
    <xf numFmtId="0" fontId="63" fillId="0" borderId="56" xfId="4253" applyFont="1" applyFill="1" applyBorder="1" applyAlignment="1">
      <alignment horizontal="center"/>
    </xf>
    <xf numFmtId="0" fontId="63" fillId="0" borderId="47" xfId="4253" applyFont="1" applyFill="1" applyBorder="1" applyAlignment="1">
      <alignment horizontal="center"/>
    </xf>
    <xf numFmtId="0" fontId="63" fillId="0" borderId="65" xfId="4253" applyFont="1" applyFill="1" applyBorder="1" applyAlignment="1">
      <alignment horizontal="center"/>
    </xf>
    <xf numFmtId="0" fontId="63" fillId="0" borderId="56" xfId="4253" applyFont="1" applyFill="1" applyBorder="1" applyAlignment="1">
      <alignment horizontal="center" wrapText="1"/>
    </xf>
    <xf numFmtId="0" fontId="62" fillId="0" borderId="47" xfId="4253" applyFont="1" applyFill="1" applyBorder="1" applyAlignment="1">
      <alignment horizontal="center" wrapText="1"/>
    </xf>
    <xf numFmtId="0" fontId="62" fillId="0" borderId="65" xfId="4253" applyFont="1" applyFill="1" applyBorder="1" applyAlignment="1">
      <alignment horizontal="center" wrapText="1"/>
    </xf>
    <xf numFmtId="0" fontId="63" fillId="0" borderId="47" xfId="4253" applyFont="1" applyFill="1" applyBorder="1" applyAlignment="1">
      <alignment horizontal="center" wrapText="1"/>
    </xf>
    <xf numFmtId="0" fontId="63" fillId="0" borderId="65" xfId="4253" applyFont="1" applyFill="1" applyBorder="1" applyAlignment="1">
      <alignment horizontal="center" wrapText="1"/>
    </xf>
    <xf numFmtId="0" fontId="63" fillId="0" borderId="35" xfId="4253" applyFont="1" applyFill="1" applyBorder="1" applyAlignment="1">
      <alignment horizontal="center"/>
    </xf>
    <xf numFmtId="0" fontId="7" fillId="0" borderId="36" xfId="4253" applyFont="1" applyFill="1" applyBorder="1" applyAlignment="1"/>
    <xf numFmtId="0" fontId="7" fillId="0" borderId="10" xfId="4253" applyFont="1" applyFill="1" applyBorder="1" applyAlignment="1"/>
    <xf numFmtId="0" fontId="0" fillId="0" borderId="63" xfId="0" applyBorder="1"/>
    <xf numFmtId="0" fontId="0" fillId="0" borderId="44" xfId="0" applyBorder="1"/>
    <xf numFmtId="0" fontId="0" fillId="0" borderId="55" xfId="0" applyBorder="1"/>
    <xf numFmtId="0" fontId="63" fillId="0" borderId="35" xfId="4253" applyFont="1" applyFill="1" applyBorder="1" applyAlignment="1">
      <alignment horizontal="center" wrapText="1"/>
    </xf>
    <xf numFmtId="0" fontId="0" fillId="0" borderId="36" xfId="0" applyBorder="1"/>
    <xf numFmtId="0" fontId="0" fillId="0" borderId="10" xfId="0" applyBorder="1"/>
    <xf numFmtId="43" fontId="63" fillId="0" borderId="10" xfId="613" applyFont="1" applyFill="1" applyBorder="1" applyAlignment="1">
      <alignment horizontal="center" wrapText="1"/>
    </xf>
    <xf numFmtId="43" fontId="0" fillId="0" borderId="38" xfId="613" applyFont="1" applyBorder="1"/>
    <xf numFmtId="43" fontId="0" fillId="0" borderId="0" xfId="613" applyFont="1"/>
    <xf numFmtId="43" fontId="63" fillId="0" borderId="49" xfId="613" applyFont="1" applyFill="1" applyBorder="1" applyAlignment="1">
      <alignment horizontal="center" wrapText="1"/>
    </xf>
    <xf numFmtId="43" fontId="0" fillId="0" borderId="39" xfId="613" applyFont="1" applyBorder="1"/>
    <xf numFmtId="43" fontId="0" fillId="0" borderId="54" xfId="613" applyFont="1" applyBorder="1"/>
    <xf numFmtId="43" fontId="63" fillId="0" borderId="56" xfId="613" applyFont="1" applyFill="1" applyBorder="1" applyAlignment="1">
      <alignment horizontal="center" wrapText="1"/>
    </xf>
    <xf numFmtId="43" fontId="62" fillId="0" borderId="47" xfId="613" applyFont="1" applyFill="1" applyBorder="1" applyAlignment="1">
      <alignment horizontal="center" wrapText="1"/>
    </xf>
    <xf numFmtId="43" fontId="62" fillId="0" borderId="65" xfId="613" applyFont="1" applyFill="1" applyBorder="1" applyAlignment="1">
      <alignment horizontal="center" wrapText="1"/>
    </xf>
    <xf numFmtId="43" fontId="63" fillId="0" borderId="47" xfId="613" applyFont="1" applyFill="1" applyBorder="1" applyAlignment="1">
      <alignment horizontal="center" wrapText="1"/>
    </xf>
    <xf numFmtId="43" fontId="63" fillId="0" borderId="65" xfId="613" applyFont="1" applyFill="1" applyBorder="1" applyAlignment="1">
      <alignment horizontal="center" wrapText="1"/>
    </xf>
    <xf numFmtId="43" fontId="0" fillId="0" borderId="55" xfId="613" applyFont="1" applyBorder="1"/>
    <xf numFmtId="43" fontId="63" fillId="0" borderId="35" xfId="613" applyFont="1" applyFill="1" applyBorder="1" applyAlignment="1">
      <alignment horizontal="center"/>
    </xf>
    <xf numFmtId="43" fontId="7" fillId="0" borderId="36" xfId="613" applyFont="1" applyFill="1" applyBorder="1" applyAlignment="1"/>
    <xf numFmtId="43" fontId="7" fillId="0" borderId="10" xfId="613" applyFont="1" applyFill="1" applyBorder="1" applyAlignment="1"/>
    <xf numFmtId="43" fontId="0" fillId="0" borderId="63" xfId="613" applyFont="1" applyBorder="1"/>
    <xf numFmtId="43" fontId="0" fillId="0" borderId="44" xfId="613" applyFont="1" applyBorder="1"/>
    <xf numFmtId="43" fontId="63" fillId="0" borderId="35" xfId="613" applyFont="1" applyFill="1" applyBorder="1" applyAlignment="1">
      <alignment horizontal="center" wrapText="1"/>
    </xf>
    <xf numFmtId="43" fontId="0" fillId="0" borderId="36" xfId="613" applyFont="1" applyBorder="1"/>
    <xf numFmtId="43" fontId="0" fillId="0" borderId="10" xfId="613" applyFont="1" applyBorder="1"/>
    <xf numFmtId="43" fontId="63" fillId="0" borderId="49" xfId="4253" applyNumberFormat="1" applyFont="1" applyFill="1" applyBorder="1" applyAlignment="1">
      <alignment horizontal="center" wrapText="1"/>
    </xf>
    <xf numFmtId="43" fontId="63" fillId="0" borderId="35" xfId="4253" applyNumberFormat="1" applyFont="1" applyFill="1" applyBorder="1" applyAlignment="1">
      <alignment horizontal="center"/>
    </xf>
    <xf numFmtId="43" fontId="63" fillId="0" borderId="35" xfId="4253" applyNumberFormat="1" applyFont="1" applyFill="1" applyBorder="1" applyAlignment="1">
      <alignment horizontal="center" wrapText="1"/>
    </xf>
    <xf numFmtId="0" fontId="0" fillId="0" borderId="38" xfId="0" applyBorder="1"/>
    <xf numFmtId="43" fontId="63" fillId="0" borderId="10" xfId="4253" applyNumberFormat="1" applyFont="1" applyFill="1" applyBorder="1" applyAlignment="1">
      <alignment horizontal="center" wrapText="1"/>
    </xf>
    <xf numFmtId="173" fontId="80" fillId="55" borderId="0" xfId="4129" applyNumberFormat="1" applyFont="1" applyFill="1" applyBorder="1" applyAlignment="1" applyProtection="1">
      <alignment horizontal="center"/>
    </xf>
    <xf numFmtId="173" fontId="51" fillId="55" borderId="0" xfId="4129" applyNumberFormat="1" applyFont="1" applyFill="1" applyBorder="1" applyAlignment="1" applyProtection="1">
      <alignment horizontal="center"/>
    </xf>
    <xf numFmtId="173" fontId="75" fillId="55" borderId="0" xfId="4129" applyNumberFormat="1" applyFont="1" applyFill="1" applyBorder="1" applyAlignment="1" applyProtection="1">
      <alignment horizontal="center"/>
    </xf>
  </cellXfs>
  <cellStyles count="6725">
    <cellStyle name="20% - Accent1" xfId="1" builtinId="30" customBuiltin="1"/>
    <cellStyle name="20% - Accent1 10 2" xfId="2"/>
    <cellStyle name="20% - Accent1 10 2 2" xfId="4269"/>
    <cellStyle name="20% - Accent1 11 2" xfId="3"/>
    <cellStyle name="20% - Accent1 11 2 2" xfId="4270"/>
    <cellStyle name="20% - Accent1 12 2" xfId="4"/>
    <cellStyle name="20% - Accent1 12 2 2" xfId="4271"/>
    <cellStyle name="20% - Accent1 13 2" xfId="5"/>
    <cellStyle name="20% - Accent1 13 2 2" xfId="4272"/>
    <cellStyle name="20% - Accent1 14 2" xfId="6"/>
    <cellStyle name="20% - Accent1 14 2 2" xfId="4273"/>
    <cellStyle name="20% - Accent1 15 2" xfId="7"/>
    <cellStyle name="20% - Accent1 15 2 2" xfId="4274"/>
    <cellStyle name="20% - Accent1 16 2" xfId="8"/>
    <cellStyle name="20% - Accent1 16 2 2" xfId="4275"/>
    <cellStyle name="20% - Accent1 17 2" xfId="9"/>
    <cellStyle name="20% - Accent1 17 2 2" xfId="4276"/>
    <cellStyle name="20% - Accent1 18" xfId="10"/>
    <cellStyle name="20% - Accent1 2" xfId="11"/>
    <cellStyle name="20% - Accent1 2 2" xfId="12"/>
    <cellStyle name="20% - Accent1 2 2 2" xfId="13"/>
    <cellStyle name="20% - Accent1 2 2 2 2" xfId="4279"/>
    <cellStyle name="20% - Accent1 2 2 3" xfId="14"/>
    <cellStyle name="20% - Accent1 2 2 4" xfId="4278"/>
    <cellStyle name="20% - Accent1 2 3" xfId="15"/>
    <cellStyle name="20% - Accent1 2 3 2" xfId="4280"/>
    <cellStyle name="20% - Accent1 2 4" xfId="16"/>
    <cellStyle name="20% - Accent1 2 4 2" xfId="4281"/>
    <cellStyle name="20% - Accent1 2 5" xfId="4277"/>
    <cellStyle name="20% - Accent1 3" xfId="17"/>
    <cellStyle name="20% - Accent1 3 2" xfId="18"/>
    <cellStyle name="20% - Accent1 3 2 2" xfId="4283"/>
    <cellStyle name="20% - Accent1 3 3" xfId="4282"/>
    <cellStyle name="20% - Accent1 4" xfId="19"/>
    <cellStyle name="20% - Accent1 4 2" xfId="20"/>
    <cellStyle name="20% - Accent1 4 2 2" xfId="4285"/>
    <cellStyle name="20% - Accent1 4 3" xfId="4284"/>
    <cellStyle name="20% - Accent1 5" xfId="21"/>
    <cellStyle name="20% - Accent1 5 2" xfId="22"/>
    <cellStyle name="20% - Accent1 5 2 2" xfId="4287"/>
    <cellStyle name="20% - Accent1 5 3" xfId="4286"/>
    <cellStyle name="20% - Accent1 6" xfId="4256"/>
    <cellStyle name="20% - Accent1 6 2" xfId="23"/>
    <cellStyle name="20% - Accent1 6 2 2" xfId="4288"/>
    <cellStyle name="20% - Accent1 7" xfId="5771"/>
    <cellStyle name="20% - Accent1 7 2" xfId="24"/>
    <cellStyle name="20% - Accent1 7 2 2" xfId="4289"/>
    <cellStyle name="20% - Accent1 8 2" xfId="25"/>
    <cellStyle name="20% - Accent1 8 2 2" xfId="4290"/>
    <cellStyle name="20% - Accent1 9 2" xfId="26"/>
    <cellStyle name="20% - Accent1 9 2 2" xfId="4291"/>
    <cellStyle name="20% - Accent2" xfId="27" builtinId="34" customBuiltin="1"/>
    <cellStyle name="20% - Accent2 10 2" xfId="28"/>
    <cellStyle name="20% - Accent2 10 2 2" xfId="4292"/>
    <cellStyle name="20% - Accent2 11 2" xfId="29"/>
    <cellStyle name="20% - Accent2 11 2 2" xfId="4293"/>
    <cellStyle name="20% - Accent2 12 2" xfId="30"/>
    <cellStyle name="20% - Accent2 12 2 2" xfId="4294"/>
    <cellStyle name="20% - Accent2 13 2" xfId="31"/>
    <cellStyle name="20% - Accent2 13 2 2" xfId="4295"/>
    <cellStyle name="20% - Accent2 14 2" xfId="32"/>
    <cellStyle name="20% - Accent2 14 2 2" xfId="4296"/>
    <cellStyle name="20% - Accent2 15 2" xfId="33"/>
    <cellStyle name="20% - Accent2 15 2 2" xfId="4297"/>
    <cellStyle name="20% - Accent2 16 2" xfId="34"/>
    <cellStyle name="20% - Accent2 16 2 2" xfId="4298"/>
    <cellStyle name="20% - Accent2 17 2" xfId="35"/>
    <cellStyle name="20% - Accent2 17 2 2" xfId="4299"/>
    <cellStyle name="20% - Accent2 18" xfId="36"/>
    <cellStyle name="20% - Accent2 2" xfId="37"/>
    <cellStyle name="20% - Accent2 2 2" xfId="38"/>
    <cellStyle name="20% - Accent2 2 2 2" xfId="39"/>
    <cellStyle name="20% - Accent2 2 2 2 2" xfId="4302"/>
    <cellStyle name="20% - Accent2 2 2 3" xfId="40"/>
    <cellStyle name="20% - Accent2 2 2 4" xfId="4301"/>
    <cellStyle name="20% - Accent2 2 3" xfId="41"/>
    <cellStyle name="20% - Accent2 2 3 2" xfId="4303"/>
    <cellStyle name="20% - Accent2 2 4" xfId="42"/>
    <cellStyle name="20% - Accent2 2 4 2" xfId="4304"/>
    <cellStyle name="20% - Accent2 2 5" xfId="4300"/>
    <cellStyle name="20% - Accent2 3" xfId="43"/>
    <cellStyle name="20% - Accent2 3 2" xfId="44"/>
    <cellStyle name="20% - Accent2 3 2 2" xfId="4306"/>
    <cellStyle name="20% - Accent2 3 3" xfId="4305"/>
    <cellStyle name="20% - Accent2 4" xfId="45"/>
    <cellStyle name="20% - Accent2 4 2" xfId="46"/>
    <cellStyle name="20% - Accent2 4 2 2" xfId="4308"/>
    <cellStyle name="20% - Accent2 4 3" xfId="4307"/>
    <cellStyle name="20% - Accent2 5" xfId="47"/>
    <cellStyle name="20% - Accent2 5 2" xfId="48"/>
    <cellStyle name="20% - Accent2 5 2 2" xfId="4310"/>
    <cellStyle name="20% - Accent2 5 3" xfId="4309"/>
    <cellStyle name="20% - Accent2 6" xfId="4258"/>
    <cellStyle name="20% - Accent2 6 2" xfId="49"/>
    <cellStyle name="20% - Accent2 6 2 2" xfId="4311"/>
    <cellStyle name="20% - Accent2 7" xfId="5772"/>
    <cellStyle name="20% - Accent2 7 2" xfId="50"/>
    <cellStyle name="20% - Accent2 7 2 2" xfId="4312"/>
    <cellStyle name="20% - Accent2 8 2" xfId="51"/>
    <cellStyle name="20% - Accent2 8 2 2" xfId="4313"/>
    <cellStyle name="20% - Accent2 9 2" xfId="52"/>
    <cellStyle name="20% - Accent2 9 2 2" xfId="4314"/>
    <cellStyle name="20% - Accent3" xfId="53" builtinId="38" customBuiltin="1"/>
    <cellStyle name="20% - Accent3 10 2" xfId="54"/>
    <cellStyle name="20% - Accent3 10 2 2" xfId="4315"/>
    <cellStyle name="20% - Accent3 11 2" xfId="55"/>
    <cellStyle name="20% - Accent3 11 2 2" xfId="4316"/>
    <cellStyle name="20% - Accent3 12 2" xfId="56"/>
    <cellStyle name="20% - Accent3 12 2 2" xfId="4317"/>
    <cellStyle name="20% - Accent3 13 2" xfId="57"/>
    <cellStyle name="20% - Accent3 13 2 2" xfId="4318"/>
    <cellStyle name="20% - Accent3 14 2" xfId="58"/>
    <cellStyle name="20% - Accent3 14 2 2" xfId="4319"/>
    <cellStyle name="20% - Accent3 15 2" xfId="59"/>
    <cellStyle name="20% - Accent3 15 2 2" xfId="4320"/>
    <cellStyle name="20% - Accent3 16 2" xfId="60"/>
    <cellStyle name="20% - Accent3 16 2 2" xfId="4321"/>
    <cellStyle name="20% - Accent3 17 2" xfId="61"/>
    <cellStyle name="20% - Accent3 17 2 2" xfId="4322"/>
    <cellStyle name="20% - Accent3 18" xfId="62"/>
    <cellStyle name="20% - Accent3 2" xfId="63"/>
    <cellStyle name="20% - Accent3 2 2" xfId="64"/>
    <cellStyle name="20% - Accent3 2 2 2" xfId="65"/>
    <cellStyle name="20% - Accent3 2 2 2 2" xfId="4325"/>
    <cellStyle name="20% - Accent3 2 2 3" xfId="66"/>
    <cellStyle name="20% - Accent3 2 2 4" xfId="4324"/>
    <cellStyle name="20% - Accent3 2 3" xfId="67"/>
    <cellStyle name="20% - Accent3 2 3 2" xfId="4326"/>
    <cellStyle name="20% - Accent3 2 4" xfId="68"/>
    <cellStyle name="20% - Accent3 2 4 2" xfId="4327"/>
    <cellStyle name="20% - Accent3 2 5" xfId="4323"/>
    <cellStyle name="20% - Accent3 3" xfId="69"/>
    <cellStyle name="20% - Accent3 3 2" xfId="70"/>
    <cellStyle name="20% - Accent3 3 2 2" xfId="4329"/>
    <cellStyle name="20% - Accent3 3 3" xfId="4328"/>
    <cellStyle name="20% - Accent3 4" xfId="71"/>
    <cellStyle name="20% - Accent3 4 2" xfId="72"/>
    <cellStyle name="20% - Accent3 4 2 2" xfId="4331"/>
    <cellStyle name="20% - Accent3 4 3" xfId="4330"/>
    <cellStyle name="20% - Accent3 5" xfId="73"/>
    <cellStyle name="20% - Accent3 5 2" xfId="74"/>
    <cellStyle name="20% - Accent3 5 2 2" xfId="4333"/>
    <cellStyle name="20% - Accent3 5 3" xfId="4332"/>
    <cellStyle name="20% - Accent3 6" xfId="4260"/>
    <cellStyle name="20% - Accent3 6 2" xfId="75"/>
    <cellStyle name="20% - Accent3 6 2 2" xfId="4334"/>
    <cellStyle name="20% - Accent3 7" xfId="5773"/>
    <cellStyle name="20% - Accent3 7 2" xfId="76"/>
    <cellStyle name="20% - Accent3 7 2 2" xfId="4335"/>
    <cellStyle name="20% - Accent3 8 2" xfId="77"/>
    <cellStyle name="20% - Accent3 8 2 2" xfId="4336"/>
    <cellStyle name="20% - Accent3 9 2" xfId="78"/>
    <cellStyle name="20% - Accent3 9 2 2" xfId="4337"/>
    <cellStyle name="20% - Accent4" xfId="79" builtinId="42" customBuiltin="1"/>
    <cellStyle name="20% - Accent4 10 2" xfId="80"/>
    <cellStyle name="20% - Accent4 10 2 2" xfId="4338"/>
    <cellStyle name="20% - Accent4 11 2" xfId="81"/>
    <cellStyle name="20% - Accent4 11 2 2" xfId="4339"/>
    <cellStyle name="20% - Accent4 12 2" xfId="82"/>
    <cellStyle name="20% - Accent4 12 2 2" xfId="4340"/>
    <cellStyle name="20% - Accent4 13 2" xfId="83"/>
    <cellStyle name="20% - Accent4 13 2 2" xfId="4341"/>
    <cellStyle name="20% - Accent4 14 2" xfId="84"/>
    <cellStyle name="20% - Accent4 14 2 2" xfId="4342"/>
    <cellStyle name="20% - Accent4 15 2" xfId="85"/>
    <cellStyle name="20% - Accent4 15 2 2" xfId="4343"/>
    <cellStyle name="20% - Accent4 16 2" xfId="86"/>
    <cellStyle name="20% - Accent4 16 2 2" xfId="4344"/>
    <cellStyle name="20% - Accent4 17 2" xfId="87"/>
    <cellStyle name="20% - Accent4 17 2 2" xfId="4345"/>
    <cellStyle name="20% - Accent4 18" xfId="88"/>
    <cellStyle name="20% - Accent4 2" xfId="89"/>
    <cellStyle name="20% - Accent4 2 2" xfId="90"/>
    <cellStyle name="20% - Accent4 2 2 2" xfId="91"/>
    <cellStyle name="20% - Accent4 2 2 2 2" xfId="4348"/>
    <cellStyle name="20% - Accent4 2 2 3" xfId="92"/>
    <cellStyle name="20% - Accent4 2 2 4" xfId="4347"/>
    <cellStyle name="20% - Accent4 2 3" xfId="93"/>
    <cellStyle name="20% - Accent4 2 3 2" xfId="4349"/>
    <cellStyle name="20% - Accent4 2 4" xfId="94"/>
    <cellStyle name="20% - Accent4 2 4 2" xfId="4350"/>
    <cellStyle name="20% - Accent4 2 5" xfId="4346"/>
    <cellStyle name="20% - Accent4 3" xfId="95"/>
    <cellStyle name="20% - Accent4 3 2" xfId="96"/>
    <cellStyle name="20% - Accent4 3 2 2" xfId="4352"/>
    <cellStyle name="20% - Accent4 3 3" xfId="4351"/>
    <cellStyle name="20% - Accent4 4" xfId="97"/>
    <cellStyle name="20% - Accent4 4 2" xfId="98"/>
    <cellStyle name="20% - Accent4 4 2 2" xfId="4354"/>
    <cellStyle name="20% - Accent4 4 3" xfId="4353"/>
    <cellStyle name="20% - Accent4 5" xfId="99"/>
    <cellStyle name="20% - Accent4 5 2" xfId="100"/>
    <cellStyle name="20% - Accent4 5 2 2" xfId="4356"/>
    <cellStyle name="20% - Accent4 5 3" xfId="4355"/>
    <cellStyle name="20% - Accent4 6" xfId="4262"/>
    <cellStyle name="20% - Accent4 6 2" xfId="101"/>
    <cellStyle name="20% - Accent4 6 2 2" xfId="4357"/>
    <cellStyle name="20% - Accent4 7" xfId="5774"/>
    <cellStyle name="20% - Accent4 7 2" xfId="102"/>
    <cellStyle name="20% - Accent4 7 2 2" xfId="4358"/>
    <cellStyle name="20% - Accent4 8 2" xfId="103"/>
    <cellStyle name="20% - Accent4 8 2 2" xfId="4359"/>
    <cellStyle name="20% - Accent4 9 2" xfId="104"/>
    <cellStyle name="20% - Accent4 9 2 2" xfId="4360"/>
    <cellStyle name="20% - Accent5" xfId="105" builtinId="46" customBuiltin="1"/>
    <cellStyle name="20% - Accent5 10 2" xfId="106"/>
    <cellStyle name="20% - Accent5 10 2 2" xfId="4361"/>
    <cellStyle name="20% - Accent5 11 2" xfId="107"/>
    <cellStyle name="20% - Accent5 11 2 2" xfId="4362"/>
    <cellStyle name="20% - Accent5 12 2" xfId="108"/>
    <cellStyle name="20% - Accent5 12 2 2" xfId="4363"/>
    <cellStyle name="20% - Accent5 13 2" xfId="109"/>
    <cellStyle name="20% - Accent5 13 2 2" xfId="4364"/>
    <cellStyle name="20% - Accent5 14 2" xfId="110"/>
    <cellStyle name="20% - Accent5 14 2 2" xfId="4365"/>
    <cellStyle name="20% - Accent5 15 2" xfId="111"/>
    <cellStyle name="20% - Accent5 15 2 2" xfId="4366"/>
    <cellStyle name="20% - Accent5 16 2" xfId="112"/>
    <cellStyle name="20% - Accent5 16 2 2" xfId="4367"/>
    <cellStyle name="20% - Accent5 17 2" xfId="113"/>
    <cellStyle name="20% - Accent5 17 2 2" xfId="4368"/>
    <cellStyle name="20% - Accent5 18" xfId="114"/>
    <cellStyle name="20% - Accent5 2" xfId="115"/>
    <cellStyle name="20% - Accent5 2 2" xfId="116"/>
    <cellStyle name="20% - Accent5 2 2 2" xfId="117"/>
    <cellStyle name="20% - Accent5 2 2 2 2" xfId="4371"/>
    <cellStyle name="20% - Accent5 2 2 3" xfId="118"/>
    <cellStyle name="20% - Accent5 2 2 4" xfId="4370"/>
    <cellStyle name="20% - Accent5 2 3" xfId="119"/>
    <cellStyle name="20% - Accent5 2 3 2" xfId="4372"/>
    <cellStyle name="20% - Accent5 2 4" xfId="120"/>
    <cellStyle name="20% - Accent5 2 4 2" xfId="4373"/>
    <cellStyle name="20% - Accent5 2 5" xfId="4369"/>
    <cellStyle name="20% - Accent5 3" xfId="121"/>
    <cellStyle name="20% - Accent5 3 2" xfId="122"/>
    <cellStyle name="20% - Accent5 3 2 2" xfId="4375"/>
    <cellStyle name="20% - Accent5 3 3" xfId="4374"/>
    <cellStyle name="20% - Accent5 4" xfId="123"/>
    <cellStyle name="20% - Accent5 4 2" xfId="124"/>
    <cellStyle name="20% - Accent5 4 2 2" xfId="4377"/>
    <cellStyle name="20% - Accent5 4 3" xfId="4376"/>
    <cellStyle name="20% - Accent5 5" xfId="125"/>
    <cellStyle name="20% - Accent5 5 2" xfId="126"/>
    <cellStyle name="20% - Accent5 5 2 2" xfId="4379"/>
    <cellStyle name="20% - Accent5 5 3" xfId="4378"/>
    <cellStyle name="20% - Accent5 6" xfId="4264"/>
    <cellStyle name="20% - Accent5 6 2" xfId="127"/>
    <cellStyle name="20% - Accent5 6 2 2" xfId="4380"/>
    <cellStyle name="20% - Accent5 7" xfId="5775"/>
    <cellStyle name="20% - Accent5 7 2" xfId="128"/>
    <cellStyle name="20% - Accent5 7 2 2" xfId="4381"/>
    <cellStyle name="20% - Accent5 8 2" xfId="129"/>
    <cellStyle name="20% - Accent5 8 2 2" xfId="4382"/>
    <cellStyle name="20% - Accent5 9 2" xfId="130"/>
    <cellStyle name="20% - Accent5 9 2 2" xfId="4383"/>
    <cellStyle name="20% - Accent6" xfId="131" builtinId="50" customBuiltin="1"/>
    <cellStyle name="20% - Accent6 10 2" xfId="132"/>
    <cellStyle name="20% - Accent6 10 2 2" xfId="4384"/>
    <cellStyle name="20% - Accent6 11 2" xfId="133"/>
    <cellStyle name="20% - Accent6 11 2 2" xfId="4385"/>
    <cellStyle name="20% - Accent6 12 2" xfId="134"/>
    <cellStyle name="20% - Accent6 12 2 2" xfId="4386"/>
    <cellStyle name="20% - Accent6 13 2" xfId="135"/>
    <cellStyle name="20% - Accent6 13 2 2" xfId="4387"/>
    <cellStyle name="20% - Accent6 14 2" xfId="136"/>
    <cellStyle name="20% - Accent6 14 2 2" xfId="4388"/>
    <cellStyle name="20% - Accent6 15 2" xfId="137"/>
    <cellStyle name="20% - Accent6 15 2 2" xfId="4389"/>
    <cellStyle name="20% - Accent6 16 2" xfId="138"/>
    <cellStyle name="20% - Accent6 16 2 2" xfId="4390"/>
    <cellStyle name="20% - Accent6 17 2" xfId="139"/>
    <cellStyle name="20% - Accent6 17 2 2" xfId="4391"/>
    <cellStyle name="20% - Accent6 18" xfId="140"/>
    <cellStyle name="20% - Accent6 2" xfId="141"/>
    <cellStyle name="20% - Accent6 2 2" xfId="142"/>
    <cellStyle name="20% - Accent6 2 2 2" xfId="143"/>
    <cellStyle name="20% - Accent6 2 2 2 2" xfId="4394"/>
    <cellStyle name="20% - Accent6 2 2 3" xfId="144"/>
    <cellStyle name="20% - Accent6 2 2 4" xfId="4393"/>
    <cellStyle name="20% - Accent6 2 3" xfId="145"/>
    <cellStyle name="20% - Accent6 2 3 2" xfId="4395"/>
    <cellStyle name="20% - Accent6 2 4" xfId="146"/>
    <cellStyle name="20% - Accent6 2 4 2" xfId="4396"/>
    <cellStyle name="20% - Accent6 2 5" xfId="4392"/>
    <cellStyle name="20% - Accent6 3" xfId="147"/>
    <cellStyle name="20% - Accent6 3 2" xfId="148"/>
    <cellStyle name="20% - Accent6 3 2 2" xfId="4398"/>
    <cellStyle name="20% - Accent6 3 3" xfId="4397"/>
    <cellStyle name="20% - Accent6 4" xfId="149"/>
    <cellStyle name="20% - Accent6 4 2" xfId="150"/>
    <cellStyle name="20% - Accent6 4 2 2" xfId="4400"/>
    <cellStyle name="20% - Accent6 4 3" xfId="4399"/>
    <cellStyle name="20% - Accent6 5" xfId="151"/>
    <cellStyle name="20% - Accent6 5 2" xfId="152"/>
    <cellStyle name="20% - Accent6 5 2 2" xfId="4402"/>
    <cellStyle name="20% - Accent6 5 3" xfId="4401"/>
    <cellStyle name="20% - Accent6 6" xfId="4266"/>
    <cellStyle name="20% - Accent6 6 2" xfId="153"/>
    <cellStyle name="20% - Accent6 6 2 2" xfId="4403"/>
    <cellStyle name="20% - Accent6 7" xfId="5776"/>
    <cellStyle name="20% - Accent6 7 2" xfId="154"/>
    <cellStyle name="20% - Accent6 7 2 2" xfId="4404"/>
    <cellStyle name="20% - Accent6 8 2" xfId="155"/>
    <cellStyle name="20% - Accent6 8 2 2" xfId="4405"/>
    <cellStyle name="20% - Accent6 9 2" xfId="156"/>
    <cellStyle name="20% - Accent6 9 2 2" xfId="4406"/>
    <cellStyle name="40% - Accent1" xfId="157" builtinId="31" customBuiltin="1"/>
    <cellStyle name="40% - Accent1 10 2" xfId="158"/>
    <cellStyle name="40% - Accent1 10 2 2" xfId="4407"/>
    <cellStyle name="40% - Accent1 11 2" xfId="159"/>
    <cellStyle name="40% - Accent1 11 2 2" xfId="4408"/>
    <cellStyle name="40% - Accent1 12 2" xfId="160"/>
    <cellStyle name="40% - Accent1 12 2 2" xfId="4409"/>
    <cellStyle name="40% - Accent1 13 2" xfId="161"/>
    <cellStyle name="40% - Accent1 13 2 2" xfId="4410"/>
    <cellStyle name="40% - Accent1 14 2" xfId="162"/>
    <cellStyle name="40% - Accent1 14 2 2" xfId="4411"/>
    <cellStyle name="40% - Accent1 15 2" xfId="163"/>
    <cellStyle name="40% - Accent1 15 2 2" xfId="4412"/>
    <cellStyle name="40% - Accent1 16 2" xfId="164"/>
    <cellStyle name="40% - Accent1 16 2 2" xfId="4413"/>
    <cellStyle name="40% - Accent1 17 2" xfId="165"/>
    <cellStyle name="40% - Accent1 17 2 2" xfId="4414"/>
    <cellStyle name="40% - Accent1 18" xfId="166"/>
    <cellStyle name="40% - Accent1 2" xfId="167"/>
    <cellStyle name="40% - Accent1 2 2" xfId="168"/>
    <cellStyle name="40% - Accent1 2 2 2" xfId="169"/>
    <cellStyle name="40% - Accent1 2 2 2 2" xfId="4417"/>
    <cellStyle name="40% - Accent1 2 2 3" xfId="170"/>
    <cellStyle name="40% - Accent1 2 2 4" xfId="4416"/>
    <cellStyle name="40% - Accent1 2 3" xfId="171"/>
    <cellStyle name="40% - Accent1 2 3 2" xfId="4418"/>
    <cellStyle name="40% - Accent1 2 4" xfId="172"/>
    <cellStyle name="40% - Accent1 2 4 2" xfId="4419"/>
    <cellStyle name="40% - Accent1 2 5" xfId="4415"/>
    <cellStyle name="40% - Accent1 3" xfId="173"/>
    <cellStyle name="40% - Accent1 3 2" xfId="174"/>
    <cellStyle name="40% - Accent1 3 2 2" xfId="4421"/>
    <cellStyle name="40% - Accent1 3 3" xfId="4420"/>
    <cellStyle name="40% - Accent1 4" xfId="175"/>
    <cellStyle name="40% - Accent1 4 2" xfId="176"/>
    <cellStyle name="40% - Accent1 4 2 2" xfId="4423"/>
    <cellStyle name="40% - Accent1 4 3" xfId="4422"/>
    <cellStyle name="40% - Accent1 5" xfId="177"/>
    <cellStyle name="40% - Accent1 5 2" xfId="178"/>
    <cellStyle name="40% - Accent1 5 2 2" xfId="4425"/>
    <cellStyle name="40% - Accent1 5 3" xfId="4424"/>
    <cellStyle name="40% - Accent1 6" xfId="4257"/>
    <cellStyle name="40% - Accent1 6 2" xfId="179"/>
    <cellStyle name="40% - Accent1 6 2 2" xfId="4426"/>
    <cellStyle name="40% - Accent1 7" xfId="5777"/>
    <cellStyle name="40% - Accent1 7 2" xfId="180"/>
    <cellStyle name="40% - Accent1 7 2 2" xfId="4427"/>
    <cellStyle name="40% - Accent1 8 2" xfId="181"/>
    <cellStyle name="40% - Accent1 8 2 2" xfId="4428"/>
    <cellStyle name="40% - Accent1 9 2" xfId="182"/>
    <cellStyle name="40% - Accent1 9 2 2" xfId="4429"/>
    <cellStyle name="40% - Accent2" xfId="183" builtinId="35" customBuiltin="1"/>
    <cellStyle name="40% - Accent2 10 2" xfId="184"/>
    <cellStyle name="40% - Accent2 10 2 2" xfId="4430"/>
    <cellStyle name="40% - Accent2 11 2" xfId="185"/>
    <cellStyle name="40% - Accent2 11 2 2" xfId="4431"/>
    <cellStyle name="40% - Accent2 12 2" xfId="186"/>
    <cellStyle name="40% - Accent2 12 2 2" xfId="4432"/>
    <cellStyle name="40% - Accent2 13 2" xfId="187"/>
    <cellStyle name="40% - Accent2 13 2 2" xfId="4433"/>
    <cellStyle name="40% - Accent2 14 2" xfId="188"/>
    <cellStyle name="40% - Accent2 14 2 2" xfId="4434"/>
    <cellStyle name="40% - Accent2 15 2" xfId="189"/>
    <cellStyle name="40% - Accent2 15 2 2" xfId="4435"/>
    <cellStyle name="40% - Accent2 16 2" xfId="190"/>
    <cellStyle name="40% - Accent2 16 2 2" xfId="4436"/>
    <cellStyle name="40% - Accent2 17 2" xfId="191"/>
    <cellStyle name="40% - Accent2 17 2 2" xfId="4437"/>
    <cellStyle name="40% - Accent2 18" xfId="192"/>
    <cellStyle name="40% - Accent2 2" xfId="193"/>
    <cellStyle name="40% - Accent2 2 2" xfId="194"/>
    <cellStyle name="40% - Accent2 2 2 2" xfId="195"/>
    <cellStyle name="40% - Accent2 2 2 2 2" xfId="4440"/>
    <cellStyle name="40% - Accent2 2 2 3" xfId="196"/>
    <cellStyle name="40% - Accent2 2 2 4" xfId="4439"/>
    <cellStyle name="40% - Accent2 2 3" xfId="197"/>
    <cellStyle name="40% - Accent2 2 3 2" xfId="4441"/>
    <cellStyle name="40% - Accent2 2 4" xfId="198"/>
    <cellStyle name="40% - Accent2 2 4 2" xfId="4442"/>
    <cellStyle name="40% - Accent2 2 5" xfId="4438"/>
    <cellStyle name="40% - Accent2 3" xfId="199"/>
    <cellStyle name="40% - Accent2 3 2" xfId="200"/>
    <cellStyle name="40% - Accent2 3 2 2" xfId="4444"/>
    <cellStyle name="40% - Accent2 3 3" xfId="4443"/>
    <cellStyle name="40% - Accent2 4" xfId="201"/>
    <cellStyle name="40% - Accent2 4 2" xfId="202"/>
    <cellStyle name="40% - Accent2 4 2 2" xfId="4446"/>
    <cellStyle name="40% - Accent2 4 3" xfId="4445"/>
    <cellStyle name="40% - Accent2 5" xfId="203"/>
    <cellStyle name="40% - Accent2 5 2" xfId="204"/>
    <cellStyle name="40% - Accent2 5 2 2" xfId="4448"/>
    <cellStyle name="40% - Accent2 5 3" xfId="4447"/>
    <cellStyle name="40% - Accent2 6" xfId="4259"/>
    <cellStyle name="40% - Accent2 6 2" xfId="205"/>
    <cellStyle name="40% - Accent2 6 2 2" xfId="4449"/>
    <cellStyle name="40% - Accent2 7" xfId="5778"/>
    <cellStyle name="40% - Accent2 7 2" xfId="206"/>
    <cellStyle name="40% - Accent2 7 2 2" xfId="4450"/>
    <cellStyle name="40% - Accent2 8 2" xfId="207"/>
    <cellStyle name="40% - Accent2 8 2 2" xfId="4451"/>
    <cellStyle name="40% - Accent2 9 2" xfId="208"/>
    <cellStyle name="40% - Accent2 9 2 2" xfId="4452"/>
    <cellStyle name="40% - Accent3" xfId="209" builtinId="39" customBuiltin="1"/>
    <cellStyle name="40% - Accent3 10 2" xfId="210"/>
    <cellStyle name="40% - Accent3 10 2 2" xfId="4453"/>
    <cellStyle name="40% - Accent3 11 2" xfId="211"/>
    <cellStyle name="40% - Accent3 11 2 2" xfId="4454"/>
    <cellStyle name="40% - Accent3 12 2" xfId="212"/>
    <cellStyle name="40% - Accent3 12 2 2" xfId="4455"/>
    <cellStyle name="40% - Accent3 13 2" xfId="213"/>
    <cellStyle name="40% - Accent3 13 2 2" xfId="4456"/>
    <cellStyle name="40% - Accent3 14 2" xfId="214"/>
    <cellStyle name="40% - Accent3 14 2 2" xfId="4457"/>
    <cellStyle name="40% - Accent3 15 2" xfId="215"/>
    <cellStyle name="40% - Accent3 15 2 2" xfId="4458"/>
    <cellStyle name="40% - Accent3 16 2" xfId="216"/>
    <cellStyle name="40% - Accent3 16 2 2" xfId="4459"/>
    <cellStyle name="40% - Accent3 17 2" xfId="217"/>
    <cellStyle name="40% - Accent3 17 2 2" xfId="4460"/>
    <cellStyle name="40% - Accent3 18" xfId="218"/>
    <cellStyle name="40% - Accent3 2" xfId="219"/>
    <cellStyle name="40% - Accent3 2 2" xfId="220"/>
    <cellStyle name="40% - Accent3 2 2 2" xfId="221"/>
    <cellStyle name="40% - Accent3 2 2 2 2" xfId="4463"/>
    <cellStyle name="40% - Accent3 2 2 3" xfId="222"/>
    <cellStyle name="40% - Accent3 2 2 4" xfId="4462"/>
    <cellStyle name="40% - Accent3 2 3" xfId="223"/>
    <cellStyle name="40% - Accent3 2 3 2" xfId="4464"/>
    <cellStyle name="40% - Accent3 2 4" xfId="224"/>
    <cellStyle name="40% - Accent3 2 4 2" xfId="4465"/>
    <cellStyle name="40% - Accent3 2 5" xfId="4461"/>
    <cellStyle name="40% - Accent3 3" xfId="225"/>
    <cellStyle name="40% - Accent3 3 2" xfId="226"/>
    <cellStyle name="40% - Accent3 3 2 2" xfId="4467"/>
    <cellStyle name="40% - Accent3 3 3" xfId="4466"/>
    <cellStyle name="40% - Accent3 4" xfId="227"/>
    <cellStyle name="40% - Accent3 4 2" xfId="228"/>
    <cellStyle name="40% - Accent3 4 2 2" xfId="4469"/>
    <cellStyle name="40% - Accent3 4 3" xfId="4468"/>
    <cellStyle name="40% - Accent3 5" xfId="229"/>
    <cellStyle name="40% - Accent3 5 2" xfId="230"/>
    <cellStyle name="40% - Accent3 5 2 2" xfId="4471"/>
    <cellStyle name="40% - Accent3 5 3" xfId="4470"/>
    <cellStyle name="40% - Accent3 6" xfId="4261"/>
    <cellStyle name="40% - Accent3 6 2" xfId="231"/>
    <cellStyle name="40% - Accent3 6 2 2" xfId="4472"/>
    <cellStyle name="40% - Accent3 7" xfId="5779"/>
    <cellStyle name="40% - Accent3 7 2" xfId="232"/>
    <cellStyle name="40% - Accent3 7 2 2" xfId="4473"/>
    <cellStyle name="40% - Accent3 8 2" xfId="233"/>
    <cellStyle name="40% - Accent3 8 2 2" xfId="4474"/>
    <cellStyle name="40% - Accent3 9 2" xfId="234"/>
    <cellStyle name="40% - Accent3 9 2 2" xfId="4475"/>
    <cellStyle name="40% - Accent4" xfId="235" builtinId="43" customBuiltin="1"/>
    <cellStyle name="40% - Accent4 10 2" xfId="236"/>
    <cellStyle name="40% - Accent4 10 2 2" xfId="4476"/>
    <cellStyle name="40% - Accent4 11 2" xfId="237"/>
    <cellStyle name="40% - Accent4 11 2 2" xfId="4477"/>
    <cellStyle name="40% - Accent4 12 2" xfId="238"/>
    <cellStyle name="40% - Accent4 12 2 2" xfId="4478"/>
    <cellStyle name="40% - Accent4 13 2" xfId="239"/>
    <cellStyle name="40% - Accent4 13 2 2" xfId="4479"/>
    <cellStyle name="40% - Accent4 14 2" xfId="240"/>
    <cellStyle name="40% - Accent4 14 2 2" xfId="4480"/>
    <cellStyle name="40% - Accent4 15 2" xfId="241"/>
    <cellStyle name="40% - Accent4 15 2 2" xfId="4481"/>
    <cellStyle name="40% - Accent4 16 2" xfId="242"/>
    <cellStyle name="40% - Accent4 16 2 2" xfId="4482"/>
    <cellStyle name="40% - Accent4 17 2" xfId="243"/>
    <cellStyle name="40% - Accent4 17 2 2" xfId="4483"/>
    <cellStyle name="40% - Accent4 18" xfId="244"/>
    <cellStyle name="40% - Accent4 2" xfId="245"/>
    <cellStyle name="40% - Accent4 2 2" xfId="246"/>
    <cellStyle name="40% - Accent4 2 2 2" xfId="247"/>
    <cellStyle name="40% - Accent4 2 2 2 2" xfId="4486"/>
    <cellStyle name="40% - Accent4 2 2 3" xfId="248"/>
    <cellStyle name="40% - Accent4 2 2 4" xfId="4485"/>
    <cellStyle name="40% - Accent4 2 3" xfId="249"/>
    <cellStyle name="40% - Accent4 2 3 2" xfId="4487"/>
    <cellStyle name="40% - Accent4 2 4" xfId="250"/>
    <cellStyle name="40% - Accent4 2 4 2" xfId="4488"/>
    <cellStyle name="40% - Accent4 2 5" xfId="4484"/>
    <cellStyle name="40% - Accent4 3" xfId="251"/>
    <cellStyle name="40% - Accent4 3 2" xfId="252"/>
    <cellStyle name="40% - Accent4 3 2 2" xfId="4490"/>
    <cellStyle name="40% - Accent4 3 3" xfId="4489"/>
    <cellStyle name="40% - Accent4 4" xfId="253"/>
    <cellStyle name="40% - Accent4 4 2" xfId="254"/>
    <cellStyle name="40% - Accent4 4 2 2" xfId="4492"/>
    <cellStyle name="40% - Accent4 4 3" xfId="4491"/>
    <cellStyle name="40% - Accent4 5" xfId="255"/>
    <cellStyle name="40% - Accent4 5 2" xfId="256"/>
    <cellStyle name="40% - Accent4 5 2 2" xfId="4494"/>
    <cellStyle name="40% - Accent4 5 3" xfId="4493"/>
    <cellStyle name="40% - Accent4 6" xfId="4263"/>
    <cellStyle name="40% - Accent4 6 2" xfId="257"/>
    <cellStyle name="40% - Accent4 6 2 2" xfId="4495"/>
    <cellStyle name="40% - Accent4 7" xfId="5780"/>
    <cellStyle name="40% - Accent4 7 2" xfId="258"/>
    <cellStyle name="40% - Accent4 7 2 2" xfId="4496"/>
    <cellStyle name="40% - Accent4 8 2" xfId="259"/>
    <cellStyle name="40% - Accent4 8 2 2" xfId="4497"/>
    <cellStyle name="40% - Accent4 9 2" xfId="260"/>
    <cellStyle name="40% - Accent4 9 2 2" xfId="4498"/>
    <cellStyle name="40% - Accent5" xfId="261" builtinId="47" customBuiltin="1"/>
    <cellStyle name="40% - Accent5 10 2" xfId="262"/>
    <cellStyle name="40% - Accent5 10 2 2" xfId="4499"/>
    <cellStyle name="40% - Accent5 11 2" xfId="263"/>
    <cellStyle name="40% - Accent5 11 2 2" xfId="4500"/>
    <cellStyle name="40% - Accent5 12 2" xfId="264"/>
    <cellStyle name="40% - Accent5 12 2 2" xfId="4501"/>
    <cellStyle name="40% - Accent5 13 2" xfId="265"/>
    <cellStyle name="40% - Accent5 13 2 2" xfId="4502"/>
    <cellStyle name="40% - Accent5 14 2" xfId="266"/>
    <cellStyle name="40% - Accent5 14 2 2" xfId="4503"/>
    <cellStyle name="40% - Accent5 15 2" xfId="267"/>
    <cellStyle name="40% - Accent5 15 2 2" xfId="4504"/>
    <cellStyle name="40% - Accent5 16 2" xfId="268"/>
    <cellStyle name="40% - Accent5 16 2 2" xfId="4505"/>
    <cellStyle name="40% - Accent5 17 2" xfId="269"/>
    <cellStyle name="40% - Accent5 17 2 2" xfId="4506"/>
    <cellStyle name="40% - Accent5 18" xfId="270"/>
    <cellStyle name="40% - Accent5 2" xfId="271"/>
    <cellStyle name="40% - Accent5 2 2" xfId="272"/>
    <cellStyle name="40% - Accent5 2 2 2" xfId="273"/>
    <cellStyle name="40% - Accent5 2 2 2 2" xfId="4509"/>
    <cellStyle name="40% - Accent5 2 2 3" xfId="274"/>
    <cellStyle name="40% - Accent5 2 2 4" xfId="4508"/>
    <cellStyle name="40% - Accent5 2 3" xfId="275"/>
    <cellStyle name="40% - Accent5 2 3 2" xfId="4510"/>
    <cellStyle name="40% - Accent5 2 4" xfId="276"/>
    <cellStyle name="40% - Accent5 2 4 2" xfId="4511"/>
    <cellStyle name="40% - Accent5 2 5" xfId="4507"/>
    <cellStyle name="40% - Accent5 3" xfId="277"/>
    <cellStyle name="40% - Accent5 3 2" xfId="278"/>
    <cellStyle name="40% - Accent5 3 2 2" xfId="4513"/>
    <cellStyle name="40% - Accent5 3 3" xfId="4512"/>
    <cellStyle name="40% - Accent5 4" xfId="279"/>
    <cellStyle name="40% - Accent5 4 2" xfId="280"/>
    <cellStyle name="40% - Accent5 4 2 2" xfId="4515"/>
    <cellStyle name="40% - Accent5 4 3" xfId="4514"/>
    <cellStyle name="40% - Accent5 5" xfId="281"/>
    <cellStyle name="40% - Accent5 5 2" xfId="282"/>
    <cellStyle name="40% - Accent5 5 2 2" xfId="4517"/>
    <cellStyle name="40% - Accent5 5 3" xfId="4516"/>
    <cellStyle name="40% - Accent5 6" xfId="4265"/>
    <cellStyle name="40% - Accent5 6 2" xfId="283"/>
    <cellStyle name="40% - Accent5 6 2 2" xfId="4518"/>
    <cellStyle name="40% - Accent5 7" xfId="5781"/>
    <cellStyle name="40% - Accent5 7 2" xfId="284"/>
    <cellStyle name="40% - Accent5 7 2 2" xfId="4519"/>
    <cellStyle name="40% - Accent5 8 2" xfId="285"/>
    <cellStyle name="40% - Accent5 8 2 2" xfId="4520"/>
    <cellStyle name="40% - Accent5 9 2" xfId="286"/>
    <cellStyle name="40% - Accent5 9 2 2" xfId="4521"/>
    <cellStyle name="40% - Accent6" xfId="287" builtinId="51" customBuiltin="1"/>
    <cellStyle name="40% - Accent6 10 2" xfId="288"/>
    <cellStyle name="40% - Accent6 10 2 2" xfId="4522"/>
    <cellStyle name="40% - Accent6 11 2" xfId="289"/>
    <cellStyle name="40% - Accent6 11 2 2" xfId="4523"/>
    <cellStyle name="40% - Accent6 12 2" xfId="290"/>
    <cellStyle name="40% - Accent6 12 2 2" xfId="4524"/>
    <cellStyle name="40% - Accent6 13 2" xfId="291"/>
    <cellStyle name="40% - Accent6 13 2 2" xfId="4525"/>
    <cellStyle name="40% - Accent6 14 2" xfId="292"/>
    <cellStyle name="40% - Accent6 14 2 2" xfId="4526"/>
    <cellStyle name="40% - Accent6 15 2" xfId="293"/>
    <cellStyle name="40% - Accent6 15 2 2" xfId="4527"/>
    <cellStyle name="40% - Accent6 16 2" xfId="294"/>
    <cellStyle name="40% - Accent6 16 2 2" xfId="4528"/>
    <cellStyle name="40% - Accent6 17 2" xfId="295"/>
    <cellStyle name="40% - Accent6 17 2 2" xfId="4529"/>
    <cellStyle name="40% - Accent6 18" xfId="296"/>
    <cellStyle name="40% - Accent6 2" xfId="297"/>
    <cellStyle name="40% - Accent6 2 2" xfId="298"/>
    <cellStyle name="40% - Accent6 2 2 2" xfId="299"/>
    <cellStyle name="40% - Accent6 2 2 2 2" xfId="4532"/>
    <cellStyle name="40% - Accent6 2 2 3" xfId="300"/>
    <cellStyle name="40% - Accent6 2 2 4" xfId="4531"/>
    <cellStyle name="40% - Accent6 2 3" xfId="301"/>
    <cellStyle name="40% - Accent6 2 3 2" xfId="4533"/>
    <cellStyle name="40% - Accent6 2 4" xfId="302"/>
    <cellStyle name="40% - Accent6 2 4 2" xfId="4534"/>
    <cellStyle name="40% - Accent6 2 5" xfId="4530"/>
    <cellStyle name="40% - Accent6 3" xfId="303"/>
    <cellStyle name="40% - Accent6 3 2" xfId="304"/>
    <cellStyle name="40% - Accent6 3 2 2" xfId="4536"/>
    <cellStyle name="40% - Accent6 3 3" xfId="4535"/>
    <cellStyle name="40% - Accent6 4" xfId="305"/>
    <cellStyle name="40% - Accent6 4 2" xfId="306"/>
    <cellStyle name="40% - Accent6 4 2 2" xfId="4538"/>
    <cellStyle name="40% - Accent6 4 3" xfId="4537"/>
    <cellStyle name="40% - Accent6 5" xfId="307"/>
    <cellStyle name="40% - Accent6 5 2" xfId="308"/>
    <cellStyle name="40% - Accent6 5 2 2" xfId="4540"/>
    <cellStyle name="40% - Accent6 5 3" xfId="4539"/>
    <cellStyle name="40% - Accent6 6" xfId="4267"/>
    <cellStyle name="40% - Accent6 6 2" xfId="309"/>
    <cellStyle name="40% - Accent6 6 2 2" xfId="4541"/>
    <cellStyle name="40% - Accent6 7" xfId="5782"/>
    <cellStyle name="40% - Accent6 7 2" xfId="310"/>
    <cellStyle name="40% - Accent6 7 2 2" xfId="4542"/>
    <cellStyle name="40% - Accent6 8 2" xfId="311"/>
    <cellStyle name="40% - Accent6 8 2 2" xfId="4543"/>
    <cellStyle name="40% - Accent6 9 2" xfId="312"/>
    <cellStyle name="40% - Accent6 9 2 2" xfId="4544"/>
    <cellStyle name="60% - Accent1" xfId="313" builtinId="32" customBuiltin="1"/>
    <cellStyle name="60% - Accent1 10 2" xfId="314"/>
    <cellStyle name="60% - Accent1 11 2" xfId="315"/>
    <cellStyle name="60% - Accent1 12 2" xfId="316"/>
    <cellStyle name="60% - Accent1 13 2" xfId="317"/>
    <cellStyle name="60% - Accent1 14 2" xfId="318"/>
    <cellStyle name="60% - Accent1 15 2" xfId="319"/>
    <cellStyle name="60% - Accent1 16 2" xfId="320"/>
    <cellStyle name="60% - Accent1 17 2" xfId="321"/>
    <cellStyle name="60% - Accent1 18" xfId="322"/>
    <cellStyle name="60% - Accent1 2" xfId="5783"/>
    <cellStyle name="60% - Accent1 2 2" xfId="323"/>
    <cellStyle name="60% - Accent1 2 2 2" xfId="324"/>
    <cellStyle name="60% - Accent1 2 3" xfId="325"/>
    <cellStyle name="60% - Accent1 3 2" xfId="326"/>
    <cellStyle name="60% - Accent1 4 2" xfId="327"/>
    <cellStyle name="60% - Accent1 5 2" xfId="328"/>
    <cellStyle name="60% - Accent1 6 2" xfId="329"/>
    <cellStyle name="60% - Accent1 7 2" xfId="330"/>
    <cellStyle name="60% - Accent1 8 2" xfId="331"/>
    <cellStyle name="60% - Accent1 9 2" xfId="332"/>
    <cellStyle name="60% - Accent2" xfId="333" builtinId="36" customBuiltin="1"/>
    <cellStyle name="60% - Accent2 10 2" xfId="334"/>
    <cellStyle name="60% - Accent2 11 2" xfId="335"/>
    <cellStyle name="60% - Accent2 12 2" xfId="336"/>
    <cellStyle name="60% - Accent2 13 2" xfId="337"/>
    <cellStyle name="60% - Accent2 14 2" xfId="338"/>
    <cellStyle name="60% - Accent2 15 2" xfId="339"/>
    <cellStyle name="60% - Accent2 16 2" xfId="340"/>
    <cellStyle name="60% - Accent2 17 2" xfId="341"/>
    <cellStyle name="60% - Accent2 18" xfId="342"/>
    <cellStyle name="60% - Accent2 2" xfId="5784"/>
    <cellStyle name="60% - Accent2 2 2" xfId="343"/>
    <cellStyle name="60% - Accent2 2 2 2" xfId="344"/>
    <cellStyle name="60% - Accent2 2 3" xfId="345"/>
    <cellStyle name="60% - Accent2 3 2" xfId="346"/>
    <cellStyle name="60% - Accent2 4 2" xfId="347"/>
    <cellStyle name="60% - Accent2 5 2" xfId="348"/>
    <cellStyle name="60% - Accent2 6 2" xfId="349"/>
    <cellStyle name="60% - Accent2 7 2" xfId="350"/>
    <cellStyle name="60% - Accent2 8 2" xfId="351"/>
    <cellStyle name="60% - Accent2 9 2" xfId="352"/>
    <cellStyle name="60% - Accent3" xfId="353" builtinId="40" customBuiltin="1"/>
    <cellStyle name="60% - Accent3 10 2" xfId="354"/>
    <cellStyle name="60% - Accent3 11 2" xfId="355"/>
    <cellStyle name="60% - Accent3 12 2" xfId="356"/>
    <cellStyle name="60% - Accent3 13 2" xfId="357"/>
    <cellStyle name="60% - Accent3 14 2" xfId="358"/>
    <cellStyle name="60% - Accent3 15 2" xfId="359"/>
    <cellStyle name="60% - Accent3 16 2" xfId="360"/>
    <cellStyle name="60% - Accent3 17 2" xfId="361"/>
    <cellStyle name="60% - Accent3 18" xfId="362"/>
    <cellStyle name="60% - Accent3 2" xfId="5785"/>
    <cellStyle name="60% - Accent3 2 2" xfId="363"/>
    <cellStyle name="60% - Accent3 2 2 2" xfId="364"/>
    <cellStyle name="60% - Accent3 2 3" xfId="365"/>
    <cellStyle name="60% - Accent3 3 2" xfId="366"/>
    <cellStyle name="60% - Accent3 4 2" xfId="367"/>
    <cellStyle name="60% - Accent3 5 2" xfId="368"/>
    <cellStyle name="60% - Accent3 6 2" xfId="369"/>
    <cellStyle name="60% - Accent3 7 2" xfId="370"/>
    <cellStyle name="60% - Accent3 8 2" xfId="371"/>
    <cellStyle name="60% - Accent3 9 2" xfId="372"/>
    <cellStyle name="60% - Accent4" xfId="373" builtinId="44" customBuiltin="1"/>
    <cellStyle name="60% - Accent4 10 2" xfId="374"/>
    <cellStyle name="60% - Accent4 11 2" xfId="375"/>
    <cellStyle name="60% - Accent4 12 2" xfId="376"/>
    <cellStyle name="60% - Accent4 13 2" xfId="377"/>
    <cellStyle name="60% - Accent4 14 2" xfId="378"/>
    <cellStyle name="60% - Accent4 15 2" xfId="379"/>
    <cellStyle name="60% - Accent4 16 2" xfId="380"/>
    <cellStyle name="60% - Accent4 17 2" xfId="381"/>
    <cellStyle name="60% - Accent4 18" xfId="382"/>
    <cellStyle name="60% - Accent4 2" xfId="5786"/>
    <cellStyle name="60% - Accent4 2 2" xfId="383"/>
    <cellStyle name="60% - Accent4 2 2 2" xfId="384"/>
    <cellStyle name="60% - Accent4 2 3" xfId="385"/>
    <cellStyle name="60% - Accent4 3 2" xfId="386"/>
    <cellStyle name="60% - Accent4 4 2" xfId="387"/>
    <cellStyle name="60% - Accent4 5 2" xfId="388"/>
    <cellStyle name="60% - Accent4 6 2" xfId="389"/>
    <cellStyle name="60% - Accent4 7 2" xfId="390"/>
    <cellStyle name="60% - Accent4 8 2" xfId="391"/>
    <cellStyle name="60% - Accent4 9 2" xfId="392"/>
    <cellStyle name="60% - Accent5" xfId="393" builtinId="48" customBuiltin="1"/>
    <cellStyle name="60% - Accent5 10 2" xfId="394"/>
    <cellStyle name="60% - Accent5 11 2" xfId="395"/>
    <cellStyle name="60% - Accent5 12 2" xfId="396"/>
    <cellStyle name="60% - Accent5 13 2" xfId="397"/>
    <cellStyle name="60% - Accent5 14 2" xfId="398"/>
    <cellStyle name="60% - Accent5 15 2" xfId="399"/>
    <cellStyle name="60% - Accent5 16 2" xfId="400"/>
    <cellStyle name="60% - Accent5 17 2" xfId="401"/>
    <cellStyle name="60% - Accent5 18" xfId="402"/>
    <cellStyle name="60% - Accent5 2" xfId="5787"/>
    <cellStyle name="60% - Accent5 2 2" xfId="403"/>
    <cellStyle name="60% - Accent5 2 2 2" xfId="404"/>
    <cellStyle name="60% - Accent5 2 3" xfId="405"/>
    <cellStyle name="60% - Accent5 3 2" xfId="406"/>
    <cellStyle name="60% - Accent5 4 2" xfId="407"/>
    <cellStyle name="60% - Accent5 5 2" xfId="408"/>
    <cellStyle name="60% - Accent5 6 2" xfId="409"/>
    <cellStyle name="60% - Accent5 7 2" xfId="410"/>
    <cellStyle name="60% - Accent5 8 2" xfId="411"/>
    <cellStyle name="60% - Accent5 9 2" xfId="412"/>
    <cellStyle name="60% - Accent6" xfId="413" builtinId="52" customBuiltin="1"/>
    <cellStyle name="60% - Accent6 10 2" xfId="414"/>
    <cellStyle name="60% - Accent6 11 2" xfId="415"/>
    <cellStyle name="60% - Accent6 12 2" xfId="416"/>
    <cellStyle name="60% - Accent6 13 2" xfId="417"/>
    <cellStyle name="60% - Accent6 14 2" xfId="418"/>
    <cellStyle name="60% - Accent6 15 2" xfId="419"/>
    <cellStyle name="60% - Accent6 16 2" xfId="420"/>
    <cellStyle name="60% - Accent6 17 2" xfId="421"/>
    <cellStyle name="60% - Accent6 18" xfId="422"/>
    <cellStyle name="60% - Accent6 2" xfId="5788"/>
    <cellStyle name="60% - Accent6 2 2" xfId="423"/>
    <cellStyle name="60% - Accent6 2 2 2" xfId="424"/>
    <cellStyle name="60% - Accent6 2 3" xfId="425"/>
    <cellStyle name="60% - Accent6 3 2" xfId="426"/>
    <cellStyle name="60% - Accent6 4 2" xfId="427"/>
    <cellStyle name="60% - Accent6 5 2" xfId="428"/>
    <cellStyle name="60% - Accent6 6 2" xfId="429"/>
    <cellStyle name="60% - Accent6 7 2" xfId="430"/>
    <cellStyle name="60% - Accent6 8 2" xfId="431"/>
    <cellStyle name="60% - Accent6 9 2" xfId="432"/>
    <cellStyle name="Accent1" xfId="433" builtinId="29" customBuiltin="1"/>
    <cellStyle name="Accent1 10 2" xfId="434"/>
    <cellStyle name="Accent1 11 2" xfId="435"/>
    <cellStyle name="Accent1 12 2" xfId="436"/>
    <cellStyle name="Accent1 13 2" xfId="437"/>
    <cellStyle name="Accent1 14 2" xfId="438"/>
    <cellStyle name="Accent1 15 2" xfId="439"/>
    <cellStyle name="Accent1 16 2" xfId="440"/>
    <cellStyle name="Accent1 17 2" xfId="441"/>
    <cellStyle name="Accent1 18" xfId="442"/>
    <cellStyle name="Accent1 2" xfId="5789"/>
    <cellStyle name="Accent1 2 2" xfId="443"/>
    <cellStyle name="Accent1 2 2 2" xfId="444"/>
    <cellStyle name="Accent1 2 3" xfId="445"/>
    <cellStyle name="Accent1 3 2" xfId="446"/>
    <cellStyle name="Accent1 4 2" xfId="447"/>
    <cellStyle name="Accent1 5 2" xfId="448"/>
    <cellStyle name="Accent1 6 2" xfId="449"/>
    <cellStyle name="Accent1 7 2" xfId="450"/>
    <cellStyle name="Accent1 8 2" xfId="451"/>
    <cellStyle name="Accent1 9 2" xfId="452"/>
    <cellStyle name="Accent2" xfId="453" builtinId="33" customBuiltin="1"/>
    <cellStyle name="Accent2 10 2" xfId="454"/>
    <cellStyle name="Accent2 11 2" xfId="455"/>
    <cellStyle name="Accent2 12 2" xfId="456"/>
    <cellStyle name="Accent2 13 2" xfId="457"/>
    <cellStyle name="Accent2 14 2" xfId="458"/>
    <cellStyle name="Accent2 15 2" xfId="459"/>
    <cellStyle name="Accent2 16 2" xfId="460"/>
    <cellStyle name="Accent2 17 2" xfId="461"/>
    <cellStyle name="Accent2 18" xfId="462"/>
    <cellStyle name="Accent2 2" xfId="5790"/>
    <cellStyle name="Accent2 2 2" xfId="463"/>
    <cellStyle name="Accent2 2 2 2" xfId="464"/>
    <cellStyle name="Accent2 2 3" xfId="465"/>
    <cellStyle name="Accent2 3 2" xfId="466"/>
    <cellStyle name="Accent2 4 2" xfId="467"/>
    <cellStyle name="Accent2 5 2" xfId="468"/>
    <cellStyle name="Accent2 6 2" xfId="469"/>
    <cellStyle name="Accent2 7 2" xfId="470"/>
    <cellStyle name="Accent2 8 2" xfId="471"/>
    <cellStyle name="Accent2 9 2" xfId="472"/>
    <cellStyle name="Accent3" xfId="473" builtinId="37" customBuiltin="1"/>
    <cellStyle name="Accent3 10 2" xfId="474"/>
    <cellStyle name="Accent3 11 2" xfId="475"/>
    <cellStyle name="Accent3 12 2" xfId="476"/>
    <cellStyle name="Accent3 13 2" xfId="477"/>
    <cellStyle name="Accent3 14 2" xfId="478"/>
    <cellStyle name="Accent3 15 2" xfId="479"/>
    <cellStyle name="Accent3 16 2" xfId="480"/>
    <cellStyle name="Accent3 17 2" xfId="481"/>
    <cellStyle name="Accent3 18" xfId="482"/>
    <cellStyle name="Accent3 2" xfId="5791"/>
    <cellStyle name="Accent3 2 2" xfId="483"/>
    <cellStyle name="Accent3 2 2 2" xfId="484"/>
    <cellStyle name="Accent3 2 3" xfId="485"/>
    <cellStyle name="Accent3 3 2" xfId="486"/>
    <cellStyle name="Accent3 4 2" xfId="487"/>
    <cellStyle name="Accent3 5 2" xfId="488"/>
    <cellStyle name="Accent3 6 2" xfId="489"/>
    <cellStyle name="Accent3 7 2" xfId="490"/>
    <cellStyle name="Accent3 8 2" xfId="491"/>
    <cellStyle name="Accent3 9 2" xfId="492"/>
    <cellStyle name="Accent4" xfId="493" builtinId="41" customBuiltin="1"/>
    <cellStyle name="Accent4 10 2" xfId="494"/>
    <cellStyle name="Accent4 11 2" xfId="495"/>
    <cellStyle name="Accent4 12 2" xfId="496"/>
    <cellStyle name="Accent4 13 2" xfId="497"/>
    <cellStyle name="Accent4 14 2" xfId="498"/>
    <cellStyle name="Accent4 15 2" xfId="499"/>
    <cellStyle name="Accent4 16 2" xfId="500"/>
    <cellStyle name="Accent4 17 2" xfId="501"/>
    <cellStyle name="Accent4 18" xfId="502"/>
    <cellStyle name="Accent4 2" xfId="5792"/>
    <cellStyle name="Accent4 2 2" xfId="503"/>
    <cellStyle name="Accent4 2 2 2" xfId="504"/>
    <cellStyle name="Accent4 2 3" xfId="505"/>
    <cellStyle name="Accent4 3 2" xfId="506"/>
    <cellStyle name="Accent4 4 2" xfId="507"/>
    <cellStyle name="Accent4 5 2" xfId="508"/>
    <cellStyle name="Accent4 6 2" xfId="509"/>
    <cellStyle name="Accent4 7 2" xfId="510"/>
    <cellStyle name="Accent4 8 2" xfId="511"/>
    <cellStyle name="Accent4 9 2" xfId="512"/>
    <cellStyle name="Accent5" xfId="513" builtinId="45" customBuiltin="1"/>
    <cellStyle name="Accent5 10 2" xfId="514"/>
    <cellStyle name="Accent5 11 2" xfId="515"/>
    <cellStyle name="Accent5 12 2" xfId="516"/>
    <cellStyle name="Accent5 13 2" xfId="517"/>
    <cellStyle name="Accent5 14 2" xfId="518"/>
    <cellStyle name="Accent5 15 2" xfId="519"/>
    <cellStyle name="Accent5 16 2" xfId="520"/>
    <cellStyle name="Accent5 17 2" xfId="521"/>
    <cellStyle name="Accent5 18" xfId="522"/>
    <cellStyle name="Accent5 2" xfId="5793"/>
    <cellStyle name="Accent5 2 2" xfId="523"/>
    <cellStyle name="Accent5 2 2 2" xfId="524"/>
    <cellStyle name="Accent5 2 3" xfId="525"/>
    <cellStyle name="Accent5 3 2" xfId="526"/>
    <cellStyle name="Accent5 4 2" xfId="527"/>
    <cellStyle name="Accent5 5 2" xfId="528"/>
    <cellStyle name="Accent5 6 2" xfId="529"/>
    <cellStyle name="Accent5 7 2" xfId="530"/>
    <cellStyle name="Accent5 8 2" xfId="531"/>
    <cellStyle name="Accent5 9 2" xfId="532"/>
    <cellStyle name="Accent6" xfId="533" builtinId="49" customBuiltin="1"/>
    <cellStyle name="Accent6 10 2" xfId="534"/>
    <cellStyle name="Accent6 11 2" xfId="535"/>
    <cellStyle name="Accent6 12 2" xfId="536"/>
    <cellStyle name="Accent6 13 2" xfId="537"/>
    <cellStyle name="Accent6 14 2" xfId="538"/>
    <cellStyle name="Accent6 15 2" xfId="539"/>
    <cellStyle name="Accent6 16 2" xfId="540"/>
    <cellStyle name="Accent6 17 2" xfId="541"/>
    <cellStyle name="Accent6 18" xfId="542"/>
    <cellStyle name="Accent6 2" xfId="5794"/>
    <cellStyle name="Accent6 2 2" xfId="543"/>
    <cellStyle name="Accent6 2 2 2" xfId="544"/>
    <cellStyle name="Accent6 2 3" xfId="545"/>
    <cellStyle name="Accent6 3 2" xfId="546"/>
    <cellStyle name="Accent6 4 2" xfId="547"/>
    <cellStyle name="Accent6 5 2" xfId="548"/>
    <cellStyle name="Accent6 6 2" xfId="549"/>
    <cellStyle name="Accent6 7 2" xfId="550"/>
    <cellStyle name="Accent6 8 2" xfId="551"/>
    <cellStyle name="Accent6 9 2" xfId="552"/>
    <cellStyle name="Bad" xfId="553" builtinId="27" customBuiltin="1"/>
    <cellStyle name="Bad 10 2" xfId="554"/>
    <cellStyle name="Bad 11 2" xfId="555"/>
    <cellStyle name="Bad 12 2" xfId="556"/>
    <cellStyle name="Bad 13 2" xfId="557"/>
    <cellStyle name="Bad 14 2" xfId="558"/>
    <cellStyle name="Bad 15 2" xfId="559"/>
    <cellStyle name="Bad 16 2" xfId="560"/>
    <cellStyle name="Bad 17 2" xfId="561"/>
    <cellStyle name="Bad 18" xfId="562"/>
    <cellStyle name="Bad 2" xfId="5795"/>
    <cellStyle name="Bad 2 2" xfId="563"/>
    <cellStyle name="Bad 2 2 2" xfId="564"/>
    <cellStyle name="Bad 2 3" xfId="565"/>
    <cellStyle name="Bad 3 2" xfId="566"/>
    <cellStyle name="Bad 4 2" xfId="567"/>
    <cellStyle name="Bad 5 2" xfId="568"/>
    <cellStyle name="Bad 6 2" xfId="569"/>
    <cellStyle name="Bad 7 2" xfId="570"/>
    <cellStyle name="Bad 8 2" xfId="571"/>
    <cellStyle name="Bad 9 2" xfId="572"/>
    <cellStyle name="Calculation" xfId="573" builtinId="22" customBuiltin="1"/>
    <cellStyle name="Calculation 10 2" xfId="574"/>
    <cellStyle name="Calculation 11 2" xfId="575"/>
    <cellStyle name="Calculation 12 2" xfId="576"/>
    <cellStyle name="Calculation 13 2" xfId="577"/>
    <cellStyle name="Calculation 14 2" xfId="578"/>
    <cellStyle name="Calculation 15 2" xfId="579"/>
    <cellStyle name="Calculation 16 2" xfId="580"/>
    <cellStyle name="Calculation 17 2" xfId="581"/>
    <cellStyle name="Calculation 18" xfId="582"/>
    <cellStyle name="Calculation 2" xfId="5796"/>
    <cellStyle name="Calculation 2 2" xfId="583"/>
    <cellStyle name="Calculation 2 2 2" xfId="584"/>
    <cellStyle name="Calculation 2 3" xfId="585"/>
    <cellStyle name="Calculation 3 2" xfId="586"/>
    <cellStyle name="Calculation 4 2" xfId="587"/>
    <cellStyle name="Calculation 5 2" xfId="588"/>
    <cellStyle name="Calculation 6 2" xfId="589"/>
    <cellStyle name="Calculation 7 2" xfId="590"/>
    <cellStyle name="Calculation 8 2" xfId="591"/>
    <cellStyle name="Calculation 9 2" xfId="592"/>
    <cellStyle name="Check Cell" xfId="593" builtinId="23" customBuiltin="1"/>
    <cellStyle name="Check Cell 10 2" xfId="594"/>
    <cellStyle name="Check Cell 11 2" xfId="595"/>
    <cellStyle name="Check Cell 12 2" xfId="596"/>
    <cellStyle name="Check Cell 13 2" xfId="597"/>
    <cellStyle name="Check Cell 14 2" xfId="598"/>
    <cellStyle name="Check Cell 15 2" xfId="599"/>
    <cellStyle name="Check Cell 16 2" xfId="600"/>
    <cellStyle name="Check Cell 17 2" xfId="601"/>
    <cellStyle name="Check Cell 18" xfId="602"/>
    <cellStyle name="Check Cell 2" xfId="5797"/>
    <cellStyle name="Check Cell 2 2" xfId="603"/>
    <cellStyle name="Check Cell 2 2 2" xfId="604"/>
    <cellStyle name="Check Cell 2 3" xfId="605"/>
    <cellStyle name="Check Cell 3 2" xfId="606"/>
    <cellStyle name="Check Cell 4 2" xfId="607"/>
    <cellStyle name="Check Cell 5 2" xfId="608"/>
    <cellStyle name="Check Cell 6 2" xfId="609"/>
    <cellStyle name="Check Cell 7 2" xfId="610"/>
    <cellStyle name="Check Cell 8 2" xfId="611"/>
    <cellStyle name="Check Cell 9 2" xfId="612"/>
    <cellStyle name="Comma" xfId="613" builtinId="3"/>
    <cellStyle name="Comma 10" xfId="614"/>
    <cellStyle name="Comma 10 2" xfId="615"/>
    <cellStyle name="Comma 10 2 2" xfId="616"/>
    <cellStyle name="Comma 10 2 2 2" xfId="617"/>
    <cellStyle name="Comma 10 2 2 2 2" xfId="4547"/>
    <cellStyle name="Comma 10 2 2 2 2 2" xfId="6266"/>
    <cellStyle name="Comma 10 2 2 2 3" xfId="5800"/>
    <cellStyle name="Comma 10 2 2 3" xfId="618"/>
    <cellStyle name="Comma 10 2 2 3 2" xfId="4548"/>
    <cellStyle name="Comma 10 2 2 3 2 2" xfId="6267"/>
    <cellStyle name="Comma 10 2 2 3 3" xfId="5801"/>
    <cellStyle name="Comma 10 2 2 4" xfId="4546"/>
    <cellStyle name="Comma 10 2 2 4 2" xfId="6265"/>
    <cellStyle name="Comma 10 2 2 5" xfId="5799"/>
    <cellStyle name="Comma 10 2 3" xfId="619"/>
    <cellStyle name="Comma 10 2 3 2" xfId="620"/>
    <cellStyle name="Comma 10 2 3 2 2" xfId="4550"/>
    <cellStyle name="Comma 10 2 3 2 2 2" xfId="6269"/>
    <cellStyle name="Comma 10 2 3 2 3" xfId="5803"/>
    <cellStyle name="Comma 10 2 3 3" xfId="621"/>
    <cellStyle name="Comma 10 2 3 3 2" xfId="4551"/>
    <cellStyle name="Comma 10 2 3 3 2 2" xfId="6270"/>
    <cellStyle name="Comma 10 2 3 3 3" xfId="5804"/>
    <cellStyle name="Comma 10 2 3 4" xfId="4549"/>
    <cellStyle name="Comma 10 2 3 4 2" xfId="6268"/>
    <cellStyle name="Comma 10 2 3 5" xfId="5802"/>
    <cellStyle name="Comma 10 2 4" xfId="622"/>
    <cellStyle name="Comma 10 2 4 2" xfId="623"/>
    <cellStyle name="Comma 10 2 4 2 2" xfId="4553"/>
    <cellStyle name="Comma 10 2 4 2 2 2" xfId="6272"/>
    <cellStyle name="Comma 10 2 4 2 3" xfId="5806"/>
    <cellStyle name="Comma 10 2 4 3" xfId="624"/>
    <cellStyle name="Comma 10 2 4 3 2" xfId="4554"/>
    <cellStyle name="Comma 10 2 4 3 2 2" xfId="6273"/>
    <cellStyle name="Comma 10 2 4 3 3" xfId="5807"/>
    <cellStyle name="Comma 10 2 4 4" xfId="4552"/>
    <cellStyle name="Comma 10 2 4 4 2" xfId="6271"/>
    <cellStyle name="Comma 10 2 4 5" xfId="5805"/>
    <cellStyle name="Comma 10 2 5" xfId="625"/>
    <cellStyle name="Comma 10 2 5 2" xfId="626"/>
    <cellStyle name="Comma 10 2 5 2 2" xfId="4556"/>
    <cellStyle name="Comma 10 2 5 2 2 2" xfId="6275"/>
    <cellStyle name="Comma 10 2 5 2 3" xfId="5809"/>
    <cellStyle name="Comma 10 2 5 3" xfId="627"/>
    <cellStyle name="Comma 10 2 5 3 2" xfId="4557"/>
    <cellStyle name="Comma 10 2 5 3 2 2" xfId="6276"/>
    <cellStyle name="Comma 10 2 5 3 3" xfId="5810"/>
    <cellStyle name="Comma 10 2 5 4" xfId="4555"/>
    <cellStyle name="Comma 10 2 5 4 2" xfId="6274"/>
    <cellStyle name="Comma 10 2 5 5" xfId="5808"/>
    <cellStyle name="Comma 10 2 6" xfId="628"/>
    <cellStyle name="Comma 10 2 6 2" xfId="4558"/>
    <cellStyle name="Comma 10 2 6 2 2" xfId="6277"/>
    <cellStyle name="Comma 10 2 6 3" xfId="5811"/>
    <cellStyle name="Comma 10 2 7" xfId="629"/>
    <cellStyle name="Comma 10 3" xfId="630"/>
    <cellStyle name="Comma 10 4" xfId="631"/>
    <cellStyle name="Comma 10 5" xfId="632"/>
    <cellStyle name="Comma 10 6" xfId="633"/>
    <cellStyle name="Comma 10 6 2" xfId="634"/>
    <cellStyle name="Comma 10 6 2 2" xfId="635"/>
    <cellStyle name="Comma 10 6 2 2 2" xfId="4560"/>
    <cellStyle name="Comma 10 6 2 3" xfId="4559"/>
    <cellStyle name="Comma 10 6 3" xfId="636"/>
    <cellStyle name="Comma 10 6 4" xfId="637"/>
    <cellStyle name="Comma 11" xfId="638"/>
    <cellStyle name="Comma 11 2" xfId="639"/>
    <cellStyle name="Comma 11 2 2" xfId="4561"/>
    <cellStyle name="Comma 11 2 2 2" xfId="6278"/>
    <cellStyle name="Comma 11 2 3" xfId="5812"/>
    <cellStyle name="Comma 12" xfId="640"/>
    <cellStyle name="Comma 12 2" xfId="641"/>
    <cellStyle name="Comma 12 2 2" xfId="642"/>
    <cellStyle name="Comma 12 2 2 2" xfId="4563"/>
    <cellStyle name="Comma 12 2 2 2 2" xfId="6280"/>
    <cellStyle name="Comma 12 2 2 3" xfId="5814"/>
    <cellStyle name="Comma 12 2 3" xfId="4562"/>
    <cellStyle name="Comma 12 2 3 2" xfId="6279"/>
    <cellStyle name="Comma 12 2 4" xfId="5813"/>
    <cellStyle name="Comma 12 3" xfId="643"/>
    <cellStyle name="Comma 12 3 2" xfId="4564"/>
    <cellStyle name="Comma 12 3 2 2" xfId="6281"/>
    <cellStyle name="Comma 12 3 3" xfId="5815"/>
    <cellStyle name="Comma 13" xfId="644"/>
    <cellStyle name="Comma 13 10" xfId="645"/>
    <cellStyle name="Comma 13 10 2" xfId="646"/>
    <cellStyle name="Comma 13 10 2 2" xfId="4567"/>
    <cellStyle name="Comma 13 10 2 2 2" xfId="6284"/>
    <cellStyle name="Comma 13 10 2 3" xfId="5818"/>
    <cellStyle name="Comma 13 10 3" xfId="4566"/>
    <cellStyle name="Comma 13 10 3 2" xfId="6283"/>
    <cellStyle name="Comma 13 10 4" xfId="5817"/>
    <cellStyle name="Comma 13 11" xfId="647"/>
    <cellStyle name="Comma 13 11 2" xfId="648"/>
    <cellStyle name="Comma 13 11 2 2" xfId="4569"/>
    <cellStyle name="Comma 13 11 2 2 2" xfId="6286"/>
    <cellStyle name="Comma 13 11 2 3" xfId="5820"/>
    <cellStyle name="Comma 13 11 3" xfId="4568"/>
    <cellStyle name="Comma 13 11 3 2" xfId="6285"/>
    <cellStyle name="Comma 13 11 4" xfId="5819"/>
    <cellStyle name="Comma 13 12" xfId="649"/>
    <cellStyle name="Comma 13 12 2" xfId="650"/>
    <cellStyle name="Comma 13 12 2 2" xfId="4571"/>
    <cellStyle name="Comma 13 12 2 2 2" xfId="6288"/>
    <cellStyle name="Comma 13 12 2 3" xfId="5822"/>
    <cellStyle name="Comma 13 12 3" xfId="4570"/>
    <cellStyle name="Comma 13 12 3 2" xfId="6287"/>
    <cellStyle name="Comma 13 12 4" xfId="5821"/>
    <cellStyle name="Comma 13 13" xfId="651"/>
    <cellStyle name="Comma 13 13 2" xfId="652"/>
    <cellStyle name="Comma 13 13 2 2" xfId="4573"/>
    <cellStyle name="Comma 13 13 2 2 2" xfId="6290"/>
    <cellStyle name="Comma 13 13 2 3" xfId="5824"/>
    <cellStyle name="Comma 13 13 3" xfId="4572"/>
    <cellStyle name="Comma 13 13 3 2" xfId="6289"/>
    <cellStyle name="Comma 13 13 4" xfId="5823"/>
    <cellStyle name="Comma 13 14" xfId="653"/>
    <cellStyle name="Comma 13 14 2" xfId="654"/>
    <cellStyle name="Comma 13 14 2 2" xfId="4575"/>
    <cellStyle name="Comma 13 14 2 2 2" xfId="6292"/>
    <cellStyle name="Comma 13 14 2 3" xfId="5826"/>
    <cellStyle name="Comma 13 14 3" xfId="4574"/>
    <cellStyle name="Comma 13 14 3 2" xfId="6291"/>
    <cellStyle name="Comma 13 14 4" xfId="5825"/>
    <cellStyle name="Comma 13 15" xfId="655"/>
    <cellStyle name="Comma 13 15 2" xfId="656"/>
    <cellStyle name="Comma 13 15 2 2" xfId="4577"/>
    <cellStyle name="Comma 13 15 2 2 2" xfId="6294"/>
    <cellStyle name="Comma 13 15 2 3" xfId="5828"/>
    <cellStyle name="Comma 13 15 3" xfId="4576"/>
    <cellStyle name="Comma 13 15 3 2" xfId="6293"/>
    <cellStyle name="Comma 13 15 4" xfId="5827"/>
    <cellStyle name="Comma 13 16" xfId="657"/>
    <cellStyle name="Comma 13 16 2" xfId="658"/>
    <cellStyle name="Comma 13 16 2 2" xfId="4579"/>
    <cellStyle name="Comma 13 16 2 2 2" xfId="6296"/>
    <cellStyle name="Comma 13 16 2 3" xfId="5830"/>
    <cellStyle name="Comma 13 16 3" xfId="4578"/>
    <cellStyle name="Comma 13 16 3 2" xfId="6295"/>
    <cellStyle name="Comma 13 16 4" xfId="5829"/>
    <cellStyle name="Comma 13 17" xfId="659"/>
    <cellStyle name="Comma 13 17 2" xfId="660"/>
    <cellStyle name="Comma 13 17 2 2" xfId="4581"/>
    <cellStyle name="Comma 13 17 2 2 2" xfId="6298"/>
    <cellStyle name="Comma 13 17 2 3" xfId="5832"/>
    <cellStyle name="Comma 13 17 3" xfId="4580"/>
    <cellStyle name="Comma 13 17 3 2" xfId="6297"/>
    <cellStyle name="Comma 13 17 4" xfId="5831"/>
    <cellStyle name="Comma 13 18" xfId="661"/>
    <cellStyle name="Comma 13 18 2" xfId="662"/>
    <cellStyle name="Comma 13 18 2 2" xfId="4583"/>
    <cellStyle name="Comma 13 18 2 2 2" xfId="6300"/>
    <cellStyle name="Comma 13 18 2 3" xfId="5834"/>
    <cellStyle name="Comma 13 18 3" xfId="4582"/>
    <cellStyle name="Comma 13 18 3 2" xfId="6299"/>
    <cellStyle name="Comma 13 18 4" xfId="5833"/>
    <cellStyle name="Comma 13 19" xfId="663"/>
    <cellStyle name="Comma 13 19 2" xfId="664"/>
    <cellStyle name="Comma 13 19 2 2" xfId="4585"/>
    <cellStyle name="Comma 13 19 2 2 2" xfId="6302"/>
    <cellStyle name="Comma 13 19 2 3" xfId="5836"/>
    <cellStyle name="Comma 13 19 3" xfId="4584"/>
    <cellStyle name="Comma 13 19 3 2" xfId="6301"/>
    <cellStyle name="Comma 13 19 4" xfId="5835"/>
    <cellStyle name="Comma 13 2" xfId="665"/>
    <cellStyle name="Comma 13 2 2" xfId="666"/>
    <cellStyle name="Comma 13 2 3" xfId="667"/>
    <cellStyle name="Comma 13 2 4" xfId="668"/>
    <cellStyle name="Comma 13 2 4 2" xfId="4587"/>
    <cellStyle name="Comma 13 2 4 2 2" xfId="6304"/>
    <cellStyle name="Comma 13 2 4 3" xfId="5838"/>
    <cellStyle name="Comma 13 2 5" xfId="4586"/>
    <cellStyle name="Comma 13 2 5 2" xfId="6303"/>
    <cellStyle name="Comma 13 2 6" xfId="5837"/>
    <cellStyle name="Comma 13 20" xfId="669"/>
    <cellStyle name="Comma 13 20 2" xfId="670"/>
    <cellStyle name="Comma 13 20 2 2" xfId="4589"/>
    <cellStyle name="Comma 13 20 2 2 2" xfId="6306"/>
    <cellStyle name="Comma 13 20 2 3" xfId="5840"/>
    <cellStyle name="Comma 13 20 3" xfId="4588"/>
    <cellStyle name="Comma 13 20 3 2" xfId="6305"/>
    <cellStyle name="Comma 13 20 4" xfId="5839"/>
    <cellStyle name="Comma 13 21" xfId="671"/>
    <cellStyle name="Comma 13 21 2" xfId="672"/>
    <cellStyle name="Comma 13 21 2 2" xfId="4591"/>
    <cellStyle name="Comma 13 21 2 2 2" xfId="6308"/>
    <cellStyle name="Comma 13 21 2 3" xfId="5842"/>
    <cellStyle name="Comma 13 21 3" xfId="4590"/>
    <cellStyle name="Comma 13 21 3 2" xfId="6307"/>
    <cellStyle name="Comma 13 21 4" xfId="5841"/>
    <cellStyle name="Comma 13 22" xfId="673"/>
    <cellStyle name="Comma 13 22 2" xfId="674"/>
    <cellStyle name="Comma 13 22 2 2" xfId="4593"/>
    <cellStyle name="Comma 13 22 2 2 2" xfId="6310"/>
    <cellStyle name="Comma 13 22 2 3" xfId="5844"/>
    <cellStyle name="Comma 13 22 3" xfId="4592"/>
    <cellStyle name="Comma 13 22 3 2" xfId="6309"/>
    <cellStyle name="Comma 13 22 4" xfId="5843"/>
    <cellStyle name="Comma 13 23" xfId="675"/>
    <cellStyle name="Comma 13 23 2" xfId="676"/>
    <cellStyle name="Comma 13 23 2 2" xfId="4595"/>
    <cellStyle name="Comma 13 23 2 2 2" xfId="6312"/>
    <cellStyle name="Comma 13 23 2 3" xfId="5846"/>
    <cellStyle name="Comma 13 23 3" xfId="4594"/>
    <cellStyle name="Comma 13 23 3 2" xfId="6311"/>
    <cellStyle name="Comma 13 23 4" xfId="5845"/>
    <cellStyle name="Comma 13 24" xfId="677"/>
    <cellStyle name="Comma 13 24 2" xfId="678"/>
    <cellStyle name="Comma 13 24 2 2" xfId="4597"/>
    <cellStyle name="Comma 13 24 2 2 2" xfId="6314"/>
    <cellStyle name="Comma 13 24 2 3" xfId="5848"/>
    <cellStyle name="Comma 13 24 3" xfId="4596"/>
    <cellStyle name="Comma 13 24 3 2" xfId="6313"/>
    <cellStyle name="Comma 13 24 4" xfId="5847"/>
    <cellStyle name="Comma 13 25" xfId="679"/>
    <cellStyle name="Comma 13 25 2" xfId="680"/>
    <cellStyle name="Comma 13 25 2 2" xfId="4599"/>
    <cellStyle name="Comma 13 25 2 2 2" xfId="6316"/>
    <cellStyle name="Comma 13 25 2 3" xfId="5850"/>
    <cellStyle name="Comma 13 25 3" xfId="4598"/>
    <cellStyle name="Comma 13 25 3 2" xfId="6315"/>
    <cellStyle name="Comma 13 25 4" xfId="5849"/>
    <cellStyle name="Comma 13 26" xfId="681"/>
    <cellStyle name="Comma 13 26 2" xfId="4600"/>
    <cellStyle name="Comma 13 26 2 2" xfId="6317"/>
    <cellStyle name="Comma 13 26 3" xfId="5851"/>
    <cellStyle name="Comma 13 27" xfId="4565"/>
    <cellStyle name="Comma 13 27 2" xfId="6282"/>
    <cellStyle name="Comma 13 28" xfId="5765"/>
    <cellStyle name="Comma 13 28 2" xfId="6721"/>
    <cellStyle name="Comma 13 29" xfId="5816"/>
    <cellStyle name="Comma 13 3" xfId="682"/>
    <cellStyle name="Comma 13 3 2" xfId="683"/>
    <cellStyle name="Comma 13 3 2 2" xfId="4602"/>
    <cellStyle name="Comma 13 3 2 2 2" xfId="6319"/>
    <cellStyle name="Comma 13 3 2 3" xfId="5853"/>
    <cellStyle name="Comma 13 3 3" xfId="4601"/>
    <cellStyle name="Comma 13 3 3 2" xfId="6318"/>
    <cellStyle name="Comma 13 3 4" xfId="5852"/>
    <cellStyle name="Comma 13 4" xfId="684"/>
    <cellStyle name="Comma 13 4 2" xfId="685"/>
    <cellStyle name="Comma 13 4 2 2" xfId="4604"/>
    <cellStyle name="Comma 13 4 2 2 2" xfId="6321"/>
    <cellStyle name="Comma 13 4 2 3" xfId="5855"/>
    <cellStyle name="Comma 13 4 3" xfId="4603"/>
    <cellStyle name="Comma 13 4 3 2" xfId="6320"/>
    <cellStyle name="Comma 13 4 4" xfId="5854"/>
    <cellStyle name="Comma 13 5" xfId="686"/>
    <cellStyle name="Comma 13 5 2" xfId="687"/>
    <cellStyle name="Comma 13 5 2 2" xfId="4606"/>
    <cellStyle name="Comma 13 5 2 2 2" xfId="6323"/>
    <cellStyle name="Comma 13 5 2 3" xfId="5857"/>
    <cellStyle name="Comma 13 5 3" xfId="4605"/>
    <cellStyle name="Comma 13 5 3 2" xfId="6322"/>
    <cellStyle name="Comma 13 5 4" xfId="5856"/>
    <cellStyle name="Comma 13 6" xfId="688"/>
    <cellStyle name="Comma 13 6 2" xfId="689"/>
    <cellStyle name="Comma 13 6 2 2" xfId="4608"/>
    <cellStyle name="Comma 13 6 2 2 2" xfId="6325"/>
    <cellStyle name="Comma 13 6 2 3" xfId="5859"/>
    <cellStyle name="Comma 13 6 3" xfId="4607"/>
    <cellStyle name="Comma 13 6 3 2" xfId="6324"/>
    <cellStyle name="Comma 13 6 4" xfId="5858"/>
    <cellStyle name="Comma 13 7" xfId="690"/>
    <cellStyle name="Comma 13 7 2" xfId="691"/>
    <cellStyle name="Comma 13 7 2 2" xfId="4610"/>
    <cellStyle name="Comma 13 7 2 2 2" xfId="6327"/>
    <cellStyle name="Comma 13 7 2 3" xfId="5861"/>
    <cellStyle name="Comma 13 7 3" xfId="4609"/>
    <cellStyle name="Comma 13 7 3 2" xfId="6326"/>
    <cellStyle name="Comma 13 7 4" xfId="5860"/>
    <cellStyle name="Comma 13 8" xfId="692"/>
    <cellStyle name="Comma 13 8 2" xfId="693"/>
    <cellStyle name="Comma 13 8 2 2" xfId="4612"/>
    <cellStyle name="Comma 13 8 2 2 2" xfId="6329"/>
    <cellStyle name="Comma 13 8 2 3" xfId="5863"/>
    <cellStyle name="Comma 13 8 3" xfId="4611"/>
    <cellStyle name="Comma 13 8 3 2" xfId="6328"/>
    <cellStyle name="Comma 13 8 4" xfId="5862"/>
    <cellStyle name="Comma 13 9" xfId="694"/>
    <cellStyle name="Comma 13 9 2" xfId="695"/>
    <cellStyle name="Comma 13 9 2 2" xfId="4614"/>
    <cellStyle name="Comma 13 9 2 2 2" xfId="6331"/>
    <cellStyle name="Comma 13 9 2 3" xfId="5865"/>
    <cellStyle name="Comma 13 9 3" xfId="4613"/>
    <cellStyle name="Comma 13 9 3 2" xfId="6330"/>
    <cellStyle name="Comma 13 9 4" xfId="5864"/>
    <cellStyle name="Comma 14" xfId="696"/>
    <cellStyle name="Comma 14 2" xfId="697"/>
    <cellStyle name="Comma 14 2 2" xfId="4616"/>
    <cellStyle name="Comma 14 2 2 2" xfId="6333"/>
    <cellStyle name="Comma 14 2 3" xfId="5867"/>
    <cellStyle name="Comma 14 3" xfId="698"/>
    <cellStyle name="Comma 14 3 2" xfId="4617"/>
    <cellStyle name="Comma 14 3 2 2" xfId="6334"/>
    <cellStyle name="Comma 14 3 3" xfId="5868"/>
    <cellStyle name="Comma 14 4" xfId="4615"/>
    <cellStyle name="Comma 14 4 2" xfId="6332"/>
    <cellStyle name="Comma 14 5" xfId="5866"/>
    <cellStyle name="Comma 15" xfId="4545"/>
    <cellStyle name="Comma 15 10" xfId="699"/>
    <cellStyle name="Comma 15 10 2" xfId="700"/>
    <cellStyle name="Comma 15 10 2 2" xfId="4619"/>
    <cellStyle name="Comma 15 10 2 2 2" xfId="6336"/>
    <cellStyle name="Comma 15 10 2 3" xfId="5870"/>
    <cellStyle name="Comma 15 10 3" xfId="4618"/>
    <cellStyle name="Comma 15 10 3 2" xfId="6335"/>
    <cellStyle name="Comma 15 10 4" xfId="5869"/>
    <cellStyle name="Comma 15 11" xfId="701"/>
    <cellStyle name="Comma 15 11 2" xfId="702"/>
    <cellStyle name="Comma 15 11 2 2" xfId="4621"/>
    <cellStyle name="Comma 15 11 2 2 2" xfId="6338"/>
    <cellStyle name="Comma 15 11 2 3" xfId="5872"/>
    <cellStyle name="Comma 15 11 3" xfId="4620"/>
    <cellStyle name="Comma 15 11 3 2" xfId="6337"/>
    <cellStyle name="Comma 15 11 4" xfId="5871"/>
    <cellStyle name="Comma 15 12" xfId="703"/>
    <cellStyle name="Comma 15 12 2" xfId="704"/>
    <cellStyle name="Comma 15 12 2 2" xfId="4623"/>
    <cellStyle name="Comma 15 12 2 2 2" xfId="6340"/>
    <cellStyle name="Comma 15 12 2 3" xfId="5874"/>
    <cellStyle name="Comma 15 12 3" xfId="4622"/>
    <cellStyle name="Comma 15 12 3 2" xfId="6339"/>
    <cellStyle name="Comma 15 12 4" xfId="5873"/>
    <cellStyle name="Comma 15 13" xfId="705"/>
    <cellStyle name="Comma 15 13 2" xfId="706"/>
    <cellStyle name="Comma 15 13 2 2" xfId="4625"/>
    <cellStyle name="Comma 15 13 2 2 2" xfId="6342"/>
    <cellStyle name="Comma 15 13 2 3" xfId="5876"/>
    <cellStyle name="Comma 15 13 3" xfId="4624"/>
    <cellStyle name="Comma 15 13 3 2" xfId="6341"/>
    <cellStyle name="Comma 15 13 4" xfId="5875"/>
    <cellStyle name="Comma 15 14" xfId="707"/>
    <cellStyle name="Comma 15 14 2" xfId="708"/>
    <cellStyle name="Comma 15 14 2 2" xfId="4627"/>
    <cellStyle name="Comma 15 14 2 2 2" xfId="6344"/>
    <cellStyle name="Comma 15 14 2 3" xfId="5878"/>
    <cellStyle name="Comma 15 14 3" xfId="4626"/>
    <cellStyle name="Comma 15 14 3 2" xfId="6343"/>
    <cellStyle name="Comma 15 14 4" xfId="5877"/>
    <cellStyle name="Comma 15 15" xfId="709"/>
    <cellStyle name="Comma 15 15 2" xfId="710"/>
    <cellStyle name="Comma 15 15 2 2" xfId="4629"/>
    <cellStyle name="Comma 15 15 2 2 2" xfId="6346"/>
    <cellStyle name="Comma 15 15 2 3" xfId="5880"/>
    <cellStyle name="Comma 15 15 3" xfId="4628"/>
    <cellStyle name="Comma 15 15 3 2" xfId="6345"/>
    <cellStyle name="Comma 15 15 4" xfId="5879"/>
    <cellStyle name="Comma 15 16" xfId="711"/>
    <cellStyle name="Comma 15 16 2" xfId="712"/>
    <cellStyle name="Comma 15 16 2 2" xfId="4631"/>
    <cellStyle name="Comma 15 16 2 2 2" xfId="6348"/>
    <cellStyle name="Comma 15 16 2 3" xfId="5882"/>
    <cellStyle name="Comma 15 16 3" xfId="4630"/>
    <cellStyle name="Comma 15 16 3 2" xfId="6347"/>
    <cellStyle name="Comma 15 16 4" xfId="5881"/>
    <cellStyle name="Comma 15 17" xfId="713"/>
    <cellStyle name="Comma 15 17 2" xfId="714"/>
    <cellStyle name="Comma 15 17 2 2" xfId="4633"/>
    <cellStyle name="Comma 15 17 2 2 2" xfId="6350"/>
    <cellStyle name="Comma 15 17 2 3" xfId="5884"/>
    <cellStyle name="Comma 15 17 3" xfId="4632"/>
    <cellStyle name="Comma 15 17 3 2" xfId="6349"/>
    <cellStyle name="Comma 15 17 4" xfId="5883"/>
    <cellStyle name="Comma 15 18" xfId="715"/>
    <cellStyle name="Comma 15 18 2" xfId="4634"/>
    <cellStyle name="Comma 15 18 2 2" xfId="6351"/>
    <cellStyle name="Comma 15 18 3" xfId="5885"/>
    <cellStyle name="Comma 15 19" xfId="716"/>
    <cellStyle name="Comma 15 19 2" xfId="4635"/>
    <cellStyle name="Comma 15 19 2 2" xfId="6352"/>
    <cellStyle name="Comma 15 19 3" xfId="5886"/>
    <cellStyle name="Comma 15 2" xfId="717"/>
    <cellStyle name="Comma 15 2 10" xfId="718"/>
    <cellStyle name="Comma 15 2 10 2" xfId="719"/>
    <cellStyle name="Comma 15 2 10 2 2" xfId="4638"/>
    <cellStyle name="Comma 15 2 10 2 2 2" xfId="6355"/>
    <cellStyle name="Comma 15 2 10 2 3" xfId="5889"/>
    <cellStyle name="Comma 15 2 10 3" xfId="4637"/>
    <cellStyle name="Comma 15 2 10 3 2" xfId="6354"/>
    <cellStyle name="Comma 15 2 10 4" xfId="5888"/>
    <cellStyle name="Comma 15 2 11" xfId="720"/>
    <cellStyle name="Comma 15 2 11 2" xfId="4639"/>
    <cellStyle name="Comma 15 2 11 2 2" xfId="6356"/>
    <cellStyle name="Comma 15 2 11 3" xfId="5890"/>
    <cellStyle name="Comma 15 2 12" xfId="721"/>
    <cellStyle name="Comma 15 2 12 2" xfId="4640"/>
    <cellStyle name="Comma 15 2 12 2 2" xfId="6357"/>
    <cellStyle name="Comma 15 2 12 3" xfId="5891"/>
    <cellStyle name="Comma 15 2 13" xfId="4636"/>
    <cellStyle name="Comma 15 2 13 2" xfId="6353"/>
    <cellStyle name="Comma 15 2 14" xfId="5887"/>
    <cellStyle name="Comma 15 2 2" xfId="722"/>
    <cellStyle name="Comma 15 2 2 2" xfId="723"/>
    <cellStyle name="Comma 15 2 2 2 2" xfId="4642"/>
    <cellStyle name="Comma 15 2 2 2 2 2" xfId="6359"/>
    <cellStyle name="Comma 15 2 2 2 3" xfId="5893"/>
    <cellStyle name="Comma 15 2 2 3" xfId="4641"/>
    <cellStyle name="Comma 15 2 2 3 2" xfId="6358"/>
    <cellStyle name="Comma 15 2 2 4" xfId="5892"/>
    <cellStyle name="Comma 15 2 3" xfId="724"/>
    <cellStyle name="Comma 15 2 3 2" xfId="725"/>
    <cellStyle name="Comma 15 2 3 2 2" xfId="4644"/>
    <cellStyle name="Comma 15 2 3 2 2 2" xfId="6361"/>
    <cellStyle name="Comma 15 2 3 2 3" xfId="5895"/>
    <cellStyle name="Comma 15 2 3 3" xfId="4643"/>
    <cellStyle name="Comma 15 2 3 3 2" xfId="6360"/>
    <cellStyle name="Comma 15 2 3 4" xfId="5894"/>
    <cellStyle name="Comma 15 2 4" xfId="726"/>
    <cellStyle name="Comma 15 2 4 2" xfId="727"/>
    <cellStyle name="Comma 15 2 4 2 2" xfId="4646"/>
    <cellStyle name="Comma 15 2 4 2 2 2" xfId="6363"/>
    <cellStyle name="Comma 15 2 4 2 3" xfId="5897"/>
    <cellStyle name="Comma 15 2 4 3" xfId="4645"/>
    <cellStyle name="Comma 15 2 4 3 2" xfId="6362"/>
    <cellStyle name="Comma 15 2 4 4" xfId="5896"/>
    <cellStyle name="Comma 15 2 5" xfId="728"/>
    <cellStyle name="Comma 15 2 5 2" xfId="729"/>
    <cellStyle name="Comma 15 2 5 2 2" xfId="4648"/>
    <cellStyle name="Comma 15 2 5 2 2 2" xfId="6365"/>
    <cellStyle name="Comma 15 2 5 2 3" xfId="5899"/>
    <cellStyle name="Comma 15 2 5 3" xfId="4647"/>
    <cellStyle name="Comma 15 2 5 3 2" xfId="6364"/>
    <cellStyle name="Comma 15 2 5 4" xfId="5898"/>
    <cellStyle name="Comma 15 2 6" xfId="730"/>
    <cellStyle name="Comma 15 2 6 2" xfId="731"/>
    <cellStyle name="Comma 15 2 6 2 2" xfId="4650"/>
    <cellStyle name="Comma 15 2 6 2 2 2" xfId="6367"/>
    <cellStyle name="Comma 15 2 6 2 3" xfId="5901"/>
    <cellStyle name="Comma 15 2 6 3" xfId="4649"/>
    <cellStyle name="Comma 15 2 6 3 2" xfId="6366"/>
    <cellStyle name="Comma 15 2 6 4" xfId="5900"/>
    <cellStyle name="Comma 15 2 7" xfId="732"/>
    <cellStyle name="Comma 15 2 7 2" xfId="733"/>
    <cellStyle name="Comma 15 2 7 2 2" xfId="4652"/>
    <cellStyle name="Comma 15 2 7 2 2 2" xfId="6369"/>
    <cellStyle name="Comma 15 2 7 2 3" xfId="5903"/>
    <cellStyle name="Comma 15 2 7 3" xfId="4651"/>
    <cellStyle name="Comma 15 2 7 3 2" xfId="6368"/>
    <cellStyle name="Comma 15 2 7 4" xfId="5902"/>
    <cellStyle name="Comma 15 2 8" xfId="734"/>
    <cellStyle name="Comma 15 2 8 2" xfId="735"/>
    <cellStyle name="Comma 15 2 8 2 2" xfId="4654"/>
    <cellStyle name="Comma 15 2 8 2 2 2" xfId="6371"/>
    <cellStyle name="Comma 15 2 8 2 3" xfId="5905"/>
    <cellStyle name="Comma 15 2 8 3" xfId="4653"/>
    <cellStyle name="Comma 15 2 8 3 2" xfId="6370"/>
    <cellStyle name="Comma 15 2 8 4" xfId="5904"/>
    <cellStyle name="Comma 15 2 9" xfId="736"/>
    <cellStyle name="Comma 15 2 9 2" xfId="737"/>
    <cellStyle name="Comma 15 2 9 2 2" xfId="4656"/>
    <cellStyle name="Comma 15 2 9 2 2 2" xfId="6373"/>
    <cellStyle name="Comma 15 2 9 2 3" xfId="5907"/>
    <cellStyle name="Comma 15 2 9 3" xfId="4655"/>
    <cellStyle name="Comma 15 2 9 3 2" xfId="6372"/>
    <cellStyle name="Comma 15 2 9 4" xfId="5906"/>
    <cellStyle name="Comma 15 20" xfId="6264"/>
    <cellStyle name="Comma 15 3" xfId="738"/>
    <cellStyle name="Comma 15 3 10" xfId="739"/>
    <cellStyle name="Comma 15 3 10 2" xfId="740"/>
    <cellStyle name="Comma 15 3 10 2 2" xfId="4659"/>
    <cellStyle name="Comma 15 3 10 2 2 2" xfId="6376"/>
    <cellStyle name="Comma 15 3 10 2 3" xfId="5910"/>
    <cellStyle name="Comma 15 3 10 3" xfId="4658"/>
    <cellStyle name="Comma 15 3 10 3 2" xfId="6375"/>
    <cellStyle name="Comma 15 3 10 4" xfId="5909"/>
    <cellStyle name="Comma 15 3 11" xfId="741"/>
    <cellStyle name="Comma 15 3 11 2" xfId="4660"/>
    <cellStyle name="Comma 15 3 11 2 2" xfId="6377"/>
    <cellStyle name="Comma 15 3 11 3" xfId="5911"/>
    <cellStyle name="Comma 15 3 12" xfId="742"/>
    <cellStyle name="Comma 15 3 12 2" xfId="4661"/>
    <cellStyle name="Comma 15 3 12 2 2" xfId="6378"/>
    <cellStyle name="Comma 15 3 12 3" xfId="5912"/>
    <cellStyle name="Comma 15 3 13" xfId="4657"/>
    <cellStyle name="Comma 15 3 13 2" xfId="6374"/>
    <cellStyle name="Comma 15 3 14" xfId="5908"/>
    <cellStyle name="Comma 15 3 2" xfId="743"/>
    <cellStyle name="Comma 15 3 2 2" xfId="744"/>
    <cellStyle name="Comma 15 3 2 2 2" xfId="4663"/>
    <cellStyle name="Comma 15 3 2 2 2 2" xfId="6380"/>
    <cellStyle name="Comma 15 3 2 2 3" xfId="5914"/>
    <cellStyle name="Comma 15 3 2 3" xfId="4662"/>
    <cellStyle name="Comma 15 3 2 3 2" xfId="6379"/>
    <cellStyle name="Comma 15 3 2 4" xfId="5913"/>
    <cellStyle name="Comma 15 3 3" xfId="745"/>
    <cellStyle name="Comma 15 3 3 2" xfId="746"/>
    <cellStyle name="Comma 15 3 3 2 2" xfId="4665"/>
    <cellStyle name="Comma 15 3 3 2 2 2" xfId="6382"/>
    <cellStyle name="Comma 15 3 3 2 3" xfId="5916"/>
    <cellStyle name="Comma 15 3 3 3" xfId="4664"/>
    <cellStyle name="Comma 15 3 3 3 2" xfId="6381"/>
    <cellStyle name="Comma 15 3 3 4" xfId="5915"/>
    <cellStyle name="Comma 15 3 4" xfId="747"/>
    <cellStyle name="Comma 15 3 4 2" xfId="748"/>
    <cellStyle name="Comma 15 3 4 2 2" xfId="4667"/>
    <cellStyle name="Comma 15 3 4 2 2 2" xfId="6384"/>
    <cellStyle name="Comma 15 3 4 2 3" xfId="5918"/>
    <cellStyle name="Comma 15 3 4 3" xfId="4666"/>
    <cellStyle name="Comma 15 3 4 3 2" xfId="6383"/>
    <cellStyle name="Comma 15 3 4 4" xfId="5917"/>
    <cellStyle name="Comma 15 3 5" xfId="749"/>
    <cellStyle name="Comma 15 3 5 2" xfId="750"/>
    <cellStyle name="Comma 15 3 5 2 2" xfId="4669"/>
    <cellStyle name="Comma 15 3 5 2 2 2" xfId="6386"/>
    <cellStyle name="Comma 15 3 5 2 3" xfId="5920"/>
    <cellStyle name="Comma 15 3 5 3" xfId="4668"/>
    <cellStyle name="Comma 15 3 5 3 2" xfId="6385"/>
    <cellStyle name="Comma 15 3 5 4" xfId="5919"/>
    <cellStyle name="Comma 15 3 6" xfId="751"/>
    <cellStyle name="Comma 15 3 6 2" xfId="752"/>
    <cellStyle name="Comma 15 3 6 2 2" xfId="4671"/>
    <cellStyle name="Comma 15 3 6 2 2 2" xfId="6388"/>
    <cellStyle name="Comma 15 3 6 2 3" xfId="5922"/>
    <cellStyle name="Comma 15 3 6 3" xfId="4670"/>
    <cellStyle name="Comma 15 3 6 3 2" xfId="6387"/>
    <cellStyle name="Comma 15 3 6 4" xfId="5921"/>
    <cellStyle name="Comma 15 3 7" xfId="753"/>
    <cellStyle name="Comma 15 3 7 2" xfId="754"/>
    <cellStyle name="Comma 15 3 7 2 2" xfId="4673"/>
    <cellStyle name="Comma 15 3 7 2 2 2" xfId="6390"/>
    <cellStyle name="Comma 15 3 7 2 3" xfId="5924"/>
    <cellStyle name="Comma 15 3 7 3" xfId="4672"/>
    <cellStyle name="Comma 15 3 7 3 2" xfId="6389"/>
    <cellStyle name="Comma 15 3 7 4" xfId="5923"/>
    <cellStyle name="Comma 15 3 8" xfId="755"/>
    <cellStyle name="Comma 15 3 8 2" xfId="756"/>
    <cellStyle name="Comma 15 3 8 2 2" xfId="4675"/>
    <cellStyle name="Comma 15 3 8 2 2 2" xfId="6392"/>
    <cellStyle name="Comma 15 3 8 2 3" xfId="5926"/>
    <cellStyle name="Comma 15 3 8 3" xfId="4674"/>
    <cellStyle name="Comma 15 3 8 3 2" xfId="6391"/>
    <cellStyle name="Comma 15 3 8 4" xfId="5925"/>
    <cellStyle name="Comma 15 3 9" xfId="757"/>
    <cellStyle name="Comma 15 3 9 2" xfId="758"/>
    <cellStyle name="Comma 15 3 9 2 2" xfId="4677"/>
    <cellStyle name="Comma 15 3 9 2 2 2" xfId="6394"/>
    <cellStyle name="Comma 15 3 9 2 3" xfId="5928"/>
    <cellStyle name="Comma 15 3 9 3" xfId="4676"/>
    <cellStyle name="Comma 15 3 9 3 2" xfId="6393"/>
    <cellStyle name="Comma 15 3 9 4" xfId="5927"/>
    <cellStyle name="Comma 15 4" xfId="759"/>
    <cellStyle name="Comma 15 4 10" xfId="4678"/>
    <cellStyle name="Comma 15 4 10 2" xfId="6395"/>
    <cellStyle name="Comma 15 4 11" xfId="5929"/>
    <cellStyle name="Comma 15 4 2" xfId="760"/>
    <cellStyle name="Comma 15 4 2 2" xfId="761"/>
    <cellStyle name="Comma 15 4 2 2 2" xfId="4680"/>
    <cellStyle name="Comma 15 4 2 2 2 2" xfId="6397"/>
    <cellStyle name="Comma 15 4 2 2 3" xfId="5931"/>
    <cellStyle name="Comma 15 4 2 3" xfId="4679"/>
    <cellStyle name="Comma 15 4 2 3 2" xfId="6396"/>
    <cellStyle name="Comma 15 4 2 4" xfId="5930"/>
    <cellStyle name="Comma 15 4 3" xfId="762"/>
    <cellStyle name="Comma 15 4 3 2" xfId="763"/>
    <cellStyle name="Comma 15 4 3 2 2" xfId="4682"/>
    <cellStyle name="Comma 15 4 3 2 2 2" xfId="6399"/>
    <cellStyle name="Comma 15 4 3 2 3" xfId="5933"/>
    <cellStyle name="Comma 15 4 3 3" xfId="4681"/>
    <cellStyle name="Comma 15 4 3 3 2" xfId="6398"/>
    <cellStyle name="Comma 15 4 3 4" xfId="5932"/>
    <cellStyle name="Comma 15 4 4" xfId="764"/>
    <cellStyle name="Comma 15 4 4 2" xfId="765"/>
    <cellStyle name="Comma 15 4 4 2 2" xfId="4684"/>
    <cellStyle name="Comma 15 4 4 2 2 2" xfId="6401"/>
    <cellStyle name="Comma 15 4 4 2 3" xfId="5935"/>
    <cellStyle name="Comma 15 4 4 3" xfId="4683"/>
    <cellStyle name="Comma 15 4 4 3 2" xfId="6400"/>
    <cellStyle name="Comma 15 4 4 4" xfId="5934"/>
    <cellStyle name="Comma 15 4 5" xfId="766"/>
    <cellStyle name="Comma 15 4 5 2" xfId="767"/>
    <cellStyle name="Comma 15 4 5 2 2" xfId="4686"/>
    <cellStyle name="Comma 15 4 5 2 2 2" xfId="6403"/>
    <cellStyle name="Comma 15 4 5 2 3" xfId="5937"/>
    <cellStyle name="Comma 15 4 5 3" xfId="4685"/>
    <cellStyle name="Comma 15 4 5 3 2" xfId="6402"/>
    <cellStyle name="Comma 15 4 5 4" xfId="5936"/>
    <cellStyle name="Comma 15 4 6" xfId="768"/>
    <cellStyle name="Comma 15 4 6 2" xfId="769"/>
    <cellStyle name="Comma 15 4 6 2 2" xfId="4688"/>
    <cellStyle name="Comma 15 4 6 2 2 2" xfId="6405"/>
    <cellStyle name="Comma 15 4 6 2 3" xfId="5939"/>
    <cellStyle name="Comma 15 4 6 3" xfId="4687"/>
    <cellStyle name="Comma 15 4 6 3 2" xfId="6404"/>
    <cellStyle name="Comma 15 4 6 4" xfId="5938"/>
    <cellStyle name="Comma 15 4 7" xfId="770"/>
    <cellStyle name="Comma 15 4 7 2" xfId="771"/>
    <cellStyle name="Comma 15 4 7 2 2" xfId="4690"/>
    <cellStyle name="Comma 15 4 7 2 2 2" xfId="6407"/>
    <cellStyle name="Comma 15 4 7 2 3" xfId="5941"/>
    <cellStyle name="Comma 15 4 7 3" xfId="4689"/>
    <cellStyle name="Comma 15 4 7 3 2" xfId="6406"/>
    <cellStyle name="Comma 15 4 7 4" xfId="5940"/>
    <cellStyle name="Comma 15 4 8" xfId="772"/>
    <cellStyle name="Comma 15 4 8 2" xfId="773"/>
    <cellStyle name="Comma 15 4 8 2 2" xfId="4692"/>
    <cellStyle name="Comma 15 4 8 2 2 2" xfId="6409"/>
    <cellStyle name="Comma 15 4 8 2 3" xfId="5943"/>
    <cellStyle name="Comma 15 4 8 3" xfId="4691"/>
    <cellStyle name="Comma 15 4 8 3 2" xfId="6408"/>
    <cellStyle name="Comma 15 4 8 4" xfId="5942"/>
    <cellStyle name="Comma 15 4 9" xfId="774"/>
    <cellStyle name="Comma 15 4 9 2" xfId="4693"/>
    <cellStyle name="Comma 15 4 9 2 2" xfId="6410"/>
    <cellStyle name="Comma 15 4 9 3" xfId="5944"/>
    <cellStyle name="Comma 15 5" xfId="775"/>
    <cellStyle name="Comma 15 5 10" xfId="4694"/>
    <cellStyle name="Comma 15 5 10 2" xfId="6411"/>
    <cellStyle name="Comma 15 5 11" xfId="5945"/>
    <cellStyle name="Comma 15 5 2" xfId="776"/>
    <cellStyle name="Comma 15 5 2 2" xfId="777"/>
    <cellStyle name="Comma 15 5 2 2 2" xfId="4696"/>
    <cellStyle name="Comma 15 5 2 2 2 2" xfId="6413"/>
    <cellStyle name="Comma 15 5 2 2 3" xfId="5947"/>
    <cellStyle name="Comma 15 5 2 3" xfId="4695"/>
    <cellStyle name="Comma 15 5 2 3 2" xfId="6412"/>
    <cellStyle name="Comma 15 5 2 4" xfId="5946"/>
    <cellStyle name="Comma 15 5 3" xfId="778"/>
    <cellStyle name="Comma 15 5 3 2" xfId="779"/>
    <cellStyle name="Comma 15 5 3 2 2" xfId="4698"/>
    <cellStyle name="Comma 15 5 3 2 2 2" xfId="6415"/>
    <cellStyle name="Comma 15 5 3 2 3" xfId="5949"/>
    <cellStyle name="Comma 15 5 3 3" xfId="4697"/>
    <cellStyle name="Comma 15 5 3 3 2" xfId="6414"/>
    <cellStyle name="Comma 15 5 3 4" xfId="5948"/>
    <cellStyle name="Comma 15 5 4" xfId="780"/>
    <cellStyle name="Comma 15 5 4 2" xfId="781"/>
    <cellStyle name="Comma 15 5 4 2 2" xfId="4700"/>
    <cellStyle name="Comma 15 5 4 2 2 2" xfId="6417"/>
    <cellStyle name="Comma 15 5 4 2 3" xfId="5951"/>
    <cellStyle name="Comma 15 5 4 3" xfId="4699"/>
    <cellStyle name="Comma 15 5 4 3 2" xfId="6416"/>
    <cellStyle name="Comma 15 5 4 4" xfId="5950"/>
    <cellStyle name="Comma 15 5 5" xfId="782"/>
    <cellStyle name="Comma 15 5 5 2" xfId="783"/>
    <cellStyle name="Comma 15 5 5 2 2" xfId="4702"/>
    <cellStyle name="Comma 15 5 5 2 2 2" xfId="6419"/>
    <cellStyle name="Comma 15 5 5 2 3" xfId="5953"/>
    <cellStyle name="Comma 15 5 5 3" xfId="4701"/>
    <cellStyle name="Comma 15 5 5 3 2" xfId="6418"/>
    <cellStyle name="Comma 15 5 5 4" xfId="5952"/>
    <cellStyle name="Comma 15 5 6" xfId="784"/>
    <cellStyle name="Comma 15 5 6 2" xfId="785"/>
    <cellStyle name="Comma 15 5 6 2 2" xfId="4704"/>
    <cellStyle name="Comma 15 5 6 2 2 2" xfId="6421"/>
    <cellStyle name="Comma 15 5 6 2 3" xfId="5955"/>
    <cellStyle name="Comma 15 5 6 3" xfId="4703"/>
    <cellStyle name="Comma 15 5 6 3 2" xfId="6420"/>
    <cellStyle name="Comma 15 5 6 4" xfId="5954"/>
    <cellStyle name="Comma 15 5 7" xfId="786"/>
    <cellStyle name="Comma 15 5 7 2" xfId="787"/>
    <cellStyle name="Comma 15 5 7 2 2" xfId="4706"/>
    <cellStyle name="Comma 15 5 7 2 2 2" xfId="6423"/>
    <cellStyle name="Comma 15 5 7 2 3" xfId="5957"/>
    <cellStyle name="Comma 15 5 7 3" xfId="4705"/>
    <cellStyle name="Comma 15 5 7 3 2" xfId="6422"/>
    <cellStyle name="Comma 15 5 7 4" xfId="5956"/>
    <cellStyle name="Comma 15 5 8" xfId="788"/>
    <cellStyle name="Comma 15 5 8 2" xfId="789"/>
    <cellStyle name="Comma 15 5 8 2 2" xfId="4708"/>
    <cellStyle name="Comma 15 5 8 2 2 2" xfId="6425"/>
    <cellStyle name="Comma 15 5 8 2 3" xfId="5959"/>
    <cellStyle name="Comma 15 5 8 3" xfId="4707"/>
    <cellStyle name="Comma 15 5 8 3 2" xfId="6424"/>
    <cellStyle name="Comma 15 5 8 4" xfId="5958"/>
    <cellStyle name="Comma 15 5 9" xfId="790"/>
    <cellStyle name="Comma 15 5 9 2" xfId="4709"/>
    <cellStyle name="Comma 15 5 9 2 2" xfId="6426"/>
    <cellStyle name="Comma 15 5 9 3" xfId="5960"/>
    <cellStyle name="Comma 15 6" xfId="791"/>
    <cellStyle name="Comma 15 6 10" xfId="4710"/>
    <cellStyle name="Comma 15 6 10 2" xfId="6427"/>
    <cellStyle name="Comma 15 6 11" xfId="5961"/>
    <cellStyle name="Comma 15 6 2" xfId="792"/>
    <cellStyle name="Comma 15 6 2 2" xfId="793"/>
    <cellStyle name="Comma 15 6 2 2 2" xfId="4712"/>
    <cellStyle name="Comma 15 6 2 2 2 2" xfId="6429"/>
    <cellStyle name="Comma 15 6 2 2 3" xfId="5963"/>
    <cellStyle name="Comma 15 6 2 3" xfId="4711"/>
    <cellStyle name="Comma 15 6 2 3 2" xfId="6428"/>
    <cellStyle name="Comma 15 6 2 4" xfId="5962"/>
    <cellStyle name="Comma 15 6 3" xfId="794"/>
    <cellStyle name="Comma 15 6 3 2" xfId="795"/>
    <cellStyle name="Comma 15 6 3 2 2" xfId="4714"/>
    <cellStyle name="Comma 15 6 3 2 2 2" xfId="6431"/>
    <cellStyle name="Comma 15 6 3 2 3" xfId="5965"/>
    <cellStyle name="Comma 15 6 3 3" xfId="4713"/>
    <cellStyle name="Comma 15 6 3 3 2" xfId="6430"/>
    <cellStyle name="Comma 15 6 3 4" xfId="5964"/>
    <cellStyle name="Comma 15 6 4" xfId="796"/>
    <cellStyle name="Comma 15 6 4 2" xfId="797"/>
    <cellStyle name="Comma 15 6 4 2 2" xfId="4716"/>
    <cellStyle name="Comma 15 6 4 2 2 2" xfId="6433"/>
    <cellStyle name="Comma 15 6 4 2 3" xfId="5967"/>
    <cellStyle name="Comma 15 6 4 3" xfId="4715"/>
    <cellStyle name="Comma 15 6 4 3 2" xfId="6432"/>
    <cellStyle name="Comma 15 6 4 4" xfId="5966"/>
    <cellStyle name="Comma 15 6 5" xfId="798"/>
    <cellStyle name="Comma 15 6 5 2" xfId="799"/>
    <cellStyle name="Comma 15 6 5 2 2" xfId="4718"/>
    <cellStyle name="Comma 15 6 5 2 2 2" xfId="6435"/>
    <cellStyle name="Comma 15 6 5 2 3" xfId="5969"/>
    <cellStyle name="Comma 15 6 5 3" xfId="4717"/>
    <cellStyle name="Comma 15 6 5 3 2" xfId="6434"/>
    <cellStyle name="Comma 15 6 5 4" xfId="5968"/>
    <cellStyle name="Comma 15 6 6" xfId="800"/>
    <cellStyle name="Comma 15 6 6 2" xfId="801"/>
    <cellStyle name="Comma 15 6 6 2 2" xfId="4720"/>
    <cellStyle name="Comma 15 6 6 2 2 2" xfId="6437"/>
    <cellStyle name="Comma 15 6 6 2 3" xfId="5971"/>
    <cellStyle name="Comma 15 6 6 3" xfId="4719"/>
    <cellStyle name="Comma 15 6 6 3 2" xfId="6436"/>
    <cellStyle name="Comma 15 6 6 4" xfId="5970"/>
    <cellStyle name="Comma 15 6 7" xfId="802"/>
    <cellStyle name="Comma 15 6 7 2" xfId="803"/>
    <cellStyle name="Comma 15 6 7 2 2" xfId="4722"/>
    <cellStyle name="Comma 15 6 7 2 2 2" xfId="6439"/>
    <cellStyle name="Comma 15 6 7 2 3" xfId="5973"/>
    <cellStyle name="Comma 15 6 7 3" xfId="4721"/>
    <cellStyle name="Comma 15 6 7 3 2" xfId="6438"/>
    <cellStyle name="Comma 15 6 7 4" xfId="5972"/>
    <cellStyle name="Comma 15 6 8" xfId="804"/>
    <cellStyle name="Comma 15 6 8 2" xfId="805"/>
    <cellStyle name="Comma 15 6 8 2 2" xfId="4724"/>
    <cellStyle name="Comma 15 6 8 2 2 2" xfId="6441"/>
    <cellStyle name="Comma 15 6 8 2 3" xfId="5975"/>
    <cellStyle name="Comma 15 6 8 3" xfId="4723"/>
    <cellStyle name="Comma 15 6 8 3 2" xfId="6440"/>
    <cellStyle name="Comma 15 6 8 4" xfId="5974"/>
    <cellStyle name="Comma 15 6 9" xfId="806"/>
    <cellStyle name="Comma 15 6 9 2" xfId="4725"/>
    <cellStyle name="Comma 15 6 9 2 2" xfId="6442"/>
    <cellStyle name="Comma 15 6 9 3" xfId="5976"/>
    <cellStyle name="Comma 15 7" xfId="807"/>
    <cellStyle name="Comma 15 7 2" xfId="808"/>
    <cellStyle name="Comma 15 7 2 2" xfId="809"/>
    <cellStyle name="Comma 15 7 2 2 2" xfId="4728"/>
    <cellStyle name="Comma 15 7 2 2 2 2" xfId="6445"/>
    <cellStyle name="Comma 15 7 2 2 3" xfId="5979"/>
    <cellStyle name="Comma 15 7 2 3" xfId="4727"/>
    <cellStyle name="Comma 15 7 2 3 2" xfId="6444"/>
    <cellStyle name="Comma 15 7 2 4" xfId="5978"/>
    <cellStyle name="Comma 15 7 3" xfId="810"/>
    <cellStyle name="Comma 15 7 3 2" xfId="811"/>
    <cellStyle name="Comma 15 7 3 2 2" xfId="4730"/>
    <cellStyle name="Comma 15 7 3 2 2 2" xfId="6447"/>
    <cellStyle name="Comma 15 7 3 2 3" xfId="5981"/>
    <cellStyle name="Comma 15 7 3 3" xfId="4729"/>
    <cellStyle name="Comma 15 7 3 3 2" xfId="6446"/>
    <cellStyle name="Comma 15 7 3 4" xfId="5980"/>
    <cellStyle name="Comma 15 7 4" xfId="812"/>
    <cellStyle name="Comma 15 7 4 2" xfId="813"/>
    <cellStyle name="Comma 15 7 4 2 2" xfId="4732"/>
    <cellStyle name="Comma 15 7 4 2 2 2" xfId="6449"/>
    <cellStyle name="Comma 15 7 4 2 3" xfId="5983"/>
    <cellStyle name="Comma 15 7 4 3" xfId="4731"/>
    <cellStyle name="Comma 15 7 4 3 2" xfId="6448"/>
    <cellStyle name="Comma 15 7 4 4" xfId="5982"/>
    <cellStyle name="Comma 15 7 5" xfId="814"/>
    <cellStyle name="Comma 15 7 5 2" xfId="815"/>
    <cellStyle name="Comma 15 7 5 2 2" xfId="4734"/>
    <cellStyle name="Comma 15 7 5 2 2 2" xfId="6451"/>
    <cellStyle name="Comma 15 7 5 2 3" xfId="5985"/>
    <cellStyle name="Comma 15 7 5 3" xfId="4733"/>
    <cellStyle name="Comma 15 7 5 3 2" xfId="6450"/>
    <cellStyle name="Comma 15 7 5 4" xfId="5984"/>
    <cellStyle name="Comma 15 7 6" xfId="816"/>
    <cellStyle name="Comma 15 7 6 2" xfId="4735"/>
    <cellStyle name="Comma 15 7 6 2 2" xfId="6452"/>
    <cellStyle name="Comma 15 7 6 3" xfId="5986"/>
    <cellStyle name="Comma 15 7 7" xfId="4726"/>
    <cellStyle name="Comma 15 7 7 2" xfId="6443"/>
    <cellStyle name="Comma 15 7 8" xfId="5977"/>
    <cellStyle name="Comma 15 8" xfId="817"/>
    <cellStyle name="Comma 15 8 2" xfId="818"/>
    <cellStyle name="Comma 15 8 2 2" xfId="819"/>
    <cellStyle name="Comma 15 8 2 2 2" xfId="4738"/>
    <cellStyle name="Comma 15 8 2 2 2 2" xfId="6455"/>
    <cellStyle name="Comma 15 8 2 2 3" xfId="5989"/>
    <cellStyle name="Comma 15 8 2 3" xfId="4737"/>
    <cellStyle name="Comma 15 8 2 3 2" xfId="6454"/>
    <cellStyle name="Comma 15 8 2 4" xfId="5988"/>
    <cellStyle name="Comma 15 8 3" xfId="820"/>
    <cellStyle name="Comma 15 8 3 2" xfId="821"/>
    <cellStyle name="Comma 15 8 3 2 2" xfId="4740"/>
    <cellStyle name="Comma 15 8 3 2 2 2" xfId="6457"/>
    <cellStyle name="Comma 15 8 3 2 3" xfId="5991"/>
    <cellStyle name="Comma 15 8 3 3" xfId="4739"/>
    <cellStyle name="Comma 15 8 3 3 2" xfId="6456"/>
    <cellStyle name="Comma 15 8 3 4" xfId="5990"/>
    <cellStyle name="Comma 15 8 4" xfId="822"/>
    <cellStyle name="Comma 15 8 4 2" xfId="823"/>
    <cellStyle name="Comma 15 8 4 2 2" xfId="4742"/>
    <cellStyle name="Comma 15 8 4 2 2 2" xfId="6459"/>
    <cellStyle name="Comma 15 8 4 2 3" xfId="5993"/>
    <cellStyle name="Comma 15 8 4 3" xfId="4741"/>
    <cellStyle name="Comma 15 8 4 3 2" xfId="6458"/>
    <cellStyle name="Comma 15 8 4 4" xfId="5992"/>
    <cellStyle name="Comma 15 8 5" xfId="824"/>
    <cellStyle name="Comma 15 8 5 2" xfId="825"/>
    <cellStyle name="Comma 15 8 5 2 2" xfId="4744"/>
    <cellStyle name="Comma 15 8 5 2 2 2" xfId="6461"/>
    <cellStyle name="Comma 15 8 5 2 3" xfId="5995"/>
    <cellStyle name="Comma 15 8 5 3" xfId="4743"/>
    <cellStyle name="Comma 15 8 5 3 2" xfId="6460"/>
    <cellStyle name="Comma 15 8 5 4" xfId="5994"/>
    <cellStyle name="Comma 15 8 6" xfId="826"/>
    <cellStyle name="Comma 15 8 6 2" xfId="4745"/>
    <cellStyle name="Comma 15 8 6 2 2" xfId="6462"/>
    <cellStyle name="Comma 15 8 6 3" xfId="5996"/>
    <cellStyle name="Comma 15 8 7" xfId="4736"/>
    <cellStyle name="Comma 15 8 7 2" xfId="6453"/>
    <cellStyle name="Comma 15 8 8" xfId="5987"/>
    <cellStyle name="Comma 15 9" xfId="827"/>
    <cellStyle name="Comma 15 9 2" xfId="828"/>
    <cellStyle name="Comma 15 9 2 2" xfId="829"/>
    <cellStyle name="Comma 15 9 2 2 2" xfId="4748"/>
    <cellStyle name="Comma 15 9 2 2 2 2" xfId="6465"/>
    <cellStyle name="Comma 15 9 2 2 3" xfId="5999"/>
    <cellStyle name="Comma 15 9 2 3" xfId="4747"/>
    <cellStyle name="Comma 15 9 2 3 2" xfId="6464"/>
    <cellStyle name="Comma 15 9 2 4" xfId="5998"/>
    <cellStyle name="Comma 15 9 3" xfId="830"/>
    <cellStyle name="Comma 15 9 3 2" xfId="831"/>
    <cellStyle name="Comma 15 9 3 2 2" xfId="4750"/>
    <cellStyle name="Comma 15 9 3 2 2 2" xfId="6467"/>
    <cellStyle name="Comma 15 9 3 2 3" xfId="6001"/>
    <cellStyle name="Comma 15 9 3 3" xfId="4749"/>
    <cellStyle name="Comma 15 9 3 3 2" xfId="6466"/>
    <cellStyle name="Comma 15 9 3 4" xfId="6000"/>
    <cellStyle name="Comma 15 9 4" xfId="832"/>
    <cellStyle name="Comma 15 9 4 2" xfId="833"/>
    <cellStyle name="Comma 15 9 4 2 2" xfId="4752"/>
    <cellStyle name="Comma 15 9 4 2 2 2" xfId="6469"/>
    <cellStyle name="Comma 15 9 4 2 3" xfId="6003"/>
    <cellStyle name="Comma 15 9 4 3" xfId="4751"/>
    <cellStyle name="Comma 15 9 4 3 2" xfId="6468"/>
    <cellStyle name="Comma 15 9 4 4" xfId="6002"/>
    <cellStyle name="Comma 15 9 5" xfId="834"/>
    <cellStyle name="Comma 15 9 5 2" xfId="835"/>
    <cellStyle name="Comma 15 9 5 2 2" xfId="4754"/>
    <cellStyle name="Comma 15 9 5 2 2 2" xfId="6471"/>
    <cellStyle name="Comma 15 9 5 2 3" xfId="6005"/>
    <cellStyle name="Comma 15 9 5 3" xfId="4753"/>
    <cellStyle name="Comma 15 9 5 3 2" xfId="6470"/>
    <cellStyle name="Comma 15 9 5 4" xfId="6004"/>
    <cellStyle name="Comma 15 9 6" xfId="836"/>
    <cellStyle name="Comma 15 9 6 2" xfId="4755"/>
    <cellStyle name="Comma 15 9 6 2 2" xfId="6472"/>
    <cellStyle name="Comma 15 9 6 3" xfId="6006"/>
    <cellStyle name="Comma 15 9 7" xfId="4746"/>
    <cellStyle name="Comma 15 9 7 2" xfId="6463"/>
    <cellStyle name="Comma 15 9 8" xfId="5997"/>
    <cellStyle name="Comma 16" xfId="4255"/>
    <cellStyle name="Comma 16 2" xfId="837"/>
    <cellStyle name="Comma 16 2 2" xfId="838"/>
    <cellStyle name="Comma 16 2 2 2" xfId="4756"/>
    <cellStyle name="Comma 16 2 2 2 2" xfId="6473"/>
    <cellStyle name="Comma 16 2 2 3" xfId="6007"/>
    <cellStyle name="Comma 16 2 3" xfId="839"/>
    <cellStyle name="Comma 16 3" xfId="840"/>
    <cellStyle name="Comma 16 3 2" xfId="841"/>
    <cellStyle name="Comma 16 3 2 2" xfId="4757"/>
    <cellStyle name="Comma 16 3 2 2 2" xfId="6474"/>
    <cellStyle name="Comma 16 3 2 3" xfId="6008"/>
    <cellStyle name="Comma 16 3 3" xfId="842"/>
    <cellStyle name="Comma 16 4" xfId="843"/>
    <cellStyle name="Comma 16 5" xfId="844"/>
    <cellStyle name="Comma 16 5 2" xfId="4758"/>
    <cellStyle name="Comma 16 5 2 2" xfId="6475"/>
    <cellStyle name="Comma 16 5 3" xfId="6009"/>
    <cellStyle name="Comma 16 6" xfId="6263"/>
    <cellStyle name="Comma 17" xfId="845"/>
    <cellStyle name="Comma 17 2" xfId="846"/>
    <cellStyle name="Comma 17 2 2" xfId="4760"/>
    <cellStyle name="Comma 17 2 2 2" xfId="6477"/>
    <cellStyle name="Comma 17 2 3" xfId="6011"/>
    <cellStyle name="Comma 17 3" xfId="847"/>
    <cellStyle name="Comma 17 3 2" xfId="4761"/>
    <cellStyle name="Comma 17 3 2 2" xfId="6478"/>
    <cellStyle name="Comma 17 3 3" xfId="6012"/>
    <cellStyle name="Comma 17 4" xfId="4759"/>
    <cellStyle name="Comma 17 4 2" xfId="6476"/>
    <cellStyle name="Comma 17 5" xfId="6010"/>
    <cellStyle name="Comma 18" xfId="5757"/>
    <cellStyle name="Comma 18 2" xfId="848"/>
    <cellStyle name="Comma 18 2 2" xfId="849"/>
    <cellStyle name="Comma 18 2 2 2" xfId="4763"/>
    <cellStyle name="Comma 18 2 2 2 2" xfId="6480"/>
    <cellStyle name="Comma 18 2 2 3" xfId="6014"/>
    <cellStyle name="Comma 18 2 3" xfId="4762"/>
    <cellStyle name="Comma 18 2 3 2" xfId="6479"/>
    <cellStyle name="Comma 18 2 4" xfId="6013"/>
    <cellStyle name="Comma 18 3" xfId="850"/>
    <cellStyle name="Comma 18 3 2" xfId="851"/>
    <cellStyle name="Comma 18 3 2 2" xfId="4765"/>
    <cellStyle name="Comma 18 3 2 2 2" xfId="6482"/>
    <cellStyle name="Comma 18 3 2 3" xfId="6016"/>
    <cellStyle name="Comma 18 3 3" xfId="4764"/>
    <cellStyle name="Comma 18 3 3 2" xfId="6481"/>
    <cellStyle name="Comma 18 3 4" xfId="6015"/>
    <cellStyle name="Comma 18 4" xfId="852"/>
    <cellStyle name="Comma 18 4 2" xfId="853"/>
    <cellStyle name="Comma 18 4 2 2" xfId="4767"/>
    <cellStyle name="Comma 18 4 2 2 2" xfId="6484"/>
    <cellStyle name="Comma 18 4 2 3" xfId="6018"/>
    <cellStyle name="Comma 18 4 3" xfId="4766"/>
    <cellStyle name="Comma 18 4 3 2" xfId="6483"/>
    <cellStyle name="Comma 18 4 4" xfId="6017"/>
    <cellStyle name="Comma 18 5" xfId="854"/>
    <cellStyle name="Comma 18 5 2" xfId="4768"/>
    <cellStyle name="Comma 18 5 2 2" xfId="6485"/>
    <cellStyle name="Comma 18 5 3" xfId="6019"/>
    <cellStyle name="Comma 18 6" xfId="5764"/>
    <cellStyle name="Comma 18 6 2" xfId="6720"/>
    <cellStyle name="Comma 18 7" xfId="6715"/>
    <cellStyle name="Comma 19" xfId="5758"/>
    <cellStyle name="Comma 19 2" xfId="855"/>
    <cellStyle name="Comma 19 2 2" xfId="4769"/>
    <cellStyle name="Comma 19 2 2 2" xfId="6486"/>
    <cellStyle name="Comma 19 2 3" xfId="6020"/>
    <cellStyle name="Comma 19 3" xfId="6716"/>
    <cellStyle name="Comma 2" xfId="856"/>
    <cellStyle name="Comma 2 10" xfId="857"/>
    <cellStyle name="Comma 2 10 2" xfId="858"/>
    <cellStyle name="Comma 2 10 2 2" xfId="4772"/>
    <cellStyle name="Comma 2 10 2 2 2" xfId="6489"/>
    <cellStyle name="Comma 2 10 2 3" xfId="6023"/>
    <cellStyle name="Comma 2 10 3" xfId="859"/>
    <cellStyle name="Comma 2 10 3 2" xfId="4773"/>
    <cellStyle name="Comma 2 10 3 2 2" xfId="6490"/>
    <cellStyle name="Comma 2 10 3 3" xfId="6024"/>
    <cellStyle name="Comma 2 10 4" xfId="860"/>
    <cellStyle name="Comma 2 10 4 2" xfId="4774"/>
    <cellStyle name="Comma 2 10 4 2 2" xfId="6491"/>
    <cellStyle name="Comma 2 10 4 3" xfId="6025"/>
    <cellStyle name="Comma 2 10 5" xfId="4771"/>
    <cellStyle name="Comma 2 10 5 2" xfId="6488"/>
    <cellStyle name="Comma 2 10 6" xfId="6022"/>
    <cellStyle name="Comma 2 11" xfId="861"/>
    <cellStyle name="Comma 2 11 2" xfId="862"/>
    <cellStyle name="Comma 2 11 2 2" xfId="4776"/>
    <cellStyle name="Comma 2 11 2 2 2" xfId="6493"/>
    <cellStyle name="Comma 2 11 2 3" xfId="6027"/>
    <cellStyle name="Comma 2 11 3" xfId="863"/>
    <cellStyle name="Comma 2 11 3 2" xfId="4777"/>
    <cellStyle name="Comma 2 11 3 2 2" xfId="6494"/>
    <cellStyle name="Comma 2 11 3 3" xfId="6028"/>
    <cellStyle name="Comma 2 11 4" xfId="4775"/>
    <cellStyle name="Comma 2 11 4 2" xfId="6492"/>
    <cellStyle name="Comma 2 11 5" xfId="6026"/>
    <cellStyle name="Comma 2 12" xfId="864"/>
    <cellStyle name="Comma 2 12 2" xfId="865"/>
    <cellStyle name="Comma 2 12 2 2" xfId="4779"/>
    <cellStyle name="Comma 2 12 2 2 2" xfId="6496"/>
    <cellStyle name="Comma 2 12 2 3" xfId="6030"/>
    <cellStyle name="Comma 2 12 3" xfId="866"/>
    <cellStyle name="Comma 2 12 3 2" xfId="4780"/>
    <cellStyle name="Comma 2 12 3 2 2" xfId="6497"/>
    <cellStyle name="Comma 2 12 3 3" xfId="6031"/>
    <cellStyle name="Comma 2 12 4" xfId="4778"/>
    <cellStyle name="Comma 2 12 4 2" xfId="6495"/>
    <cellStyle name="Comma 2 12 5" xfId="6029"/>
    <cellStyle name="Comma 2 13" xfId="867"/>
    <cellStyle name="Comma 2 13 2" xfId="868"/>
    <cellStyle name="Comma 2 13 2 2" xfId="4782"/>
    <cellStyle name="Comma 2 13 2 2 2" xfId="6499"/>
    <cellStyle name="Comma 2 13 2 3" xfId="6033"/>
    <cellStyle name="Comma 2 13 3" xfId="869"/>
    <cellStyle name="Comma 2 13 3 2" xfId="4783"/>
    <cellStyle name="Comma 2 13 3 2 2" xfId="6500"/>
    <cellStyle name="Comma 2 13 3 3" xfId="6034"/>
    <cellStyle name="Comma 2 13 4" xfId="4781"/>
    <cellStyle name="Comma 2 13 4 2" xfId="6498"/>
    <cellStyle name="Comma 2 13 5" xfId="6032"/>
    <cellStyle name="Comma 2 14" xfId="870"/>
    <cellStyle name="Comma 2 14 2" xfId="871"/>
    <cellStyle name="Comma 2 14 2 2" xfId="4785"/>
    <cellStyle name="Comma 2 14 2 2 2" xfId="6502"/>
    <cellStyle name="Comma 2 14 2 3" xfId="6036"/>
    <cellStyle name="Comma 2 14 3" xfId="872"/>
    <cellStyle name="Comma 2 14 3 2" xfId="4786"/>
    <cellStyle name="Comma 2 14 3 2 2" xfId="6503"/>
    <cellStyle name="Comma 2 14 3 3" xfId="6037"/>
    <cellStyle name="Comma 2 14 4" xfId="4784"/>
    <cellStyle name="Comma 2 14 4 2" xfId="6501"/>
    <cellStyle name="Comma 2 14 5" xfId="6035"/>
    <cellStyle name="Comma 2 15" xfId="873"/>
    <cellStyle name="Comma 2 15 2" xfId="874"/>
    <cellStyle name="Comma 2 15 2 2" xfId="4788"/>
    <cellStyle name="Comma 2 15 3" xfId="875"/>
    <cellStyle name="Comma 2 15 3 2" xfId="4789"/>
    <cellStyle name="Comma 2 15 3 2 2" xfId="6505"/>
    <cellStyle name="Comma 2 15 3 3" xfId="6039"/>
    <cellStyle name="Comma 2 15 4" xfId="4787"/>
    <cellStyle name="Comma 2 15 4 2" xfId="6504"/>
    <cellStyle name="Comma 2 15 5" xfId="6038"/>
    <cellStyle name="Comma 2 16" xfId="876"/>
    <cellStyle name="Comma 2 16 2" xfId="877"/>
    <cellStyle name="Comma 2 16 2 2" xfId="4791"/>
    <cellStyle name="Comma 2 16 2 2 2" xfId="6507"/>
    <cellStyle name="Comma 2 16 2 3" xfId="6041"/>
    <cellStyle name="Comma 2 16 3" xfId="878"/>
    <cellStyle name="Comma 2 16 3 2" xfId="4792"/>
    <cellStyle name="Comma 2 16 3 2 2" xfId="6508"/>
    <cellStyle name="Comma 2 16 3 3" xfId="6042"/>
    <cellStyle name="Comma 2 16 4" xfId="4790"/>
    <cellStyle name="Comma 2 16 4 2" xfId="6506"/>
    <cellStyle name="Comma 2 16 5" xfId="6040"/>
    <cellStyle name="Comma 2 17" xfId="879"/>
    <cellStyle name="Comma 2 17 2" xfId="880"/>
    <cellStyle name="Comma 2 17 2 2" xfId="4794"/>
    <cellStyle name="Comma 2 17 2 2 2" xfId="6510"/>
    <cellStyle name="Comma 2 17 2 3" xfId="6044"/>
    <cellStyle name="Comma 2 17 3" xfId="881"/>
    <cellStyle name="Comma 2 17 3 2" xfId="4795"/>
    <cellStyle name="Comma 2 17 3 2 2" xfId="6511"/>
    <cellStyle name="Comma 2 17 3 3" xfId="6045"/>
    <cellStyle name="Comma 2 17 4" xfId="4793"/>
    <cellStyle name="Comma 2 17 4 2" xfId="6509"/>
    <cellStyle name="Comma 2 17 5" xfId="6043"/>
    <cellStyle name="Comma 2 18" xfId="882"/>
    <cellStyle name="Comma 2 18 2" xfId="883"/>
    <cellStyle name="Comma 2 18 2 2" xfId="4797"/>
    <cellStyle name="Comma 2 18 2 2 2" xfId="6513"/>
    <cellStyle name="Comma 2 18 2 3" xfId="6047"/>
    <cellStyle name="Comma 2 18 3" xfId="884"/>
    <cellStyle name="Comma 2 18 3 2" xfId="4798"/>
    <cellStyle name="Comma 2 18 3 2 2" xfId="6514"/>
    <cellStyle name="Comma 2 18 3 3" xfId="6048"/>
    <cellStyle name="Comma 2 18 4" xfId="4796"/>
    <cellStyle name="Comma 2 18 4 2" xfId="6512"/>
    <cellStyle name="Comma 2 18 5" xfId="6046"/>
    <cellStyle name="Comma 2 19" xfId="885"/>
    <cellStyle name="Comma 2 19 2" xfId="886"/>
    <cellStyle name="Comma 2 19 2 2" xfId="4800"/>
    <cellStyle name="Comma 2 19 2 2 2" xfId="6516"/>
    <cellStyle name="Comma 2 19 2 3" xfId="6050"/>
    <cellStyle name="Comma 2 19 3" xfId="887"/>
    <cellStyle name="Comma 2 19 3 2" xfId="4801"/>
    <cellStyle name="Comma 2 19 3 2 2" xfId="6517"/>
    <cellStyle name="Comma 2 19 3 3" xfId="6051"/>
    <cellStyle name="Comma 2 19 4" xfId="4799"/>
    <cellStyle name="Comma 2 19 4 2" xfId="6515"/>
    <cellStyle name="Comma 2 19 5" xfId="6049"/>
    <cellStyle name="Comma 2 2" xfId="888"/>
    <cellStyle name="Comma 2 2 10" xfId="889"/>
    <cellStyle name="Comma 2 2 11" xfId="890"/>
    <cellStyle name="Comma 2 2 12" xfId="891"/>
    <cellStyle name="Comma 2 2 13" xfId="892"/>
    <cellStyle name="Comma 2 2 14" xfId="893"/>
    <cellStyle name="Comma 2 2 15" xfId="894"/>
    <cellStyle name="Comma 2 2 15 2" xfId="4803"/>
    <cellStyle name="Comma 2 2 16" xfId="4802"/>
    <cellStyle name="Comma 2 2 16 2" xfId="6518"/>
    <cellStyle name="Comma 2 2 17" xfId="6052"/>
    <cellStyle name="Comma 2 2 2" xfId="895"/>
    <cellStyle name="Comma 2 2 2 2" xfId="896"/>
    <cellStyle name="Comma 2 2 2 2 2" xfId="897"/>
    <cellStyle name="Comma 2 2 2 2 3" xfId="898"/>
    <cellStyle name="Comma 2 2 2 2 3 2" xfId="4805"/>
    <cellStyle name="Comma 2 2 2 2 3 2 2" xfId="6520"/>
    <cellStyle name="Comma 2 2 2 2 3 3" xfId="6054"/>
    <cellStyle name="Comma 2 2 2 3" xfId="899"/>
    <cellStyle name="Comma 2 2 2 4" xfId="900"/>
    <cellStyle name="Comma 2 2 2 5" xfId="901"/>
    <cellStyle name="Comma 2 2 2 6" xfId="902"/>
    <cellStyle name="Comma 2 2 2 6 2" xfId="4806"/>
    <cellStyle name="Comma 2 2 2 6 2 2" xfId="6521"/>
    <cellStyle name="Comma 2 2 2 6 3" xfId="6055"/>
    <cellStyle name="Comma 2 2 2 7" xfId="4804"/>
    <cellStyle name="Comma 2 2 2 7 2" xfId="6519"/>
    <cellStyle name="Comma 2 2 2 8" xfId="6053"/>
    <cellStyle name="Comma 2 2 3" xfId="903"/>
    <cellStyle name="Comma 2 2 3 10" xfId="904"/>
    <cellStyle name="Comma 2 2 3 10 2" xfId="4807"/>
    <cellStyle name="Comma 2 2 3 10 2 2" xfId="6522"/>
    <cellStyle name="Comma 2 2 3 10 3" xfId="6056"/>
    <cellStyle name="Comma 2 2 3 11" xfId="905"/>
    <cellStyle name="Comma 2 2 3 11 2" xfId="4808"/>
    <cellStyle name="Comma 2 2 3 11 2 2" xfId="6523"/>
    <cellStyle name="Comma 2 2 3 11 3" xfId="6057"/>
    <cellStyle name="Comma 2 2 3 12" xfId="906"/>
    <cellStyle name="Comma 2 2 3 12 2" xfId="4809"/>
    <cellStyle name="Comma 2 2 3 12 2 2" xfId="6524"/>
    <cellStyle name="Comma 2 2 3 12 3" xfId="6058"/>
    <cellStyle name="Comma 2 2 3 13" xfId="907"/>
    <cellStyle name="Comma 2 2 3 13 2" xfId="4810"/>
    <cellStyle name="Comma 2 2 3 13 2 2" xfId="6525"/>
    <cellStyle name="Comma 2 2 3 13 3" xfId="6059"/>
    <cellStyle name="Comma 2 2 3 14" xfId="908"/>
    <cellStyle name="Comma 2 2 3 14 2" xfId="4811"/>
    <cellStyle name="Comma 2 2 3 14 2 2" xfId="6526"/>
    <cellStyle name="Comma 2 2 3 14 3" xfId="6060"/>
    <cellStyle name="Comma 2 2 3 15" xfId="909"/>
    <cellStyle name="Comma 2 2 3 15 2" xfId="4812"/>
    <cellStyle name="Comma 2 2 3 15 2 2" xfId="6527"/>
    <cellStyle name="Comma 2 2 3 15 3" xfId="6061"/>
    <cellStyle name="Comma 2 2 3 16" xfId="910"/>
    <cellStyle name="Comma 2 2 3 16 2" xfId="4813"/>
    <cellStyle name="Comma 2 2 3 16 2 2" xfId="6528"/>
    <cellStyle name="Comma 2 2 3 16 3" xfId="6062"/>
    <cellStyle name="Comma 2 2 3 17" xfId="911"/>
    <cellStyle name="Comma 2 2 3 17 2" xfId="4814"/>
    <cellStyle name="Comma 2 2 3 17 2 2" xfId="6529"/>
    <cellStyle name="Comma 2 2 3 17 3" xfId="6063"/>
    <cellStyle name="Comma 2 2 3 18" xfId="912"/>
    <cellStyle name="Comma 2 2 3 19" xfId="913"/>
    <cellStyle name="Comma 2 2 3 2" xfId="914"/>
    <cellStyle name="Comma 2 2 3 2 2" xfId="4815"/>
    <cellStyle name="Comma 2 2 3 20" xfId="915"/>
    <cellStyle name="Comma 2 2 3 3" xfId="916"/>
    <cellStyle name="Comma 2 2 3 3 2" xfId="4816"/>
    <cellStyle name="Comma 2 2 3 4" xfId="917"/>
    <cellStyle name="Comma 2 2 3 4 2" xfId="4817"/>
    <cellStyle name="Comma 2 2 3 4 2 2" xfId="6530"/>
    <cellStyle name="Comma 2 2 3 4 3" xfId="6064"/>
    <cellStyle name="Comma 2 2 3 5" xfId="918"/>
    <cellStyle name="Comma 2 2 3 5 2" xfId="4818"/>
    <cellStyle name="Comma 2 2 3 5 2 2" xfId="6531"/>
    <cellStyle name="Comma 2 2 3 5 3" xfId="6065"/>
    <cellStyle name="Comma 2 2 3 6" xfId="919"/>
    <cellStyle name="Comma 2 2 3 6 2" xfId="4819"/>
    <cellStyle name="Comma 2 2 3 6 2 2" xfId="6532"/>
    <cellStyle name="Comma 2 2 3 6 3" xfId="6066"/>
    <cellStyle name="Comma 2 2 3 7" xfId="920"/>
    <cellStyle name="Comma 2 2 3 7 2" xfId="4820"/>
    <cellStyle name="Comma 2 2 3 7 2 2" xfId="6533"/>
    <cellStyle name="Comma 2 2 3 7 3" xfId="6067"/>
    <cellStyle name="Comma 2 2 3 8" xfId="921"/>
    <cellStyle name="Comma 2 2 3 8 2" xfId="4821"/>
    <cellStyle name="Comma 2 2 3 8 2 2" xfId="6534"/>
    <cellStyle name="Comma 2 2 3 8 3" xfId="6068"/>
    <cellStyle name="Comma 2 2 3 9" xfId="922"/>
    <cellStyle name="Comma 2 2 3 9 2" xfId="4822"/>
    <cellStyle name="Comma 2 2 3 9 2 2" xfId="6535"/>
    <cellStyle name="Comma 2 2 3 9 3" xfId="6069"/>
    <cellStyle name="Comma 2 2 4" xfId="923"/>
    <cellStyle name="Comma 2 2 4 2" xfId="924"/>
    <cellStyle name="Comma 2 2 4 3" xfId="925"/>
    <cellStyle name="Comma 2 2 4 4" xfId="926"/>
    <cellStyle name="Comma 2 2 4 5" xfId="4823"/>
    <cellStyle name="Comma 2 2 4 5 2" xfId="6536"/>
    <cellStyle name="Comma 2 2 4 6" xfId="6070"/>
    <cellStyle name="Comma 2 2 5" xfId="927"/>
    <cellStyle name="Comma 2 2 6" xfId="928"/>
    <cellStyle name="Comma 2 2 7" xfId="929"/>
    <cellStyle name="Comma 2 2 8" xfId="930"/>
    <cellStyle name="Comma 2 2 9" xfId="931"/>
    <cellStyle name="Comma 2 2 9 2" xfId="932"/>
    <cellStyle name="Comma 2 2 9 2 2" xfId="4825"/>
    <cellStyle name="Comma 2 2 9 2 2 2" xfId="6538"/>
    <cellStyle name="Comma 2 2 9 2 3" xfId="6072"/>
    <cellStyle name="Comma 2 2 9 3" xfId="4824"/>
    <cellStyle name="Comma 2 2 9 3 2" xfId="6537"/>
    <cellStyle name="Comma 2 2 9 4" xfId="6071"/>
    <cellStyle name="Comma 2 20" xfId="933"/>
    <cellStyle name="Comma 2 20 2" xfId="934"/>
    <cellStyle name="Comma 2 20 2 2" xfId="4827"/>
    <cellStyle name="Comma 2 20 2 2 2" xfId="6540"/>
    <cellStyle name="Comma 2 20 2 3" xfId="6074"/>
    <cellStyle name="Comma 2 20 3" xfId="4826"/>
    <cellStyle name="Comma 2 20 3 2" xfId="6539"/>
    <cellStyle name="Comma 2 20 4" xfId="6073"/>
    <cellStyle name="Comma 2 21" xfId="935"/>
    <cellStyle name="Comma 2 21 2" xfId="936"/>
    <cellStyle name="Comma 2 21 2 2" xfId="4829"/>
    <cellStyle name="Comma 2 21 3" xfId="937"/>
    <cellStyle name="Comma 2 21 3 2" xfId="4830"/>
    <cellStyle name="Comma 2 21 3 2 2" xfId="6542"/>
    <cellStyle name="Comma 2 21 3 3" xfId="6076"/>
    <cellStyle name="Comma 2 21 4" xfId="4828"/>
    <cellStyle name="Comma 2 21 4 2" xfId="6541"/>
    <cellStyle name="Comma 2 21 5" xfId="6075"/>
    <cellStyle name="Comma 2 22" xfId="938"/>
    <cellStyle name="Comma 2 22 2" xfId="939"/>
    <cellStyle name="Comma 2 22 2 2" xfId="4832"/>
    <cellStyle name="Comma 2 22 2 2 2" xfId="6544"/>
    <cellStyle name="Comma 2 22 2 3" xfId="6078"/>
    <cellStyle name="Comma 2 22 3" xfId="4831"/>
    <cellStyle name="Comma 2 22 3 2" xfId="6543"/>
    <cellStyle name="Comma 2 22 4" xfId="6077"/>
    <cellStyle name="Comma 2 23" xfId="940"/>
    <cellStyle name="Comma 2 23 2" xfId="941"/>
    <cellStyle name="Comma 2 23 2 2" xfId="4834"/>
    <cellStyle name="Comma 2 23 2 2 2" xfId="6546"/>
    <cellStyle name="Comma 2 23 2 3" xfId="6080"/>
    <cellStyle name="Comma 2 23 3" xfId="4833"/>
    <cellStyle name="Comma 2 23 3 2" xfId="6545"/>
    <cellStyle name="Comma 2 23 4" xfId="6079"/>
    <cellStyle name="Comma 2 24" xfId="942"/>
    <cellStyle name="Comma 2 24 2" xfId="943"/>
    <cellStyle name="Comma 2 24 2 2" xfId="4836"/>
    <cellStyle name="Comma 2 24 2 2 2" xfId="6548"/>
    <cellStyle name="Comma 2 24 2 3" xfId="6082"/>
    <cellStyle name="Comma 2 24 3" xfId="4835"/>
    <cellStyle name="Comma 2 24 3 2" xfId="6547"/>
    <cellStyle name="Comma 2 24 4" xfId="6081"/>
    <cellStyle name="Comma 2 25" xfId="944"/>
    <cellStyle name="Comma 2 25 2" xfId="945"/>
    <cellStyle name="Comma 2 25 2 2" xfId="4838"/>
    <cellStyle name="Comma 2 25 2 2 2" xfId="6550"/>
    <cellStyle name="Comma 2 25 2 3" xfId="6084"/>
    <cellStyle name="Comma 2 25 3" xfId="4837"/>
    <cellStyle name="Comma 2 25 3 2" xfId="6549"/>
    <cellStyle name="Comma 2 25 4" xfId="6083"/>
    <cellStyle name="Comma 2 26" xfId="946"/>
    <cellStyle name="Comma 2 26 2" xfId="947"/>
    <cellStyle name="Comma 2 26 2 2" xfId="4840"/>
    <cellStyle name="Comma 2 26 2 2 2" xfId="6552"/>
    <cellStyle name="Comma 2 26 2 3" xfId="6086"/>
    <cellStyle name="Comma 2 26 3" xfId="4839"/>
    <cellStyle name="Comma 2 26 3 2" xfId="6551"/>
    <cellStyle name="Comma 2 26 4" xfId="6085"/>
    <cellStyle name="Comma 2 27" xfId="948"/>
    <cellStyle name="Comma 2 27 2" xfId="949"/>
    <cellStyle name="Comma 2 27 2 2" xfId="4842"/>
    <cellStyle name="Comma 2 27 2 2 2" xfId="6554"/>
    <cellStyle name="Comma 2 27 2 3" xfId="6088"/>
    <cellStyle name="Comma 2 27 3" xfId="4841"/>
    <cellStyle name="Comma 2 27 3 2" xfId="6553"/>
    <cellStyle name="Comma 2 27 4" xfId="6087"/>
    <cellStyle name="Comma 2 28" xfId="950"/>
    <cellStyle name="Comma 2 28 2" xfId="951"/>
    <cellStyle name="Comma 2 28 2 2" xfId="4844"/>
    <cellStyle name="Comma 2 28 2 2 2" xfId="6556"/>
    <cellStyle name="Comma 2 28 2 3" xfId="6090"/>
    <cellStyle name="Comma 2 28 3" xfId="4843"/>
    <cellStyle name="Comma 2 28 3 2" xfId="6555"/>
    <cellStyle name="Comma 2 28 4" xfId="6089"/>
    <cellStyle name="Comma 2 29" xfId="952"/>
    <cellStyle name="Comma 2 29 2" xfId="953"/>
    <cellStyle name="Comma 2 29 2 2" xfId="4846"/>
    <cellStyle name="Comma 2 29 2 2 2" xfId="6558"/>
    <cellStyle name="Comma 2 29 2 3" xfId="6092"/>
    <cellStyle name="Comma 2 29 3" xfId="4845"/>
    <cellStyle name="Comma 2 29 3 2" xfId="6557"/>
    <cellStyle name="Comma 2 29 4" xfId="6091"/>
    <cellStyle name="Comma 2 3" xfId="954"/>
    <cellStyle name="Comma 2 3 2" xfId="955"/>
    <cellStyle name="Comma 2 3 2 2" xfId="4848"/>
    <cellStyle name="Comma 2 3 2 2 2" xfId="6560"/>
    <cellStyle name="Comma 2 3 2 3" xfId="6094"/>
    <cellStyle name="Comma 2 3 3" xfId="956"/>
    <cellStyle name="Comma 2 3 4" xfId="957"/>
    <cellStyle name="Comma 2 3 5" xfId="958"/>
    <cellStyle name="Comma 2 3 6" xfId="959"/>
    <cellStyle name="Comma 2 3 6 2" xfId="4849"/>
    <cellStyle name="Comma 2 3 6 2 2" xfId="6561"/>
    <cellStyle name="Comma 2 3 6 3" xfId="6095"/>
    <cellStyle name="Comma 2 3 7" xfId="4847"/>
    <cellStyle name="Comma 2 3 7 2" xfId="6559"/>
    <cellStyle name="Comma 2 3 8" xfId="6093"/>
    <cellStyle name="Comma 2 30" xfId="960"/>
    <cellStyle name="Comma 2 30 2" xfId="961"/>
    <cellStyle name="Comma 2 30 2 2" xfId="4851"/>
    <cellStyle name="Comma 2 30 2 2 2" xfId="6563"/>
    <cellStyle name="Comma 2 30 2 3" xfId="6097"/>
    <cellStyle name="Comma 2 30 3" xfId="4850"/>
    <cellStyle name="Comma 2 30 3 2" xfId="6562"/>
    <cellStyle name="Comma 2 30 4" xfId="6096"/>
    <cellStyle name="Comma 2 31" xfId="962"/>
    <cellStyle name="Comma 2 31 2" xfId="963"/>
    <cellStyle name="Comma 2 31 2 2" xfId="4853"/>
    <cellStyle name="Comma 2 31 2 2 2" xfId="6565"/>
    <cellStyle name="Comma 2 31 2 3" xfId="6099"/>
    <cellStyle name="Comma 2 31 3" xfId="4852"/>
    <cellStyle name="Comma 2 31 3 2" xfId="6564"/>
    <cellStyle name="Comma 2 31 4" xfId="6098"/>
    <cellStyle name="Comma 2 32" xfId="964"/>
    <cellStyle name="Comma 2 32 2" xfId="965"/>
    <cellStyle name="Comma 2 32 2 2" xfId="4855"/>
    <cellStyle name="Comma 2 32 2 2 2" xfId="6567"/>
    <cellStyle name="Comma 2 32 2 3" xfId="6101"/>
    <cellStyle name="Comma 2 32 3" xfId="4854"/>
    <cellStyle name="Comma 2 32 3 2" xfId="6566"/>
    <cellStyle name="Comma 2 32 4" xfId="6100"/>
    <cellStyle name="Comma 2 33" xfId="966"/>
    <cellStyle name="Comma 2 33 2" xfId="967"/>
    <cellStyle name="Comma 2 33 2 2" xfId="4857"/>
    <cellStyle name="Comma 2 33 2 2 2" xfId="6569"/>
    <cellStyle name="Comma 2 33 2 3" xfId="6103"/>
    <cellStyle name="Comma 2 33 3" xfId="4856"/>
    <cellStyle name="Comma 2 33 3 2" xfId="6568"/>
    <cellStyle name="Comma 2 33 4" xfId="6102"/>
    <cellStyle name="Comma 2 34" xfId="968"/>
    <cellStyle name="Comma 2 34 2" xfId="969"/>
    <cellStyle name="Comma 2 34 2 2" xfId="4859"/>
    <cellStyle name="Comma 2 34 2 2 2" xfId="6571"/>
    <cellStyle name="Comma 2 34 2 3" xfId="6105"/>
    <cellStyle name="Comma 2 34 3" xfId="4858"/>
    <cellStyle name="Comma 2 34 3 2" xfId="6570"/>
    <cellStyle name="Comma 2 34 4" xfId="6104"/>
    <cellStyle name="Comma 2 35" xfId="970"/>
    <cellStyle name="Comma 2 35 2" xfId="971"/>
    <cellStyle name="Comma 2 35 2 2" xfId="4861"/>
    <cellStyle name="Comma 2 35 2 2 2" xfId="6573"/>
    <cellStyle name="Comma 2 35 2 3" xfId="6107"/>
    <cellStyle name="Comma 2 35 3" xfId="4860"/>
    <cellStyle name="Comma 2 35 3 2" xfId="6572"/>
    <cellStyle name="Comma 2 35 4" xfId="6106"/>
    <cellStyle name="Comma 2 36" xfId="972"/>
    <cellStyle name="Comma 2 36 2" xfId="973"/>
    <cellStyle name="Comma 2 36 2 2" xfId="4863"/>
    <cellStyle name="Comma 2 36 2 2 2" xfId="6575"/>
    <cellStyle name="Comma 2 36 2 3" xfId="6109"/>
    <cellStyle name="Comma 2 36 3" xfId="4862"/>
    <cellStyle name="Comma 2 36 3 2" xfId="6574"/>
    <cellStyle name="Comma 2 36 4" xfId="6108"/>
    <cellStyle name="Comma 2 37" xfId="974"/>
    <cellStyle name="Comma 2 37 2" xfId="975"/>
    <cellStyle name="Comma 2 37 2 2" xfId="4865"/>
    <cellStyle name="Comma 2 37 2 2 2" xfId="6577"/>
    <cellStyle name="Comma 2 37 2 3" xfId="6111"/>
    <cellStyle name="Comma 2 37 3" xfId="4864"/>
    <cellStyle name="Comma 2 37 3 2" xfId="6576"/>
    <cellStyle name="Comma 2 37 4" xfId="6110"/>
    <cellStyle name="Comma 2 38" xfId="976"/>
    <cellStyle name="Comma 2 38 2" xfId="977"/>
    <cellStyle name="Comma 2 38 2 2" xfId="4867"/>
    <cellStyle name="Comma 2 38 2 2 2" xfId="6579"/>
    <cellStyle name="Comma 2 38 2 3" xfId="6113"/>
    <cellStyle name="Comma 2 38 3" xfId="978"/>
    <cellStyle name="Comma 2 38 3 2" xfId="4868"/>
    <cellStyle name="Comma 2 38 3 2 2" xfId="6580"/>
    <cellStyle name="Comma 2 38 3 3" xfId="6114"/>
    <cellStyle name="Comma 2 38 4" xfId="4866"/>
    <cellStyle name="Comma 2 38 4 2" xfId="6578"/>
    <cellStyle name="Comma 2 38 5" xfId="6112"/>
    <cellStyle name="Comma 2 39" xfId="979"/>
    <cellStyle name="Comma 2 39 2" xfId="980"/>
    <cellStyle name="Comma 2 39 2 2" xfId="4870"/>
    <cellStyle name="Comma 2 39 2 2 2" xfId="6582"/>
    <cellStyle name="Comma 2 39 2 3" xfId="6116"/>
    <cellStyle name="Comma 2 39 3" xfId="4869"/>
    <cellStyle name="Comma 2 39 3 2" xfId="6581"/>
    <cellStyle name="Comma 2 39 4" xfId="6115"/>
    <cellStyle name="Comma 2 4" xfId="981"/>
    <cellStyle name="Comma 2 4 2" xfId="982"/>
    <cellStyle name="Comma 2 4 2 2" xfId="4872"/>
    <cellStyle name="Comma 2 4 2 2 2" xfId="6584"/>
    <cellStyle name="Comma 2 4 2 3" xfId="6118"/>
    <cellStyle name="Comma 2 4 3" xfId="983"/>
    <cellStyle name="Comma 2 4 4" xfId="984"/>
    <cellStyle name="Comma 2 4 5" xfId="985"/>
    <cellStyle name="Comma 2 4 6" xfId="986"/>
    <cellStyle name="Comma 2 4 6 2" xfId="4873"/>
    <cellStyle name="Comma 2 4 6 2 2" xfId="6585"/>
    <cellStyle name="Comma 2 4 6 3" xfId="6119"/>
    <cellStyle name="Comma 2 4 7" xfId="4871"/>
    <cellStyle name="Comma 2 4 7 2" xfId="6583"/>
    <cellStyle name="Comma 2 4 8" xfId="6117"/>
    <cellStyle name="Comma 2 40" xfId="987"/>
    <cellStyle name="Comma 2 40 2" xfId="988"/>
    <cellStyle name="Comma 2 40 2 2" xfId="4875"/>
    <cellStyle name="Comma 2 40 2 2 2" xfId="6587"/>
    <cellStyle name="Comma 2 40 2 3" xfId="6121"/>
    <cellStyle name="Comma 2 40 3" xfId="4874"/>
    <cellStyle name="Comma 2 40 3 2" xfId="6586"/>
    <cellStyle name="Comma 2 40 4" xfId="6120"/>
    <cellStyle name="Comma 2 41" xfId="989"/>
    <cellStyle name="Comma 2 41 2" xfId="990"/>
    <cellStyle name="Comma 2 41 2 2" xfId="4877"/>
    <cellStyle name="Comma 2 41 2 2 2" xfId="6589"/>
    <cellStyle name="Comma 2 41 2 3" xfId="6123"/>
    <cellStyle name="Comma 2 41 3" xfId="4876"/>
    <cellStyle name="Comma 2 41 3 2" xfId="6588"/>
    <cellStyle name="Comma 2 41 4" xfId="6122"/>
    <cellStyle name="Comma 2 42" xfId="991"/>
    <cellStyle name="Comma 2 42 2" xfId="992"/>
    <cellStyle name="Comma 2 42 2 2" xfId="4879"/>
    <cellStyle name="Comma 2 42 2 2 2" xfId="6591"/>
    <cellStyle name="Comma 2 42 2 3" xfId="6125"/>
    <cellStyle name="Comma 2 42 3" xfId="4878"/>
    <cellStyle name="Comma 2 42 3 2" xfId="6590"/>
    <cellStyle name="Comma 2 42 4" xfId="6124"/>
    <cellStyle name="Comma 2 43" xfId="993"/>
    <cellStyle name="Comma 2 43 2" xfId="994"/>
    <cellStyle name="Comma 2 43 2 2" xfId="4881"/>
    <cellStyle name="Comma 2 43 2 2 2" xfId="6593"/>
    <cellStyle name="Comma 2 43 2 3" xfId="6127"/>
    <cellStyle name="Comma 2 43 3" xfId="4880"/>
    <cellStyle name="Comma 2 43 3 2" xfId="6592"/>
    <cellStyle name="Comma 2 43 4" xfId="6126"/>
    <cellStyle name="Comma 2 44" xfId="995"/>
    <cellStyle name="Comma 2 44 2" xfId="996"/>
    <cellStyle name="Comma 2 44 2 2" xfId="4883"/>
    <cellStyle name="Comma 2 44 2 2 2" xfId="6595"/>
    <cellStyle name="Comma 2 44 2 3" xfId="6129"/>
    <cellStyle name="Comma 2 44 3" xfId="4882"/>
    <cellStyle name="Comma 2 44 3 2" xfId="6594"/>
    <cellStyle name="Comma 2 44 4" xfId="6128"/>
    <cellStyle name="Comma 2 45" xfId="997"/>
    <cellStyle name="Comma 2 45 2" xfId="998"/>
    <cellStyle name="Comma 2 45 2 2" xfId="4885"/>
    <cellStyle name="Comma 2 45 2 2 2" xfId="6597"/>
    <cellStyle name="Comma 2 45 2 3" xfId="6131"/>
    <cellStyle name="Comma 2 45 3" xfId="4884"/>
    <cellStyle name="Comma 2 45 3 2" xfId="6596"/>
    <cellStyle name="Comma 2 45 4" xfId="6130"/>
    <cellStyle name="Comma 2 46" xfId="999"/>
    <cellStyle name="Comma 2 46 2" xfId="1000"/>
    <cellStyle name="Comma 2 46 2 2" xfId="4887"/>
    <cellStyle name="Comma 2 46 2 2 2" xfId="6599"/>
    <cellStyle name="Comma 2 46 2 3" xfId="6133"/>
    <cellStyle name="Comma 2 46 3" xfId="4886"/>
    <cellStyle name="Comma 2 46 3 2" xfId="6598"/>
    <cellStyle name="Comma 2 46 4" xfId="6132"/>
    <cellStyle name="Comma 2 47" xfId="1001"/>
    <cellStyle name="Comma 2 47 2" xfId="1002"/>
    <cellStyle name="Comma 2 47 2 2" xfId="4889"/>
    <cellStyle name="Comma 2 47 2 2 2" xfId="6601"/>
    <cellStyle name="Comma 2 47 2 3" xfId="6135"/>
    <cellStyle name="Comma 2 47 3" xfId="4888"/>
    <cellStyle name="Comma 2 47 3 2" xfId="6600"/>
    <cellStyle name="Comma 2 47 4" xfId="6134"/>
    <cellStyle name="Comma 2 48" xfId="1003"/>
    <cellStyle name="Comma 2 48 2" xfId="1004"/>
    <cellStyle name="Comma 2 48 2 2" xfId="4891"/>
    <cellStyle name="Comma 2 48 2 2 2" xfId="6603"/>
    <cellStyle name="Comma 2 48 2 3" xfId="6137"/>
    <cellStyle name="Comma 2 48 3" xfId="4890"/>
    <cellStyle name="Comma 2 48 3 2" xfId="6602"/>
    <cellStyle name="Comma 2 48 4" xfId="6136"/>
    <cellStyle name="Comma 2 49" xfId="1005"/>
    <cellStyle name="Comma 2 5" xfId="1006"/>
    <cellStyle name="Comma 2 5 2" xfId="1007"/>
    <cellStyle name="Comma 2 5 3" xfId="1008"/>
    <cellStyle name="Comma 2 5 3 2" xfId="4893"/>
    <cellStyle name="Comma 2 5 3 2 2" xfId="6605"/>
    <cellStyle name="Comma 2 5 3 3" xfId="6139"/>
    <cellStyle name="Comma 2 5 4" xfId="4892"/>
    <cellStyle name="Comma 2 5 4 2" xfId="6604"/>
    <cellStyle name="Comma 2 5 5" xfId="6138"/>
    <cellStyle name="Comma 2 50" xfId="4770"/>
    <cellStyle name="Comma 2 50 2" xfId="6487"/>
    <cellStyle name="Comma 2 51" xfId="5767"/>
    <cellStyle name="Comma 2 51 2" xfId="6723"/>
    <cellStyle name="Comma 2 52" xfId="6021"/>
    <cellStyle name="Comma 2 6" xfId="1009"/>
    <cellStyle name="Comma 2 6 2" xfId="1010"/>
    <cellStyle name="Comma 2 6 2 2" xfId="4895"/>
    <cellStyle name="Comma 2 6 2 2 2" xfId="6607"/>
    <cellStyle name="Comma 2 6 2 3" xfId="6141"/>
    <cellStyle name="Comma 2 6 3" xfId="1011"/>
    <cellStyle name="Comma 2 6 3 2" xfId="4896"/>
    <cellStyle name="Comma 2 6 3 2 2" xfId="6608"/>
    <cellStyle name="Comma 2 6 3 3" xfId="6142"/>
    <cellStyle name="Comma 2 6 4" xfId="4894"/>
    <cellStyle name="Comma 2 6 4 2" xfId="6606"/>
    <cellStyle name="Comma 2 6 5" xfId="6140"/>
    <cellStyle name="Comma 2 7" xfId="1012"/>
    <cellStyle name="Comma 2 8" xfId="1013"/>
    <cellStyle name="Comma 2 8 2" xfId="1014"/>
    <cellStyle name="Comma 2 8 2 2" xfId="4898"/>
    <cellStyle name="Comma 2 8 2 2 2" xfId="6610"/>
    <cellStyle name="Comma 2 8 2 3" xfId="6144"/>
    <cellStyle name="Comma 2 8 3" xfId="4897"/>
    <cellStyle name="Comma 2 8 3 2" xfId="6609"/>
    <cellStyle name="Comma 2 8 4" xfId="6143"/>
    <cellStyle name="Comma 2 9" xfId="1015"/>
    <cellStyle name="Comma 2 9 2" xfId="1016"/>
    <cellStyle name="Comma 2 9 2 2" xfId="4900"/>
    <cellStyle name="Comma 2 9 2 2 2" xfId="6612"/>
    <cellStyle name="Comma 2 9 2 3" xfId="6146"/>
    <cellStyle name="Comma 2 9 3" xfId="4899"/>
    <cellStyle name="Comma 2 9 3 2" xfId="6611"/>
    <cellStyle name="Comma 2 9 4" xfId="6145"/>
    <cellStyle name="Comma 20" xfId="5761"/>
    <cellStyle name="Comma 20 2" xfId="1017"/>
    <cellStyle name="Comma 20 2 2" xfId="4901"/>
    <cellStyle name="Comma 20 2 2 2" xfId="6613"/>
    <cellStyle name="Comma 20 2 3" xfId="6147"/>
    <cellStyle name="Comma 20 3" xfId="1018"/>
    <cellStyle name="Comma 20 3 2" xfId="4902"/>
    <cellStyle name="Comma 20 3 2 2" xfId="6614"/>
    <cellStyle name="Comma 20 3 3" xfId="6148"/>
    <cellStyle name="Comma 20 4" xfId="6717"/>
    <cellStyle name="Comma 21" xfId="5763"/>
    <cellStyle name="Comma 21 2" xfId="1019"/>
    <cellStyle name="Comma 21 3" xfId="1020"/>
    <cellStyle name="Comma 21 3 2" xfId="4903"/>
    <cellStyle name="Comma 21 3 2 2" xfId="6615"/>
    <cellStyle name="Comma 21 3 3" xfId="6149"/>
    <cellStyle name="Comma 21 4" xfId="6719"/>
    <cellStyle name="Comma 22" xfId="5798"/>
    <cellStyle name="Comma 22 2" xfId="1021"/>
    <cellStyle name="Comma 22 2 2" xfId="4904"/>
    <cellStyle name="Comma 22 2 2 2" xfId="6616"/>
    <cellStyle name="Comma 22 2 3" xfId="6150"/>
    <cellStyle name="Comma 23" xfId="5769"/>
    <cellStyle name="Comma 24" xfId="6714"/>
    <cellStyle name="Comma 24 2" xfId="1022"/>
    <cellStyle name="Comma 24 2 2" xfId="4905"/>
    <cellStyle name="Comma 24 2 2 2" xfId="6617"/>
    <cellStyle name="Comma 24 2 3" xfId="6151"/>
    <cellStyle name="Comma 25 2" xfId="1023"/>
    <cellStyle name="Comma 25 2 2" xfId="4906"/>
    <cellStyle name="Comma 26 2" xfId="1024"/>
    <cellStyle name="Comma 26 2 2" xfId="4907"/>
    <cellStyle name="Comma 3" xfId="1025"/>
    <cellStyle name="Comma 3 10" xfId="1026"/>
    <cellStyle name="Comma 3 11" xfId="1027"/>
    <cellStyle name="Comma 3 11 2" xfId="4908"/>
    <cellStyle name="Comma 3 11 2 2" xfId="6618"/>
    <cellStyle name="Comma 3 11 3" xfId="6152"/>
    <cellStyle name="Comma 3 12" xfId="1028"/>
    <cellStyle name="Comma 3 12 2" xfId="4909"/>
    <cellStyle name="Comma 3 13" xfId="1029"/>
    <cellStyle name="Comma 3 14" xfId="1030"/>
    <cellStyle name="Comma 3 15" xfId="1031"/>
    <cellStyle name="Comma 3 16" xfId="1032"/>
    <cellStyle name="Comma 3 17" xfId="1033"/>
    <cellStyle name="Comma 3 18" xfId="1034"/>
    <cellStyle name="Comma 3 19" xfId="1035"/>
    <cellStyle name="Comma 3 19 2" xfId="4910"/>
    <cellStyle name="Comma 3 2" xfId="1036"/>
    <cellStyle name="Comma 3 2 10" xfId="1037"/>
    <cellStyle name="Comma 3 2 10 2" xfId="4911"/>
    <cellStyle name="Comma 3 2 11" xfId="1038"/>
    <cellStyle name="Comma 3 2 11 2" xfId="4912"/>
    <cellStyle name="Comma 3 2 12" xfId="1039"/>
    <cellStyle name="Comma 3 2 12 2" xfId="4913"/>
    <cellStyle name="Comma 3 2 12 2 2" xfId="6619"/>
    <cellStyle name="Comma 3 2 12 3" xfId="6153"/>
    <cellStyle name="Comma 3 2 13" xfId="1040"/>
    <cellStyle name="Comma 3 2 2" xfId="1041"/>
    <cellStyle name="Comma 3 2 3" xfId="1042"/>
    <cellStyle name="Comma 3 2 3 2" xfId="4914"/>
    <cellStyle name="Comma 3 2 3 2 2" xfId="6620"/>
    <cellStyle name="Comma 3 2 3 3" xfId="6154"/>
    <cellStyle name="Comma 3 2 4" xfId="1043"/>
    <cellStyle name="Comma 3 2 5" xfId="1044"/>
    <cellStyle name="Comma 3 2 6" xfId="1045"/>
    <cellStyle name="Comma 3 2 7" xfId="1046"/>
    <cellStyle name="Comma 3 2 7 2" xfId="4915"/>
    <cellStyle name="Comma 3 2 8" xfId="1047"/>
    <cellStyle name="Comma 3 2 8 2" xfId="4916"/>
    <cellStyle name="Comma 3 2 9" xfId="1048"/>
    <cellStyle name="Comma 3 2 9 2" xfId="4917"/>
    <cellStyle name="Comma 3 20" xfId="1049"/>
    <cellStyle name="Comma 3 3" xfId="1050"/>
    <cellStyle name="Comma 3 3 2" xfId="1051"/>
    <cellStyle name="Comma 3 3 2 2" xfId="4918"/>
    <cellStyle name="Comma 3 3 2 2 2" xfId="6621"/>
    <cellStyle name="Comma 3 3 2 3" xfId="6155"/>
    <cellStyle name="Comma 3 3 3" xfId="1052"/>
    <cellStyle name="Comma 3 3 3 2" xfId="4919"/>
    <cellStyle name="Comma 3 3 4" xfId="1053"/>
    <cellStyle name="Comma 3 4" xfId="1054"/>
    <cellStyle name="Comma 3 4 2" xfId="1055"/>
    <cellStyle name="Comma 3 4 2 2" xfId="4920"/>
    <cellStyle name="Comma 3 4 2 2 2" xfId="6622"/>
    <cellStyle name="Comma 3 4 2 3" xfId="6156"/>
    <cellStyle name="Comma 3 4 3" xfId="1056"/>
    <cellStyle name="Comma 3 4 3 2" xfId="4921"/>
    <cellStyle name="Comma 3 4 4" xfId="1057"/>
    <cellStyle name="Comma 3 5" xfId="1058"/>
    <cellStyle name="Comma 3 5 2" xfId="1059"/>
    <cellStyle name="Comma 3 5 2 2" xfId="4922"/>
    <cellStyle name="Comma 3 5 3" xfId="1060"/>
    <cellStyle name="Comma 3 6" xfId="1061"/>
    <cellStyle name="Comma 3 6 2" xfId="4923"/>
    <cellStyle name="Comma 3 7" xfId="1062"/>
    <cellStyle name="Comma 3 8" xfId="1063"/>
    <cellStyle name="Comma 3 9" xfId="1064"/>
    <cellStyle name="Comma 30 2" xfId="1065"/>
    <cellStyle name="Comma 30 2 2" xfId="1066"/>
    <cellStyle name="Comma 30 2 2 2" xfId="1067"/>
    <cellStyle name="Comma 30 2 2 2 2" xfId="4926"/>
    <cellStyle name="Comma 30 2 2 2 2 2" xfId="6625"/>
    <cellStyle name="Comma 30 2 2 2 3" xfId="6159"/>
    <cellStyle name="Comma 30 2 2 3" xfId="4925"/>
    <cellStyle name="Comma 30 2 2 3 2" xfId="6624"/>
    <cellStyle name="Comma 30 2 2 4" xfId="6158"/>
    <cellStyle name="Comma 30 2 3" xfId="1068"/>
    <cellStyle name="Comma 30 2 3 2" xfId="1069"/>
    <cellStyle name="Comma 30 2 3 2 2" xfId="4928"/>
    <cellStyle name="Comma 30 2 3 2 2 2" xfId="6627"/>
    <cellStyle name="Comma 30 2 3 2 3" xfId="6161"/>
    <cellStyle name="Comma 30 2 3 3" xfId="4927"/>
    <cellStyle name="Comma 30 2 3 3 2" xfId="6626"/>
    <cellStyle name="Comma 30 2 3 4" xfId="6160"/>
    <cellStyle name="Comma 30 2 4" xfId="1070"/>
    <cellStyle name="Comma 30 2 4 2" xfId="1071"/>
    <cellStyle name="Comma 30 2 4 2 2" xfId="4930"/>
    <cellStyle name="Comma 30 2 4 2 2 2" xfId="6629"/>
    <cellStyle name="Comma 30 2 4 2 3" xfId="6163"/>
    <cellStyle name="Comma 30 2 4 3" xfId="4929"/>
    <cellStyle name="Comma 30 2 4 3 2" xfId="6628"/>
    <cellStyle name="Comma 30 2 4 4" xfId="6162"/>
    <cellStyle name="Comma 30 2 5" xfId="1072"/>
    <cellStyle name="Comma 30 2 5 2" xfId="1073"/>
    <cellStyle name="Comma 30 2 5 2 2" xfId="4932"/>
    <cellStyle name="Comma 30 2 5 2 2 2" xfId="6631"/>
    <cellStyle name="Comma 30 2 5 2 3" xfId="6165"/>
    <cellStyle name="Comma 30 2 5 3" xfId="4931"/>
    <cellStyle name="Comma 30 2 5 3 2" xfId="6630"/>
    <cellStyle name="Comma 30 2 5 4" xfId="6164"/>
    <cellStyle name="Comma 30 2 6" xfId="1074"/>
    <cellStyle name="Comma 30 2 6 2" xfId="4933"/>
    <cellStyle name="Comma 30 2 6 2 2" xfId="6632"/>
    <cellStyle name="Comma 30 2 6 3" xfId="6166"/>
    <cellStyle name="Comma 30 2 7" xfId="4924"/>
    <cellStyle name="Comma 30 2 7 2" xfId="6623"/>
    <cellStyle name="Comma 30 2 8" xfId="6157"/>
    <cellStyle name="Comma 30 3" xfId="1075"/>
    <cellStyle name="Comma 30 3 2" xfId="1076"/>
    <cellStyle name="Comma 30 3 2 2" xfId="1077"/>
    <cellStyle name="Comma 30 3 2 2 2" xfId="4936"/>
    <cellStyle name="Comma 30 3 2 2 2 2" xfId="6635"/>
    <cellStyle name="Comma 30 3 2 2 3" xfId="6169"/>
    <cellStyle name="Comma 30 3 2 3" xfId="4935"/>
    <cellStyle name="Comma 30 3 2 3 2" xfId="6634"/>
    <cellStyle name="Comma 30 3 2 4" xfId="6168"/>
    <cellStyle name="Comma 30 3 3" xfId="1078"/>
    <cellStyle name="Comma 30 3 3 2" xfId="1079"/>
    <cellStyle name="Comma 30 3 3 2 2" xfId="4938"/>
    <cellStyle name="Comma 30 3 3 2 2 2" xfId="6637"/>
    <cellStyle name="Comma 30 3 3 2 3" xfId="6171"/>
    <cellStyle name="Comma 30 3 3 3" xfId="4937"/>
    <cellStyle name="Comma 30 3 3 3 2" xfId="6636"/>
    <cellStyle name="Comma 30 3 3 4" xfId="6170"/>
    <cellStyle name="Comma 30 3 4" xfId="1080"/>
    <cellStyle name="Comma 30 3 4 2" xfId="1081"/>
    <cellStyle name="Comma 30 3 4 2 2" xfId="4940"/>
    <cellStyle name="Comma 30 3 4 2 2 2" xfId="6639"/>
    <cellStyle name="Comma 30 3 4 2 3" xfId="6173"/>
    <cellStyle name="Comma 30 3 4 3" xfId="4939"/>
    <cellStyle name="Comma 30 3 4 3 2" xfId="6638"/>
    <cellStyle name="Comma 30 3 4 4" xfId="6172"/>
    <cellStyle name="Comma 30 3 5" xfId="1082"/>
    <cellStyle name="Comma 30 3 5 2" xfId="1083"/>
    <cellStyle name="Comma 30 3 5 2 2" xfId="4942"/>
    <cellStyle name="Comma 30 3 5 2 2 2" xfId="6641"/>
    <cellStyle name="Comma 30 3 5 2 3" xfId="6175"/>
    <cellStyle name="Comma 30 3 5 3" xfId="4941"/>
    <cellStyle name="Comma 30 3 5 3 2" xfId="6640"/>
    <cellStyle name="Comma 30 3 5 4" xfId="6174"/>
    <cellStyle name="Comma 30 3 6" xfId="1084"/>
    <cellStyle name="Comma 30 3 6 2" xfId="4943"/>
    <cellStyle name="Comma 30 3 6 2 2" xfId="6642"/>
    <cellStyle name="Comma 30 3 6 3" xfId="6176"/>
    <cellStyle name="Comma 30 3 7" xfId="4934"/>
    <cellStyle name="Comma 30 3 7 2" xfId="6633"/>
    <cellStyle name="Comma 30 3 8" xfId="6167"/>
    <cellStyle name="Comma 30 4" xfId="1085"/>
    <cellStyle name="Comma 30 4 2" xfId="1086"/>
    <cellStyle name="Comma 30 4 2 2" xfId="1087"/>
    <cellStyle name="Comma 30 4 2 2 2" xfId="4946"/>
    <cellStyle name="Comma 30 4 2 2 2 2" xfId="6645"/>
    <cellStyle name="Comma 30 4 2 2 3" xfId="6179"/>
    <cellStyle name="Comma 30 4 2 3" xfId="4945"/>
    <cellStyle name="Comma 30 4 2 3 2" xfId="6644"/>
    <cellStyle name="Comma 30 4 2 4" xfId="6178"/>
    <cellStyle name="Comma 30 4 3" xfId="1088"/>
    <cellStyle name="Comma 30 4 3 2" xfId="1089"/>
    <cellStyle name="Comma 30 4 3 2 2" xfId="4948"/>
    <cellStyle name="Comma 30 4 3 2 2 2" xfId="6647"/>
    <cellStyle name="Comma 30 4 3 2 3" xfId="6181"/>
    <cellStyle name="Comma 30 4 3 3" xfId="4947"/>
    <cellStyle name="Comma 30 4 3 3 2" xfId="6646"/>
    <cellStyle name="Comma 30 4 3 4" xfId="6180"/>
    <cellStyle name="Comma 30 4 4" xfId="1090"/>
    <cellStyle name="Comma 30 4 4 2" xfId="1091"/>
    <cellStyle name="Comma 30 4 4 2 2" xfId="4950"/>
    <cellStyle name="Comma 30 4 4 2 2 2" xfId="6649"/>
    <cellStyle name="Comma 30 4 4 2 3" xfId="6183"/>
    <cellStyle name="Comma 30 4 4 3" xfId="4949"/>
    <cellStyle name="Comma 30 4 4 3 2" xfId="6648"/>
    <cellStyle name="Comma 30 4 4 4" xfId="6182"/>
    <cellStyle name="Comma 30 4 5" xfId="1092"/>
    <cellStyle name="Comma 30 4 5 2" xfId="1093"/>
    <cellStyle name="Comma 30 4 5 2 2" xfId="4952"/>
    <cellStyle name="Comma 30 4 5 2 2 2" xfId="6651"/>
    <cellStyle name="Comma 30 4 5 2 3" xfId="6185"/>
    <cellStyle name="Comma 30 4 5 3" xfId="4951"/>
    <cellStyle name="Comma 30 4 5 3 2" xfId="6650"/>
    <cellStyle name="Comma 30 4 5 4" xfId="6184"/>
    <cellStyle name="Comma 30 4 6" xfId="1094"/>
    <cellStyle name="Comma 30 4 6 2" xfId="4953"/>
    <cellStyle name="Comma 30 4 6 2 2" xfId="6652"/>
    <cellStyle name="Comma 30 4 6 3" xfId="6186"/>
    <cellStyle name="Comma 30 4 7" xfId="4944"/>
    <cellStyle name="Comma 30 4 7 2" xfId="6643"/>
    <cellStyle name="Comma 30 4 8" xfId="6177"/>
    <cellStyle name="Comma 30 5" xfId="1095"/>
    <cellStyle name="Comma 30 5 2" xfId="1096"/>
    <cellStyle name="Comma 30 5 2 2" xfId="4955"/>
    <cellStyle name="Comma 30 5 2 2 2" xfId="6654"/>
    <cellStyle name="Comma 30 5 2 3" xfId="6188"/>
    <cellStyle name="Comma 30 5 3" xfId="4954"/>
    <cellStyle name="Comma 30 5 3 2" xfId="6653"/>
    <cellStyle name="Comma 30 5 4" xfId="6187"/>
    <cellStyle name="Comma 30 6" xfId="1097"/>
    <cellStyle name="Comma 30 6 2" xfId="1098"/>
    <cellStyle name="Comma 30 6 2 2" xfId="4957"/>
    <cellStyle name="Comma 30 6 2 2 2" xfId="6656"/>
    <cellStyle name="Comma 30 6 2 3" xfId="6190"/>
    <cellStyle name="Comma 30 6 3" xfId="4956"/>
    <cellStyle name="Comma 30 6 3 2" xfId="6655"/>
    <cellStyle name="Comma 30 6 4" xfId="6189"/>
    <cellStyle name="Comma 30 7" xfId="1099"/>
    <cellStyle name="Comma 30 7 2" xfId="1100"/>
    <cellStyle name="Comma 30 7 2 2" xfId="4959"/>
    <cellStyle name="Comma 30 7 2 2 2" xfId="6658"/>
    <cellStyle name="Comma 30 7 2 3" xfId="6192"/>
    <cellStyle name="Comma 30 7 3" xfId="4958"/>
    <cellStyle name="Comma 30 7 3 2" xfId="6657"/>
    <cellStyle name="Comma 30 7 4" xfId="6191"/>
    <cellStyle name="Comma 30 8" xfId="1101"/>
    <cellStyle name="Comma 30 8 2" xfId="1102"/>
    <cellStyle name="Comma 30 8 2 2" xfId="4961"/>
    <cellStyle name="Comma 30 8 2 2 2" xfId="6660"/>
    <cellStyle name="Comma 30 8 2 3" xfId="6194"/>
    <cellStyle name="Comma 30 8 3" xfId="4960"/>
    <cellStyle name="Comma 30 8 3 2" xfId="6659"/>
    <cellStyle name="Comma 30 8 4" xfId="6193"/>
    <cellStyle name="Comma 32" xfId="1103"/>
    <cellStyle name="Comma 32 2" xfId="1104"/>
    <cellStyle name="Comma 32 2 2" xfId="4963"/>
    <cellStyle name="Comma 32 2 2 2" xfId="6662"/>
    <cellStyle name="Comma 32 2 3" xfId="6196"/>
    <cellStyle name="Comma 32 3" xfId="1105"/>
    <cellStyle name="Comma 32 3 2" xfId="4964"/>
    <cellStyle name="Comma 32 3 2 2" xfId="6663"/>
    <cellStyle name="Comma 32 3 3" xfId="6197"/>
    <cellStyle name="Comma 32 4" xfId="4962"/>
    <cellStyle name="Comma 32 4 2" xfId="6661"/>
    <cellStyle name="Comma 32 5" xfId="6195"/>
    <cellStyle name="Comma 4" xfId="1106"/>
    <cellStyle name="Comma 4 2" xfId="1107"/>
    <cellStyle name="Comma 4 2 10" xfId="6199"/>
    <cellStyle name="Comma 4 2 2" xfId="1108"/>
    <cellStyle name="Comma 4 2 2 2" xfId="1109"/>
    <cellStyle name="Comma 4 2 2 2 2" xfId="4968"/>
    <cellStyle name="Comma 4 2 2 2 2 2" xfId="6667"/>
    <cellStyle name="Comma 4 2 2 2 3" xfId="6201"/>
    <cellStyle name="Comma 4 2 2 3" xfId="1110"/>
    <cellStyle name="Comma 4 2 2 3 2" xfId="4969"/>
    <cellStyle name="Comma 4 2 2 3 2 2" xfId="6668"/>
    <cellStyle name="Comma 4 2 2 3 3" xfId="6202"/>
    <cellStyle name="Comma 4 2 2 4" xfId="4967"/>
    <cellStyle name="Comma 4 2 2 4 2" xfId="6666"/>
    <cellStyle name="Comma 4 2 2 5" xfId="6200"/>
    <cellStyle name="Comma 4 2 3" xfId="1111"/>
    <cellStyle name="Comma 4 2 3 2" xfId="1112"/>
    <cellStyle name="Comma 4 2 3 2 2" xfId="4971"/>
    <cellStyle name="Comma 4 2 3 2 2 2" xfId="6670"/>
    <cellStyle name="Comma 4 2 3 2 3" xfId="6204"/>
    <cellStyle name="Comma 4 2 3 3" xfId="1113"/>
    <cellStyle name="Comma 4 2 3 3 2" xfId="4972"/>
    <cellStyle name="Comma 4 2 3 3 2 2" xfId="6671"/>
    <cellStyle name="Comma 4 2 3 3 3" xfId="6205"/>
    <cellStyle name="Comma 4 2 3 4" xfId="4970"/>
    <cellStyle name="Comma 4 2 3 4 2" xfId="6669"/>
    <cellStyle name="Comma 4 2 3 5" xfId="6203"/>
    <cellStyle name="Comma 4 2 4" xfId="1114"/>
    <cellStyle name="Comma 4 2 4 2" xfId="1115"/>
    <cellStyle name="Comma 4 2 4 2 2" xfId="4974"/>
    <cellStyle name="Comma 4 2 4 2 2 2" xfId="6673"/>
    <cellStyle name="Comma 4 2 4 2 3" xfId="6207"/>
    <cellStyle name="Comma 4 2 4 3" xfId="1116"/>
    <cellStyle name="Comma 4 2 4 3 2" xfId="4975"/>
    <cellStyle name="Comma 4 2 4 3 2 2" xfId="6674"/>
    <cellStyle name="Comma 4 2 4 3 3" xfId="6208"/>
    <cellStyle name="Comma 4 2 4 4" xfId="4973"/>
    <cellStyle name="Comma 4 2 4 4 2" xfId="6672"/>
    <cellStyle name="Comma 4 2 4 5" xfId="6206"/>
    <cellStyle name="Comma 4 2 5" xfId="1117"/>
    <cellStyle name="Comma 4 2 5 2" xfId="1118"/>
    <cellStyle name="Comma 4 2 5 2 2" xfId="4977"/>
    <cellStyle name="Comma 4 2 5 2 2 2" xfId="6676"/>
    <cellStyle name="Comma 4 2 5 2 3" xfId="6210"/>
    <cellStyle name="Comma 4 2 5 3" xfId="1119"/>
    <cellStyle name="Comma 4 2 5 3 2" xfId="4978"/>
    <cellStyle name="Comma 4 2 5 3 2 2" xfId="6677"/>
    <cellStyle name="Comma 4 2 5 3 3" xfId="6211"/>
    <cellStyle name="Comma 4 2 5 4" xfId="4976"/>
    <cellStyle name="Comma 4 2 5 4 2" xfId="6675"/>
    <cellStyle name="Comma 4 2 5 5" xfId="6209"/>
    <cellStyle name="Comma 4 2 6" xfId="1120"/>
    <cellStyle name="Comma 4 2 7" xfId="1121"/>
    <cellStyle name="Comma 4 2 7 2" xfId="4979"/>
    <cellStyle name="Comma 4 2 7 2 2" xfId="6678"/>
    <cellStyle name="Comma 4 2 7 3" xfId="6212"/>
    <cellStyle name="Comma 4 2 8" xfId="1122"/>
    <cellStyle name="Comma 4 2 8 2" xfId="4980"/>
    <cellStyle name="Comma 4 2 8 2 2" xfId="6679"/>
    <cellStyle name="Comma 4 2 8 3" xfId="6213"/>
    <cellStyle name="Comma 4 2 9" xfId="4966"/>
    <cellStyle name="Comma 4 2 9 2" xfId="6665"/>
    <cellStyle name="Comma 4 3" xfId="1123"/>
    <cellStyle name="Comma 4 3 2" xfId="1124"/>
    <cellStyle name="Comma 4 3 2 2" xfId="1125"/>
    <cellStyle name="Comma 4 3 2 2 2" xfId="4983"/>
    <cellStyle name="Comma 4 3 2 3" xfId="4982"/>
    <cellStyle name="Comma 4 3 3" xfId="1126"/>
    <cellStyle name="Comma 4 3 4" xfId="1127"/>
    <cellStyle name="Comma 4 3 4 2" xfId="4984"/>
    <cellStyle name="Comma 4 3 4 2 2" xfId="6681"/>
    <cellStyle name="Comma 4 3 4 3" xfId="6215"/>
    <cellStyle name="Comma 4 3 5" xfId="4981"/>
    <cellStyle name="Comma 4 3 5 2" xfId="6680"/>
    <cellStyle name="Comma 4 3 6" xfId="6214"/>
    <cellStyle name="Comma 4 4" xfId="1128"/>
    <cellStyle name="Comma 4 4 2" xfId="1129"/>
    <cellStyle name="Comma 4 4 3" xfId="1130"/>
    <cellStyle name="Comma 4 4 3 2" xfId="4986"/>
    <cellStyle name="Comma 4 4 3 2 2" xfId="6683"/>
    <cellStyle name="Comma 4 4 3 3" xfId="6217"/>
    <cellStyle name="Comma 4 4 4" xfId="4985"/>
    <cellStyle name="Comma 4 4 4 2" xfId="6682"/>
    <cellStyle name="Comma 4 4 5" xfId="6216"/>
    <cellStyle name="Comma 4 5" xfId="1131"/>
    <cellStyle name="Comma 4 5 2" xfId="1132"/>
    <cellStyle name="Comma 4 5 3" xfId="1133"/>
    <cellStyle name="Comma 4 5 3 2" xfId="4988"/>
    <cellStyle name="Comma 4 5 3 2 2" xfId="6685"/>
    <cellStyle name="Comma 4 5 3 3" xfId="6219"/>
    <cellStyle name="Comma 4 5 4" xfId="4987"/>
    <cellStyle name="Comma 4 5 4 2" xfId="6684"/>
    <cellStyle name="Comma 4 5 5" xfId="6218"/>
    <cellStyle name="Comma 4 6" xfId="1134"/>
    <cellStyle name="Comma 4 6 2" xfId="4989"/>
    <cellStyle name="Comma 4 6 2 2" xfId="6686"/>
    <cellStyle name="Comma 4 6 3" xfId="6220"/>
    <cellStyle name="Comma 4 7" xfId="1135"/>
    <cellStyle name="Comma 4 7 2" xfId="4990"/>
    <cellStyle name="Comma 4 7 2 2" xfId="6687"/>
    <cellStyle name="Comma 4 7 3" xfId="6221"/>
    <cellStyle name="Comma 4 8" xfId="4965"/>
    <cellStyle name="Comma 4 8 2" xfId="6664"/>
    <cellStyle name="Comma 4 9" xfId="6198"/>
    <cellStyle name="Comma 5" xfId="1136"/>
    <cellStyle name="Comma 5 2" xfId="1137"/>
    <cellStyle name="Comma 5 2 2" xfId="4992"/>
    <cellStyle name="Comma 5 2 2 2" xfId="6689"/>
    <cellStyle name="Comma 5 2 3" xfId="6223"/>
    <cellStyle name="Comma 5 3" xfId="1138"/>
    <cellStyle name="Comma 5 3 2" xfId="4993"/>
    <cellStyle name="Comma 5 3 2 2" xfId="6690"/>
    <cellStyle name="Comma 5 3 3" xfId="6224"/>
    <cellStyle name="Comma 5 4" xfId="1139"/>
    <cellStyle name="Comma 5 5" xfId="1140"/>
    <cellStyle name="Comma 5 6" xfId="1141"/>
    <cellStyle name="Comma 5 7" xfId="1142"/>
    <cellStyle name="Comma 5 7 2" xfId="4994"/>
    <cellStyle name="Comma 5 7 2 2" xfId="6691"/>
    <cellStyle name="Comma 5 7 3" xfId="6225"/>
    <cellStyle name="Comma 5 8" xfId="4991"/>
    <cellStyle name="Comma 5 8 2" xfId="6688"/>
    <cellStyle name="Comma 5 9" xfId="6222"/>
    <cellStyle name="Comma 6" xfId="1143"/>
    <cellStyle name="Comma 6 2" xfId="1144"/>
    <cellStyle name="Comma 6 2 2" xfId="1145"/>
    <cellStyle name="Comma 6 2 2 2" xfId="4997"/>
    <cellStyle name="Comma 6 2 2 2 2" xfId="6694"/>
    <cellStyle name="Comma 6 2 2 3" xfId="6228"/>
    <cellStyle name="Comma 6 2 3" xfId="1146"/>
    <cellStyle name="Comma 6 2 3 2" xfId="4998"/>
    <cellStyle name="Comma 6 2 3 2 2" xfId="6695"/>
    <cellStyle name="Comma 6 2 3 3" xfId="6229"/>
    <cellStyle name="Comma 6 2 4" xfId="4996"/>
    <cellStyle name="Comma 6 2 4 2" xfId="6693"/>
    <cellStyle name="Comma 6 2 5" xfId="6227"/>
    <cellStyle name="Comma 6 3" xfId="1147"/>
    <cellStyle name="Comma 6 3 2" xfId="4999"/>
    <cellStyle name="Comma 6 3 2 2" xfId="6696"/>
    <cellStyle name="Comma 6 3 3" xfId="6230"/>
    <cellStyle name="Comma 6 4" xfId="1148"/>
    <cellStyle name="Comma 6 4 2" xfId="5000"/>
    <cellStyle name="Comma 6 4 2 2" xfId="6697"/>
    <cellStyle name="Comma 6 4 3" xfId="6231"/>
    <cellStyle name="Comma 6 5" xfId="1149"/>
    <cellStyle name="Comma 6 5 2" xfId="5001"/>
    <cellStyle name="Comma 6 5 2 2" xfId="6698"/>
    <cellStyle name="Comma 6 5 3" xfId="6232"/>
    <cellStyle name="Comma 6 6" xfId="4995"/>
    <cellStyle name="Comma 6 6 2" xfId="6692"/>
    <cellStyle name="Comma 6 7" xfId="6226"/>
    <cellStyle name="Comma 7" xfId="1150"/>
    <cellStyle name="Comma 7 2" xfId="1151"/>
    <cellStyle name="Comma 7 2 2" xfId="1152"/>
    <cellStyle name="Comma 7 2 2 2" xfId="1153"/>
    <cellStyle name="Comma 7 2 2 2 2" xfId="5004"/>
    <cellStyle name="Comma 7 2 2 2 2 2" xfId="6701"/>
    <cellStyle name="Comma 7 2 2 2 3" xfId="6235"/>
    <cellStyle name="Comma 7 2 2 3" xfId="5003"/>
    <cellStyle name="Comma 7 2 2 3 2" xfId="6700"/>
    <cellStyle name="Comma 7 2 2 4" xfId="6234"/>
    <cellStyle name="Comma 7 2 3" xfId="1154"/>
    <cellStyle name="Comma 7 2 3 2" xfId="1155"/>
    <cellStyle name="Comma 7 2 3 2 2" xfId="5005"/>
    <cellStyle name="Comma 7 2 3 2 2 2" xfId="6702"/>
    <cellStyle name="Comma 7 2 3 2 3" xfId="6236"/>
    <cellStyle name="Comma 7 2 3 3" xfId="1156"/>
    <cellStyle name="Comma 7 2 4" xfId="1157"/>
    <cellStyle name="Comma 7 2 4 2" xfId="1158"/>
    <cellStyle name="Comma 7 2 4 2 2" xfId="5006"/>
    <cellStyle name="Comma 7 2 4 3" xfId="1159"/>
    <cellStyle name="Comma 7 2 5" xfId="1160"/>
    <cellStyle name="Comma 7 2 5 2" xfId="1161"/>
    <cellStyle name="Comma 7 2 5 2 2" xfId="5007"/>
    <cellStyle name="Comma 7 2 5 3" xfId="1162"/>
    <cellStyle name="Comma 7 2 6" xfId="1163"/>
    <cellStyle name="Comma 7 2 6 2" xfId="5008"/>
    <cellStyle name="Comma 7 2 6 2 2" xfId="6703"/>
    <cellStyle name="Comma 7 2 6 3" xfId="6237"/>
    <cellStyle name="Comma 7 2 7" xfId="5002"/>
    <cellStyle name="Comma 7 2 7 2" xfId="6699"/>
    <cellStyle name="Comma 7 2 8" xfId="5766"/>
    <cellStyle name="Comma 7 2 8 2" xfId="6722"/>
    <cellStyle name="Comma 7 2 9" xfId="6233"/>
    <cellStyle name="Comma 7 3" xfId="1164"/>
    <cellStyle name="Comma 7 3 2" xfId="1165"/>
    <cellStyle name="Comma 7 3 2 2" xfId="5010"/>
    <cellStyle name="Comma 7 3 2 2 2" xfId="6705"/>
    <cellStyle name="Comma 7 3 2 3" xfId="6239"/>
    <cellStyle name="Comma 7 3 3" xfId="1166"/>
    <cellStyle name="Comma 7 3 3 2" xfId="5011"/>
    <cellStyle name="Comma 7 3 3 2 2" xfId="6706"/>
    <cellStyle name="Comma 7 3 3 3" xfId="6240"/>
    <cellStyle name="Comma 7 3 4" xfId="5009"/>
    <cellStyle name="Comma 7 3 4 2" xfId="6704"/>
    <cellStyle name="Comma 7 3 5" xfId="6238"/>
    <cellStyle name="Comma 7 4" xfId="1167"/>
    <cellStyle name="Comma 7 4 2" xfId="1168"/>
    <cellStyle name="Comma 7 4 2 2" xfId="5012"/>
    <cellStyle name="Comma 7 4 2 2 2" xfId="6707"/>
    <cellStyle name="Comma 7 4 2 3" xfId="6241"/>
    <cellStyle name="Comma 7 4 3" xfId="1169"/>
    <cellStyle name="Comma 7 5" xfId="1170"/>
    <cellStyle name="Comma 7 5 2" xfId="1171"/>
    <cellStyle name="Comma 7 5 2 2" xfId="5013"/>
    <cellStyle name="Comma 7 5 2 2 2" xfId="6708"/>
    <cellStyle name="Comma 7 5 2 3" xfId="6242"/>
    <cellStyle name="Comma 7 5 3" xfId="1172"/>
    <cellStyle name="Comma 7 6" xfId="1173"/>
    <cellStyle name="Comma 7 7" xfId="1174"/>
    <cellStyle name="Comma 7 7 2" xfId="5014"/>
    <cellStyle name="Comma 7 7 2 2" xfId="6709"/>
    <cellStyle name="Comma 7 7 3" xfId="6243"/>
    <cellStyle name="Comma 7 8" xfId="1175"/>
    <cellStyle name="Comma 8" xfId="1176"/>
    <cellStyle name="Comma 8 2" xfId="1177"/>
    <cellStyle name="Comma 8 2 2" xfId="1178"/>
    <cellStyle name="Comma 8 2 2 2" xfId="5016"/>
    <cellStyle name="Comma 8 2 2 2 2" xfId="6711"/>
    <cellStyle name="Comma 8 2 2 3" xfId="6245"/>
    <cellStyle name="Comma 8 2 3" xfId="5015"/>
    <cellStyle name="Comma 8 2 3 2" xfId="6710"/>
    <cellStyle name="Comma 8 2 4" xfId="6244"/>
    <cellStyle name="Comma 8 3" xfId="1179"/>
    <cellStyle name="Comma 8 3 2" xfId="5017"/>
    <cellStyle name="Comma 8 3 2 2" xfId="6712"/>
    <cellStyle name="Comma 8 3 3" xfId="6246"/>
    <cellStyle name="Comma 9" xfId="1180"/>
    <cellStyle name="Comma 9 2" xfId="1181"/>
    <cellStyle name="Comma 9 2 2" xfId="5018"/>
    <cellStyle name="Comma 9 2 2 2" xfId="6713"/>
    <cellStyle name="Comma 9 2 3" xfId="6247"/>
    <cellStyle name="Comma_2006 P AND L PLUS BAL SHEET.xls rkk.xls BB 2" xfId="1182"/>
    <cellStyle name="Currency 2" xfId="1183"/>
    <cellStyle name="Currency 2 10" xfId="1184"/>
    <cellStyle name="Currency 2 10 2" xfId="1185"/>
    <cellStyle name="Currency 2 10 2 2" xfId="5021"/>
    <cellStyle name="Currency 2 10 3" xfId="5020"/>
    <cellStyle name="Currency 2 11" xfId="1186"/>
    <cellStyle name="Currency 2 11 2" xfId="1187"/>
    <cellStyle name="Currency 2 11 2 2" xfId="5023"/>
    <cellStyle name="Currency 2 11 3" xfId="5022"/>
    <cellStyle name="Currency 2 12" xfId="1188"/>
    <cellStyle name="Currency 2 12 2" xfId="1189"/>
    <cellStyle name="Currency 2 12 2 2" xfId="5025"/>
    <cellStyle name="Currency 2 12 3" xfId="5024"/>
    <cellStyle name="Currency 2 13" xfId="1190"/>
    <cellStyle name="Currency 2 13 2" xfId="1191"/>
    <cellStyle name="Currency 2 13 2 2" xfId="5027"/>
    <cellStyle name="Currency 2 13 3" xfId="5026"/>
    <cellStyle name="Currency 2 14" xfId="1192"/>
    <cellStyle name="Currency 2 14 2" xfId="1193"/>
    <cellStyle name="Currency 2 14 2 2" xfId="5029"/>
    <cellStyle name="Currency 2 14 3" xfId="5028"/>
    <cellStyle name="Currency 2 15" xfId="1194"/>
    <cellStyle name="Currency 2 15 2" xfId="1195"/>
    <cellStyle name="Currency 2 15 2 2" xfId="5031"/>
    <cellStyle name="Currency 2 15 3" xfId="5030"/>
    <cellStyle name="Currency 2 16" xfId="1196"/>
    <cellStyle name="Currency 2 16 2" xfId="1197"/>
    <cellStyle name="Currency 2 16 2 2" xfId="5033"/>
    <cellStyle name="Currency 2 16 3" xfId="5032"/>
    <cellStyle name="Currency 2 17" xfId="1198"/>
    <cellStyle name="Currency 2 17 2" xfId="1199"/>
    <cellStyle name="Currency 2 17 2 2" xfId="5035"/>
    <cellStyle name="Currency 2 17 3" xfId="5034"/>
    <cellStyle name="Currency 2 18" xfId="1200"/>
    <cellStyle name="Currency 2 18 2" xfId="1201"/>
    <cellStyle name="Currency 2 18 2 2" xfId="5037"/>
    <cellStyle name="Currency 2 18 3" xfId="5036"/>
    <cellStyle name="Currency 2 19" xfId="1202"/>
    <cellStyle name="Currency 2 19 2" xfId="1203"/>
    <cellStyle name="Currency 2 19 2 2" xfId="5039"/>
    <cellStyle name="Currency 2 19 3" xfId="5038"/>
    <cellStyle name="Currency 2 2" xfId="1204"/>
    <cellStyle name="Currency 2 2 10" xfId="1205"/>
    <cellStyle name="Currency 2 2 10 2" xfId="1206"/>
    <cellStyle name="Currency 2 2 10 2 2" xfId="5042"/>
    <cellStyle name="Currency 2 2 10 3" xfId="5041"/>
    <cellStyle name="Currency 2 2 11" xfId="1207"/>
    <cellStyle name="Currency 2 2 11 2" xfId="1208"/>
    <cellStyle name="Currency 2 2 11 2 2" xfId="5044"/>
    <cellStyle name="Currency 2 2 11 3" xfId="5043"/>
    <cellStyle name="Currency 2 2 12" xfId="1209"/>
    <cellStyle name="Currency 2 2 12 2" xfId="1210"/>
    <cellStyle name="Currency 2 2 12 2 2" xfId="5046"/>
    <cellStyle name="Currency 2 2 12 3" xfId="5045"/>
    <cellStyle name="Currency 2 2 13" xfId="1211"/>
    <cellStyle name="Currency 2 2 13 2" xfId="1212"/>
    <cellStyle name="Currency 2 2 13 2 2" xfId="5048"/>
    <cellStyle name="Currency 2 2 13 3" xfId="5047"/>
    <cellStyle name="Currency 2 2 14" xfId="1213"/>
    <cellStyle name="Currency 2 2 14 2" xfId="1214"/>
    <cellStyle name="Currency 2 2 14 2 2" xfId="5050"/>
    <cellStyle name="Currency 2 2 14 3" xfId="5049"/>
    <cellStyle name="Currency 2 2 15" xfId="1215"/>
    <cellStyle name="Currency 2 2 15 2" xfId="1216"/>
    <cellStyle name="Currency 2 2 15 2 2" xfId="5052"/>
    <cellStyle name="Currency 2 2 15 3" xfId="5051"/>
    <cellStyle name="Currency 2 2 16" xfId="1217"/>
    <cellStyle name="Currency 2 2 16 2" xfId="1218"/>
    <cellStyle name="Currency 2 2 16 2 2" xfId="5054"/>
    <cellStyle name="Currency 2 2 16 3" xfId="5053"/>
    <cellStyle name="Currency 2 2 17" xfId="1219"/>
    <cellStyle name="Currency 2 2 17 2" xfId="1220"/>
    <cellStyle name="Currency 2 2 17 2 2" xfId="5056"/>
    <cellStyle name="Currency 2 2 17 3" xfId="5055"/>
    <cellStyle name="Currency 2 2 18" xfId="1221"/>
    <cellStyle name="Currency 2 2 18 2" xfId="1222"/>
    <cellStyle name="Currency 2 2 18 2 2" xfId="5058"/>
    <cellStyle name="Currency 2 2 18 3" xfId="5057"/>
    <cellStyle name="Currency 2 2 19" xfId="1223"/>
    <cellStyle name="Currency 2 2 19 2" xfId="1224"/>
    <cellStyle name="Currency 2 2 19 2 2" xfId="5060"/>
    <cellStyle name="Currency 2 2 19 3" xfId="5059"/>
    <cellStyle name="Currency 2 2 2" xfId="1225"/>
    <cellStyle name="Currency 2 2 2 10" xfId="1226"/>
    <cellStyle name="Currency 2 2 2 10 2" xfId="1227"/>
    <cellStyle name="Currency 2 2 2 10 2 2" xfId="5063"/>
    <cellStyle name="Currency 2 2 2 10 3" xfId="5062"/>
    <cellStyle name="Currency 2 2 2 11" xfId="1228"/>
    <cellStyle name="Currency 2 2 2 11 2" xfId="1229"/>
    <cellStyle name="Currency 2 2 2 11 2 2" xfId="5065"/>
    <cellStyle name="Currency 2 2 2 11 3" xfId="5064"/>
    <cellStyle name="Currency 2 2 2 12" xfId="1230"/>
    <cellStyle name="Currency 2 2 2 12 2" xfId="1231"/>
    <cellStyle name="Currency 2 2 2 12 2 2" xfId="5067"/>
    <cellStyle name="Currency 2 2 2 12 3" xfId="5066"/>
    <cellStyle name="Currency 2 2 2 13" xfId="1232"/>
    <cellStyle name="Currency 2 2 2 13 2" xfId="1233"/>
    <cellStyle name="Currency 2 2 2 13 2 2" xfId="5069"/>
    <cellStyle name="Currency 2 2 2 13 3" xfId="5068"/>
    <cellStyle name="Currency 2 2 2 14" xfId="1234"/>
    <cellStyle name="Currency 2 2 2 14 2" xfId="1235"/>
    <cellStyle name="Currency 2 2 2 14 2 2" xfId="5071"/>
    <cellStyle name="Currency 2 2 2 14 3" xfId="5070"/>
    <cellStyle name="Currency 2 2 2 15" xfId="1236"/>
    <cellStyle name="Currency 2 2 2 15 2" xfId="1237"/>
    <cellStyle name="Currency 2 2 2 15 2 2" xfId="5073"/>
    <cellStyle name="Currency 2 2 2 15 3" xfId="5072"/>
    <cellStyle name="Currency 2 2 2 16" xfId="1238"/>
    <cellStyle name="Currency 2 2 2 16 2" xfId="1239"/>
    <cellStyle name="Currency 2 2 2 16 2 2" xfId="5075"/>
    <cellStyle name="Currency 2 2 2 16 3" xfId="5074"/>
    <cellStyle name="Currency 2 2 2 17" xfId="1240"/>
    <cellStyle name="Currency 2 2 2 17 2" xfId="1241"/>
    <cellStyle name="Currency 2 2 2 17 2 2" xfId="5077"/>
    <cellStyle name="Currency 2 2 2 17 3" xfId="5076"/>
    <cellStyle name="Currency 2 2 2 18" xfId="1242"/>
    <cellStyle name="Currency 2 2 2 18 2" xfId="1243"/>
    <cellStyle name="Currency 2 2 2 18 2 2" xfId="5079"/>
    <cellStyle name="Currency 2 2 2 18 3" xfId="5078"/>
    <cellStyle name="Currency 2 2 2 19" xfId="1244"/>
    <cellStyle name="Currency 2 2 2 19 2" xfId="1245"/>
    <cellStyle name="Currency 2 2 2 19 2 2" xfId="5081"/>
    <cellStyle name="Currency 2 2 2 19 3" xfId="5080"/>
    <cellStyle name="Currency 2 2 2 2" xfId="1246"/>
    <cellStyle name="Currency 2 2 2 2 10" xfId="1247"/>
    <cellStyle name="Currency 2 2 2 2 10 2" xfId="1248"/>
    <cellStyle name="Currency 2 2 2 2 10 2 2" xfId="5084"/>
    <cellStyle name="Currency 2 2 2 2 10 3" xfId="5083"/>
    <cellStyle name="Currency 2 2 2 2 11" xfId="1249"/>
    <cellStyle name="Currency 2 2 2 2 11 2" xfId="1250"/>
    <cellStyle name="Currency 2 2 2 2 11 2 2" xfId="5086"/>
    <cellStyle name="Currency 2 2 2 2 11 3" xfId="5085"/>
    <cellStyle name="Currency 2 2 2 2 12" xfId="1251"/>
    <cellStyle name="Currency 2 2 2 2 12 2" xfId="1252"/>
    <cellStyle name="Currency 2 2 2 2 12 2 2" xfId="5088"/>
    <cellStyle name="Currency 2 2 2 2 12 3" xfId="5087"/>
    <cellStyle name="Currency 2 2 2 2 13" xfId="1253"/>
    <cellStyle name="Currency 2 2 2 2 13 2" xfId="1254"/>
    <cellStyle name="Currency 2 2 2 2 13 2 2" xfId="5090"/>
    <cellStyle name="Currency 2 2 2 2 13 3" xfId="5089"/>
    <cellStyle name="Currency 2 2 2 2 14" xfId="1255"/>
    <cellStyle name="Currency 2 2 2 2 14 2" xfId="1256"/>
    <cellStyle name="Currency 2 2 2 2 14 2 2" xfId="5092"/>
    <cellStyle name="Currency 2 2 2 2 14 3" xfId="5091"/>
    <cellStyle name="Currency 2 2 2 2 15" xfId="1257"/>
    <cellStyle name="Currency 2 2 2 2 15 2" xfId="1258"/>
    <cellStyle name="Currency 2 2 2 2 15 2 2" xfId="5094"/>
    <cellStyle name="Currency 2 2 2 2 15 3" xfId="5093"/>
    <cellStyle name="Currency 2 2 2 2 16" xfId="1259"/>
    <cellStyle name="Currency 2 2 2 2 16 2" xfId="1260"/>
    <cellStyle name="Currency 2 2 2 2 16 2 2" xfId="5096"/>
    <cellStyle name="Currency 2 2 2 2 16 3" xfId="5095"/>
    <cellStyle name="Currency 2 2 2 2 17" xfId="1261"/>
    <cellStyle name="Currency 2 2 2 2 17 2" xfId="1262"/>
    <cellStyle name="Currency 2 2 2 2 17 2 2" xfId="5098"/>
    <cellStyle name="Currency 2 2 2 2 17 3" xfId="5097"/>
    <cellStyle name="Currency 2 2 2 2 18" xfId="1263"/>
    <cellStyle name="Currency 2 2 2 2 18 2" xfId="1264"/>
    <cellStyle name="Currency 2 2 2 2 18 2 2" xfId="5100"/>
    <cellStyle name="Currency 2 2 2 2 18 3" xfId="5099"/>
    <cellStyle name="Currency 2 2 2 2 19" xfId="1265"/>
    <cellStyle name="Currency 2 2 2 2 19 2" xfId="1266"/>
    <cellStyle name="Currency 2 2 2 2 19 2 2" xfId="5102"/>
    <cellStyle name="Currency 2 2 2 2 19 3" xfId="5101"/>
    <cellStyle name="Currency 2 2 2 2 2" xfId="1267"/>
    <cellStyle name="Currency 2 2 2 2 2 2" xfId="1268"/>
    <cellStyle name="Currency 2 2 2 2 2 2 2" xfId="1269"/>
    <cellStyle name="Currency 2 2 2 2 2 2 2 2" xfId="1270"/>
    <cellStyle name="Currency 2 2 2 2 2 2 2 2 2" xfId="1271"/>
    <cellStyle name="Currency 2 2 2 2 2 2 2 2 2 2" xfId="1272"/>
    <cellStyle name="Currency 2 2 2 2 2 2 2 2 2 2 2" xfId="1273"/>
    <cellStyle name="Currency 2 2 2 2 2 2 2 2 2 2 2 2" xfId="1274"/>
    <cellStyle name="Currency 2 2 2 2 2 2 2 2 2 2 2 2 2" xfId="1275"/>
    <cellStyle name="Currency 2 2 2 2 2 2 2 2 2 2 2 2 2 2" xfId="5111"/>
    <cellStyle name="Currency 2 2 2 2 2 2 2 2 2 2 2 2 3" xfId="5110"/>
    <cellStyle name="Currency 2 2 2 2 2 2 2 2 2 2 2 3" xfId="1276"/>
    <cellStyle name="Currency 2 2 2 2 2 2 2 2 2 2 2 3 2" xfId="1277"/>
    <cellStyle name="Currency 2 2 2 2 2 2 2 2 2 2 2 3 2 2" xfId="5113"/>
    <cellStyle name="Currency 2 2 2 2 2 2 2 2 2 2 2 3 3" xfId="5112"/>
    <cellStyle name="Currency 2 2 2 2 2 2 2 2 2 2 2 4" xfId="1278"/>
    <cellStyle name="Currency 2 2 2 2 2 2 2 2 2 2 2 4 2" xfId="1279"/>
    <cellStyle name="Currency 2 2 2 2 2 2 2 2 2 2 2 4 2 2" xfId="5115"/>
    <cellStyle name="Currency 2 2 2 2 2 2 2 2 2 2 2 4 3" xfId="5114"/>
    <cellStyle name="Currency 2 2 2 2 2 2 2 2 2 2 2 5" xfId="1280"/>
    <cellStyle name="Currency 2 2 2 2 2 2 2 2 2 2 2 5 2" xfId="5116"/>
    <cellStyle name="Currency 2 2 2 2 2 2 2 2 2 2 2 6" xfId="5109"/>
    <cellStyle name="Currency 2 2 2 2 2 2 2 2 2 2 3" xfId="1281"/>
    <cellStyle name="Currency 2 2 2 2 2 2 2 2 2 2 3 2" xfId="1282"/>
    <cellStyle name="Currency 2 2 2 2 2 2 2 2 2 2 3 2 2" xfId="5118"/>
    <cellStyle name="Currency 2 2 2 2 2 2 2 2 2 2 3 3" xfId="5117"/>
    <cellStyle name="Currency 2 2 2 2 2 2 2 2 2 2 4" xfId="1283"/>
    <cellStyle name="Currency 2 2 2 2 2 2 2 2 2 2 4 2" xfId="1284"/>
    <cellStyle name="Currency 2 2 2 2 2 2 2 2 2 2 4 2 2" xfId="5120"/>
    <cellStyle name="Currency 2 2 2 2 2 2 2 2 2 2 4 3" xfId="5119"/>
    <cellStyle name="Currency 2 2 2 2 2 2 2 2 2 2 5" xfId="1285"/>
    <cellStyle name="Currency 2 2 2 2 2 2 2 2 2 2 5 2" xfId="5121"/>
    <cellStyle name="Currency 2 2 2 2 2 2 2 2 2 2 6" xfId="5108"/>
    <cellStyle name="Currency 2 2 2 2 2 2 2 2 2 3" xfId="1286"/>
    <cellStyle name="Currency 2 2 2 2 2 2 2 2 2 3 2" xfId="1287"/>
    <cellStyle name="Currency 2 2 2 2 2 2 2 2 2 3 2 2" xfId="5123"/>
    <cellStyle name="Currency 2 2 2 2 2 2 2 2 2 3 3" xfId="5122"/>
    <cellStyle name="Currency 2 2 2 2 2 2 2 2 2 4" xfId="1288"/>
    <cellStyle name="Currency 2 2 2 2 2 2 2 2 2 4 2" xfId="1289"/>
    <cellStyle name="Currency 2 2 2 2 2 2 2 2 2 4 2 2" xfId="5125"/>
    <cellStyle name="Currency 2 2 2 2 2 2 2 2 2 4 3" xfId="5124"/>
    <cellStyle name="Currency 2 2 2 2 2 2 2 2 2 5" xfId="1290"/>
    <cellStyle name="Currency 2 2 2 2 2 2 2 2 2 5 2" xfId="1291"/>
    <cellStyle name="Currency 2 2 2 2 2 2 2 2 2 5 2 2" xfId="5127"/>
    <cellStyle name="Currency 2 2 2 2 2 2 2 2 2 5 3" xfId="5126"/>
    <cellStyle name="Currency 2 2 2 2 2 2 2 2 2 6" xfId="1292"/>
    <cellStyle name="Currency 2 2 2 2 2 2 2 2 2 6 2" xfId="5128"/>
    <cellStyle name="Currency 2 2 2 2 2 2 2 2 2 7" xfId="5107"/>
    <cellStyle name="Currency 2 2 2 2 2 2 2 2 3" xfId="1293"/>
    <cellStyle name="Currency 2 2 2 2 2 2 2 2 3 2" xfId="1294"/>
    <cellStyle name="Currency 2 2 2 2 2 2 2 2 3 2 2" xfId="5130"/>
    <cellStyle name="Currency 2 2 2 2 2 2 2 2 3 3" xfId="5129"/>
    <cellStyle name="Currency 2 2 2 2 2 2 2 2 4" xfId="1295"/>
    <cellStyle name="Currency 2 2 2 2 2 2 2 2 4 2" xfId="1296"/>
    <cellStyle name="Currency 2 2 2 2 2 2 2 2 4 2 2" xfId="5132"/>
    <cellStyle name="Currency 2 2 2 2 2 2 2 2 4 3" xfId="5131"/>
    <cellStyle name="Currency 2 2 2 2 2 2 2 2 5" xfId="1297"/>
    <cellStyle name="Currency 2 2 2 2 2 2 2 2 5 2" xfId="1298"/>
    <cellStyle name="Currency 2 2 2 2 2 2 2 2 5 2 2" xfId="5134"/>
    <cellStyle name="Currency 2 2 2 2 2 2 2 2 5 3" xfId="5133"/>
    <cellStyle name="Currency 2 2 2 2 2 2 2 2 6" xfId="1299"/>
    <cellStyle name="Currency 2 2 2 2 2 2 2 2 6 2" xfId="5135"/>
    <cellStyle name="Currency 2 2 2 2 2 2 2 2 7" xfId="5106"/>
    <cellStyle name="Currency 2 2 2 2 2 2 2 3" xfId="1300"/>
    <cellStyle name="Currency 2 2 2 2 2 2 2 3 2" xfId="1301"/>
    <cellStyle name="Currency 2 2 2 2 2 2 2 3 2 2" xfId="5137"/>
    <cellStyle name="Currency 2 2 2 2 2 2 2 3 3" xfId="5136"/>
    <cellStyle name="Currency 2 2 2 2 2 2 2 4" xfId="1302"/>
    <cellStyle name="Currency 2 2 2 2 2 2 2 4 2" xfId="1303"/>
    <cellStyle name="Currency 2 2 2 2 2 2 2 4 2 2" xfId="5139"/>
    <cellStyle name="Currency 2 2 2 2 2 2 2 4 3" xfId="5138"/>
    <cellStyle name="Currency 2 2 2 2 2 2 2 5" xfId="1304"/>
    <cellStyle name="Currency 2 2 2 2 2 2 2 5 2" xfId="1305"/>
    <cellStyle name="Currency 2 2 2 2 2 2 2 5 2 2" xfId="5141"/>
    <cellStyle name="Currency 2 2 2 2 2 2 2 5 3" xfId="5140"/>
    <cellStyle name="Currency 2 2 2 2 2 2 2 6" xfId="1306"/>
    <cellStyle name="Currency 2 2 2 2 2 2 2 6 2" xfId="1307"/>
    <cellStyle name="Currency 2 2 2 2 2 2 2 6 2 2" xfId="5143"/>
    <cellStyle name="Currency 2 2 2 2 2 2 2 6 3" xfId="5142"/>
    <cellStyle name="Currency 2 2 2 2 2 2 2 7" xfId="1308"/>
    <cellStyle name="Currency 2 2 2 2 2 2 2 7 2" xfId="5144"/>
    <cellStyle name="Currency 2 2 2 2 2 2 2 8" xfId="5105"/>
    <cellStyle name="Currency 2 2 2 2 2 2 3" xfId="1309"/>
    <cellStyle name="Currency 2 2 2 2 2 2 3 2" xfId="1310"/>
    <cellStyle name="Currency 2 2 2 2 2 2 3 2 2" xfId="5146"/>
    <cellStyle name="Currency 2 2 2 2 2 2 3 3" xfId="5145"/>
    <cellStyle name="Currency 2 2 2 2 2 2 4" xfId="1311"/>
    <cellStyle name="Currency 2 2 2 2 2 2 4 2" xfId="1312"/>
    <cellStyle name="Currency 2 2 2 2 2 2 4 2 2" xfId="5148"/>
    <cellStyle name="Currency 2 2 2 2 2 2 4 3" xfId="5147"/>
    <cellStyle name="Currency 2 2 2 2 2 2 5" xfId="1313"/>
    <cellStyle name="Currency 2 2 2 2 2 2 5 2" xfId="1314"/>
    <cellStyle name="Currency 2 2 2 2 2 2 5 2 2" xfId="5150"/>
    <cellStyle name="Currency 2 2 2 2 2 2 5 3" xfId="5149"/>
    <cellStyle name="Currency 2 2 2 2 2 2 6" xfId="1315"/>
    <cellStyle name="Currency 2 2 2 2 2 2 6 2" xfId="1316"/>
    <cellStyle name="Currency 2 2 2 2 2 2 6 2 2" xfId="5152"/>
    <cellStyle name="Currency 2 2 2 2 2 2 6 3" xfId="5151"/>
    <cellStyle name="Currency 2 2 2 2 2 2 7" xfId="1317"/>
    <cellStyle name="Currency 2 2 2 2 2 2 7 2" xfId="1318"/>
    <cellStyle name="Currency 2 2 2 2 2 2 7 2 2" xfId="5154"/>
    <cellStyle name="Currency 2 2 2 2 2 2 7 3" xfId="5153"/>
    <cellStyle name="Currency 2 2 2 2 2 2 8" xfId="1319"/>
    <cellStyle name="Currency 2 2 2 2 2 2 8 2" xfId="5155"/>
    <cellStyle name="Currency 2 2 2 2 2 2 9" xfId="5104"/>
    <cellStyle name="Currency 2 2 2 2 2 3" xfId="1320"/>
    <cellStyle name="Currency 2 2 2 2 2 3 2" xfId="1321"/>
    <cellStyle name="Currency 2 2 2 2 2 3 2 2" xfId="1322"/>
    <cellStyle name="Currency 2 2 2 2 2 3 2 2 2" xfId="5158"/>
    <cellStyle name="Currency 2 2 2 2 2 3 2 3" xfId="5157"/>
    <cellStyle name="Currency 2 2 2 2 2 3 3" xfId="1323"/>
    <cellStyle name="Currency 2 2 2 2 2 3 3 2" xfId="5159"/>
    <cellStyle name="Currency 2 2 2 2 2 3 4" xfId="5156"/>
    <cellStyle name="Currency 2 2 2 2 2 4" xfId="1324"/>
    <cellStyle name="Currency 2 2 2 2 2 4 2" xfId="1325"/>
    <cellStyle name="Currency 2 2 2 2 2 4 2 2" xfId="5161"/>
    <cellStyle name="Currency 2 2 2 2 2 4 3" xfId="5160"/>
    <cellStyle name="Currency 2 2 2 2 2 5" xfId="1326"/>
    <cellStyle name="Currency 2 2 2 2 2 5 2" xfId="1327"/>
    <cellStyle name="Currency 2 2 2 2 2 5 2 2" xfId="5163"/>
    <cellStyle name="Currency 2 2 2 2 2 5 3" xfId="5162"/>
    <cellStyle name="Currency 2 2 2 2 2 6" xfId="1328"/>
    <cellStyle name="Currency 2 2 2 2 2 6 2" xfId="1329"/>
    <cellStyle name="Currency 2 2 2 2 2 6 2 2" xfId="5165"/>
    <cellStyle name="Currency 2 2 2 2 2 6 3" xfId="5164"/>
    <cellStyle name="Currency 2 2 2 2 2 7" xfId="1330"/>
    <cellStyle name="Currency 2 2 2 2 2 7 2" xfId="1331"/>
    <cellStyle name="Currency 2 2 2 2 2 7 2 2" xfId="5167"/>
    <cellStyle name="Currency 2 2 2 2 2 7 3" xfId="5166"/>
    <cellStyle name="Currency 2 2 2 2 2 8" xfId="1332"/>
    <cellStyle name="Currency 2 2 2 2 2 8 2" xfId="5168"/>
    <cellStyle name="Currency 2 2 2 2 2 9" xfId="5103"/>
    <cellStyle name="Currency 2 2 2 2 20" xfId="1333"/>
    <cellStyle name="Currency 2 2 2 2 20 2" xfId="1334"/>
    <cellStyle name="Currency 2 2 2 2 20 2 2" xfId="5170"/>
    <cellStyle name="Currency 2 2 2 2 20 3" xfId="5169"/>
    <cellStyle name="Currency 2 2 2 2 21" xfId="1335"/>
    <cellStyle name="Currency 2 2 2 2 21 2" xfId="1336"/>
    <cellStyle name="Currency 2 2 2 2 21 2 2" xfId="5172"/>
    <cellStyle name="Currency 2 2 2 2 21 3" xfId="5171"/>
    <cellStyle name="Currency 2 2 2 2 22" xfId="1337"/>
    <cellStyle name="Currency 2 2 2 2 22 2" xfId="1338"/>
    <cellStyle name="Currency 2 2 2 2 22 2 2" xfId="5174"/>
    <cellStyle name="Currency 2 2 2 2 22 3" xfId="5173"/>
    <cellStyle name="Currency 2 2 2 2 23" xfId="1339"/>
    <cellStyle name="Currency 2 2 2 2 23 2" xfId="1340"/>
    <cellStyle name="Currency 2 2 2 2 23 2 2" xfId="1341"/>
    <cellStyle name="Currency 2 2 2 2 23 2 2 2" xfId="5177"/>
    <cellStyle name="Currency 2 2 2 2 23 2 3" xfId="5176"/>
    <cellStyle name="Currency 2 2 2 2 23 3" xfId="1342"/>
    <cellStyle name="Currency 2 2 2 2 23 3 2" xfId="5178"/>
    <cellStyle name="Currency 2 2 2 2 23 4" xfId="5175"/>
    <cellStyle name="Currency 2 2 2 2 24" xfId="1343"/>
    <cellStyle name="Currency 2 2 2 2 24 2" xfId="1344"/>
    <cellStyle name="Currency 2 2 2 2 24 2 2" xfId="5180"/>
    <cellStyle name="Currency 2 2 2 2 24 3" xfId="5179"/>
    <cellStyle name="Currency 2 2 2 2 25" xfId="1345"/>
    <cellStyle name="Currency 2 2 2 2 25 2" xfId="1346"/>
    <cellStyle name="Currency 2 2 2 2 25 2 2" xfId="5182"/>
    <cellStyle name="Currency 2 2 2 2 25 3" xfId="5181"/>
    <cellStyle name="Currency 2 2 2 2 26" xfId="1347"/>
    <cellStyle name="Currency 2 2 2 2 26 2" xfId="1348"/>
    <cellStyle name="Currency 2 2 2 2 26 2 2" xfId="5184"/>
    <cellStyle name="Currency 2 2 2 2 26 3" xfId="5183"/>
    <cellStyle name="Currency 2 2 2 2 27" xfId="1349"/>
    <cellStyle name="Currency 2 2 2 2 27 2" xfId="1350"/>
    <cellStyle name="Currency 2 2 2 2 27 2 2" xfId="5186"/>
    <cellStyle name="Currency 2 2 2 2 27 3" xfId="5185"/>
    <cellStyle name="Currency 2 2 2 2 28" xfId="1351"/>
    <cellStyle name="Currency 2 2 2 2 28 2" xfId="5187"/>
    <cellStyle name="Currency 2 2 2 2 29" xfId="5082"/>
    <cellStyle name="Currency 2 2 2 2 3" xfId="1352"/>
    <cellStyle name="Currency 2 2 2 2 3 2" xfId="1353"/>
    <cellStyle name="Currency 2 2 2 2 3 2 2" xfId="5189"/>
    <cellStyle name="Currency 2 2 2 2 3 3" xfId="5188"/>
    <cellStyle name="Currency 2 2 2 2 4" xfId="1354"/>
    <cellStyle name="Currency 2 2 2 2 4 2" xfId="1355"/>
    <cellStyle name="Currency 2 2 2 2 4 2 2" xfId="5191"/>
    <cellStyle name="Currency 2 2 2 2 4 3" xfId="5190"/>
    <cellStyle name="Currency 2 2 2 2 5" xfId="1356"/>
    <cellStyle name="Currency 2 2 2 2 5 2" xfId="1357"/>
    <cellStyle name="Currency 2 2 2 2 5 2 2" xfId="5193"/>
    <cellStyle name="Currency 2 2 2 2 5 3" xfId="5192"/>
    <cellStyle name="Currency 2 2 2 2 6" xfId="1358"/>
    <cellStyle name="Currency 2 2 2 2 6 2" xfId="1359"/>
    <cellStyle name="Currency 2 2 2 2 6 2 2" xfId="5195"/>
    <cellStyle name="Currency 2 2 2 2 6 3" xfId="5194"/>
    <cellStyle name="Currency 2 2 2 2 7" xfId="1360"/>
    <cellStyle name="Currency 2 2 2 2 7 2" xfId="1361"/>
    <cellStyle name="Currency 2 2 2 2 7 2 2" xfId="5197"/>
    <cellStyle name="Currency 2 2 2 2 7 3" xfId="5196"/>
    <cellStyle name="Currency 2 2 2 2 8" xfId="1362"/>
    <cellStyle name="Currency 2 2 2 2 8 2" xfId="1363"/>
    <cellStyle name="Currency 2 2 2 2 8 2 2" xfId="5199"/>
    <cellStyle name="Currency 2 2 2 2 8 3" xfId="5198"/>
    <cellStyle name="Currency 2 2 2 2 9" xfId="1364"/>
    <cellStyle name="Currency 2 2 2 2 9 2" xfId="1365"/>
    <cellStyle name="Currency 2 2 2 2 9 2 2" xfId="5201"/>
    <cellStyle name="Currency 2 2 2 2 9 3" xfId="5200"/>
    <cellStyle name="Currency 2 2 2 20" xfId="1366"/>
    <cellStyle name="Currency 2 2 2 20 2" xfId="1367"/>
    <cellStyle name="Currency 2 2 2 20 2 2" xfId="5203"/>
    <cellStyle name="Currency 2 2 2 20 3" xfId="5202"/>
    <cellStyle name="Currency 2 2 2 21" xfId="1368"/>
    <cellStyle name="Currency 2 2 2 21 2" xfId="1369"/>
    <cellStyle name="Currency 2 2 2 21 2 2" xfId="5205"/>
    <cellStyle name="Currency 2 2 2 21 3" xfId="5204"/>
    <cellStyle name="Currency 2 2 2 22" xfId="1370"/>
    <cellStyle name="Currency 2 2 2 22 2" xfId="1371"/>
    <cellStyle name="Currency 2 2 2 22 2 2" xfId="5207"/>
    <cellStyle name="Currency 2 2 2 22 3" xfId="5206"/>
    <cellStyle name="Currency 2 2 2 23" xfId="1372"/>
    <cellStyle name="Currency 2 2 2 23 2" xfId="1373"/>
    <cellStyle name="Currency 2 2 2 23 2 2" xfId="1374"/>
    <cellStyle name="Currency 2 2 2 23 2 2 2" xfId="5210"/>
    <cellStyle name="Currency 2 2 2 23 2 3" xfId="5209"/>
    <cellStyle name="Currency 2 2 2 23 3" xfId="1375"/>
    <cellStyle name="Currency 2 2 2 23 3 2" xfId="5211"/>
    <cellStyle name="Currency 2 2 2 23 4" xfId="5208"/>
    <cellStyle name="Currency 2 2 2 24" xfId="1376"/>
    <cellStyle name="Currency 2 2 2 24 2" xfId="1377"/>
    <cellStyle name="Currency 2 2 2 24 2 2" xfId="5213"/>
    <cellStyle name="Currency 2 2 2 24 3" xfId="5212"/>
    <cellStyle name="Currency 2 2 2 25" xfId="1378"/>
    <cellStyle name="Currency 2 2 2 25 2" xfId="1379"/>
    <cellStyle name="Currency 2 2 2 25 2 2" xfId="5215"/>
    <cellStyle name="Currency 2 2 2 25 3" xfId="5214"/>
    <cellStyle name="Currency 2 2 2 26" xfId="1380"/>
    <cellStyle name="Currency 2 2 2 26 2" xfId="1381"/>
    <cellStyle name="Currency 2 2 2 26 2 2" xfId="5217"/>
    <cellStyle name="Currency 2 2 2 26 3" xfId="5216"/>
    <cellStyle name="Currency 2 2 2 27" xfId="1382"/>
    <cellStyle name="Currency 2 2 2 27 2" xfId="1383"/>
    <cellStyle name="Currency 2 2 2 27 2 2" xfId="5219"/>
    <cellStyle name="Currency 2 2 2 27 3" xfId="5218"/>
    <cellStyle name="Currency 2 2 2 28" xfId="1384"/>
    <cellStyle name="Currency 2 2 2 28 2" xfId="5220"/>
    <cellStyle name="Currency 2 2 2 29" xfId="5061"/>
    <cellStyle name="Currency 2 2 2 3" xfId="1385"/>
    <cellStyle name="Currency 2 2 2 3 2" xfId="1386"/>
    <cellStyle name="Currency 2 2 2 3 2 2" xfId="1387"/>
    <cellStyle name="Currency 2 2 2 3 2 2 2" xfId="5223"/>
    <cellStyle name="Currency 2 2 2 3 2 3" xfId="5222"/>
    <cellStyle name="Currency 2 2 2 3 3" xfId="1388"/>
    <cellStyle name="Currency 2 2 2 3 3 2" xfId="5224"/>
    <cellStyle name="Currency 2 2 2 3 4" xfId="5221"/>
    <cellStyle name="Currency 2 2 2 4" xfId="1389"/>
    <cellStyle name="Currency 2 2 2 4 2" xfId="1390"/>
    <cellStyle name="Currency 2 2 2 4 2 2" xfId="5226"/>
    <cellStyle name="Currency 2 2 2 4 3" xfId="5225"/>
    <cellStyle name="Currency 2 2 2 5" xfId="1391"/>
    <cellStyle name="Currency 2 2 2 5 2" xfId="1392"/>
    <cellStyle name="Currency 2 2 2 5 2 2" xfId="5228"/>
    <cellStyle name="Currency 2 2 2 5 3" xfId="5227"/>
    <cellStyle name="Currency 2 2 2 6" xfId="1393"/>
    <cellStyle name="Currency 2 2 2 6 2" xfId="1394"/>
    <cellStyle name="Currency 2 2 2 6 2 2" xfId="5230"/>
    <cellStyle name="Currency 2 2 2 6 3" xfId="5229"/>
    <cellStyle name="Currency 2 2 2 7" xfId="1395"/>
    <cellStyle name="Currency 2 2 2 7 2" xfId="1396"/>
    <cellStyle name="Currency 2 2 2 7 2 2" xfId="5232"/>
    <cellStyle name="Currency 2 2 2 7 3" xfId="5231"/>
    <cellStyle name="Currency 2 2 2 8" xfId="1397"/>
    <cellStyle name="Currency 2 2 2 8 2" xfId="1398"/>
    <cellStyle name="Currency 2 2 2 8 2 2" xfId="5234"/>
    <cellStyle name="Currency 2 2 2 8 3" xfId="5233"/>
    <cellStyle name="Currency 2 2 2 9" xfId="1399"/>
    <cellStyle name="Currency 2 2 2 9 2" xfId="1400"/>
    <cellStyle name="Currency 2 2 2 9 2 2" xfId="5236"/>
    <cellStyle name="Currency 2 2 2 9 3" xfId="5235"/>
    <cellStyle name="Currency 2 2 20" xfId="1401"/>
    <cellStyle name="Currency 2 2 20 2" xfId="1402"/>
    <cellStyle name="Currency 2 2 20 2 2" xfId="5238"/>
    <cellStyle name="Currency 2 2 20 3" xfId="5237"/>
    <cellStyle name="Currency 2 2 21" xfId="1403"/>
    <cellStyle name="Currency 2 2 21 2" xfId="1404"/>
    <cellStyle name="Currency 2 2 21 2 2" xfId="5240"/>
    <cellStyle name="Currency 2 2 21 3" xfId="5239"/>
    <cellStyle name="Currency 2 2 22" xfId="1405"/>
    <cellStyle name="Currency 2 2 22 2" xfId="1406"/>
    <cellStyle name="Currency 2 2 22 2 2" xfId="5242"/>
    <cellStyle name="Currency 2 2 22 3" xfId="5241"/>
    <cellStyle name="Currency 2 2 23" xfId="1407"/>
    <cellStyle name="Currency 2 2 23 2" xfId="1408"/>
    <cellStyle name="Currency 2 2 23 2 2" xfId="1409"/>
    <cellStyle name="Currency 2 2 23 2 2 2" xfId="5245"/>
    <cellStyle name="Currency 2 2 23 2 3" xfId="5244"/>
    <cellStyle name="Currency 2 2 23 3" xfId="1410"/>
    <cellStyle name="Currency 2 2 23 3 2" xfId="5246"/>
    <cellStyle name="Currency 2 2 23 4" xfId="5243"/>
    <cellStyle name="Currency 2 2 24" xfId="1411"/>
    <cellStyle name="Currency 2 2 24 2" xfId="1412"/>
    <cellStyle name="Currency 2 2 24 2 2" xfId="5248"/>
    <cellStyle name="Currency 2 2 24 3" xfId="5247"/>
    <cellStyle name="Currency 2 2 25" xfId="1413"/>
    <cellStyle name="Currency 2 2 25 2" xfId="1414"/>
    <cellStyle name="Currency 2 2 25 2 2" xfId="5250"/>
    <cellStyle name="Currency 2 2 25 3" xfId="5249"/>
    <cellStyle name="Currency 2 2 26" xfId="1415"/>
    <cellStyle name="Currency 2 2 26 2" xfId="1416"/>
    <cellStyle name="Currency 2 2 26 2 2" xfId="5252"/>
    <cellStyle name="Currency 2 2 26 3" xfId="5251"/>
    <cellStyle name="Currency 2 2 27" xfId="1417"/>
    <cellStyle name="Currency 2 2 27 2" xfId="1418"/>
    <cellStyle name="Currency 2 2 27 2 2" xfId="5254"/>
    <cellStyle name="Currency 2 2 27 3" xfId="5253"/>
    <cellStyle name="Currency 2 2 28" xfId="1419"/>
    <cellStyle name="Currency 2 2 28 2" xfId="5255"/>
    <cellStyle name="Currency 2 2 29" xfId="5040"/>
    <cellStyle name="Currency 2 2 3" xfId="1420"/>
    <cellStyle name="Currency 2 2 3 2" xfId="1421"/>
    <cellStyle name="Currency 2 2 3 2 2" xfId="1422"/>
    <cellStyle name="Currency 2 2 3 2 2 2" xfId="5258"/>
    <cellStyle name="Currency 2 2 3 2 3" xfId="5257"/>
    <cellStyle name="Currency 2 2 3 3" xfId="1423"/>
    <cellStyle name="Currency 2 2 3 3 2" xfId="5259"/>
    <cellStyle name="Currency 2 2 3 4" xfId="5256"/>
    <cellStyle name="Currency 2 2 4" xfId="1424"/>
    <cellStyle name="Currency 2 2 4 2" xfId="1425"/>
    <cellStyle name="Currency 2 2 4 2 2" xfId="5261"/>
    <cellStyle name="Currency 2 2 4 3" xfId="5260"/>
    <cellStyle name="Currency 2 2 5" xfId="1426"/>
    <cellStyle name="Currency 2 2 5 2" xfId="1427"/>
    <cellStyle name="Currency 2 2 5 2 2" xfId="5263"/>
    <cellStyle name="Currency 2 2 5 3" xfId="5262"/>
    <cellStyle name="Currency 2 2 6" xfId="1428"/>
    <cellStyle name="Currency 2 2 6 2" xfId="1429"/>
    <cellStyle name="Currency 2 2 6 2 2" xfId="5265"/>
    <cellStyle name="Currency 2 2 6 3" xfId="5264"/>
    <cellStyle name="Currency 2 2 7" xfId="1430"/>
    <cellStyle name="Currency 2 2 7 2" xfId="1431"/>
    <cellStyle name="Currency 2 2 7 2 2" xfId="5267"/>
    <cellStyle name="Currency 2 2 7 3" xfId="5266"/>
    <cellStyle name="Currency 2 2 8" xfId="1432"/>
    <cellStyle name="Currency 2 2 8 2" xfId="1433"/>
    <cellStyle name="Currency 2 2 8 2 2" xfId="5269"/>
    <cellStyle name="Currency 2 2 8 3" xfId="5268"/>
    <cellStyle name="Currency 2 2 9" xfId="1434"/>
    <cellStyle name="Currency 2 2 9 2" xfId="1435"/>
    <cellStyle name="Currency 2 2 9 2 2" xfId="5271"/>
    <cellStyle name="Currency 2 2 9 3" xfId="5270"/>
    <cellStyle name="Currency 2 20" xfId="1436"/>
    <cellStyle name="Currency 2 20 2" xfId="1437"/>
    <cellStyle name="Currency 2 20 2 2" xfId="5273"/>
    <cellStyle name="Currency 2 20 3" xfId="5272"/>
    <cellStyle name="Currency 2 21" xfId="1438"/>
    <cellStyle name="Currency 2 21 2" xfId="1439"/>
    <cellStyle name="Currency 2 21 2 2" xfId="5275"/>
    <cellStyle name="Currency 2 21 3" xfId="5274"/>
    <cellStyle name="Currency 2 22" xfId="1440"/>
    <cellStyle name="Currency 2 22 2" xfId="1441"/>
    <cellStyle name="Currency 2 22 2 2" xfId="5277"/>
    <cellStyle name="Currency 2 22 3" xfId="5276"/>
    <cellStyle name="Currency 2 23" xfId="1442"/>
    <cellStyle name="Currency 2 23 2" xfId="1443"/>
    <cellStyle name="Currency 2 23 2 2" xfId="5279"/>
    <cellStyle name="Currency 2 23 3" xfId="5278"/>
    <cellStyle name="Currency 2 24" xfId="1444"/>
    <cellStyle name="Currency 2 24 2" xfId="5280"/>
    <cellStyle name="Currency 2 25" xfId="5019"/>
    <cellStyle name="Currency 2 3" xfId="1445"/>
    <cellStyle name="Currency 2 3 2" xfId="1446"/>
    <cellStyle name="Currency 2 3 3" xfId="1447"/>
    <cellStyle name="Currency 2 3 4" xfId="1448"/>
    <cellStyle name="Currency 2 3 4 2" xfId="5282"/>
    <cellStyle name="Currency 2 3 5" xfId="5281"/>
    <cellStyle name="Currency 2 4" xfId="1449"/>
    <cellStyle name="Currency 2 4 2" xfId="1450"/>
    <cellStyle name="Currency 2 4 2 2" xfId="5284"/>
    <cellStyle name="Currency 2 4 3" xfId="5283"/>
    <cellStyle name="Currency 2 5" xfId="1451"/>
    <cellStyle name="Currency 2 5 2" xfId="1452"/>
    <cellStyle name="Currency 2 5 2 2" xfId="5286"/>
    <cellStyle name="Currency 2 5 3" xfId="5285"/>
    <cellStyle name="Currency 2 6" xfId="1453"/>
    <cellStyle name="Currency 2 6 2" xfId="1454"/>
    <cellStyle name="Currency 2 6 2 2" xfId="5288"/>
    <cellStyle name="Currency 2 6 3" xfId="5287"/>
    <cellStyle name="Currency 2 7" xfId="1455"/>
    <cellStyle name="Currency 2 7 2" xfId="1456"/>
    <cellStyle name="Currency 2 7 2 2" xfId="5290"/>
    <cellStyle name="Currency 2 7 3" xfId="5289"/>
    <cellStyle name="Currency 2 8" xfId="1457"/>
    <cellStyle name="Currency 2 8 2" xfId="1458"/>
    <cellStyle name="Currency 2 8 2 2" xfId="5292"/>
    <cellStyle name="Currency 2 8 3" xfId="5291"/>
    <cellStyle name="Currency 2 9" xfId="1459"/>
    <cellStyle name="Currency 2 9 2" xfId="1460"/>
    <cellStyle name="Currency 2 9 2 2" xfId="5294"/>
    <cellStyle name="Currency 2 9 3" xfId="5293"/>
    <cellStyle name="Currency 3" xfId="1461"/>
    <cellStyle name="Currency 3 2" xfId="1462"/>
    <cellStyle name="Currency 3 2 2" xfId="1463"/>
    <cellStyle name="Currency 3 2 2 2" xfId="1464"/>
    <cellStyle name="Currency 3 2 2 2 2" xfId="5297"/>
    <cellStyle name="Currency 3 2 2 3" xfId="1465"/>
    <cellStyle name="Currency 3 2 3" xfId="1466"/>
    <cellStyle name="Currency 3 2 3 2" xfId="1467"/>
    <cellStyle name="Currency 3 2 3 2 2" xfId="5298"/>
    <cellStyle name="Currency 3 2 3 3" xfId="1468"/>
    <cellStyle name="Currency 3 2 4" xfId="1469"/>
    <cellStyle name="Currency 3 2 4 2" xfId="1470"/>
    <cellStyle name="Currency 3 2 4 2 2" xfId="5299"/>
    <cellStyle name="Currency 3 2 4 3" xfId="1471"/>
    <cellStyle name="Currency 3 2 5" xfId="1472"/>
    <cellStyle name="Currency 3 2 5 2" xfId="1473"/>
    <cellStyle name="Currency 3 2 5 2 2" xfId="5300"/>
    <cellStyle name="Currency 3 2 5 3" xfId="1474"/>
    <cellStyle name="Currency 3 2 6" xfId="1475"/>
    <cellStyle name="Currency 3 2 6 2" xfId="5301"/>
    <cellStyle name="Currency 3 2 7" xfId="5296"/>
    <cellStyle name="Currency 3 3" xfId="1476"/>
    <cellStyle name="Currency 3 3 2" xfId="1477"/>
    <cellStyle name="Currency 3 3 2 2" xfId="5302"/>
    <cellStyle name="Currency 3 3 3" xfId="1478"/>
    <cellStyle name="Currency 3 4" xfId="1479"/>
    <cellStyle name="Currency 3 4 2" xfId="1480"/>
    <cellStyle name="Currency 3 4 2 2" xfId="5303"/>
    <cellStyle name="Currency 3 4 3" xfId="1481"/>
    <cellStyle name="Currency 3 5" xfId="1482"/>
    <cellStyle name="Currency 3 5 2" xfId="1483"/>
    <cellStyle name="Currency 3 5 2 2" xfId="5304"/>
    <cellStyle name="Currency 3 5 3" xfId="1484"/>
    <cellStyle name="Currency 3 6" xfId="1485"/>
    <cellStyle name="Currency 3 6 2" xfId="1486"/>
    <cellStyle name="Currency 3 6 2 2" xfId="5305"/>
    <cellStyle name="Currency 3 6 3" xfId="1487"/>
    <cellStyle name="Currency 3 7" xfId="1488"/>
    <cellStyle name="Currency 3 7 2" xfId="5306"/>
    <cellStyle name="Currency 3 8" xfId="5295"/>
    <cellStyle name="Currency 4" xfId="1489"/>
    <cellStyle name="Currency 4 2" xfId="1490"/>
    <cellStyle name="Currency 4 2 2" xfId="1491"/>
    <cellStyle name="Currency 4 2 2 2" xfId="5308"/>
    <cellStyle name="Currency 4 2 3" xfId="1492"/>
    <cellStyle name="Currency 4 3" xfId="1493"/>
    <cellStyle name="Currency 4 3 2" xfId="1494"/>
    <cellStyle name="Currency 4 3 2 2" xfId="5309"/>
    <cellStyle name="Currency 4 3 3" xfId="1495"/>
    <cellStyle name="Currency 4 4" xfId="1496"/>
    <cellStyle name="Currency 4 4 2" xfId="1497"/>
    <cellStyle name="Currency 4 4 2 2" xfId="5310"/>
    <cellStyle name="Currency 4 4 3" xfId="1498"/>
    <cellStyle name="Currency 4 5" xfId="1499"/>
    <cellStyle name="Currency 4 5 2" xfId="1500"/>
    <cellStyle name="Currency 4 5 2 2" xfId="5311"/>
    <cellStyle name="Currency 4 5 3" xfId="1501"/>
    <cellStyle name="Currency 4 6" xfId="1502"/>
    <cellStyle name="Currency 4 6 2" xfId="5312"/>
    <cellStyle name="Currency 4 7" xfId="5307"/>
    <cellStyle name="Currency 5" xfId="1503"/>
    <cellStyle name="Currency 5 2" xfId="1504"/>
    <cellStyle name="Currency 5 2 2" xfId="1505"/>
    <cellStyle name="Currency 5 2 2 2" xfId="5315"/>
    <cellStyle name="Currency 5 2 3" xfId="1506"/>
    <cellStyle name="Currency 5 2 3 2" xfId="5316"/>
    <cellStyle name="Currency 5 2 4" xfId="5314"/>
    <cellStyle name="Currency 5 3" xfId="1507"/>
    <cellStyle name="Currency 5 3 2" xfId="1508"/>
    <cellStyle name="Currency 5 3 2 2" xfId="5318"/>
    <cellStyle name="Currency 5 3 3" xfId="1509"/>
    <cellStyle name="Currency 5 3 3 2" xfId="5319"/>
    <cellStyle name="Currency 5 3 4" xfId="5317"/>
    <cellStyle name="Currency 5 4" xfId="1510"/>
    <cellStyle name="Currency 5 4 2" xfId="1511"/>
    <cellStyle name="Currency 5 4 2 2" xfId="5321"/>
    <cellStyle name="Currency 5 4 3" xfId="1512"/>
    <cellStyle name="Currency 5 4 3 2" xfId="5322"/>
    <cellStyle name="Currency 5 4 4" xfId="5320"/>
    <cellStyle name="Currency 5 5" xfId="1513"/>
    <cellStyle name="Currency 5 5 2" xfId="1514"/>
    <cellStyle name="Currency 5 5 2 2" xfId="5324"/>
    <cellStyle name="Currency 5 5 3" xfId="1515"/>
    <cellStyle name="Currency 5 5 3 2" xfId="5325"/>
    <cellStyle name="Currency 5 5 4" xfId="5323"/>
    <cellStyle name="Currency 5 6" xfId="5313"/>
    <cellStyle name="Explanatory Text" xfId="1516" builtinId="53" customBuiltin="1"/>
    <cellStyle name="Explanatory Text 10 2" xfId="1517"/>
    <cellStyle name="Explanatory Text 11 2" xfId="1518"/>
    <cellStyle name="Explanatory Text 12 2" xfId="1519"/>
    <cellStyle name="Explanatory Text 13 2" xfId="1520"/>
    <cellStyle name="Explanatory Text 14 2" xfId="1521"/>
    <cellStyle name="Explanatory Text 15 2" xfId="1522"/>
    <cellStyle name="Explanatory Text 16 2" xfId="1523"/>
    <cellStyle name="Explanatory Text 17 2" xfId="1524"/>
    <cellStyle name="Explanatory Text 18" xfId="1525"/>
    <cellStyle name="Explanatory Text 2" xfId="6248"/>
    <cellStyle name="Explanatory Text 2 2" xfId="1526"/>
    <cellStyle name="Explanatory Text 2 2 2" xfId="1527"/>
    <cellStyle name="Explanatory Text 2 3" xfId="1528"/>
    <cellStyle name="Explanatory Text 3 2" xfId="1529"/>
    <cellStyle name="Explanatory Text 4 2" xfId="1530"/>
    <cellStyle name="Explanatory Text 5 2" xfId="1531"/>
    <cellStyle name="Explanatory Text 6 2" xfId="1532"/>
    <cellStyle name="Explanatory Text 7 2" xfId="1533"/>
    <cellStyle name="Explanatory Text 8 2" xfId="1534"/>
    <cellStyle name="Explanatory Text 9 2" xfId="1535"/>
    <cellStyle name="Good" xfId="1536" builtinId="26" customBuiltin="1"/>
    <cellStyle name="Good 10 2" xfId="1537"/>
    <cellStyle name="Good 11 2" xfId="1538"/>
    <cellStyle name="Good 12 2" xfId="1539"/>
    <cellStyle name="Good 13 2" xfId="1540"/>
    <cellStyle name="Good 14 2" xfId="1541"/>
    <cellStyle name="Good 15 2" xfId="1542"/>
    <cellStyle name="Good 16 2" xfId="1543"/>
    <cellStyle name="Good 17 2" xfId="1544"/>
    <cellStyle name="Good 18" xfId="1545"/>
    <cellStyle name="Good 2" xfId="6249"/>
    <cellStyle name="Good 2 2" xfId="1546"/>
    <cellStyle name="Good 2 2 2" xfId="1547"/>
    <cellStyle name="Good 2 3" xfId="1548"/>
    <cellStyle name="Good 3 2" xfId="1549"/>
    <cellStyle name="Good 4 2" xfId="1550"/>
    <cellStyle name="Good 5 2" xfId="1551"/>
    <cellStyle name="Good 6 2" xfId="1552"/>
    <cellStyle name="Good 7 2" xfId="1553"/>
    <cellStyle name="Good 8 2" xfId="1554"/>
    <cellStyle name="Good 9 2" xfId="1555"/>
    <cellStyle name="Heading 1" xfId="1556" builtinId="16" customBuiltin="1"/>
    <cellStyle name="Heading 1 10 2" xfId="1557"/>
    <cellStyle name="Heading 1 11 2" xfId="1558"/>
    <cellStyle name="Heading 1 12 2" xfId="1559"/>
    <cellStyle name="Heading 1 13 2" xfId="1560"/>
    <cellStyle name="Heading 1 14 2" xfId="1561"/>
    <cellStyle name="Heading 1 15 2" xfId="1562"/>
    <cellStyle name="Heading 1 16 2" xfId="1563"/>
    <cellStyle name="Heading 1 17 2" xfId="1564"/>
    <cellStyle name="Heading 1 18" xfId="1565"/>
    <cellStyle name="Heading 1 2" xfId="6250"/>
    <cellStyle name="Heading 1 2 2" xfId="1566"/>
    <cellStyle name="Heading 1 2 2 2" xfId="1567"/>
    <cellStyle name="Heading 1 2 3" xfId="1568"/>
    <cellStyle name="Heading 1 3 2" xfId="1569"/>
    <cellStyle name="Heading 1 4 2" xfId="1570"/>
    <cellStyle name="Heading 1 5 2" xfId="1571"/>
    <cellStyle name="Heading 1 6 2" xfId="1572"/>
    <cellStyle name="Heading 1 7 2" xfId="1573"/>
    <cellStyle name="Heading 1 8 2" xfId="1574"/>
    <cellStyle name="Heading 1 9 2" xfId="1575"/>
    <cellStyle name="Heading 2" xfId="1576" builtinId="17" customBuiltin="1"/>
    <cellStyle name="Heading 2 10 2" xfId="1577"/>
    <cellStyle name="Heading 2 11 2" xfId="1578"/>
    <cellStyle name="Heading 2 12 2" xfId="1579"/>
    <cellStyle name="Heading 2 13 2" xfId="1580"/>
    <cellStyle name="Heading 2 14 2" xfId="1581"/>
    <cellStyle name="Heading 2 15 2" xfId="1582"/>
    <cellStyle name="Heading 2 16 2" xfId="1583"/>
    <cellStyle name="Heading 2 17 2" xfId="1584"/>
    <cellStyle name="Heading 2 18" xfId="1585"/>
    <cellStyle name="Heading 2 2" xfId="6251"/>
    <cellStyle name="Heading 2 2 2" xfId="1586"/>
    <cellStyle name="Heading 2 2 2 2" xfId="1587"/>
    <cellStyle name="Heading 2 2 3" xfId="1588"/>
    <cellStyle name="Heading 2 3 2" xfId="1589"/>
    <cellStyle name="Heading 2 4 2" xfId="1590"/>
    <cellStyle name="Heading 2 5 2" xfId="1591"/>
    <cellStyle name="Heading 2 6 2" xfId="1592"/>
    <cellStyle name="Heading 2 7 2" xfId="1593"/>
    <cellStyle name="Heading 2 8 2" xfId="1594"/>
    <cellStyle name="Heading 2 9 2" xfId="1595"/>
    <cellStyle name="Heading 3" xfId="1596" builtinId="18" customBuiltin="1"/>
    <cellStyle name="Heading 3 10 2" xfId="1597"/>
    <cellStyle name="Heading 3 11 2" xfId="1598"/>
    <cellStyle name="Heading 3 12 2" xfId="1599"/>
    <cellStyle name="Heading 3 13 2" xfId="1600"/>
    <cellStyle name="Heading 3 14 2" xfId="1601"/>
    <cellStyle name="Heading 3 15 2" xfId="1602"/>
    <cellStyle name="Heading 3 16 2" xfId="1603"/>
    <cellStyle name="Heading 3 17 2" xfId="1604"/>
    <cellStyle name="Heading 3 18" xfId="1605"/>
    <cellStyle name="Heading 3 2" xfId="6252"/>
    <cellStyle name="Heading 3 2 2" xfId="1606"/>
    <cellStyle name="Heading 3 2 2 2" xfId="1607"/>
    <cellStyle name="Heading 3 2 3" xfId="1608"/>
    <cellStyle name="Heading 3 3 2" xfId="1609"/>
    <cellStyle name="Heading 3 4 2" xfId="1610"/>
    <cellStyle name="Heading 3 5 2" xfId="1611"/>
    <cellStyle name="Heading 3 6 2" xfId="1612"/>
    <cellStyle name="Heading 3 7 2" xfId="1613"/>
    <cellStyle name="Heading 3 8 2" xfId="1614"/>
    <cellStyle name="Heading 3 9 2" xfId="1615"/>
    <cellStyle name="Heading 4" xfId="1616" builtinId="19" customBuiltin="1"/>
    <cellStyle name="Heading 4 10 2" xfId="1617"/>
    <cellStyle name="Heading 4 11 2" xfId="1618"/>
    <cellStyle name="Heading 4 12 2" xfId="1619"/>
    <cellStyle name="Heading 4 13 2" xfId="1620"/>
    <cellStyle name="Heading 4 14 2" xfId="1621"/>
    <cellStyle name="Heading 4 15 2" xfId="1622"/>
    <cellStyle name="Heading 4 16 2" xfId="1623"/>
    <cellStyle name="Heading 4 17 2" xfId="1624"/>
    <cellStyle name="Heading 4 18" xfId="1625"/>
    <cellStyle name="Heading 4 2" xfId="6253"/>
    <cellStyle name="Heading 4 2 2" xfId="1626"/>
    <cellStyle name="Heading 4 2 2 2" xfId="1627"/>
    <cellStyle name="Heading 4 2 3" xfId="1628"/>
    <cellStyle name="Heading 4 3 2" xfId="1629"/>
    <cellStyle name="Heading 4 4 2" xfId="1630"/>
    <cellStyle name="Heading 4 5 2" xfId="1631"/>
    <cellStyle name="Heading 4 6 2" xfId="1632"/>
    <cellStyle name="Heading 4 7 2" xfId="1633"/>
    <cellStyle name="Heading 4 8 2" xfId="1634"/>
    <cellStyle name="Heading 4 9 2" xfId="1635"/>
    <cellStyle name="Hyperlink 2" xfId="1636"/>
    <cellStyle name="Input" xfId="1637" builtinId="20" customBuiltin="1"/>
    <cellStyle name="Input 10 2" xfId="1638"/>
    <cellStyle name="Input 11 2" xfId="1639"/>
    <cellStyle name="Input 12 2" xfId="1640"/>
    <cellStyle name="Input 13 2" xfId="1641"/>
    <cellStyle name="Input 14 2" xfId="1642"/>
    <cellStyle name="Input 15 2" xfId="1643"/>
    <cellStyle name="Input 16 2" xfId="1644"/>
    <cellStyle name="Input 17 2" xfId="1645"/>
    <cellStyle name="Input 18" xfId="1646"/>
    <cellStyle name="Input 2" xfId="6254"/>
    <cellStyle name="Input 2 2" xfId="1647"/>
    <cellStyle name="Input 2 2 2" xfId="1648"/>
    <cellStyle name="Input 2 3" xfId="1649"/>
    <cellStyle name="Input 3 2" xfId="1650"/>
    <cellStyle name="Input 4 2" xfId="1651"/>
    <cellStyle name="Input 5 2" xfId="1652"/>
    <cellStyle name="Input 6 2" xfId="1653"/>
    <cellStyle name="Input 7 2" xfId="1654"/>
    <cellStyle name="Input 8 2" xfId="1655"/>
    <cellStyle name="Input 9 2" xfId="1656"/>
    <cellStyle name="Linked Cell" xfId="1657" builtinId="24" customBuiltin="1"/>
    <cellStyle name="Linked Cell 10 2" xfId="1658"/>
    <cellStyle name="Linked Cell 11 2" xfId="1659"/>
    <cellStyle name="Linked Cell 12 2" xfId="1660"/>
    <cellStyle name="Linked Cell 13 2" xfId="1661"/>
    <cellStyle name="Linked Cell 14 2" xfId="1662"/>
    <cellStyle name="Linked Cell 15 2" xfId="1663"/>
    <cellStyle name="Linked Cell 16 2" xfId="1664"/>
    <cellStyle name="Linked Cell 17 2" xfId="1665"/>
    <cellStyle name="Linked Cell 18" xfId="1666"/>
    <cellStyle name="Linked Cell 2" xfId="6255"/>
    <cellStyle name="Linked Cell 2 2" xfId="1667"/>
    <cellStyle name="Linked Cell 2 2 2" xfId="1668"/>
    <cellStyle name="Linked Cell 2 3" xfId="1669"/>
    <cellStyle name="Linked Cell 3 2" xfId="1670"/>
    <cellStyle name="Linked Cell 4 2" xfId="1671"/>
    <cellStyle name="Linked Cell 5 2" xfId="1672"/>
    <cellStyle name="Linked Cell 6 2" xfId="1673"/>
    <cellStyle name="Linked Cell 7 2" xfId="1674"/>
    <cellStyle name="Linked Cell 8 2" xfId="1675"/>
    <cellStyle name="Linked Cell 9 2" xfId="1676"/>
    <cellStyle name="Neutral" xfId="1677" builtinId="28" customBuiltin="1"/>
    <cellStyle name="Neutral 10 2" xfId="1678"/>
    <cellStyle name="Neutral 11 2" xfId="1679"/>
    <cellStyle name="Neutral 12 2" xfId="1680"/>
    <cellStyle name="Neutral 13 2" xfId="1681"/>
    <cellStyle name="Neutral 14 2" xfId="1682"/>
    <cellStyle name="Neutral 15 2" xfId="1683"/>
    <cellStyle name="Neutral 16 2" xfId="1684"/>
    <cellStyle name="Neutral 17 2" xfId="1685"/>
    <cellStyle name="Neutral 18" xfId="1686"/>
    <cellStyle name="Neutral 2" xfId="6256"/>
    <cellStyle name="Neutral 2 2" xfId="1687"/>
    <cellStyle name="Neutral 2 2 2" xfId="1688"/>
    <cellStyle name="Neutral 2 3" xfId="1689"/>
    <cellStyle name="Neutral 3 2" xfId="1690"/>
    <cellStyle name="Neutral 4 2" xfId="1691"/>
    <cellStyle name="Neutral 5 2" xfId="1692"/>
    <cellStyle name="Neutral 6 2" xfId="1693"/>
    <cellStyle name="Neutral 7 2" xfId="1694"/>
    <cellStyle name="Neutral 8 2" xfId="1695"/>
    <cellStyle name="Neutral 9 2" xfId="1696"/>
    <cellStyle name="Normal" xfId="0" builtinId="0" customBuiltin="1"/>
    <cellStyle name="Normal 10" xfId="1697"/>
    <cellStyle name="Normal 100 2" xfId="1698"/>
    <cellStyle name="Normal 100 2 2" xfId="5326"/>
    <cellStyle name="Normal 100 3" xfId="1699"/>
    <cellStyle name="Normal 100 3 2" xfId="5327"/>
    <cellStyle name="Normal 100 4" xfId="1700"/>
    <cellStyle name="Normal 100 4 2" xfId="5328"/>
    <cellStyle name="Normal 101" xfId="1701"/>
    <cellStyle name="Normal 101 2" xfId="1702"/>
    <cellStyle name="Normal 101 3" xfId="1703"/>
    <cellStyle name="Normal 101 4" xfId="1704"/>
    <cellStyle name="Normal 101 5" xfId="1705"/>
    <cellStyle name="Normal 101 6" xfId="1706"/>
    <cellStyle name="Normal 101 7" xfId="1707"/>
    <cellStyle name="Normal 101 8" xfId="1708"/>
    <cellStyle name="Normal 102" xfId="1709"/>
    <cellStyle name="Normal 102 2" xfId="1710"/>
    <cellStyle name="Normal 102 3" xfId="1711"/>
    <cellStyle name="Normal 102 4" xfId="1712"/>
    <cellStyle name="Normal 102 5" xfId="1713"/>
    <cellStyle name="Normal 102 6" xfId="1714"/>
    <cellStyle name="Normal 102 7" xfId="1715"/>
    <cellStyle name="Normal 102 8" xfId="1716"/>
    <cellStyle name="Normal 103" xfId="1717"/>
    <cellStyle name="Normal 103 2" xfId="1718"/>
    <cellStyle name="Normal 103 3" xfId="1719"/>
    <cellStyle name="Normal 103 4" xfId="1720"/>
    <cellStyle name="Normal 103 5" xfId="1721"/>
    <cellStyle name="Normal 103 6" xfId="1722"/>
    <cellStyle name="Normal 103 7" xfId="1723"/>
    <cellStyle name="Normal 103 8" xfId="1724"/>
    <cellStyle name="Normal 104" xfId="1725"/>
    <cellStyle name="Normal 104 2" xfId="1726"/>
    <cellStyle name="Normal 104 3" xfId="1727"/>
    <cellStyle name="Normal 104 4" xfId="1728"/>
    <cellStyle name="Normal 104 5" xfId="1729"/>
    <cellStyle name="Normal 104 6" xfId="1730"/>
    <cellStyle name="Normal 104 7" xfId="1731"/>
    <cellStyle name="Normal 104 8" xfId="1732"/>
    <cellStyle name="Normal 105" xfId="1733"/>
    <cellStyle name="Normal 105 2" xfId="1734"/>
    <cellStyle name="Normal 105 3" xfId="1735"/>
    <cellStyle name="Normal 105 4" xfId="1736"/>
    <cellStyle name="Normal 105 5" xfId="1737"/>
    <cellStyle name="Normal 105 6" xfId="1738"/>
    <cellStyle name="Normal 105 7" xfId="1739"/>
    <cellStyle name="Normal 105 8" xfId="1740"/>
    <cellStyle name="Normal 106" xfId="1741"/>
    <cellStyle name="Normal 106 2" xfId="1742"/>
    <cellStyle name="Normal 106 3" xfId="1743"/>
    <cellStyle name="Normal 106 4" xfId="1744"/>
    <cellStyle name="Normal 106 5" xfId="1745"/>
    <cellStyle name="Normal 106 6" xfId="1746"/>
    <cellStyle name="Normal 106 7" xfId="1747"/>
    <cellStyle name="Normal 106 8" xfId="1748"/>
    <cellStyle name="Normal 107 2" xfId="1749"/>
    <cellStyle name="Normal 107 2 2" xfId="5329"/>
    <cellStyle name="Normal 107 3" xfId="1750"/>
    <cellStyle name="Normal 107 3 2" xfId="5330"/>
    <cellStyle name="Normal 107 4" xfId="1751"/>
    <cellStyle name="Normal 107 4 2" xfId="5331"/>
    <cellStyle name="Normal 107 5" xfId="1752"/>
    <cellStyle name="Normal 107 5 2" xfId="5332"/>
    <cellStyle name="Normal 107 6" xfId="1753"/>
    <cellStyle name="Normal 107 6 2" xfId="5333"/>
    <cellStyle name="Normal 107 7" xfId="1754"/>
    <cellStyle name="Normal 107 7 2" xfId="5334"/>
    <cellStyle name="Normal 107 8" xfId="1755"/>
    <cellStyle name="Normal 107 8 2" xfId="5335"/>
    <cellStyle name="Normal 108 2" xfId="1756"/>
    <cellStyle name="Normal 108 2 2" xfId="5336"/>
    <cellStyle name="Normal 108 3" xfId="1757"/>
    <cellStyle name="Normal 108 3 2" xfId="5337"/>
    <cellStyle name="Normal 108 4" xfId="1758"/>
    <cellStyle name="Normal 108 4 2" xfId="5338"/>
    <cellStyle name="Normal 108 5" xfId="1759"/>
    <cellStyle name="Normal 108 5 2" xfId="5339"/>
    <cellStyle name="Normal 108 6" xfId="1760"/>
    <cellStyle name="Normal 108 6 2" xfId="5340"/>
    <cellStyle name="Normal 108 7" xfId="1761"/>
    <cellStyle name="Normal 108 7 2" xfId="5341"/>
    <cellStyle name="Normal 108 8" xfId="1762"/>
    <cellStyle name="Normal 108 8 2" xfId="5342"/>
    <cellStyle name="Normal 109 2" xfId="1763"/>
    <cellStyle name="Normal 109 2 2" xfId="5343"/>
    <cellStyle name="Normal 109 3" xfId="1764"/>
    <cellStyle name="Normal 109 3 2" xfId="5344"/>
    <cellStyle name="Normal 109 4" xfId="1765"/>
    <cellStyle name="Normal 109 4 2" xfId="5345"/>
    <cellStyle name="Normal 11" xfId="1766"/>
    <cellStyle name="Normal 110" xfId="1767"/>
    <cellStyle name="Normal 110 2" xfId="1768"/>
    <cellStyle name="Normal 110 3" xfId="1769"/>
    <cellStyle name="Normal 110 4" xfId="1770"/>
    <cellStyle name="Normal 110 5" xfId="1771"/>
    <cellStyle name="Normal 111" xfId="1772"/>
    <cellStyle name="Normal 111 2" xfId="1773"/>
    <cellStyle name="Normal 111 3" xfId="1774"/>
    <cellStyle name="Normal 111 4" xfId="1775"/>
    <cellStyle name="Normal 111 5" xfId="1776"/>
    <cellStyle name="Normal 112" xfId="1777"/>
    <cellStyle name="Normal 112 2" xfId="1778"/>
    <cellStyle name="Normal 112 3" xfId="1779"/>
    <cellStyle name="Normal 112 4" xfId="1780"/>
    <cellStyle name="Normal 112 5" xfId="1781"/>
    <cellStyle name="Normal 113" xfId="1782"/>
    <cellStyle name="Normal 113 2" xfId="1783"/>
    <cellStyle name="Normal 114" xfId="1784"/>
    <cellStyle name="Normal 114 2" xfId="1785"/>
    <cellStyle name="Normal 115" xfId="1786"/>
    <cellStyle name="Normal 115 2" xfId="1787"/>
    <cellStyle name="Normal 116" xfId="1788"/>
    <cellStyle name="Normal 116 2" xfId="1789"/>
    <cellStyle name="Normal 117" xfId="1790"/>
    <cellStyle name="Normal 117 2" xfId="1791"/>
    <cellStyle name="Normal 118" xfId="1792"/>
    <cellStyle name="Normal 118 2" xfId="1793"/>
    <cellStyle name="Normal 119" xfId="1794"/>
    <cellStyle name="Normal 119 2" xfId="1795"/>
    <cellStyle name="Normal 12" xfId="5760"/>
    <cellStyle name="Normal 12 2" xfId="1796"/>
    <cellStyle name="Normal 12 2 2" xfId="1797"/>
    <cellStyle name="Normal 12 2 2 2" xfId="5347"/>
    <cellStyle name="Normal 12 2 3" xfId="5346"/>
    <cellStyle name="Normal 12 3" xfId="1798"/>
    <cellStyle name="Normal 12 3 2" xfId="5348"/>
    <cellStyle name="Normal 12 4" xfId="1799"/>
    <cellStyle name="Normal 12 4 2" xfId="5349"/>
    <cellStyle name="Normal 12 5" xfId="1800"/>
    <cellStyle name="Normal 12 6" xfId="1801"/>
    <cellStyle name="Normal 12 7" xfId="1802"/>
    <cellStyle name="Normal 12 7 2" xfId="5350"/>
    <cellStyle name="Normal 120" xfId="1803"/>
    <cellStyle name="Normal 120 2" xfId="1804"/>
    <cellStyle name="Normal 13" xfId="5762"/>
    <cellStyle name="Normal 13 2" xfId="1805"/>
    <cellStyle name="Normal 13 2 2" xfId="1806"/>
    <cellStyle name="Normal 13 2 3" xfId="1807"/>
    <cellStyle name="Normal 13 2 3 2" xfId="5352"/>
    <cellStyle name="Normal 13 2 4" xfId="5351"/>
    <cellStyle name="Normal 13 3" xfId="1808"/>
    <cellStyle name="Normal 13 3 2" xfId="5353"/>
    <cellStyle name="Normal 13 4" xfId="1809"/>
    <cellStyle name="Normal 13 4 2" xfId="5354"/>
    <cellStyle name="Normal 13 5" xfId="1810"/>
    <cellStyle name="Normal 13 6" xfId="1811"/>
    <cellStyle name="Normal 13 7" xfId="1812"/>
    <cellStyle name="Normal 13 8" xfId="6718"/>
    <cellStyle name="Normal 14" xfId="5770"/>
    <cellStyle name="Normal 14 2" xfId="1813"/>
    <cellStyle name="Normal 14 2 2" xfId="5355"/>
    <cellStyle name="Normal 14 3" xfId="1814"/>
    <cellStyle name="Normal 14 3 2" xfId="5356"/>
    <cellStyle name="Normal 14 4" xfId="1815"/>
    <cellStyle name="Normal 14 4 2" xfId="5357"/>
    <cellStyle name="Normal 14 5" xfId="1816"/>
    <cellStyle name="Normal 14 6" xfId="1817"/>
    <cellStyle name="Normal 14 6 2" xfId="5358"/>
    <cellStyle name="Normal 15" xfId="5768"/>
    <cellStyle name="Normal 15 2" xfId="1818"/>
    <cellStyle name="Normal 15 2 2" xfId="5359"/>
    <cellStyle name="Normal 15 3" xfId="1819"/>
    <cellStyle name="Normal 15 3 2" xfId="5360"/>
    <cellStyle name="Normal 15 4" xfId="1820"/>
    <cellStyle name="Normal 15 4 2" xfId="5361"/>
    <cellStyle name="Normal 15 5" xfId="1821"/>
    <cellStyle name="Normal 16" xfId="6262"/>
    <cellStyle name="Normal 16 2" xfId="1822"/>
    <cellStyle name="Normal 16 2 2" xfId="5362"/>
    <cellStyle name="Normal 16 3" xfId="1823"/>
    <cellStyle name="Normal 16 3 2" xfId="5363"/>
    <cellStyle name="Normal 16 4" xfId="1824"/>
    <cellStyle name="Normal 16 4 2" xfId="5364"/>
    <cellStyle name="Normal 16 5" xfId="1825"/>
    <cellStyle name="Normal 16 6" xfId="1826"/>
    <cellStyle name="Normal 16 6 2" xfId="5365"/>
    <cellStyle name="Normal 17" xfId="6724"/>
    <cellStyle name="Normal 17 2" xfId="1827"/>
    <cellStyle name="Normal 17 2 2" xfId="5366"/>
    <cellStyle name="Normal 17 3" xfId="1828"/>
    <cellStyle name="Normal 17 3 2" xfId="5367"/>
    <cellStyle name="Normal 17 4" xfId="1829"/>
    <cellStyle name="Normal 17 4 2" xfId="5368"/>
    <cellStyle name="Normal 17 5" xfId="1830"/>
    <cellStyle name="Normal 18 2" xfId="1831"/>
    <cellStyle name="Normal 19 2" xfId="1832"/>
    <cellStyle name="Normal 2" xfId="4268"/>
    <cellStyle name="Normal 2 10" xfId="1833"/>
    <cellStyle name="Normal 2 11" xfId="1834"/>
    <cellStyle name="Normal 2 12" xfId="1835"/>
    <cellStyle name="Normal 2 13" xfId="1836"/>
    <cellStyle name="Normal 2 14" xfId="1837"/>
    <cellStyle name="Normal 2 15" xfId="1838"/>
    <cellStyle name="Normal 2 16" xfId="1839"/>
    <cellStyle name="Normal 2 17" xfId="1840"/>
    <cellStyle name="Normal 2 18" xfId="1841"/>
    <cellStyle name="Normal 2 19" xfId="1842"/>
    <cellStyle name="Normal 2 2" xfId="1843"/>
    <cellStyle name="Normal 2 2 2" xfId="1844"/>
    <cellStyle name="Normal 2 20" xfId="1845"/>
    <cellStyle name="Normal 2 21" xfId="1846"/>
    <cellStyle name="Normal 2 22" xfId="1847"/>
    <cellStyle name="Normal 2 23" xfId="1848"/>
    <cellStyle name="Normal 2 24" xfId="1849"/>
    <cellStyle name="Normal 2 25" xfId="1850"/>
    <cellStyle name="Normal 2 26" xfId="1851"/>
    <cellStyle name="Normal 2 27" xfId="1852"/>
    <cellStyle name="Normal 2 28" xfId="1853"/>
    <cellStyle name="Normal 2 29" xfId="1854"/>
    <cellStyle name="Normal 2 3" xfId="1855"/>
    <cellStyle name="Normal 2 3 2" xfId="1856"/>
    <cellStyle name="Normal 2 3 3" xfId="1857"/>
    <cellStyle name="Normal 2 3 4" xfId="1858"/>
    <cellStyle name="Normal 2 30" xfId="1859"/>
    <cellStyle name="Normal 2 31" xfId="1860"/>
    <cellStyle name="Normal 2 32" xfId="1861"/>
    <cellStyle name="Normal 2 33" xfId="1862"/>
    <cellStyle name="Normal 2 34" xfId="1863"/>
    <cellStyle name="Normal 2 35" xfId="1864"/>
    <cellStyle name="Normal 2 36" xfId="1865"/>
    <cellStyle name="Normal 2 37" xfId="1866"/>
    <cellStyle name="Normal 2 38" xfId="1867"/>
    <cellStyle name="Normal 2 39" xfId="1868"/>
    <cellStyle name="Normal 2 4" xfId="1869"/>
    <cellStyle name="Normal 2 4 2" xfId="1870"/>
    <cellStyle name="Normal 2 4 3" xfId="1871"/>
    <cellStyle name="Normal 2 40" xfId="1872"/>
    <cellStyle name="Normal 2 5" xfId="1873"/>
    <cellStyle name="Normal 2 5 2" xfId="1874"/>
    <cellStyle name="Normal 2 5 2 2" xfId="5369"/>
    <cellStyle name="Normal 2 5 3" xfId="1875"/>
    <cellStyle name="Normal 2 6" xfId="1876"/>
    <cellStyle name="Normal 2 7" xfId="1877"/>
    <cellStyle name="Normal 2 8" xfId="1878"/>
    <cellStyle name="Normal 2 9" xfId="1879"/>
    <cellStyle name="Normal 20 2" xfId="1880"/>
    <cellStyle name="Normal 21 2" xfId="1881"/>
    <cellStyle name="Normal 21 2 2" xfId="5370"/>
    <cellStyle name="Normal 21 3" xfId="1882"/>
    <cellStyle name="Normal 22 2" xfId="1883"/>
    <cellStyle name="Normal 23 2" xfId="1884"/>
    <cellStyle name="Normal 24" xfId="1885"/>
    <cellStyle name="Normal 25" xfId="1886"/>
    <cellStyle name="Normal 26" xfId="1887"/>
    <cellStyle name="Normal 26 2" xfId="1888"/>
    <cellStyle name="Normal 26 2 2" xfId="5371"/>
    <cellStyle name="Normal 27" xfId="1889"/>
    <cellStyle name="Normal 27 2" xfId="1890"/>
    <cellStyle name="Normal 27 2 2" xfId="5372"/>
    <cellStyle name="Normal 28" xfId="1891"/>
    <cellStyle name="Normal 28 2" xfId="1892"/>
    <cellStyle name="Normal 28 2 2" xfId="5373"/>
    <cellStyle name="Normal 29" xfId="1893"/>
    <cellStyle name="Normal 3" xfId="1894"/>
    <cellStyle name="Normal 3 10" xfId="1895"/>
    <cellStyle name="Normal 3 2" xfId="1896"/>
    <cellStyle name="Normal 3 3" xfId="1897"/>
    <cellStyle name="Normal 3 3 2" xfId="5374"/>
    <cellStyle name="Normal 3 4" xfId="1898"/>
    <cellStyle name="Normal 3 5" xfId="1899"/>
    <cellStyle name="Normal 3 6" xfId="1900"/>
    <cellStyle name="Normal 3 7" xfId="1901"/>
    <cellStyle name="Normal 3 8" xfId="1902"/>
    <cellStyle name="Normal 3 9" xfId="1903"/>
    <cellStyle name="Normal 30" xfId="1904"/>
    <cellStyle name="Normal 31" xfId="1905"/>
    <cellStyle name="Normal 31 2" xfId="1906"/>
    <cellStyle name="Normal 32" xfId="1907"/>
    <cellStyle name="Normal 32 2" xfId="1908"/>
    <cellStyle name="Normal 33 2" xfId="1909"/>
    <cellStyle name="Normal 36" xfId="1910"/>
    <cellStyle name="Normal 36 10" xfId="1911"/>
    <cellStyle name="Normal 36 11" xfId="1912"/>
    <cellStyle name="Normal 36 12" xfId="1913"/>
    <cellStyle name="Normal 36 13" xfId="1914"/>
    <cellStyle name="Normal 36 14" xfId="1915"/>
    <cellStyle name="Normal 36 15" xfId="1916"/>
    <cellStyle name="Normal 36 16" xfId="1917"/>
    <cellStyle name="Normal 36 17" xfId="1918"/>
    <cellStyle name="Normal 36 18" xfId="1919"/>
    <cellStyle name="Normal 36 19" xfId="1920"/>
    <cellStyle name="Normal 36 2" xfId="1921"/>
    <cellStyle name="Normal 36 3" xfId="1922"/>
    <cellStyle name="Normal 36 4" xfId="1923"/>
    <cellStyle name="Normal 36 5" xfId="1924"/>
    <cellStyle name="Normal 36 6" xfId="1925"/>
    <cellStyle name="Normal 36 7" xfId="1926"/>
    <cellStyle name="Normal 36 8" xfId="1927"/>
    <cellStyle name="Normal 36 9" xfId="1928"/>
    <cellStyle name="Normal 37 10" xfId="1929"/>
    <cellStyle name="Normal 37 10 2" xfId="5375"/>
    <cellStyle name="Normal 37 11" xfId="1930"/>
    <cellStyle name="Normal 37 11 2" xfId="5376"/>
    <cellStyle name="Normal 37 12" xfId="1931"/>
    <cellStyle name="Normal 37 12 2" xfId="5377"/>
    <cellStyle name="Normal 37 13" xfId="1932"/>
    <cellStyle name="Normal 37 13 2" xfId="5378"/>
    <cellStyle name="Normal 37 14" xfId="1933"/>
    <cellStyle name="Normal 37 14 2" xfId="5379"/>
    <cellStyle name="Normal 37 15" xfId="1934"/>
    <cellStyle name="Normal 37 15 2" xfId="5380"/>
    <cellStyle name="Normal 37 16" xfId="1935"/>
    <cellStyle name="Normal 37 16 2" xfId="5381"/>
    <cellStyle name="Normal 37 17" xfId="1936"/>
    <cellStyle name="Normal 37 17 2" xfId="5382"/>
    <cellStyle name="Normal 37 2" xfId="1937"/>
    <cellStyle name="Normal 37 2 2" xfId="5383"/>
    <cellStyle name="Normal 37 3" xfId="1938"/>
    <cellStyle name="Normal 37 3 2" xfId="5384"/>
    <cellStyle name="Normal 37 4" xfId="1939"/>
    <cellStyle name="Normal 37 4 2" xfId="5385"/>
    <cellStyle name="Normal 37 5" xfId="1940"/>
    <cellStyle name="Normal 37 5 2" xfId="5386"/>
    <cellStyle name="Normal 37 6" xfId="1941"/>
    <cellStyle name="Normal 37 6 2" xfId="5387"/>
    <cellStyle name="Normal 37 7" xfId="1942"/>
    <cellStyle name="Normal 37 7 2" xfId="5388"/>
    <cellStyle name="Normal 37 8" xfId="1943"/>
    <cellStyle name="Normal 37 8 2" xfId="5389"/>
    <cellStyle name="Normal 37 9" xfId="1944"/>
    <cellStyle name="Normal 37 9 2" xfId="5390"/>
    <cellStyle name="Normal 38" xfId="1945"/>
    <cellStyle name="Normal 38 10" xfId="1946"/>
    <cellStyle name="Normal 38 11" xfId="1947"/>
    <cellStyle name="Normal 38 12" xfId="1948"/>
    <cellStyle name="Normal 38 13" xfId="1949"/>
    <cellStyle name="Normal 38 14" xfId="1950"/>
    <cellStyle name="Normal 38 15" xfId="1951"/>
    <cellStyle name="Normal 38 16" xfId="1952"/>
    <cellStyle name="Normal 38 17" xfId="1953"/>
    <cellStyle name="Normal 38 18" xfId="1954"/>
    <cellStyle name="Normal 38 2" xfId="1955"/>
    <cellStyle name="Normal 38 3" xfId="1956"/>
    <cellStyle name="Normal 38 4" xfId="1957"/>
    <cellStyle name="Normal 38 5" xfId="1958"/>
    <cellStyle name="Normal 38 6" xfId="1959"/>
    <cellStyle name="Normal 38 7" xfId="1960"/>
    <cellStyle name="Normal 38 8" xfId="1961"/>
    <cellStyle name="Normal 38 9" xfId="1962"/>
    <cellStyle name="Normal 39 10" xfId="1963"/>
    <cellStyle name="Normal 39 10 2" xfId="5391"/>
    <cellStyle name="Normal 39 11" xfId="1964"/>
    <cellStyle name="Normal 39 11 2" xfId="5392"/>
    <cellStyle name="Normal 39 12" xfId="1965"/>
    <cellStyle name="Normal 39 12 2" xfId="5393"/>
    <cellStyle name="Normal 39 13" xfId="1966"/>
    <cellStyle name="Normal 39 13 2" xfId="5394"/>
    <cellStyle name="Normal 39 14" xfId="1967"/>
    <cellStyle name="Normal 39 14 2" xfId="5395"/>
    <cellStyle name="Normal 39 15" xfId="1968"/>
    <cellStyle name="Normal 39 15 2" xfId="5396"/>
    <cellStyle name="Normal 39 16" xfId="1969"/>
    <cellStyle name="Normal 39 16 2" xfId="5397"/>
    <cellStyle name="Normal 39 17" xfId="1970"/>
    <cellStyle name="Normal 39 17 2" xfId="5398"/>
    <cellStyle name="Normal 39 18" xfId="1971"/>
    <cellStyle name="Normal 39 18 2" xfId="5399"/>
    <cellStyle name="Normal 39 2" xfId="1972"/>
    <cellStyle name="Normal 39 2 2" xfId="5400"/>
    <cellStyle name="Normal 39 3" xfId="1973"/>
    <cellStyle name="Normal 39 3 2" xfId="5401"/>
    <cellStyle name="Normal 39 4" xfId="1974"/>
    <cellStyle name="Normal 39 4 2" xfId="5402"/>
    <cellStyle name="Normal 39 5" xfId="1975"/>
    <cellStyle name="Normal 39 5 2" xfId="5403"/>
    <cellStyle name="Normal 39 6" xfId="1976"/>
    <cellStyle name="Normal 39 6 2" xfId="5404"/>
    <cellStyle name="Normal 39 7" xfId="1977"/>
    <cellStyle name="Normal 39 7 2" xfId="5405"/>
    <cellStyle name="Normal 39 8" xfId="1978"/>
    <cellStyle name="Normal 39 8 2" xfId="5406"/>
    <cellStyle name="Normal 39 9" xfId="1979"/>
    <cellStyle name="Normal 39 9 2" xfId="5407"/>
    <cellStyle name="Normal 4" xfId="1980"/>
    <cellStyle name="Normal 4 10" xfId="1981"/>
    <cellStyle name="Normal 4 11" xfId="5408"/>
    <cellStyle name="Normal 4 2" xfId="1982"/>
    <cellStyle name="Normal 4 2 2" xfId="1983"/>
    <cellStyle name="Normal 4 2 2 2" xfId="5409"/>
    <cellStyle name="Normal 4 3" xfId="1984"/>
    <cellStyle name="Normal 4 4" xfId="1985"/>
    <cellStyle name="Normal 4 5" xfId="1986"/>
    <cellStyle name="Normal 4 6" xfId="1987"/>
    <cellStyle name="Normal 4 7" xfId="1988"/>
    <cellStyle name="Normal 4 8" xfId="1989"/>
    <cellStyle name="Normal 4 9" xfId="1990"/>
    <cellStyle name="Normal 40" xfId="1991"/>
    <cellStyle name="Normal 40 10" xfId="1992"/>
    <cellStyle name="Normal 40 11" xfId="1993"/>
    <cellStyle name="Normal 40 12" xfId="1994"/>
    <cellStyle name="Normal 40 13" xfId="1995"/>
    <cellStyle name="Normal 40 14" xfId="1996"/>
    <cellStyle name="Normal 40 15" xfId="1997"/>
    <cellStyle name="Normal 40 16" xfId="1998"/>
    <cellStyle name="Normal 40 17" xfId="1999"/>
    <cellStyle name="Normal 40 2" xfId="2000"/>
    <cellStyle name="Normal 40 3" xfId="2001"/>
    <cellStyle name="Normal 40 4" xfId="2002"/>
    <cellStyle name="Normal 40 5" xfId="2003"/>
    <cellStyle name="Normal 40 6" xfId="2004"/>
    <cellStyle name="Normal 40 7" xfId="2005"/>
    <cellStyle name="Normal 40 8" xfId="2006"/>
    <cellStyle name="Normal 40 9" xfId="2007"/>
    <cellStyle name="Normal 41" xfId="2008"/>
    <cellStyle name="Normal 41 10" xfId="2009"/>
    <cellStyle name="Normal 41 11" xfId="2010"/>
    <cellStyle name="Normal 41 12" xfId="2011"/>
    <cellStyle name="Normal 41 13" xfId="2012"/>
    <cellStyle name="Normal 41 14" xfId="2013"/>
    <cellStyle name="Normal 41 15" xfId="2014"/>
    <cellStyle name="Normal 41 16" xfId="2015"/>
    <cellStyle name="Normal 41 17" xfId="2016"/>
    <cellStyle name="Normal 41 2" xfId="2017"/>
    <cellStyle name="Normal 41 3" xfId="2018"/>
    <cellStyle name="Normal 41 4" xfId="2019"/>
    <cellStyle name="Normal 41 5" xfId="2020"/>
    <cellStyle name="Normal 41 6" xfId="2021"/>
    <cellStyle name="Normal 41 7" xfId="2022"/>
    <cellStyle name="Normal 41 8" xfId="2023"/>
    <cellStyle name="Normal 41 9" xfId="2024"/>
    <cellStyle name="Normal 42" xfId="2025"/>
    <cellStyle name="Normal 42 10" xfId="2026"/>
    <cellStyle name="Normal 42 11" xfId="2027"/>
    <cellStyle name="Normal 42 12" xfId="2028"/>
    <cellStyle name="Normal 42 13" xfId="2029"/>
    <cellStyle name="Normal 42 14" xfId="2030"/>
    <cellStyle name="Normal 42 15" xfId="2031"/>
    <cellStyle name="Normal 42 2" xfId="2032"/>
    <cellStyle name="Normal 42 3" xfId="2033"/>
    <cellStyle name="Normal 42 4" xfId="2034"/>
    <cellStyle name="Normal 42 5" xfId="2035"/>
    <cellStyle name="Normal 42 6" xfId="2036"/>
    <cellStyle name="Normal 42 7" xfId="2037"/>
    <cellStyle name="Normal 42 8" xfId="2038"/>
    <cellStyle name="Normal 42 9" xfId="2039"/>
    <cellStyle name="Normal 43" xfId="2040"/>
    <cellStyle name="Normal 43 10" xfId="2041"/>
    <cellStyle name="Normal 43 11" xfId="2042"/>
    <cellStyle name="Normal 43 12" xfId="2043"/>
    <cellStyle name="Normal 43 13" xfId="2044"/>
    <cellStyle name="Normal 43 14" xfId="2045"/>
    <cellStyle name="Normal 43 15" xfId="2046"/>
    <cellStyle name="Normal 43 2" xfId="2047"/>
    <cellStyle name="Normal 43 3" xfId="2048"/>
    <cellStyle name="Normal 43 4" xfId="2049"/>
    <cellStyle name="Normal 43 5" xfId="2050"/>
    <cellStyle name="Normal 43 6" xfId="2051"/>
    <cellStyle name="Normal 43 7" xfId="2052"/>
    <cellStyle name="Normal 43 8" xfId="2053"/>
    <cellStyle name="Normal 43 9" xfId="2054"/>
    <cellStyle name="Normal 44 2" xfId="2055"/>
    <cellStyle name="Normal 44 3" xfId="2056"/>
    <cellStyle name="Normal 44 4" xfId="2057"/>
    <cellStyle name="Normal 45 2" xfId="2058"/>
    <cellStyle name="Normal 45 3" xfId="2059"/>
    <cellStyle name="Normal 45 4" xfId="2060"/>
    <cellStyle name="Normal 5" xfId="2061"/>
    <cellStyle name="Normal 5 2" xfId="2062"/>
    <cellStyle name="Normal 5 2 2" xfId="2063"/>
    <cellStyle name="Normal 5 2 3" xfId="2064"/>
    <cellStyle name="Normal 5 3" xfId="2065"/>
    <cellStyle name="Normal 5 4" xfId="2066"/>
    <cellStyle name="Normal 53 2" xfId="2067"/>
    <cellStyle name="Normal 55 2" xfId="2068"/>
    <cellStyle name="Normal 55 3" xfId="2069"/>
    <cellStyle name="Normal 56 2" xfId="2070"/>
    <cellStyle name="Normal 56 3" xfId="2071"/>
    <cellStyle name="Normal 57 2" xfId="2072"/>
    <cellStyle name="Normal 57 3" xfId="2073"/>
    <cellStyle name="Normal 58 2" xfId="2074"/>
    <cellStyle name="Normal 58 3" xfId="2075"/>
    <cellStyle name="Normal 6" xfId="2076"/>
    <cellStyle name="Normal 6 2" xfId="2077"/>
    <cellStyle name="Normal 6 2 2" xfId="2078"/>
    <cellStyle name="Normal 6 2 2 2" xfId="5410"/>
    <cellStyle name="Normal 6 2 3" xfId="2079"/>
    <cellStyle name="Normal 6 3" xfId="2080"/>
    <cellStyle name="Normal 6 4" xfId="2081"/>
    <cellStyle name="Normal 6 5" xfId="2082"/>
    <cellStyle name="Normal 6 6" xfId="2083"/>
    <cellStyle name="Normal 66" xfId="2084"/>
    <cellStyle name="Normal 66 10" xfId="2085"/>
    <cellStyle name="Normal 66 11" xfId="2086"/>
    <cellStyle name="Normal 66 2" xfId="2087"/>
    <cellStyle name="Normal 66 3" xfId="2088"/>
    <cellStyle name="Normal 66 4" xfId="2089"/>
    <cellStyle name="Normal 66 5" xfId="2090"/>
    <cellStyle name="Normal 66 6" xfId="2091"/>
    <cellStyle name="Normal 66 7" xfId="2092"/>
    <cellStyle name="Normal 66 8" xfId="2093"/>
    <cellStyle name="Normal 66 9" xfId="2094"/>
    <cellStyle name="Normal 67" xfId="2095"/>
    <cellStyle name="Normal 67 10" xfId="2096"/>
    <cellStyle name="Normal 67 11" xfId="2097"/>
    <cellStyle name="Normal 67 2" xfId="2098"/>
    <cellStyle name="Normal 67 3" xfId="2099"/>
    <cellStyle name="Normal 67 4" xfId="2100"/>
    <cellStyle name="Normal 67 5" xfId="2101"/>
    <cellStyle name="Normal 67 6" xfId="2102"/>
    <cellStyle name="Normal 67 7" xfId="2103"/>
    <cellStyle name="Normal 67 8" xfId="2104"/>
    <cellStyle name="Normal 67 9" xfId="2105"/>
    <cellStyle name="Normal 68" xfId="2106"/>
    <cellStyle name="Normal 68 10" xfId="2107"/>
    <cellStyle name="Normal 68 11" xfId="2108"/>
    <cellStyle name="Normal 68 2" xfId="2109"/>
    <cellStyle name="Normal 68 3" xfId="2110"/>
    <cellStyle name="Normal 68 4" xfId="2111"/>
    <cellStyle name="Normal 68 5" xfId="2112"/>
    <cellStyle name="Normal 68 6" xfId="2113"/>
    <cellStyle name="Normal 68 7" xfId="2114"/>
    <cellStyle name="Normal 68 8" xfId="2115"/>
    <cellStyle name="Normal 68 9" xfId="2116"/>
    <cellStyle name="Normal 69" xfId="2117"/>
    <cellStyle name="Normal 69 10" xfId="2118"/>
    <cellStyle name="Normal 69 11" xfId="2119"/>
    <cellStyle name="Normal 69 2" xfId="2120"/>
    <cellStyle name="Normal 69 3" xfId="2121"/>
    <cellStyle name="Normal 69 4" xfId="2122"/>
    <cellStyle name="Normal 69 5" xfId="2123"/>
    <cellStyle name="Normal 69 6" xfId="2124"/>
    <cellStyle name="Normal 69 7" xfId="2125"/>
    <cellStyle name="Normal 69 8" xfId="2126"/>
    <cellStyle name="Normal 69 9" xfId="2127"/>
    <cellStyle name="Normal 7" xfId="4254"/>
    <cellStyle name="Normal 7 10" xfId="2128"/>
    <cellStyle name="Normal 7 10 2" xfId="5411"/>
    <cellStyle name="Normal 7 11" xfId="2129"/>
    <cellStyle name="Normal 7 11 2" xfId="5412"/>
    <cellStyle name="Normal 7 12" xfId="2130"/>
    <cellStyle name="Normal 7 12 2" xfId="5413"/>
    <cellStyle name="Normal 7 13" xfId="2131"/>
    <cellStyle name="Normal 7 13 2" xfId="5414"/>
    <cellStyle name="Normal 7 14" xfId="2132"/>
    <cellStyle name="Normal 7 14 2" xfId="5415"/>
    <cellStyle name="Normal 7 15" xfId="2133"/>
    <cellStyle name="Normal 7 2" xfId="2134"/>
    <cellStyle name="Normal 7 2 2" xfId="5416"/>
    <cellStyle name="Normal 7 3" xfId="2135"/>
    <cellStyle name="Normal 7 3 2" xfId="5417"/>
    <cellStyle name="Normal 7 4" xfId="2136"/>
    <cellStyle name="Normal 7 4 2" xfId="5418"/>
    <cellStyle name="Normal 7 5" xfId="2137"/>
    <cellStyle name="Normal 7 5 2" xfId="5419"/>
    <cellStyle name="Normal 7 6" xfId="2138"/>
    <cellStyle name="Normal 7 6 2" xfId="2139"/>
    <cellStyle name="Normal 7 6 3" xfId="2140"/>
    <cellStyle name="Normal 7 6 3 2" xfId="5421"/>
    <cellStyle name="Normal 7 6 4" xfId="5420"/>
    <cellStyle name="Normal 7 7" xfId="2141"/>
    <cellStyle name="Normal 7 7 2" xfId="2142"/>
    <cellStyle name="Normal 7 7 3" xfId="2143"/>
    <cellStyle name="Normal 7 7 3 2" xfId="5423"/>
    <cellStyle name="Normal 7 7 4" xfId="5422"/>
    <cellStyle name="Normal 7 8" xfId="2144"/>
    <cellStyle name="Normal 7 8 2" xfId="2145"/>
    <cellStyle name="Normal 7 8 3" xfId="2146"/>
    <cellStyle name="Normal 7 8 3 2" xfId="5425"/>
    <cellStyle name="Normal 7 8 4" xfId="5424"/>
    <cellStyle name="Normal 7 9" xfId="2147"/>
    <cellStyle name="Normal 7 9 2" xfId="5426"/>
    <cellStyle name="Normal 70" xfId="2148"/>
    <cellStyle name="Normal 70 10" xfId="2149"/>
    <cellStyle name="Normal 70 11" xfId="2150"/>
    <cellStyle name="Normal 70 2" xfId="2151"/>
    <cellStyle name="Normal 70 3" xfId="2152"/>
    <cellStyle name="Normal 70 4" xfId="2153"/>
    <cellStyle name="Normal 70 5" xfId="2154"/>
    <cellStyle name="Normal 70 6" xfId="2155"/>
    <cellStyle name="Normal 70 7" xfId="2156"/>
    <cellStyle name="Normal 70 8" xfId="2157"/>
    <cellStyle name="Normal 70 9" xfId="2158"/>
    <cellStyle name="Normal 71" xfId="2159"/>
    <cellStyle name="Normal 71 10" xfId="2160"/>
    <cellStyle name="Normal 71 11" xfId="2161"/>
    <cellStyle name="Normal 71 2" xfId="2162"/>
    <cellStyle name="Normal 71 3" xfId="2163"/>
    <cellStyle name="Normal 71 4" xfId="2164"/>
    <cellStyle name="Normal 71 5" xfId="2165"/>
    <cellStyle name="Normal 71 6" xfId="2166"/>
    <cellStyle name="Normal 71 7" xfId="2167"/>
    <cellStyle name="Normal 71 8" xfId="2168"/>
    <cellStyle name="Normal 71 9" xfId="2169"/>
    <cellStyle name="Normal 72" xfId="2170"/>
    <cellStyle name="Normal 72 10" xfId="2171"/>
    <cellStyle name="Normal 72 11" xfId="2172"/>
    <cellStyle name="Normal 72 2" xfId="2173"/>
    <cellStyle name="Normal 72 3" xfId="2174"/>
    <cellStyle name="Normal 72 4" xfId="2175"/>
    <cellStyle name="Normal 72 5" xfId="2176"/>
    <cellStyle name="Normal 72 6" xfId="2177"/>
    <cellStyle name="Normal 72 7" xfId="2178"/>
    <cellStyle name="Normal 72 8" xfId="2179"/>
    <cellStyle name="Normal 72 9" xfId="2180"/>
    <cellStyle name="Normal 73 2" xfId="2181"/>
    <cellStyle name="Normal 73 2 2" xfId="5427"/>
    <cellStyle name="Normal 73 3" xfId="2182"/>
    <cellStyle name="Normal 73 3 2" xfId="5428"/>
    <cellStyle name="Normal 73 4" xfId="2183"/>
    <cellStyle name="Normal 73 4 2" xfId="5429"/>
    <cellStyle name="Normal 73 5" xfId="2184"/>
    <cellStyle name="Normal 73 5 2" xfId="5430"/>
    <cellStyle name="Normal 73 6" xfId="2185"/>
    <cellStyle name="Normal 73 6 2" xfId="5431"/>
    <cellStyle name="Normal 73 7" xfId="2186"/>
    <cellStyle name="Normal 73 7 2" xfId="5432"/>
    <cellStyle name="Normal 74" xfId="2187"/>
    <cellStyle name="Normal 74 10" xfId="2188"/>
    <cellStyle name="Normal 74 11" xfId="2189"/>
    <cellStyle name="Normal 74 2" xfId="2190"/>
    <cellStyle name="Normal 74 3" xfId="2191"/>
    <cellStyle name="Normal 74 4" xfId="2192"/>
    <cellStyle name="Normal 74 5" xfId="2193"/>
    <cellStyle name="Normal 74 6" xfId="2194"/>
    <cellStyle name="Normal 74 7" xfId="2195"/>
    <cellStyle name="Normal 74 8" xfId="2196"/>
    <cellStyle name="Normal 74 9" xfId="2197"/>
    <cellStyle name="Normal 75" xfId="2198"/>
    <cellStyle name="Normal 75 10" xfId="2199"/>
    <cellStyle name="Normal 75 11" xfId="2200"/>
    <cellStyle name="Normal 75 2" xfId="2201"/>
    <cellStyle name="Normal 75 3" xfId="2202"/>
    <cellStyle name="Normal 75 4" xfId="2203"/>
    <cellStyle name="Normal 75 5" xfId="2204"/>
    <cellStyle name="Normal 75 6" xfId="2205"/>
    <cellStyle name="Normal 75 7" xfId="2206"/>
    <cellStyle name="Normal 75 8" xfId="2207"/>
    <cellStyle name="Normal 75 9" xfId="2208"/>
    <cellStyle name="Normal 76" xfId="2209"/>
    <cellStyle name="Normal 76 10" xfId="2210"/>
    <cellStyle name="Normal 76 11" xfId="2211"/>
    <cellStyle name="Normal 76 2" xfId="2212"/>
    <cellStyle name="Normal 76 3" xfId="2213"/>
    <cellStyle name="Normal 76 4" xfId="2214"/>
    <cellStyle name="Normal 76 5" xfId="2215"/>
    <cellStyle name="Normal 76 6" xfId="2216"/>
    <cellStyle name="Normal 76 7" xfId="2217"/>
    <cellStyle name="Normal 76 8" xfId="2218"/>
    <cellStyle name="Normal 76 9" xfId="2219"/>
    <cellStyle name="Normal 77" xfId="2220"/>
    <cellStyle name="Normal 77 10" xfId="2221"/>
    <cellStyle name="Normal 77 11" xfId="2222"/>
    <cellStyle name="Normal 77 2" xfId="2223"/>
    <cellStyle name="Normal 77 3" xfId="2224"/>
    <cellStyle name="Normal 77 4" xfId="2225"/>
    <cellStyle name="Normal 77 5" xfId="2226"/>
    <cellStyle name="Normal 77 6" xfId="2227"/>
    <cellStyle name="Normal 77 7" xfId="2228"/>
    <cellStyle name="Normal 77 8" xfId="2229"/>
    <cellStyle name="Normal 77 9" xfId="2230"/>
    <cellStyle name="Normal 78" xfId="2231"/>
    <cellStyle name="Normal 78 10" xfId="2232"/>
    <cellStyle name="Normal 78 11" xfId="2233"/>
    <cellStyle name="Normal 78 2" xfId="2234"/>
    <cellStyle name="Normal 78 3" xfId="2235"/>
    <cellStyle name="Normal 78 4" xfId="2236"/>
    <cellStyle name="Normal 78 5" xfId="2237"/>
    <cellStyle name="Normal 78 6" xfId="2238"/>
    <cellStyle name="Normal 78 7" xfId="2239"/>
    <cellStyle name="Normal 78 8" xfId="2240"/>
    <cellStyle name="Normal 78 9" xfId="2241"/>
    <cellStyle name="Normal 79" xfId="2242"/>
    <cellStyle name="Normal 79 10" xfId="2243"/>
    <cellStyle name="Normal 79 11" xfId="2244"/>
    <cellStyle name="Normal 79 2" xfId="2245"/>
    <cellStyle name="Normal 79 3" xfId="2246"/>
    <cellStyle name="Normal 79 4" xfId="2247"/>
    <cellStyle name="Normal 79 5" xfId="2248"/>
    <cellStyle name="Normal 79 6" xfId="2249"/>
    <cellStyle name="Normal 79 7" xfId="2250"/>
    <cellStyle name="Normal 79 8" xfId="2251"/>
    <cellStyle name="Normal 79 9" xfId="2252"/>
    <cellStyle name="Normal 8" xfId="2253"/>
    <cellStyle name="Normal 8 2" xfId="2254"/>
    <cellStyle name="Normal 8 3" xfId="2255"/>
    <cellStyle name="Normal 8 4" xfId="2256"/>
    <cellStyle name="Normal 80" xfId="2257"/>
    <cellStyle name="Normal 80 10" xfId="2258"/>
    <cellStyle name="Normal 80 11" xfId="2259"/>
    <cellStyle name="Normal 80 2" xfId="2260"/>
    <cellStyle name="Normal 80 3" xfId="2261"/>
    <cellStyle name="Normal 80 4" xfId="2262"/>
    <cellStyle name="Normal 80 5" xfId="2263"/>
    <cellStyle name="Normal 80 6" xfId="2264"/>
    <cellStyle name="Normal 80 7" xfId="2265"/>
    <cellStyle name="Normal 80 8" xfId="2266"/>
    <cellStyle name="Normal 80 9" xfId="2267"/>
    <cellStyle name="Normal 81" xfId="2268"/>
    <cellStyle name="Normal 81 10" xfId="2269"/>
    <cellStyle name="Normal 81 11" xfId="2270"/>
    <cellStyle name="Normal 81 2" xfId="2271"/>
    <cellStyle name="Normal 81 3" xfId="2272"/>
    <cellStyle name="Normal 81 4" xfId="2273"/>
    <cellStyle name="Normal 81 5" xfId="2274"/>
    <cellStyle name="Normal 81 6" xfId="2275"/>
    <cellStyle name="Normal 81 7" xfId="2276"/>
    <cellStyle name="Normal 81 8" xfId="2277"/>
    <cellStyle name="Normal 81 9" xfId="2278"/>
    <cellStyle name="Normal 82" xfId="2279"/>
    <cellStyle name="Normal 82 10" xfId="2280"/>
    <cellStyle name="Normal 82 11" xfId="2281"/>
    <cellStyle name="Normal 82 2" xfId="2282"/>
    <cellStyle name="Normal 82 3" xfId="2283"/>
    <cellStyle name="Normal 82 4" xfId="2284"/>
    <cellStyle name="Normal 82 5" xfId="2285"/>
    <cellStyle name="Normal 82 6" xfId="2286"/>
    <cellStyle name="Normal 82 7" xfId="2287"/>
    <cellStyle name="Normal 82 8" xfId="2288"/>
    <cellStyle name="Normal 82 9" xfId="2289"/>
    <cellStyle name="Normal 83" xfId="2290"/>
    <cellStyle name="Normal 83 10" xfId="2291"/>
    <cellStyle name="Normal 83 11" xfId="2292"/>
    <cellStyle name="Normal 83 2" xfId="2293"/>
    <cellStyle name="Normal 83 3" xfId="2294"/>
    <cellStyle name="Normal 83 4" xfId="2295"/>
    <cellStyle name="Normal 83 5" xfId="2296"/>
    <cellStyle name="Normal 83 6" xfId="2297"/>
    <cellStyle name="Normal 83 7" xfId="2298"/>
    <cellStyle name="Normal 83 8" xfId="2299"/>
    <cellStyle name="Normal 83 9" xfId="2300"/>
    <cellStyle name="Normal 84" xfId="2301"/>
    <cellStyle name="Normal 84 10" xfId="2302"/>
    <cellStyle name="Normal 84 11" xfId="2303"/>
    <cellStyle name="Normal 84 2" xfId="2304"/>
    <cellStyle name="Normal 84 3" xfId="2305"/>
    <cellStyle name="Normal 84 4" xfId="2306"/>
    <cellStyle name="Normal 84 5" xfId="2307"/>
    <cellStyle name="Normal 84 6" xfId="2308"/>
    <cellStyle name="Normal 84 7" xfId="2309"/>
    <cellStyle name="Normal 84 8" xfId="2310"/>
    <cellStyle name="Normal 84 9" xfId="2311"/>
    <cellStyle name="Normal 85" xfId="2312"/>
    <cellStyle name="Normal 85 10" xfId="2313"/>
    <cellStyle name="Normal 85 11" xfId="2314"/>
    <cellStyle name="Normal 85 2" xfId="2315"/>
    <cellStyle name="Normal 85 3" xfId="2316"/>
    <cellStyle name="Normal 85 4" xfId="2317"/>
    <cellStyle name="Normal 85 5" xfId="2318"/>
    <cellStyle name="Normal 85 6" xfId="2319"/>
    <cellStyle name="Normal 85 7" xfId="2320"/>
    <cellStyle name="Normal 85 8" xfId="2321"/>
    <cellStyle name="Normal 85 9" xfId="2322"/>
    <cellStyle name="Normal 86" xfId="2323"/>
    <cellStyle name="Normal 86 10" xfId="2324"/>
    <cellStyle name="Normal 86 11" xfId="2325"/>
    <cellStyle name="Normal 86 2" xfId="2326"/>
    <cellStyle name="Normal 86 3" xfId="2327"/>
    <cellStyle name="Normal 86 4" xfId="2328"/>
    <cellStyle name="Normal 86 5" xfId="2329"/>
    <cellStyle name="Normal 86 6" xfId="2330"/>
    <cellStyle name="Normal 86 7" xfId="2331"/>
    <cellStyle name="Normal 86 8" xfId="2332"/>
    <cellStyle name="Normal 86 9" xfId="2333"/>
    <cellStyle name="Normal 87 2" xfId="2334"/>
    <cellStyle name="Normal 87 2 2" xfId="5433"/>
    <cellStyle name="Normal 87 3" xfId="2335"/>
    <cellStyle name="Normal 87 3 2" xfId="5434"/>
    <cellStyle name="Normal 87 4" xfId="2336"/>
    <cellStyle name="Normal 87 4 2" xfId="5435"/>
    <cellStyle name="Normal 88" xfId="2337"/>
    <cellStyle name="Normal 88 2" xfId="2338"/>
    <cellStyle name="Normal 88 3" xfId="2339"/>
    <cellStyle name="Normal 88 4" xfId="2340"/>
    <cellStyle name="Normal 88 5" xfId="2341"/>
    <cellStyle name="Normal 88 6" xfId="2342"/>
    <cellStyle name="Normal 88 7" xfId="2343"/>
    <cellStyle name="Normal 88 8" xfId="2344"/>
    <cellStyle name="Normal 89" xfId="2345"/>
    <cellStyle name="Normal 89 2" xfId="2346"/>
    <cellStyle name="Normal 89 3" xfId="2347"/>
    <cellStyle name="Normal 89 4" xfId="2348"/>
    <cellStyle name="Normal 89 5" xfId="2349"/>
    <cellStyle name="Normal 89 6" xfId="2350"/>
    <cellStyle name="Normal 89 7" xfId="2351"/>
    <cellStyle name="Normal 89 8" xfId="2352"/>
    <cellStyle name="Normal 9" xfId="2353"/>
    <cellStyle name="Normal 9 2" xfId="2354"/>
    <cellStyle name="Normal 9 3" xfId="2355"/>
    <cellStyle name="Normal 9 4" xfId="2356"/>
    <cellStyle name="Normal 90" xfId="2357"/>
    <cellStyle name="Normal 90 2" xfId="2358"/>
    <cellStyle name="Normal 90 3" xfId="2359"/>
    <cellStyle name="Normal 90 4" xfId="2360"/>
    <cellStyle name="Normal 90 5" xfId="2361"/>
    <cellStyle name="Normal 90 6" xfId="2362"/>
    <cellStyle name="Normal 90 7" xfId="2363"/>
    <cellStyle name="Normal 90 8" xfId="2364"/>
    <cellStyle name="Normal 91" xfId="2365"/>
    <cellStyle name="Normal 91 2" xfId="2366"/>
    <cellStyle name="Normal 91 3" xfId="2367"/>
    <cellStyle name="Normal 91 4" xfId="2368"/>
    <cellStyle name="Normal 91 5" xfId="2369"/>
    <cellStyle name="Normal 91 6" xfId="2370"/>
    <cellStyle name="Normal 91 7" xfId="2371"/>
    <cellStyle name="Normal 91 8" xfId="2372"/>
    <cellStyle name="Normal 94" xfId="2373"/>
    <cellStyle name="Normal 94 2" xfId="2374"/>
    <cellStyle name="Normal 94 3" xfId="2375"/>
    <cellStyle name="Normal 94 4" xfId="2376"/>
    <cellStyle name="Normal 94 5" xfId="2377"/>
    <cellStyle name="Normal 94 6" xfId="2378"/>
    <cellStyle name="Normal 94 7" xfId="2379"/>
    <cellStyle name="Normal 94 8" xfId="2380"/>
    <cellStyle name="Normal 95 2" xfId="2381"/>
    <cellStyle name="Normal 95 2 2" xfId="5436"/>
    <cellStyle name="Normal 95 3" xfId="2382"/>
    <cellStyle name="Normal 95 3 2" xfId="5437"/>
    <cellStyle name="Normal 95 4" xfId="2383"/>
    <cellStyle name="Normal 95 4 2" xfId="5438"/>
    <cellStyle name="Normal 96 2" xfId="2384"/>
    <cellStyle name="Normal 96 2 2" xfId="5439"/>
    <cellStyle name="Normal 96 3" xfId="2385"/>
    <cellStyle name="Normal 96 3 2" xfId="5440"/>
    <cellStyle name="Normal 96 4" xfId="2386"/>
    <cellStyle name="Normal 96 4 2" xfId="5441"/>
    <cellStyle name="Normal 97" xfId="2387"/>
    <cellStyle name="Normal 97 2" xfId="2388"/>
    <cellStyle name="Normal 97 3" xfId="2389"/>
    <cellStyle name="Normal 97 4" xfId="2390"/>
    <cellStyle name="Normal 97 5" xfId="2391"/>
    <cellStyle name="Normal 97 6" xfId="2392"/>
    <cellStyle name="Normal 97 7" xfId="2393"/>
    <cellStyle name="Normal 97 8" xfId="2394"/>
    <cellStyle name="Normal 98" xfId="2395"/>
    <cellStyle name="Normal 98 2" xfId="2396"/>
    <cellStyle name="Normal 98 3" xfId="2397"/>
    <cellStyle name="Normal 98 4" xfId="2398"/>
    <cellStyle name="Normal 98 5" xfId="2399"/>
    <cellStyle name="Normal 98 6" xfId="2400"/>
    <cellStyle name="Normal 98 7" xfId="2401"/>
    <cellStyle name="Normal 98 8" xfId="2402"/>
    <cellStyle name="Normal_2006 P AND L PLUS BAL SHEET.xls rkk.xls BB" xfId="2403"/>
    <cellStyle name="Normal_2007 REVENUE 2" xfId="5759"/>
    <cellStyle name="Normal_IAML-RECON JAN &amp; FEB 07 2" xfId="4253"/>
    <cellStyle name="Note 10" xfId="2404"/>
    <cellStyle name="Note 10 10" xfId="2405"/>
    <cellStyle name="Note 10 11" xfId="2406"/>
    <cellStyle name="Note 10 12" xfId="2407"/>
    <cellStyle name="Note 10 2" xfId="2408"/>
    <cellStyle name="Note 10 2 10" xfId="2409"/>
    <cellStyle name="Note 10 2 2" xfId="2410"/>
    <cellStyle name="Note 10 2 3" xfId="2411"/>
    <cellStyle name="Note 10 2 4" xfId="2412"/>
    <cellStyle name="Note 10 2 5" xfId="2413"/>
    <cellStyle name="Note 10 2 6" xfId="2414"/>
    <cellStyle name="Note 10 2 7" xfId="2415"/>
    <cellStyle name="Note 10 2 8" xfId="2416"/>
    <cellStyle name="Note 10 2 9" xfId="2417"/>
    <cellStyle name="Note 10 2 9 2" xfId="5442"/>
    <cellStyle name="Note 10 3" xfId="2418"/>
    <cellStyle name="Note 10 3 2" xfId="2419"/>
    <cellStyle name="Note 10 3 3" xfId="2420"/>
    <cellStyle name="Note 10 3 4" xfId="2421"/>
    <cellStyle name="Note 10 3 5" xfId="2422"/>
    <cellStyle name="Note 10 3 6" xfId="2423"/>
    <cellStyle name="Note 10 3 7" xfId="2424"/>
    <cellStyle name="Note 10 3 8" xfId="2425"/>
    <cellStyle name="Note 10 4" xfId="2426"/>
    <cellStyle name="Note 10 4 2" xfId="2427"/>
    <cellStyle name="Note 10 4 3" xfId="2428"/>
    <cellStyle name="Note 10 4 4" xfId="2429"/>
    <cellStyle name="Note 10 4 5" xfId="2430"/>
    <cellStyle name="Note 10 4 6" xfId="2431"/>
    <cellStyle name="Note 10 4 7" xfId="2432"/>
    <cellStyle name="Note 10 4 8" xfId="2433"/>
    <cellStyle name="Note 10 5" xfId="2434"/>
    <cellStyle name="Note 10 5 2" xfId="2435"/>
    <cellStyle name="Note 10 5 3" xfId="2436"/>
    <cellStyle name="Note 10 5 4" xfId="2437"/>
    <cellStyle name="Note 10 5 5" xfId="2438"/>
    <cellStyle name="Note 10 6" xfId="2439"/>
    <cellStyle name="Note 10 6 2" xfId="2440"/>
    <cellStyle name="Note 10 6 3" xfId="2441"/>
    <cellStyle name="Note 10 6 4" xfId="2442"/>
    <cellStyle name="Note 10 6 5" xfId="2443"/>
    <cellStyle name="Note 10 7" xfId="2444"/>
    <cellStyle name="Note 10 7 2" xfId="2445"/>
    <cellStyle name="Note 10 7 3" xfId="2446"/>
    <cellStyle name="Note 10 7 4" xfId="2447"/>
    <cellStyle name="Note 10 7 5" xfId="2448"/>
    <cellStyle name="Note 10 8" xfId="2449"/>
    <cellStyle name="Note 10 9" xfId="2450"/>
    <cellStyle name="Note 11" xfId="2451"/>
    <cellStyle name="Note 11 10" xfId="2452"/>
    <cellStyle name="Note 11 11" xfId="2453"/>
    <cellStyle name="Note 11 12" xfId="2454"/>
    <cellStyle name="Note 11 2" xfId="2455"/>
    <cellStyle name="Note 11 2 10" xfId="2456"/>
    <cellStyle name="Note 11 2 2" xfId="2457"/>
    <cellStyle name="Note 11 2 3" xfId="2458"/>
    <cellStyle name="Note 11 2 4" xfId="2459"/>
    <cellStyle name="Note 11 2 5" xfId="2460"/>
    <cellStyle name="Note 11 2 6" xfId="2461"/>
    <cellStyle name="Note 11 2 7" xfId="2462"/>
    <cellStyle name="Note 11 2 8" xfId="2463"/>
    <cellStyle name="Note 11 2 9" xfId="2464"/>
    <cellStyle name="Note 11 2 9 2" xfId="5443"/>
    <cellStyle name="Note 11 3" xfId="2465"/>
    <cellStyle name="Note 11 3 2" xfId="2466"/>
    <cellStyle name="Note 11 3 3" xfId="2467"/>
    <cellStyle name="Note 11 3 4" xfId="2468"/>
    <cellStyle name="Note 11 3 5" xfId="2469"/>
    <cellStyle name="Note 11 3 6" xfId="2470"/>
    <cellStyle name="Note 11 3 7" xfId="2471"/>
    <cellStyle name="Note 11 3 8" xfId="2472"/>
    <cellStyle name="Note 11 4" xfId="2473"/>
    <cellStyle name="Note 11 4 2" xfId="2474"/>
    <cellStyle name="Note 11 4 3" xfId="2475"/>
    <cellStyle name="Note 11 4 4" xfId="2476"/>
    <cellStyle name="Note 11 4 5" xfId="2477"/>
    <cellStyle name="Note 11 4 6" xfId="2478"/>
    <cellStyle name="Note 11 4 7" xfId="2479"/>
    <cellStyle name="Note 11 4 8" xfId="2480"/>
    <cellStyle name="Note 11 5" xfId="2481"/>
    <cellStyle name="Note 11 5 2" xfId="2482"/>
    <cellStyle name="Note 11 5 3" xfId="2483"/>
    <cellStyle name="Note 11 5 4" xfId="2484"/>
    <cellStyle name="Note 11 5 5" xfId="2485"/>
    <cellStyle name="Note 11 6" xfId="2486"/>
    <cellStyle name="Note 11 6 2" xfId="2487"/>
    <cellStyle name="Note 11 6 3" xfId="2488"/>
    <cellStyle name="Note 11 6 4" xfId="2489"/>
    <cellStyle name="Note 11 6 5" xfId="2490"/>
    <cellStyle name="Note 11 7" xfId="2491"/>
    <cellStyle name="Note 11 7 2" xfId="2492"/>
    <cellStyle name="Note 11 7 3" xfId="2493"/>
    <cellStyle name="Note 11 7 4" xfId="2494"/>
    <cellStyle name="Note 11 7 5" xfId="2495"/>
    <cellStyle name="Note 11 8" xfId="2496"/>
    <cellStyle name="Note 11 9" xfId="2497"/>
    <cellStyle name="Note 12" xfId="2498"/>
    <cellStyle name="Note 12 10" xfId="2499"/>
    <cellStyle name="Note 12 11" xfId="2500"/>
    <cellStyle name="Note 12 12" xfId="2501"/>
    <cellStyle name="Note 12 2" xfId="2502"/>
    <cellStyle name="Note 12 2 2" xfId="2503"/>
    <cellStyle name="Note 12 2 3" xfId="2504"/>
    <cellStyle name="Note 12 2 4" xfId="2505"/>
    <cellStyle name="Note 12 2 5" xfId="2506"/>
    <cellStyle name="Note 12 2 6" xfId="2507"/>
    <cellStyle name="Note 12 2 7" xfId="2508"/>
    <cellStyle name="Note 12 2 8" xfId="2509"/>
    <cellStyle name="Note 12 2 8 2" xfId="5444"/>
    <cellStyle name="Note 12 2 9" xfId="2510"/>
    <cellStyle name="Note 12 3" xfId="2511"/>
    <cellStyle name="Note 12 3 2" xfId="2512"/>
    <cellStyle name="Note 12 3 3" xfId="2513"/>
    <cellStyle name="Note 12 3 4" xfId="2514"/>
    <cellStyle name="Note 12 3 5" xfId="2515"/>
    <cellStyle name="Note 12 3 6" xfId="2516"/>
    <cellStyle name="Note 12 3 7" xfId="2517"/>
    <cellStyle name="Note 12 4" xfId="2518"/>
    <cellStyle name="Note 12 4 2" xfId="2519"/>
    <cellStyle name="Note 12 4 3" xfId="2520"/>
    <cellStyle name="Note 12 4 4" xfId="2521"/>
    <cellStyle name="Note 12 4 5" xfId="2522"/>
    <cellStyle name="Note 12 4 6" xfId="2523"/>
    <cellStyle name="Note 12 4 7" xfId="2524"/>
    <cellStyle name="Note 12 5" xfId="2525"/>
    <cellStyle name="Note 12 5 2" xfId="2526"/>
    <cellStyle name="Note 12 5 3" xfId="2527"/>
    <cellStyle name="Note 12 5 4" xfId="2528"/>
    <cellStyle name="Note 12 5 5" xfId="2529"/>
    <cellStyle name="Note 12 6" xfId="2530"/>
    <cellStyle name="Note 12 6 2" xfId="2531"/>
    <cellStyle name="Note 12 6 3" xfId="2532"/>
    <cellStyle name="Note 12 6 4" xfId="2533"/>
    <cellStyle name="Note 12 6 5" xfId="2534"/>
    <cellStyle name="Note 12 7" xfId="2535"/>
    <cellStyle name="Note 12 7 2" xfId="2536"/>
    <cellStyle name="Note 12 7 3" xfId="2537"/>
    <cellStyle name="Note 12 7 4" xfId="2538"/>
    <cellStyle name="Note 12 7 5" xfId="2539"/>
    <cellStyle name="Note 12 8" xfId="2540"/>
    <cellStyle name="Note 12 9" xfId="2541"/>
    <cellStyle name="Note 13" xfId="2542"/>
    <cellStyle name="Note 13 10" xfId="2543"/>
    <cellStyle name="Note 13 11" xfId="2544"/>
    <cellStyle name="Note 13 12" xfId="2545"/>
    <cellStyle name="Note 13 2" xfId="2546"/>
    <cellStyle name="Note 13 2 2" xfId="2547"/>
    <cellStyle name="Note 13 2 3" xfId="2548"/>
    <cellStyle name="Note 13 2 4" xfId="2549"/>
    <cellStyle name="Note 13 2 5" xfId="2550"/>
    <cellStyle name="Note 13 2 6" xfId="2551"/>
    <cellStyle name="Note 13 2 7" xfId="2552"/>
    <cellStyle name="Note 13 2 8" xfId="2553"/>
    <cellStyle name="Note 13 2 8 2" xfId="5445"/>
    <cellStyle name="Note 13 2 9" xfId="2554"/>
    <cellStyle name="Note 13 3" xfId="2555"/>
    <cellStyle name="Note 13 3 2" xfId="2556"/>
    <cellStyle name="Note 13 3 3" xfId="2557"/>
    <cellStyle name="Note 13 3 4" xfId="2558"/>
    <cellStyle name="Note 13 3 5" xfId="2559"/>
    <cellStyle name="Note 13 3 6" xfId="2560"/>
    <cellStyle name="Note 13 3 7" xfId="2561"/>
    <cellStyle name="Note 13 4" xfId="2562"/>
    <cellStyle name="Note 13 4 2" xfId="2563"/>
    <cellStyle name="Note 13 4 3" xfId="2564"/>
    <cellStyle name="Note 13 4 4" xfId="2565"/>
    <cellStyle name="Note 13 4 5" xfId="2566"/>
    <cellStyle name="Note 13 4 6" xfId="2567"/>
    <cellStyle name="Note 13 4 7" xfId="2568"/>
    <cellStyle name="Note 13 5" xfId="2569"/>
    <cellStyle name="Note 13 5 2" xfId="2570"/>
    <cellStyle name="Note 13 5 3" xfId="2571"/>
    <cellStyle name="Note 13 5 4" xfId="2572"/>
    <cellStyle name="Note 13 5 5" xfId="2573"/>
    <cellStyle name="Note 13 6" xfId="2574"/>
    <cellStyle name="Note 13 6 2" xfId="2575"/>
    <cellStyle name="Note 13 6 3" xfId="2576"/>
    <cellStyle name="Note 13 6 4" xfId="2577"/>
    <cellStyle name="Note 13 6 5" xfId="2578"/>
    <cellStyle name="Note 13 7" xfId="2579"/>
    <cellStyle name="Note 13 7 2" xfId="2580"/>
    <cellStyle name="Note 13 7 3" xfId="2581"/>
    <cellStyle name="Note 13 7 4" xfId="2582"/>
    <cellStyle name="Note 13 7 5" xfId="2583"/>
    <cellStyle name="Note 13 8" xfId="2584"/>
    <cellStyle name="Note 13 9" xfId="2585"/>
    <cellStyle name="Note 14" xfId="2586"/>
    <cellStyle name="Note 14 10" xfId="2587"/>
    <cellStyle name="Note 14 11" xfId="2588"/>
    <cellStyle name="Note 14 2" xfId="2589"/>
    <cellStyle name="Note 14 2 2" xfId="2590"/>
    <cellStyle name="Note 14 2 3" xfId="2591"/>
    <cellStyle name="Note 14 2 4" xfId="2592"/>
    <cellStyle name="Note 14 2 5" xfId="2593"/>
    <cellStyle name="Note 14 2 6" xfId="2594"/>
    <cellStyle name="Note 14 2 7" xfId="2595"/>
    <cellStyle name="Note 14 2 8" xfId="2596"/>
    <cellStyle name="Note 14 2 8 2" xfId="5446"/>
    <cellStyle name="Note 14 2 9" xfId="2597"/>
    <cellStyle name="Note 14 3" xfId="2598"/>
    <cellStyle name="Note 14 3 2" xfId="2599"/>
    <cellStyle name="Note 14 3 3" xfId="2600"/>
    <cellStyle name="Note 14 3 4" xfId="2601"/>
    <cellStyle name="Note 14 3 5" xfId="2602"/>
    <cellStyle name="Note 14 3 6" xfId="2603"/>
    <cellStyle name="Note 14 3 7" xfId="2604"/>
    <cellStyle name="Note 14 4" xfId="2605"/>
    <cellStyle name="Note 14 4 2" xfId="2606"/>
    <cellStyle name="Note 14 4 3" xfId="2607"/>
    <cellStyle name="Note 14 4 4" xfId="2608"/>
    <cellStyle name="Note 14 4 5" xfId="2609"/>
    <cellStyle name="Note 14 4 6" xfId="2610"/>
    <cellStyle name="Note 14 4 7" xfId="2611"/>
    <cellStyle name="Note 14 5" xfId="2612"/>
    <cellStyle name="Note 14 5 2" xfId="2613"/>
    <cellStyle name="Note 14 5 3" xfId="2614"/>
    <cellStyle name="Note 14 5 4" xfId="2615"/>
    <cellStyle name="Note 14 5 5" xfId="2616"/>
    <cellStyle name="Note 14 6" xfId="2617"/>
    <cellStyle name="Note 14 6 2" xfId="2618"/>
    <cellStyle name="Note 14 6 3" xfId="2619"/>
    <cellStyle name="Note 14 6 4" xfId="2620"/>
    <cellStyle name="Note 14 6 5" xfId="2621"/>
    <cellStyle name="Note 14 7" xfId="2622"/>
    <cellStyle name="Note 14 7 2" xfId="2623"/>
    <cellStyle name="Note 14 7 3" xfId="2624"/>
    <cellStyle name="Note 14 7 4" xfId="2625"/>
    <cellStyle name="Note 14 7 5" xfId="2626"/>
    <cellStyle name="Note 14 8" xfId="2627"/>
    <cellStyle name="Note 14 9" xfId="2628"/>
    <cellStyle name="Note 15" xfId="2629"/>
    <cellStyle name="Note 15 10" xfId="2630"/>
    <cellStyle name="Note 15 11" xfId="2631"/>
    <cellStyle name="Note 15 2" xfId="2632"/>
    <cellStyle name="Note 15 2 2" xfId="2633"/>
    <cellStyle name="Note 15 2 3" xfId="2634"/>
    <cellStyle name="Note 15 2 4" xfId="2635"/>
    <cellStyle name="Note 15 2 5" xfId="2636"/>
    <cellStyle name="Note 15 2 6" xfId="2637"/>
    <cellStyle name="Note 15 2 7" xfId="2638"/>
    <cellStyle name="Note 15 2 8" xfId="2639"/>
    <cellStyle name="Note 15 2 8 2" xfId="5447"/>
    <cellStyle name="Note 15 2 9" xfId="2640"/>
    <cellStyle name="Note 15 3" xfId="2641"/>
    <cellStyle name="Note 15 3 2" xfId="2642"/>
    <cellStyle name="Note 15 3 3" xfId="2643"/>
    <cellStyle name="Note 15 3 4" xfId="2644"/>
    <cellStyle name="Note 15 3 5" xfId="2645"/>
    <cellStyle name="Note 15 3 6" xfId="2646"/>
    <cellStyle name="Note 15 3 7" xfId="2647"/>
    <cellStyle name="Note 15 4" xfId="2648"/>
    <cellStyle name="Note 15 4 2" xfId="2649"/>
    <cellStyle name="Note 15 4 3" xfId="2650"/>
    <cellStyle name="Note 15 4 4" xfId="2651"/>
    <cellStyle name="Note 15 4 5" xfId="2652"/>
    <cellStyle name="Note 15 4 6" xfId="2653"/>
    <cellStyle name="Note 15 4 7" xfId="2654"/>
    <cellStyle name="Note 15 5" xfId="2655"/>
    <cellStyle name="Note 15 5 2" xfId="2656"/>
    <cellStyle name="Note 15 5 3" xfId="2657"/>
    <cellStyle name="Note 15 5 4" xfId="2658"/>
    <cellStyle name="Note 15 5 5" xfId="2659"/>
    <cellStyle name="Note 15 6" xfId="2660"/>
    <cellStyle name="Note 15 6 2" xfId="2661"/>
    <cellStyle name="Note 15 6 3" xfId="2662"/>
    <cellStyle name="Note 15 6 4" xfId="2663"/>
    <cellStyle name="Note 15 6 5" xfId="2664"/>
    <cellStyle name="Note 15 7" xfId="2665"/>
    <cellStyle name="Note 15 7 2" xfId="2666"/>
    <cellStyle name="Note 15 7 3" xfId="2667"/>
    <cellStyle name="Note 15 7 4" xfId="2668"/>
    <cellStyle name="Note 15 7 5" xfId="2669"/>
    <cellStyle name="Note 15 8" xfId="2670"/>
    <cellStyle name="Note 15 9" xfId="2671"/>
    <cellStyle name="Note 16" xfId="2672"/>
    <cellStyle name="Note 16 10" xfId="2673"/>
    <cellStyle name="Note 16 11" xfId="2674"/>
    <cellStyle name="Note 16 2" xfId="2675"/>
    <cellStyle name="Note 16 2 2" xfId="2676"/>
    <cellStyle name="Note 16 2 3" xfId="2677"/>
    <cellStyle name="Note 16 2 4" xfId="2678"/>
    <cellStyle name="Note 16 2 5" xfId="2679"/>
    <cellStyle name="Note 16 2 6" xfId="2680"/>
    <cellStyle name="Note 16 2 7" xfId="2681"/>
    <cellStyle name="Note 16 2 8" xfId="2682"/>
    <cellStyle name="Note 16 2 8 2" xfId="5448"/>
    <cellStyle name="Note 16 2 9" xfId="2683"/>
    <cellStyle name="Note 16 3" xfId="2684"/>
    <cellStyle name="Note 16 3 2" xfId="2685"/>
    <cellStyle name="Note 16 3 3" xfId="2686"/>
    <cellStyle name="Note 16 3 4" xfId="2687"/>
    <cellStyle name="Note 16 3 5" xfId="2688"/>
    <cellStyle name="Note 16 3 6" xfId="2689"/>
    <cellStyle name="Note 16 3 7" xfId="2690"/>
    <cellStyle name="Note 16 4" xfId="2691"/>
    <cellStyle name="Note 16 4 2" xfId="2692"/>
    <cellStyle name="Note 16 4 3" xfId="2693"/>
    <cellStyle name="Note 16 4 4" xfId="2694"/>
    <cellStyle name="Note 16 4 5" xfId="2695"/>
    <cellStyle name="Note 16 4 6" xfId="2696"/>
    <cellStyle name="Note 16 4 7" xfId="2697"/>
    <cellStyle name="Note 16 5" xfId="2698"/>
    <cellStyle name="Note 16 5 2" xfId="2699"/>
    <cellStyle name="Note 16 5 3" xfId="2700"/>
    <cellStyle name="Note 16 5 4" xfId="2701"/>
    <cellStyle name="Note 16 5 5" xfId="2702"/>
    <cellStyle name="Note 16 6" xfId="2703"/>
    <cellStyle name="Note 16 6 2" xfId="2704"/>
    <cellStyle name="Note 16 6 3" xfId="2705"/>
    <cellStyle name="Note 16 6 4" xfId="2706"/>
    <cellStyle name="Note 16 6 5" xfId="2707"/>
    <cellStyle name="Note 16 7" xfId="2708"/>
    <cellStyle name="Note 16 7 2" xfId="2709"/>
    <cellStyle name="Note 16 7 3" xfId="2710"/>
    <cellStyle name="Note 16 7 4" xfId="2711"/>
    <cellStyle name="Note 16 7 5" xfId="2712"/>
    <cellStyle name="Note 16 8" xfId="2713"/>
    <cellStyle name="Note 16 9" xfId="2714"/>
    <cellStyle name="Note 17" xfId="2715"/>
    <cellStyle name="Note 17 10" xfId="2716"/>
    <cellStyle name="Note 17 11" xfId="2717"/>
    <cellStyle name="Note 17 2" xfId="2718"/>
    <cellStyle name="Note 17 2 2" xfId="2719"/>
    <cellStyle name="Note 17 2 3" xfId="2720"/>
    <cellStyle name="Note 17 2 4" xfId="2721"/>
    <cellStyle name="Note 17 2 5" xfId="2722"/>
    <cellStyle name="Note 17 2 6" xfId="2723"/>
    <cellStyle name="Note 17 2 7" xfId="2724"/>
    <cellStyle name="Note 17 2 8" xfId="2725"/>
    <cellStyle name="Note 17 2 8 2" xfId="5449"/>
    <cellStyle name="Note 17 2 9" xfId="2726"/>
    <cellStyle name="Note 17 3" xfId="2727"/>
    <cellStyle name="Note 17 3 2" xfId="2728"/>
    <cellStyle name="Note 17 3 3" xfId="2729"/>
    <cellStyle name="Note 17 3 4" xfId="2730"/>
    <cellStyle name="Note 17 3 5" xfId="2731"/>
    <cellStyle name="Note 17 3 6" xfId="2732"/>
    <cellStyle name="Note 17 3 7" xfId="2733"/>
    <cellStyle name="Note 17 4" xfId="2734"/>
    <cellStyle name="Note 17 4 2" xfId="2735"/>
    <cellStyle name="Note 17 4 3" xfId="2736"/>
    <cellStyle name="Note 17 4 4" xfId="2737"/>
    <cellStyle name="Note 17 4 5" xfId="2738"/>
    <cellStyle name="Note 17 4 6" xfId="2739"/>
    <cellStyle name="Note 17 4 7" xfId="2740"/>
    <cellStyle name="Note 17 5" xfId="2741"/>
    <cellStyle name="Note 17 5 2" xfId="2742"/>
    <cellStyle name="Note 17 5 3" xfId="2743"/>
    <cellStyle name="Note 17 5 4" xfId="2744"/>
    <cellStyle name="Note 17 5 5" xfId="2745"/>
    <cellStyle name="Note 17 6" xfId="2746"/>
    <cellStyle name="Note 17 6 2" xfId="2747"/>
    <cellStyle name="Note 17 6 3" xfId="2748"/>
    <cellStyle name="Note 17 6 4" xfId="2749"/>
    <cellStyle name="Note 17 6 5" xfId="2750"/>
    <cellStyle name="Note 17 7" xfId="2751"/>
    <cellStyle name="Note 17 7 2" xfId="2752"/>
    <cellStyle name="Note 17 7 3" xfId="2753"/>
    <cellStyle name="Note 17 7 4" xfId="2754"/>
    <cellStyle name="Note 17 7 5" xfId="2755"/>
    <cellStyle name="Note 17 8" xfId="2756"/>
    <cellStyle name="Note 17 9" xfId="2757"/>
    <cellStyle name="Note 18" xfId="2758"/>
    <cellStyle name="Note 18 10" xfId="2759"/>
    <cellStyle name="Note 18 11" xfId="2760"/>
    <cellStyle name="Note 18 12" xfId="2761"/>
    <cellStyle name="Note 18 13" xfId="2762"/>
    <cellStyle name="Note 18 2" xfId="2763"/>
    <cellStyle name="Note 18 2 2" xfId="2764"/>
    <cellStyle name="Note 18 2 3" xfId="2765"/>
    <cellStyle name="Note 18 2 4" xfId="2766"/>
    <cellStyle name="Note 18 2 5" xfId="2767"/>
    <cellStyle name="Note 18 2 6" xfId="2768"/>
    <cellStyle name="Note 18 2 7" xfId="2769"/>
    <cellStyle name="Note 18 3" xfId="2770"/>
    <cellStyle name="Note 18 3 2" xfId="2771"/>
    <cellStyle name="Note 18 3 3" xfId="2772"/>
    <cellStyle name="Note 18 3 4" xfId="2773"/>
    <cellStyle name="Note 18 3 5" xfId="2774"/>
    <cellStyle name="Note 18 3 6" xfId="2775"/>
    <cellStyle name="Note 18 3 7" xfId="2776"/>
    <cellStyle name="Note 18 4" xfId="2777"/>
    <cellStyle name="Note 18 4 2" xfId="2778"/>
    <cellStyle name="Note 18 4 3" xfId="2779"/>
    <cellStyle name="Note 18 4 4" xfId="2780"/>
    <cellStyle name="Note 18 4 5" xfId="2781"/>
    <cellStyle name="Note 18 4 6" xfId="2782"/>
    <cellStyle name="Note 18 4 7" xfId="2783"/>
    <cellStyle name="Note 18 5" xfId="2784"/>
    <cellStyle name="Note 18 5 2" xfId="2785"/>
    <cellStyle name="Note 18 5 3" xfId="2786"/>
    <cellStyle name="Note 18 5 4" xfId="2787"/>
    <cellStyle name="Note 18 5 5" xfId="2788"/>
    <cellStyle name="Note 18 6" xfId="2789"/>
    <cellStyle name="Note 18 6 2" xfId="2790"/>
    <cellStyle name="Note 18 6 3" xfId="2791"/>
    <cellStyle name="Note 18 6 4" xfId="2792"/>
    <cellStyle name="Note 18 6 5" xfId="2793"/>
    <cellStyle name="Note 18 7" xfId="2794"/>
    <cellStyle name="Note 18 7 2" xfId="2795"/>
    <cellStyle name="Note 18 7 3" xfId="2796"/>
    <cellStyle name="Note 18 7 4" xfId="2797"/>
    <cellStyle name="Note 18 7 5" xfId="2798"/>
    <cellStyle name="Note 18 8" xfId="2799"/>
    <cellStyle name="Note 18 9" xfId="2800"/>
    <cellStyle name="Note 19" xfId="2801"/>
    <cellStyle name="Note 19 10" xfId="2802"/>
    <cellStyle name="Note 19 11" xfId="2803"/>
    <cellStyle name="Note 19 2" xfId="2804"/>
    <cellStyle name="Note 19 2 2" xfId="2805"/>
    <cellStyle name="Note 19 2 3" xfId="2806"/>
    <cellStyle name="Note 19 2 4" xfId="2807"/>
    <cellStyle name="Note 19 2 5" xfId="2808"/>
    <cellStyle name="Note 19 2 6" xfId="2809"/>
    <cellStyle name="Note 19 2 7" xfId="2810"/>
    <cellStyle name="Note 19 3" xfId="2811"/>
    <cellStyle name="Note 19 3 2" xfId="2812"/>
    <cellStyle name="Note 19 3 3" xfId="2813"/>
    <cellStyle name="Note 19 3 4" xfId="2814"/>
    <cellStyle name="Note 19 3 5" xfId="2815"/>
    <cellStyle name="Note 19 3 6" xfId="2816"/>
    <cellStyle name="Note 19 3 7" xfId="2817"/>
    <cellStyle name="Note 19 4" xfId="2818"/>
    <cellStyle name="Note 19 4 2" xfId="2819"/>
    <cellStyle name="Note 19 4 3" xfId="2820"/>
    <cellStyle name="Note 19 4 4" xfId="2821"/>
    <cellStyle name="Note 19 4 5" xfId="2822"/>
    <cellStyle name="Note 19 4 6" xfId="2823"/>
    <cellStyle name="Note 19 4 7" xfId="2824"/>
    <cellStyle name="Note 19 5" xfId="2825"/>
    <cellStyle name="Note 19 5 2" xfId="2826"/>
    <cellStyle name="Note 19 5 3" xfId="2827"/>
    <cellStyle name="Note 19 5 4" xfId="2828"/>
    <cellStyle name="Note 19 5 5" xfId="2829"/>
    <cellStyle name="Note 19 6" xfId="2830"/>
    <cellStyle name="Note 19 6 2" xfId="2831"/>
    <cellStyle name="Note 19 6 3" xfId="2832"/>
    <cellStyle name="Note 19 6 4" xfId="2833"/>
    <cellStyle name="Note 19 6 5" xfId="2834"/>
    <cellStyle name="Note 19 7" xfId="2835"/>
    <cellStyle name="Note 19 7 2" xfId="2836"/>
    <cellStyle name="Note 19 7 3" xfId="2837"/>
    <cellStyle name="Note 19 7 4" xfId="2838"/>
    <cellStyle name="Note 19 7 5" xfId="2839"/>
    <cellStyle name="Note 19 8" xfId="2840"/>
    <cellStyle name="Note 19 9" xfId="2841"/>
    <cellStyle name="Note 2" xfId="2842"/>
    <cellStyle name="Note 2 10" xfId="2843"/>
    <cellStyle name="Note 2 10 2" xfId="2844"/>
    <cellStyle name="Note 2 10 3" xfId="2845"/>
    <cellStyle name="Note 2 10 4" xfId="2846"/>
    <cellStyle name="Note 2 10 5" xfId="2847"/>
    <cellStyle name="Note 2 11" xfId="2848"/>
    <cellStyle name="Note 2 11 2" xfId="2849"/>
    <cellStyle name="Note 2 11 3" xfId="2850"/>
    <cellStyle name="Note 2 11 4" xfId="2851"/>
    <cellStyle name="Note 2 11 5" xfId="2852"/>
    <cellStyle name="Note 2 12" xfId="2853"/>
    <cellStyle name="Note 2 13" xfId="2854"/>
    <cellStyle name="Note 2 14" xfId="2855"/>
    <cellStyle name="Note 2 15" xfId="2856"/>
    <cellStyle name="Note 2 16" xfId="2857"/>
    <cellStyle name="Note 2 17" xfId="2858"/>
    <cellStyle name="Note 2 18" xfId="2859"/>
    <cellStyle name="Note 2 19" xfId="2860"/>
    <cellStyle name="Note 2 2" xfId="2861"/>
    <cellStyle name="Note 2 2 10" xfId="2862"/>
    <cellStyle name="Note 2 2 11" xfId="2863"/>
    <cellStyle name="Note 2 2 11 2" xfId="5450"/>
    <cellStyle name="Note 2 2 12" xfId="2864"/>
    <cellStyle name="Note 2 2 2" xfId="2865"/>
    <cellStyle name="Note 2 2 3" xfId="2866"/>
    <cellStyle name="Note 2 2 4" xfId="2867"/>
    <cellStyle name="Note 2 2 5" xfId="2868"/>
    <cellStyle name="Note 2 2 6" xfId="2869"/>
    <cellStyle name="Note 2 2 7" xfId="2870"/>
    <cellStyle name="Note 2 2 8" xfId="2871"/>
    <cellStyle name="Note 2 2 9" xfId="2872"/>
    <cellStyle name="Note 2 20" xfId="2873"/>
    <cellStyle name="Note 2 21" xfId="2874"/>
    <cellStyle name="Note 2 3" xfId="2875"/>
    <cellStyle name="Note 2 3 10" xfId="2876"/>
    <cellStyle name="Note 2 3 11" xfId="2877"/>
    <cellStyle name="Note 2 3 12" xfId="2878"/>
    <cellStyle name="Note 2 3 2" xfId="2879"/>
    <cellStyle name="Note 2 3 2 2" xfId="2880"/>
    <cellStyle name="Note 2 3 2 2 2" xfId="5451"/>
    <cellStyle name="Note 2 3 2 3" xfId="2881"/>
    <cellStyle name="Note 2 3 3" xfId="2882"/>
    <cellStyle name="Note 2 3 4" xfId="2883"/>
    <cellStyle name="Note 2 3 5" xfId="2884"/>
    <cellStyle name="Note 2 3 6" xfId="2885"/>
    <cellStyle name="Note 2 3 7" xfId="2886"/>
    <cellStyle name="Note 2 3 8" xfId="2887"/>
    <cellStyle name="Note 2 3 9" xfId="2888"/>
    <cellStyle name="Note 2 4" xfId="2889"/>
    <cellStyle name="Note 2 4 10" xfId="2890"/>
    <cellStyle name="Note 2 4 2" xfId="2891"/>
    <cellStyle name="Note 2 4 3" xfId="2892"/>
    <cellStyle name="Note 2 4 4" xfId="2893"/>
    <cellStyle name="Note 2 4 5" xfId="2894"/>
    <cellStyle name="Note 2 4 6" xfId="2895"/>
    <cellStyle name="Note 2 4 7" xfId="2896"/>
    <cellStyle name="Note 2 4 8" xfId="2897"/>
    <cellStyle name="Note 2 4 9" xfId="2898"/>
    <cellStyle name="Note 2 5" xfId="2899"/>
    <cellStyle name="Note 2 5 2" xfId="2900"/>
    <cellStyle name="Note 2 5 3" xfId="2901"/>
    <cellStyle name="Note 2 5 4" xfId="2902"/>
    <cellStyle name="Note 2 5 5" xfId="2903"/>
    <cellStyle name="Note 2 5 6" xfId="2904"/>
    <cellStyle name="Note 2 5 7" xfId="2905"/>
    <cellStyle name="Note 2 5 8" xfId="2906"/>
    <cellStyle name="Note 2 6" xfId="2907"/>
    <cellStyle name="Note 2 6 2" xfId="2908"/>
    <cellStyle name="Note 2 6 3" xfId="2909"/>
    <cellStyle name="Note 2 6 4" xfId="2910"/>
    <cellStyle name="Note 2 6 5" xfId="2911"/>
    <cellStyle name="Note 2 6 6" xfId="2912"/>
    <cellStyle name="Note 2 6 7" xfId="2913"/>
    <cellStyle name="Note 2 6 8" xfId="2914"/>
    <cellStyle name="Note 2 7" xfId="2915"/>
    <cellStyle name="Note 2 7 2" xfId="2916"/>
    <cellStyle name="Note 2 7 3" xfId="2917"/>
    <cellStyle name="Note 2 7 4" xfId="2918"/>
    <cellStyle name="Note 2 7 5" xfId="2919"/>
    <cellStyle name="Note 2 7 6" xfId="2920"/>
    <cellStyle name="Note 2 7 7" xfId="2921"/>
    <cellStyle name="Note 2 7 8" xfId="2922"/>
    <cellStyle name="Note 2 8" xfId="2923"/>
    <cellStyle name="Note 2 8 2" xfId="2924"/>
    <cellStyle name="Note 2 8 3" xfId="2925"/>
    <cellStyle name="Note 2 8 4" xfId="2926"/>
    <cellStyle name="Note 2 8 5" xfId="2927"/>
    <cellStyle name="Note 2 8 6" xfId="2928"/>
    <cellStyle name="Note 2 8 7" xfId="2929"/>
    <cellStyle name="Note 2 8 8" xfId="2930"/>
    <cellStyle name="Note 2 9" xfId="2931"/>
    <cellStyle name="Note 2 9 2" xfId="2932"/>
    <cellStyle name="Note 2 9 3" xfId="2933"/>
    <cellStyle name="Note 2 9 4" xfId="2934"/>
    <cellStyle name="Note 2 9 5" xfId="2935"/>
    <cellStyle name="Note 20" xfId="2936"/>
    <cellStyle name="Note 20 10" xfId="2937"/>
    <cellStyle name="Note 20 11" xfId="2938"/>
    <cellStyle name="Note 20 2" xfId="2939"/>
    <cellStyle name="Note 20 2 2" xfId="2940"/>
    <cellStyle name="Note 20 2 3" xfId="2941"/>
    <cellStyle name="Note 20 2 4" xfId="2942"/>
    <cellStyle name="Note 20 2 5" xfId="2943"/>
    <cellStyle name="Note 20 2 6" xfId="2944"/>
    <cellStyle name="Note 20 2 7" xfId="2945"/>
    <cellStyle name="Note 20 3" xfId="2946"/>
    <cellStyle name="Note 20 3 2" xfId="2947"/>
    <cellStyle name="Note 20 3 3" xfId="2948"/>
    <cellStyle name="Note 20 3 4" xfId="2949"/>
    <cellStyle name="Note 20 3 5" xfId="2950"/>
    <cellStyle name="Note 20 3 6" xfId="2951"/>
    <cellStyle name="Note 20 3 7" xfId="2952"/>
    <cellStyle name="Note 20 4" xfId="2953"/>
    <cellStyle name="Note 20 4 2" xfId="2954"/>
    <cellStyle name="Note 20 4 3" xfId="2955"/>
    <cellStyle name="Note 20 4 4" xfId="2956"/>
    <cellStyle name="Note 20 4 5" xfId="2957"/>
    <cellStyle name="Note 20 4 6" xfId="2958"/>
    <cellStyle name="Note 20 4 7" xfId="2959"/>
    <cellStyle name="Note 20 5" xfId="2960"/>
    <cellStyle name="Note 20 5 2" xfId="2961"/>
    <cellStyle name="Note 20 5 3" xfId="2962"/>
    <cellStyle name="Note 20 5 4" xfId="2963"/>
    <cellStyle name="Note 20 5 5" xfId="2964"/>
    <cellStyle name="Note 20 6" xfId="2965"/>
    <cellStyle name="Note 20 6 2" xfId="2966"/>
    <cellStyle name="Note 20 6 3" xfId="2967"/>
    <cellStyle name="Note 20 6 4" xfId="2968"/>
    <cellStyle name="Note 20 6 5" xfId="2969"/>
    <cellStyle name="Note 20 7" xfId="2970"/>
    <cellStyle name="Note 20 7 2" xfId="2971"/>
    <cellStyle name="Note 20 7 3" xfId="2972"/>
    <cellStyle name="Note 20 7 4" xfId="2973"/>
    <cellStyle name="Note 20 7 5" xfId="2974"/>
    <cellStyle name="Note 20 8" xfId="2975"/>
    <cellStyle name="Note 20 9" xfId="2976"/>
    <cellStyle name="Note 21" xfId="2977"/>
    <cellStyle name="Note 21 10" xfId="2978"/>
    <cellStyle name="Note 21 11" xfId="2979"/>
    <cellStyle name="Note 21 2" xfId="2980"/>
    <cellStyle name="Note 21 2 2" xfId="2981"/>
    <cellStyle name="Note 21 2 3" xfId="2982"/>
    <cellStyle name="Note 21 2 4" xfId="2983"/>
    <cellStyle name="Note 21 2 5" xfId="2984"/>
    <cellStyle name="Note 21 2 6" xfId="2985"/>
    <cellStyle name="Note 21 2 7" xfId="2986"/>
    <cellStyle name="Note 21 3" xfId="2987"/>
    <cellStyle name="Note 21 3 2" xfId="2988"/>
    <cellStyle name="Note 21 3 3" xfId="2989"/>
    <cellStyle name="Note 21 3 4" xfId="2990"/>
    <cellStyle name="Note 21 3 5" xfId="2991"/>
    <cellStyle name="Note 21 3 6" xfId="2992"/>
    <cellStyle name="Note 21 3 7" xfId="2993"/>
    <cellStyle name="Note 21 4" xfId="2994"/>
    <cellStyle name="Note 21 4 2" xfId="2995"/>
    <cellStyle name="Note 21 4 3" xfId="2996"/>
    <cellStyle name="Note 21 4 4" xfId="2997"/>
    <cellStyle name="Note 21 4 5" xfId="2998"/>
    <cellStyle name="Note 21 4 6" xfId="2999"/>
    <cellStyle name="Note 21 4 7" xfId="3000"/>
    <cellStyle name="Note 21 5" xfId="3001"/>
    <cellStyle name="Note 21 5 2" xfId="3002"/>
    <cellStyle name="Note 21 5 3" xfId="3003"/>
    <cellStyle name="Note 21 5 4" xfId="3004"/>
    <cellStyle name="Note 21 5 5" xfId="3005"/>
    <cellStyle name="Note 21 6" xfId="3006"/>
    <cellStyle name="Note 21 6 2" xfId="3007"/>
    <cellStyle name="Note 21 6 3" xfId="3008"/>
    <cellStyle name="Note 21 6 4" xfId="3009"/>
    <cellStyle name="Note 21 6 5" xfId="3010"/>
    <cellStyle name="Note 21 7" xfId="3011"/>
    <cellStyle name="Note 21 7 2" xfId="3012"/>
    <cellStyle name="Note 21 7 3" xfId="3013"/>
    <cellStyle name="Note 21 7 4" xfId="3014"/>
    <cellStyle name="Note 21 7 5" xfId="3015"/>
    <cellStyle name="Note 21 8" xfId="3016"/>
    <cellStyle name="Note 21 9" xfId="3017"/>
    <cellStyle name="Note 22" xfId="3018"/>
    <cellStyle name="Note 22 10" xfId="3019"/>
    <cellStyle name="Note 22 11" xfId="3020"/>
    <cellStyle name="Note 22 2" xfId="3021"/>
    <cellStyle name="Note 22 2 2" xfId="3022"/>
    <cellStyle name="Note 22 2 3" xfId="3023"/>
    <cellStyle name="Note 22 2 4" xfId="3024"/>
    <cellStyle name="Note 22 2 5" xfId="3025"/>
    <cellStyle name="Note 22 2 6" xfId="3026"/>
    <cellStyle name="Note 22 2 7" xfId="3027"/>
    <cellStyle name="Note 22 3" xfId="3028"/>
    <cellStyle name="Note 22 3 2" xfId="3029"/>
    <cellStyle name="Note 22 3 3" xfId="3030"/>
    <cellStyle name="Note 22 3 4" xfId="3031"/>
    <cellStyle name="Note 22 3 5" xfId="3032"/>
    <cellStyle name="Note 22 3 6" xfId="3033"/>
    <cellStyle name="Note 22 3 7" xfId="3034"/>
    <cellStyle name="Note 22 4" xfId="3035"/>
    <cellStyle name="Note 22 4 2" xfId="3036"/>
    <cellStyle name="Note 22 4 3" xfId="3037"/>
    <cellStyle name="Note 22 4 4" xfId="3038"/>
    <cellStyle name="Note 22 4 5" xfId="3039"/>
    <cellStyle name="Note 22 4 6" xfId="3040"/>
    <cellStyle name="Note 22 4 7" xfId="3041"/>
    <cellStyle name="Note 22 5" xfId="3042"/>
    <cellStyle name="Note 22 5 2" xfId="3043"/>
    <cellStyle name="Note 22 5 3" xfId="3044"/>
    <cellStyle name="Note 22 5 4" xfId="3045"/>
    <cellStyle name="Note 22 5 5" xfId="3046"/>
    <cellStyle name="Note 22 6" xfId="3047"/>
    <cellStyle name="Note 22 6 2" xfId="3048"/>
    <cellStyle name="Note 22 6 3" xfId="3049"/>
    <cellStyle name="Note 22 6 4" xfId="3050"/>
    <cellStyle name="Note 22 6 5" xfId="3051"/>
    <cellStyle name="Note 22 7" xfId="3052"/>
    <cellStyle name="Note 22 7 2" xfId="3053"/>
    <cellStyle name="Note 22 7 3" xfId="3054"/>
    <cellStyle name="Note 22 7 4" xfId="3055"/>
    <cellStyle name="Note 22 7 5" xfId="3056"/>
    <cellStyle name="Note 22 8" xfId="3057"/>
    <cellStyle name="Note 22 9" xfId="3058"/>
    <cellStyle name="Note 23" xfId="3059"/>
    <cellStyle name="Note 23 10" xfId="3060"/>
    <cellStyle name="Note 23 11" xfId="3061"/>
    <cellStyle name="Note 23 2" xfId="3062"/>
    <cellStyle name="Note 23 2 2" xfId="3063"/>
    <cellStyle name="Note 23 2 3" xfId="3064"/>
    <cellStyle name="Note 23 2 4" xfId="3065"/>
    <cellStyle name="Note 23 2 5" xfId="3066"/>
    <cellStyle name="Note 23 2 6" xfId="3067"/>
    <cellStyle name="Note 23 2 7" xfId="3068"/>
    <cellStyle name="Note 23 3" xfId="3069"/>
    <cellStyle name="Note 23 3 2" xfId="3070"/>
    <cellStyle name="Note 23 3 3" xfId="3071"/>
    <cellStyle name="Note 23 3 4" xfId="3072"/>
    <cellStyle name="Note 23 3 5" xfId="3073"/>
    <cellStyle name="Note 23 3 6" xfId="3074"/>
    <cellStyle name="Note 23 3 7" xfId="3075"/>
    <cellStyle name="Note 23 4" xfId="3076"/>
    <cellStyle name="Note 23 4 2" xfId="3077"/>
    <cellStyle name="Note 23 4 3" xfId="3078"/>
    <cellStyle name="Note 23 4 4" xfId="3079"/>
    <cellStyle name="Note 23 4 5" xfId="3080"/>
    <cellStyle name="Note 23 4 6" xfId="3081"/>
    <cellStyle name="Note 23 4 7" xfId="3082"/>
    <cellStyle name="Note 23 5" xfId="3083"/>
    <cellStyle name="Note 23 5 2" xfId="3084"/>
    <cellStyle name="Note 23 5 3" xfId="3085"/>
    <cellStyle name="Note 23 5 4" xfId="3086"/>
    <cellStyle name="Note 23 5 5" xfId="3087"/>
    <cellStyle name="Note 23 6" xfId="3088"/>
    <cellStyle name="Note 23 6 2" xfId="3089"/>
    <cellStyle name="Note 23 6 3" xfId="3090"/>
    <cellStyle name="Note 23 6 4" xfId="3091"/>
    <cellStyle name="Note 23 6 5" xfId="3092"/>
    <cellStyle name="Note 23 7" xfId="3093"/>
    <cellStyle name="Note 23 7 2" xfId="3094"/>
    <cellStyle name="Note 23 7 3" xfId="3095"/>
    <cellStyle name="Note 23 7 4" xfId="3096"/>
    <cellStyle name="Note 23 7 5" xfId="3097"/>
    <cellStyle name="Note 23 8" xfId="3098"/>
    <cellStyle name="Note 23 9" xfId="3099"/>
    <cellStyle name="Note 24" xfId="3100"/>
    <cellStyle name="Note 24 10" xfId="3101"/>
    <cellStyle name="Note 24 11" xfId="3102"/>
    <cellStyle name="Note 24 2" xfId="3103"/>
    <cellStyle name="Note 24 2 2" xfId="3104"/>
    <cellStyle name="Note 24 2 3" xfId="3105"/>
    <cellStyle name="Note 24 2 4" xfId="3106"/>
    <cellStyle name="Note 24 2 5" xfId="3107"/>
    <cellStyle name="Note 24 2 6" xfId="3108"/>
    <cellStyle name="Note 24 2 7" xfId="3109"/>
    <cellStyle name="Note 24 3" xfId="3110"/>
    <cellStyle name="Note 24 3 2" xfId="3111"/>
    <cellStyle name="Note 24 3 3" xfId="3112"/>
    <cellStyle name="Note 24 3 4" xfId="3113"/>
    <cellStyle name="Note 24 3 5" xfId="3114"/>
    <cellStyle name="Note 24 3 6" xfId="3115"/>
    <cellStyle name="Note 24 3 7" xfId="3116"/>
    <cellStyle name="Note 24 4" xfId="3117"/>
    <cellStyle name="Note 24 4 2" xfId="3118"/>
    <cellStyle name="Note 24 4 3" xfId="3119"/>
    <cellStyle name="Note 24 4 4" xfId="3120"/>
    <cellStyle name="Note 24 4 5" xfId="3121"/>
    <cellStyle name="Note 24 4 6" xfId="3122"/>
    <cellStyle name="Note 24 4 7" xfId="3123"/>
    <cellStyle name="Note 24 5" xfId="3124"/>
    <cellStyle name="Note 24 5 2" xfId="3125"/>
    <cellStyle name="Note 24 5 3" xfId="3126"/>
    <cellStyle name="Note 24 5 4" xfId="3127"/>
    <cellStyle name="Note 24 5 5" xfId="3128"/>
    <cellStyle name="Note 24 6" xfId="3129"/>
    <cellStyle name="Note 24 6 2" xfId="3130"/>
    <cellStyle name="Note 24 6 3" xfId="3131"/>
    <cellStyle name="Note 24 6 4" xfId="3132"/>
    <cellStyle name="Note 24 6 5" xfId="3133"/>
    <cellStyle name="Note 24 7" xfId="3134"/>
    <cellStyle name="Note 24 7 2" xfId="3135"/>
    <cellStyle name="Note 24 7 3" xfId="3136"/>
    <cellStyle name="Note 24 7 4" xfId="3137"/>
    <cellStyle name="Note 24 7 5" xfId="3138"/>
    <cellStyle name="Note 24 8" xfId="3139"/>
    <cellStyle name="Note 24 9" xfId="3140"/>
    <cellStyle name="Note 25" xfId="3141"/>
    <cellStyle name="Note 25 10" xfId="3142"/>
    <cellStyle name="Note 25 11" xfId="3143"/>
    <cellStyle name="Note 25 2" xfId="3144"/>
    <cellStyle name="Note 25 2 2" xfId="3145"/>
    <cellStyle name="Note 25 2 3" xfId="3146"/>
    <cellStyle name="Note 25 2 4" xfId="3147"/>
    <cellStyle name="Note 25 2 5" xfId="3148"/>
    <cellStyle name="Note 25 2 6" xfId="3149"/>
    <cellStyle name="Note 25 2 7" xfId="3150"/>
    <cellStyle name="Note 25 3" xfId="3151"/>
    <cellStyle name="Note 25 3 2" xfId="3152"/>
    <cellStyle name="Note 25 3 3" xfId="3153"/>
    <cellStyle name="Note 25 3 4" xfId="3154"/>
    <cellStyle name="Note 25 3 5" xfId="3155"/>
    <cellStyle name="Note 25 3 6" xfId="3156"/>
    <cellStyle name="Note 25 3 7" xfId="3157"/>
    <cellStyle name="Note 25 4" xfId="3158"/>
    <cellStyle name="Note 25 4 2" xfId="3159"/>
    <cellStyle name="Note 25 4 3" xfId="3160"/>
    <cellStyle name="Note 25 4 4" xfId="3161"/>
    <cellStyle name="Note 25 4 5" xfId="3162"/>
    <cellStyle name="Note 25 4 6" xfId="3163"/>
    <cellStyle name="Note 25 4 7" xfId="3164"/>
    <cellStyle name="Note 25 5" xfId="3165"/>
    <cellStyle name="Note 25 5 2" xfId="3166"/>
    <cellStyle name="Note 25 5 3" xfId="3167"/>
    <cellStyle name="Note 25 5 4" xfId="3168"/>
    <cellStyle name="Note 25 5 5" xfId="3169"/>
    <cellStyle name="Note 25 6" xfId="3170"/>
    <cellStyle name="Note 25 6 2" xfId="3171"/>
    <cellStyle name="Note 25 6 3" xfId="3172"/>
    <cellStyle name="Note 25 6 4" xfId="3173"/>
    <cellStyle name="Note 25 6 5" xfId="3174"/>
    <cellStyle name="Note 25 7" xfId="3175"/>
    <cellStyle name="Note 25 7 2" xfId="3176"/>
    <cellStyle name="Note 25 7 3" xfId="3177"/>
    <cellStyle name="Note 25 7 4" xfId="3178"/>
    <cellStyle name="Note 25 7 5" xfId="3179"/>
    <cellStyle name="Note 25 8" xfId="3180"/>
    <cellStyle name="Note 25 9" xfId="3181"/>
    <cellStyle name="Note 26" xfId="3182"/>
    <cellStyle name="Note 26 10" xfId="3183"/>
    <cellStyle name="Note 26 11" xfId="3184"/>
    <cellStyle name="Note 26 2" xfId="3185"/>
    <cellStyle name="Note 26 2 2" xfId="3186"/>
    <cellStyle name="Note 26 2 3" xfId="3187"/>
    <cellStyle name="Note 26 2 4" xfId="3188"/>
    <cellStyle name="Note 26 2 5" xfId="3189"/>
    <cellStyle name="Note 26 2 6" xfId="3190"/>
    <cellStyle name="Note 26 2 7" xfId="3191"/>
    <cellStyle name="Note 26 3" xfId="3192"/>
    <cellStyle name="Note 26 3 2" xfId="3193"/>
    <cellStyle name="Note 26 3 3" xfId="3194"/>
    <cellStyle name="Note 26 3 4" xfId="3195"/>
    <cellStyle name="Note 26 3 5" xfId="3196"/>
    <cellStyle name="Note 26 3 6" xfId="3197"/>
    <cellStyle name="Note 26 3 7" xfId="3198"/>
    <cellStyle name="Note 26 4" xfId="3199"/>
    <cellStyle name="Note 26 4 2" xfId="3200"/>
    <cellStyle name="Note 26 4 3" xfId="3201"/>
    <cellStyle name="Note 26 4 4" xfId="3202"/>
    <cellStyle name="Note 26 4 5" xfId="3203"/>
    <cellStyle name="Note 26 4 6" xfId="3204"/>
    <cellStyle name="Note 26 4 7" xfId="3205"/>
    <cellStyle name="Note 26 5" xfId="3206"/>
    <cellStyle name="Note 26 5 2" xfId="3207"/>
    <cellStyle name="Note 26 5 3" xfId="3208"/>
    <cellStyle name="Note 26 5 4" xfId="3209"/>
    <cellStyle name="Note 26 5 5" xfId="3210"/>
    <cellStyle name="Note 26 6" xfId="3211"/>
    <cellStyle name="Note 26 6 2" xfId="3212"/>
    <cellStyle name="Note 26 6 3" xfId="3213"/>
    <cellStyle name="Note 26 6 4" xfId="3214"/>
    <cellStyle name="Note 26 6 5" xfId="3215"/>
    <cellStyle name="Note 26 7" xfId="3216"/>
    <cellStyle name="Note 26 7 2" xfId="3217"/>
    <cellStyle name="Note 26 7 3" xfId="3218"/>
    <cellStyle name="Note 26 7 4" xfId="3219"/>
    <cellStyle name="Note 26 7 5" xfId="3220"/>
    <cellStyle name="Note 26 8" xfId="3221"/>
    <cellStyle name="Note 26 9" xfId="3222"/>
    <cellStyle name="Note 27" xfId="3223"/>
    <cellStyle name="Note 27 10" xfId="3224"/>
    <cellStyle name="Note 27 11" xfId="3225"/>
    <cellStyle name="Note 27 2" xfId="3226"/>
    <cellStyle name="Note 27 2 2" xfId="3227"/>
    <cellStyle name="Note 27 2 3" xfId="3228"/>
    <cellStyle name="Note 27 2 4" xfId="3229"/>
    <cellStyle name="Note 27 2 5" xfId="3230"/>
    <cellStyle name="Note 27 2 6" xfId="3231"/>
    <cellStyle name="Note 27 2 7" xfId="3232"/>
    <cellStyle name="Note 27 3" xfId="3233"/>
    <cellStyle name="Note 27 3 2" xfId="3234"/>
    <cellStyle name="Note 27 3 3" xfId="3235"/>
    <cellStyle name="Note 27 3 4" xfId="3236"/>
    <cellStyle name="Note 27 3 5" xfId="3237"/>
    <cellStyle name="Note 27 3 6" xfId="3238"/>
    <cellStyle name="Note 27 3 7" xfId="3239"/>
    <cellStyle name="Note 27 4" xfId="3240"/>
    <cellStyle name="Note 27 4 2" xfId="3241"/>
    <cellStyle name="Note 27 4 3" xfId="3242"/>
    <cellStyle name="Note 27 4 4" xfId="3243"/>
    <cellStyle name="Note 27 4 5" xfId="3244"/>
    <cellStyle name="Note 27 4 6" xfId="3245"/>
    <cellStyle name="Note 27 4 7" xfId="3246"/>
    <cellStyle name="Note 27 5" xfId="3247"/>
    <cellStyle name="Note 27 5 2" xfId="3248"/>
    <cellStyle name="Note 27 5 3" xfId="3249"/>
    <cellStyle name="Note 27 5 4" xfId="3250"/>
    <cellStyle name="Note 27 5 5" xfId="3251"/>
    <cellStyle name="Note 27 6" xfId="3252"/>
    <cellStyle name="Note 27 6 2" xfId="3253"/>
    <cellStyle name="Note 27 6 3" xfId="3254"/>
    <cellStyle name="Note 27 6 4" xfId="3255"/>
    <cellStyle name="Note 27 6 5" xfId="3256"/>
    <cellStyle name="Note 27 7" xfId="3257"/>
    <cellStyle name="Note 27 7 2" xfId="3258"/>
    <cellStyle name="Note 27 7 3" xfId="3259"/>
    <cellStyle name="Note 27 7 4" xfId="3260"/>
    <cellStyle name="Note 27 7 5" xfId="3261"/>
    <cellStyle name="Note 27 8" xfId="3262"/>
    <cellStyle name="Note 27 9" xfId="3263"/>
    <cellStyle name="Note 28" xfId="3264"/>
    <cellStyle name="Note 28 10" xfId="3265"/>
    <cellStyle name="Note 28 11" xfId="3266"/>
    <cellStyle name="Note 28 2" xfId="3267"/>
    <cellStyle name="Note 28 2 2" xfId="3268"/>
    <cellStyle name="Note 28 2 3" xfId="3269"/>
    <cellStyle name="Note 28 2 4" xfId="3270"/>
    <cellStyle name="Note 28 2 5" xfId="3271"/>
    <cellStyle name="Note 28 2 6" xfId="3272"/>
    <cellStyle name="Note 28 2 7" xfId="3273"/>
    <cellStyle name="Note 28 3" xfId="3274"/>
    <cellStyle name="Note 28 3 2" xfId="3275"/>
    <cellStyle name="Note 28 3 3" xfId="3276"/>
    <cellStyle name="Note 28 3 4" xfId="3277"/>
    <cellStyle name="Note 28 3 5" xfId="3278"/>
    <cellStyle name="Note 28 3 6" xfId="3279"/>
    <cellStyle name="Note 28 3 7" xfId="3280"/>
    <cellStyle name="Note 28 4" xfId="3281"/>
    <cellStyle name="Note 28 4 2" xfId="3282"/>
    <cellStyle name="Note 28 4 3" xfId="3283"/>
    <cellStyle name="Note 28 4 4" xfId="3284"/>
    <cellStyle name="Note 28 4 5" xfId="3285"/>
    <cellStyle name="Note 28 4 6" xfId="3286"/>
    <cellStyle name="Note 28 4 7" xfId="3287"/>
    <cellStyle name="Note 28 5" xfId="3288"/>
    <cellStyle name="Note 28 5 2" xfId="3289"/>
    <cellStyle name="Note 28 5 3" xfId="3290"/>
    <cellStyle name="Note 28 5 4" xfId="3291"/>
    <cellStyle name="Note 28 5 5" xfId="3292"/>
    <cellStyle name="Note 28 6" xfId="3293"/>
    <cellStyle name="Note 28 6 2" xfId="3294"/>
    <cellStyle name="Note 28 6 3" xfId="3295"/>
    <cellStyle name="Note 28 6 4" xfId="3296"/>
    <cellStyle name="Note 28 6 5" xfId="3297"/>
    <cellStyle name="Note 28 7" xfId="3298"/>
    <cellStyle name="Note 28 7 2" xfId="3299"/>
    <cellStyle name="Note 28 7 3" xfId="3300"/>
    <cellStyle name="Note 28 7 4" xfId="3301"/>
    <cellStyle name="Note 28 7 5" xfId="3302"/>
    <cellStyle name="Note 28 8" xfId="3303"/>
    <cellStyle name="Note 28 9" xfId="3304"/>
    <cellStyle name="Note 29" xfId="3305"/>
    <cellStyle name="Note 29 10" xfId="3306"/>
    <cellStyle name="Note 29 11" xfId="3307"/>
    <cellStyle name="Note 29 2" xfId="3308"/>
    <cellStyle name="Note 29 2 2" xfId="3309"/>
    <cellStyle name="Note 29 2 3" xfId="3310"/>
    <cellStyle name="Note 29 2 4" xfId="3311"/>
    <cellStyle name="Note 29 2 5" xfId="3312"/>
    <cellStyle name="Note 29 2 6" xfId="3313"/>
    <cellStyle name="Note 29 2 7" xfId="3314"/>
    <cellStyle name="Note 29 3" xfId="3315"/>
    <cellStyle name="Note 29 3 2" xfId="3316"/>
    <cellStyle name="Note 29 3 3" xfId="3317"/>
    <cellStyle name="Note 29 3 4" xfId="3318"/>
    <cellStyle name="Note 29 3 5" xfId="3319"/>
    <cellStyle name="Note 29 3 6" xfId="3320"/>
    <cellStyle name="Note 29 3 7" xfId="3321"/>
    <cellStyle name="Note 29 4" xfId="3322"/>
    <cellStyle name="Note 29 4 2" xfId="3323"/>
    <cellStyle name="Note 29 4 3" xfId="3324"/>
    <cellStyle name="Note 29 4 4" xfId="3325"/>
    <cellStyle name="Note 29 4 5" xfId="3326"/>
    <cellStyle name="Note 29 4 6" xfId="3327"/>
    <cellStyle name="Note 29 4 7" xfId="3328"/>
    <cellStyle name="Note 29 5" xfId="3329"/>
    <cellStyle name="Note 29 5 2" xfId="3330"/>
    <cellStyle name="Note 29 5 3" xfId="3331"/>
    <cellStyle name="Note 29 5 4" xfId="3332"/>
    <cellStyle name="Note 29 5 5" xfId="3333"/>
    <cellStyle name="Note 29 6" xfId="3334"/>
    <cellStyle name="Note 29 6 2" xfId="3335"/>
    <cellStyle name="Note 29 6 3" xfId="3336"/>
    <cellStyle name="Note 29 6 4" xfId="3337"/>
    <cellStyle name="Note 29 6 5" xfId="3338"/>
    <cellStyle name="Note 29 7" xfId="3339"/>
    <cellStyle name="Note 29 7 2" xfId="3340"/>
    <cellStyle name="Note 29 7 3" xfId="3341"/>
    <cellStyle name="Note 29 7 4" xfId="3342"/>
    <cellStyle name="Note 29 7 5" xfId="3343"/>
    <cellStyle name="Note 29 8" xfId="3344"/>
    <cellStyle name="Note 29 9" xfId="3345"/>
    <cellStyle name="Note 3" xfId="3346"/>
    <cellStyle name="Note 3 10" xfId="3347"/>
    <cellStyle name="Note 3 10 2" xfId="3348"/>
    <cellStyle name="Note 3 10 3" xfId="3349"/>
    <cellStyle name="Note 3 10 4" xfId="3350"/>
    <cellStyle name="Note 3 10 5" xfId="3351"/>
    <cellStyle name="Note 3 11" xfId="3352"/>
    <cellStyle name="Note 3 12" xfId="3353"/>
    <cellStyle name="Note 3 13" xfId="3354"/>
    <cellStyle name="Note 3 14" xfId="3355"/>
    <cellStyle name="Note 3 15" xfId="3356"/>
    <cellStyle name="Note 3 16" xfId="3357"/>
    <cellStyle name="Note 3 17" xfId="3358"/>
    <cellStyle name="Note 3 18" xfId="3359"/>
    <cellStyle name="Note 3 19" xfId="3360"/>
    <cellStyle name="Note 3 2" xfId="3361"/>
    <cellStyle name="Note 3 2 10" xfId="3362"/>
    <cellStyle name="Note 3 2 11" xfId="3363"/>
    <cellStyle name="Note 3 2 11 2" xfId="5452"/>
    <cellStyle name="Note 3 2 12" xfId="3364"/>
    <cellStyle name="Note 3 2 2" xfId="3365"/>
    <cellStyle name="Note 3 2 3" xfId="3366"/>
    <cellStyle name="Note 3 2 4" xfId="3367"/>
    <cellStyle name="Note 3 2 5" xfId="3368"/>
    <cellStyle name="Note 3 2 6" xfId="3369"/>
    <cellStyle name="Note 3 2 7" xfId="3370"/>
    <cellStyle name="Note 3 2 8" xfId="3371"/>
    <cellStyle name="Note 3 2 9" xfId="3372"/>
    <cellStyle name="Note 3 20" xfId="3373"/>
    <cellStyle name="Note 3 21" xfId="3374"/>
    <cellStyle name="Note 3 3" xfId="3375"/>
    <cellStyle name="Note 3 3 10" xfId="3376"/>
    <cellStyle name="Note 3 3 11" xfId="3377"/>
    <cellStyle name="Note 3 3 11 2" xfId="5453"/>
    <cellStyle name="Note 3 3 12" xfId="3378"/>
    <cellStyle name="Note 3 3 2" xfId="3379"/>
    <cellStyle name="Note 3 3 3" xfId="3380"/>
    <cellStyle name="Note 3 3 4" xfId="3381"/>
    <cellStyle name="Note 3 3 5" xfId="3382"/>
    <cellStyle name="Note 3 3 6" xfId="3383"/>
    <cellStyle name="Note 3 3 7" xfId="3384"/>
    <cellStyle name="Note 3 3 8" xfId="3385"/>
    <cellStyle name="Note 3 3 9" xfId="3386"/>
    <cellStyle name="Note 3 4" xfId="3387"/>
    <cellStyle name="Note 3 4 10" xfId="3388"/>
    <cellStyle name="Note 3 4 2" xfId="3389"/>
    <cellStyle name="Note 3 4 3" xfId="3390"/>
    <cellStyle name="Note 3 4 4" xfId="3391"/>
    <cellStyle name="Note 3 4 5" xfId="3392"/>
    <cellStyle name="Note 3 4 6" xfId="3393"/>
    <cellStyle name="Note 3 4 7" xfId="3394"/>
    <cellStyle name="Note 3 4 8" xfId="3395"/>
    <cellStyle name="Note 3 4 9" xfId="3396"/>
    <cellStyle name="Note 3 5" xfId="3397"/>
    <cellStyle name="Note 3 5 2" xfId="3398"/>
    <cellStyle name="Note 3 5 3" xfId="3399"/>
    <cellStyle name="Note 3 5 4" xfId="3400"/>
    <cellStyle name="Note 3 5 5" xfId="3401"/>
    <cellStyle name="Note 3 5 6" xfId="3402"/>
    <cellStyle name="Note 3 5 7" xfId="3403"/>
    <cellStyle name="Note 3 5 8" xfId="3404"/>
    <cellStyle name="Note 3 6" xfId="3405"/>
    <cellStyle name="Note 3 6 2" xfId="3406"/>
    <cellStyle name="Note 3 6 3" xfId="3407"/>
    <cellStyle name="Note 3 6 4" xfId="3408"/>
    <cellStyle name="Note 3 6 5" xfId="3409"/>
    <cellStyle name="Note 3 6 6" xfId="3410"/>
    <cellStyle name="Note 3 6 7" xfId="3411"/>
    <cellStyle name="Note 3 6 8" xfId="3412"/>
    <cellStyle name="Note 3 7" xfId="3413"/>
    <cellStyle name="Note 3 7 2" xfId="3414"/>
    <cellStyle name="Note 3 7 3" xfId="3415"/>
    <cellStyle name="Note 3 7 4" xfId="3416"/>
    <cellStyle name="Note 3 7 5" xfId="3417"/>
    <cellStyle name="Note 3 7 6" xfId="3418"/>
    <cellStyle name="Note 3 7 7" xfId="3419"/>
    <cellStyle name="Note 3 7 8" xfId="3420"/>
    <cellStyle name="Note 3 8" xfId="3421"/>
    <cellStyle name="Note 3 8 2" xfId="3422"/>
    <cellStyle name="Note 3 8 3" xfId="3423"/>
    <cellStyle name="Note 3 8 4" xfId="3424"/>
    <cellStyle name="Note 3 8 5" xfId="3425"/>
    <cellStyle name="Note 3 9" xfId="3426"/>
    <cellStyle name="Note 3 9 2" xfId="3427"/>
    <cellStyle name="Note 3 9 3" xfId="3428"/>
    <cellStyle name="Note 3 9 4" xfId="3429"/>
    <cellStyle name="Note 3 9 5" xfId="3430"/>
    <cellStyle name="Note 30" xfId="3431"/>
    <cellStyle name="Note 30 2" xfId="3432"/>
    <cellStyle name="Note 30 2 2" xfId="3433"/>
    <cellStyle name="Note 30 2 3" xfId="3434"/>
    <cellStyle name="Note 30 2 4" xfId="3435"/>
    <cellStyle name="Note 30 2 5" xfId="3436"/>
    <cellStyle name="Note 30 2 6" xfId="3437"/>
    <cellStyle name="Note 30 2 7" xfId="3438"/>
    <cellStyle name="Note 30 3" xfId="3439"/>
    <cellStyle name="Note 30 3 2" xfId="3440"/>
    <cellStyle name="Note 30 3 3" xfId="3441"/>
    <cellStyle name="Note 30 3 4" xfId="3442"/>
    <cellStyle name="Note 30 3 5" xfId="3443"/>
    <cellStyle name="Note 30 4" xfId="3444"/>
    <cellStyle name="Note 30 4 2" xfId="3445"/>
    <cellStyle name="Note 30 4 3" xfId="3446"/>
    <cellStyle name="Note 30 4 4" xfId="3447"/>
    <cellStyle name="Note 30 4 5" xfId="3448"/>
    <cellStyle name="Note 30 5" xfId="3449"/>
    <cellStyle name="Note 30 5 2" xfId="3450"/>
    <cellStyle name="Note 30 5 3" xfId="3451"/>
    <cellStyle name="Note 30 5 4" xfId="3452"/>
    <cellStyle name="Note 30 5 5" xfId="3453"/>
    <cellStyle name="Note 30 6" xfId="3454"/>
    <cellStyle name="Note 30 7" xfId="3455"/>
    <cellStyle name="Note 30 8" xfId="3456"/>
    <cellStyle name="Note 30 9" xfId="3457"/>
    <cellStyle name="Note 31" xfId="3458"/>
    <cellStyle name="Note 31 2" xfId="3459"/>
    <cellStyle name="Note 31 2 2" xfId="3460"/>
    <cellStyle name="Note 31 2 3" xfId="3461"/>
    <cellStyle name="Note 31 2 4" xfId="3462"/>
    <cellStyle name="Note 31 2 5" xfId="3463"/>
    <cellStyle name="Note 31 3" xfId="3464"/>
    <cellStyle name="Note 31 3 2" xfId="3465"/>
    <cellStyle name="Note 31 3 3" xfId="3466"/>
    <cellStyle name="Note 31 3 4" xfId="3467"/>
    <cellStyle name="Note 31 3 5" xfId="3468"/>
    <cellStyle name="Note 31 4" xfId="3469"/>
    <cellStyle name="Note 31 4 2" xfId="3470"/>
    <cellStyle name="Note 31 4 3" xfId="3471"/>
    <cellStyle name="Note 31 4 4" xfId="3472"/>
    <cellStyle name="Note 31 4 5" xfId="3473"/>
    <cellStyle name="Note 31 5" xfId="3474"/>
    <cellStyle name="Note 31 6" xfId="3475"/>
    <cellStyle name="Note 31 7" xfId="3476"/>
    <cellStyle name="Note 31 8" xfId="3477"/>
    <cellStyle name="Note 32" xfId="3478"/>
    <cellStyle name="Note 32 2" xfId="3479"/>
    <cellStyle name="Note 32 2 2" xfId="3480"/>
    <cellStyle name="Note 32 2 3" xfId="3481"/>
    <cellStyle name="Note 32 2 4" xfId="3482"/>
    <cellStyle name="Note 32 2 5" xfId="3483"/>
    <cellStyle name="Note 32 3" xfId="3484"/>
    <cellStyle name="Note 32 3 2" xfId="3485"/>
    <cellStyle name="Note 32 3 3" xfId="3486"/>
    <cellStyle name="Note 32 3 4" xfId="3487"/>
    <cellStyle name="Note 32 3 5" xfId="3488"/>
    <cellStyle name="Note 32 4" xfId="3489"/>
    <cellStyle name="Note 32 4 2" xfId="3490"/>
    <cellStyle name="Note 32 4 3" xfId="3491"/>
    <cellStyle name="Note 32 4 4" xfId="3492"/>
    <cellStyle name="Note 32 4 5" xfId="3493"/>
    <cellStyle name="Note 32 5" xfId="3494"/>
    <cellStyle name="Note 32 6" xfId="3495"/>
    <cellStyle name="Note 32 7" xfId="3496"/>
    <cellStyle name="Note 32 8" xfId="3497"/>
    <cellStyle name="Note 33" xfId="3498"/>
    <cellStyle name="Note 33 2" xfId="3499"/>
    <cellStyle name="Note 33 2 2" xfId="3500"/>
    <cellStyle name="Note 33 2 3" xfId="3501"/>
    <cellStyle name="Note 33 2 4" xfId="3502"/>
    <cellStyle name="Note 33 2 5" xfId="3503"/>
    <cellStyle name="Note 33 3" xfId="3504"/>
    <cellStyle name="Note 33 3 2" xfId="3505"/>
    <cellStyle name="Note 33 3 3" xfId="3506"/>
    <cellStyle name="Note 33 3 4" xfId="3507"/>
    <cellStyle name="Note 33 3 5" xfId="3508"/>
    <cellStyle name="Note 33 4" xfId="3509"/>
    <cellStyle name="Note 33 4 2" xfId="3510"/>
    <cellStyle name="Note 33 4 3" xfId="3511"/>
    <cellStyle name="Note 33 4 4" xfId="3512"/>
    <cellStyle name="Note 33 4 5" xfId="3513"/>
    <cellStyle name="Note 33 5" xfId="3514"/>
    <cellStyle name="Note 33 6" xfId="3515"/>
    <cellStyle name="Note 33 7" xfId="3516"/>
    <cellStyle name="Note 33 8" xfId="3517"/>
    <cellStyle name="Note 34" xfId="3518"/>
    <cellStyle name="Note 34 2" xfId="3519"/>
    <cellStyle name="Note 34 2 2" xfId="3520"/>
    <cellStyle name="Note 34 2 3" xfId="3521"/>
    <cellStyle name="Note 34 2 4" xfId="3522"/>
    <cellStyle name="Note 34 2 5" xfId="3523"/>
    <cellStyle name="Note 34 3" xfId="3524"/>
    <cellStyle name="Note 34 3 2" xfId="3525"/>
    <cellStyle name="Note 34 3 3" xfId="3526"/>
    <cellStyle name="Note 34 3 4" xfId="3527"/>
    <cellStyle name="Note 34 3 5" xfId="3528"/>
    <cellStyle name="Note 34 4" xfId="3529"/>
    <cellStyle name="Note 34 4 2" xfId="3530"/>
    <cellStyle name="Note 34 4 3" xfId="3531"/>
    <cellStyle name="Note 34 4 4" xfId="3532"/>
    <cellStyle name="Note 34 4 5" xfId="3533"/>
    <cellStyle name="Note 34 5" xfId="3534"/>
    <cellStyle name="Note 34 6" xfId="3535"/>
    <cellStyle name="Note 34 7" xfId="3536"/>
    <cellStyle name="Note 34 8" xfId="3537"/>
    <cellStyle name="Note 35" xfId="3538"/>
    <cellStyle name="Note 35 2" xfId="3539"/>
    <cellStyle name="Note 35 2 2" xfId="3540"/>
    <cellStyle name="Note 35 2 3" xfId="3541"/>
    <cellStyle name="Note 35 2 4" xfId="3542"/>
    <cellStyle name="Note 35 2 5" xfId="3543"/>
    <cellStyle name="Note 35 3" xfId="3544"/>
    <cellStyle name="Note 35 3 2" xfId="3545"/>
    <cellStyle name="Note 35 3 3" xfId="3546"/>
    <cellStyle name="Note 35 3 4" xfId="3547"/>
    <cellStyle name="Note 35 3 5" xfId="3548"/>
    <cellStyle name="Note 35 4" xfId="3549"/>
    <cellStyle name="Note 35 4 2" xfId="3550"/>
    <cellStyle name="Note 35 4 3" xfId="3551"/>
    <cellStyle name="Note 35 4 4" xfId="3552"/>
    <cellStyle name="Note 35 4 5" xfId="3553"/>
    <cellStyle name="Note 35 5" xfId="3554"/>
    <cellStyle name="Note 35 6" xfId="3555"/>
    <cellStyle name="Note 35 7" xfId="3556"/>
    <cellStyle name="Note 35 8" xfId="3557"/>
    <cellStyle name="Note 36" xfId="3558"/>
    <cellStyle name="Note 36 2" xfId="3559"/>
    <cellStyle name="Note 36 2 2" xfId="3560"/>
    <cellStyle name="Note 36 2 3" xfId="3561"/>
    <cellStyle name="Note 36 2 4" xfId="3562"/>
    <cellStyle name="Note 36 2 5" xfId="3563"/>
    <cellStyle name="Note 36 3" xfId="3564"/>
    <cellStyle name="Note 36 3 2" xfId="3565"/>
    <cellStyle name="Note 36 3 3" xfId="3566"/>
    <cellStyle name="Note 36 3 4" xfId="3567"/>
    <cellStyle name="Note 36 3 5" xfId="3568"/>
    <cellStyle name="Note 36 4" xfId="3569"/>
    <cellStyle name="Note 36 4 2" xfId="3570"/>
    <cellStyle name="Note 36 4 3" xfId="3571"/>
    <cellStyle name="Note 36 4 4" xfId="3572"/>
    <cellStyle name="Note 36 4 5" xfId="3573"/>
    <cellStyle name="Note 36 5" xfId="3574"/>
    <cellStyle name="Note 36 6" xfId="3575"/>
    <cellStyle name="Note 36 7" xfId="3576"/>
    <cellStyle name="Note 36 8" xfId="3577"/>
    <cellStyle name="Note 37" xfId="3578"/>
    <cellStyle name="Note 37 2" xfId="3579"/>
    <cellStyle name="Note 37 2 2" xfId="3580"/>
    <cellStyle name="Note 37 2 3" xfId="3581"/>
    <cellStyle name="Note 37 2 4" xfId="3582"/>
    <cellStyle name="Note 37 2 5" xfId="3583"/>
    <cellStyle name="Note 37 3" xfId="3584"/>
    <cellStyle name="Note 37 3 2" xfId="3585"/>
    <cellStyle name="Note 37 3 3" xfId="3586"/>
    <cellStyle name="Note 37 3 4" xfId="3587"/>
    <cellStyle name="Note 37 3 5" xfId="3588"/>
    <cellStyle name="Note 37 4" xfId="3589"/>
    <cellStyle name="Note 37 4 2" xfId="3590"/>
    <cellStyle name="Note 37 4 3" xfId="3591"/>
    <cellStyle name="Note 37 4 4" xfId="3592"/>
    <cellStyle name="Note 37 4 5" xfId="3593"/>
    <cellStyle name="Note 37 5" xfId="3594"/>
    <cellStyle name="Note 37 6" xfId="3595"/>
    <cellStyle name="Note 37 7" xfId="3596"/>
    <cellStyle name="Note 37 8" xfId="3597"/>
    <cellStyle name="Note 38" xfId="3598"/>
    <cellStyle name="Note 38 2" xfId="3599"/>
    <cellStyle name="Note 38 2 2" xfId="3600"/>
    <cellStyle name="Note 38 2 3" xfId="3601"/>
    <cellStyle name="Note 38 2 4" xfId="3602"/>
    <cellStyle name="Note 38 2 5" xfId="3603"/>
    <cellStyle name="Note 38 3" xfId="3604"/>
    <cellStyle name="Note 38 3 2" xfId="3605"/>
    <cellStyle name="Note 38 3 3" xfId="3606"/>
    <cellStyle name="Note 38 3 4" xfId="3607"/>
    <cellStyle name="Note 38 3 5" xfId="3608"/>
    <cellStyle name="Note 38 4" xfId="3609"/>
    <cellStyle name="Note 38 4 2" xfId="3610"/>
    <cellStyle name="Note 38 4 3" xfId="3611"/>
    <cellStyle name="Note 38 4 4" xfId="3612"/>
    <cellStyle name="Note 38 4 5" xfId="3613"/>
    <cellStyle name="Note 38 5" xfId="3614"/>
    <cellStyle name="Note 38 6" xfId="3615"/>
    <cellStyle name="Note 38 7" xfId="3616"/>
    <cellStyle name="Note 38 8" xfId="3617"/>
    <cellStyle name="Note 39" xfId="3618"/>
    <cellStyle name="Note 39 2" xfId="3619"/>
    <cellStyle name="Note 39 2 2" xfId="3620"/>
    <cellStyle name="Note 39 2 3" xfId="3621"/>
    <cellStyle name="Note 39 2 4" xfId="3622"/>
    <cellStyle name="Note 39 2 5" xfId="3623"/>
    <cellStyle name="Note 39 3" xfId="3624"/>
    <cellStyle name="Note 39 3 2" xfId="3625"/>
    <cellStyle name="Note 39 3 3" xfId="3626"/>
    <cellStyle name="Note 39 3 4" xfId="3627"/>
    <cellStyle name="Note 39 3 5" xfId="3628"/>
    <cellStyle name="Note 39 4" xfId="3629"/>
    <cellStyle name="Note 39 4 2" xfId="3630"/>
    <cellStyle name="Note 39 4 3" xfId="3631"/>
    <cellStyle name="Note 39 4 4" xfId="3632"/>
    <cellStyle name="Note 39 4 5" xfId="3633"/>
    <cellStyle name="Note 39 5" xfId="3634"/>
    <cellStyle name="Note 39 6" xfId="3635"/>
    <cellStyle name="Note 39 7" xfId="3636"/>
    <cellStyle name="Note 39 8" xfId="3637"/>
    <cellStyle name="Note 4" xfId="3638"/>
    <cellStyle name="Note 4 10" xfId="3639"/>
    <cellStyle name="Note 4 11" xfId="3640"/>
    <cellStyle name="Note 4 12" xfId="3641"/>
    <cellStyle name="Note 4 13" xfId="3642"/>
    <cellStyle name="Note 4 14" xfId="3643"/>
    <cellStyle name="Note 4 15" xfId="3644"/>
    <cellStyle name="Note 4 16" xfId="3645"/>
    <cellStyle name="Note 4 17" xfId="3646"/>
    <cellStyle name="Note 4 18" xfId="3647"/>
    <cellStyle name="Note 4 19" xfId="3648"/>
    <cellStyle name="Note 4 2" xfId="3649"/>
    <cellStyle name="Note 4 2 10" xfId="3650"/>
    <cellStyle name="Note 4 2 11" xfId="3651"/>
    <cellStyle name="Note 4 2 11 2" xfId="5454"/>
    <cellStyle name="Note 4 2 12" xfId="3652"/>
    <cellStyle name="Note 4 2 2" xfId="3653"/>
    <cellStyle name="Note 4 2 3" xfId="3654"/>
    <cellStyle name="Note 4 2 4" xfId="3655"/>
    <cellStyle name="Note 4 2 5" xfId="3656"/>
    <cellStyle name="Note 4 2 6" xfId="3657"/>
    <cellStyle name="Note 4 2 7" xfId="3658"/>
    <cellStyle name="Note 4 2 8" xfId="3659"/>
    <cellStyle name="Note 4 2 9" xfId="3660"/>
    <cellStyle name="Note 4 3" xfId="3661"/>
    <cellStyle name="Note 4 3 10" xfId="3662"/>
    <cellStyle name="Note 4 3 2" xfId="3663"/>
    <cellStyle name="Note 4 3 3" xfId="3664"/>
    <cellStyle name="Note 4 3 4" xfId="3665"/>
    <cellStyle name="Note 4 3 5" xfId="3666"/>
    <cellStyle name="Note 4 3 6" xfId="3667"/>
    <cellStyle name="Note 4 3 7" xfId="3668"/>
    <cellStyle name="Note 4 3 8" xfId="3669"/>
    <cellStyle name="Note 4 3 9" xfId="3670"/>
    <cellStyle name="Note 4 4" xfId="3671"/>
    <cellStyle name="Note 4 4 2" xfId="3672"/>
    <cellStyle name="Note 4 4 3" xfId="3673"/>
    <cellStyle name="Note 4 4 4" xfId="3674"/>
    <cellStyle name="Note 4 4 5" xfId="3675"/>
    <cellStyle name="Note 4 4 6" xfId="3676"/>
    <cellStyle name="Note 4 4 7" xfId="3677"/>
    <cellStyle name="Note 4 4 8" xfId="3678"/>
    <cellStyle name="Note 4 5" xfId="3679"/>
    <cellStyle name="Note 4 5 2" xfId="3680"/>
    <cellStyle name="Note 4 5 3" xfId="3681"/>
    <cellStyle name="Note 4 5 4" xfId="3682"/>
    <cellStyle name="Note 4 5 5" xfId="3683"/>
    <cellStyle name="Note 4 5 6" xfId="3684"/>
    <cellStyle name="Note 4 5 7" xfId="3685"/>
    <cellStyle name="Note 4 5 8" xfId="3686"/>
    <cellStyle name="Note 4 6" xfId="3687"/>
    <cellStyle name="Note 4 6 2" xfId="3688"/>
    <cellStyle name="Note 4 6 3" xfId="3689"/>
    <cellStyle name="Note 4 6 4" xfId="3690"/>
    <cellStyle name="Note 4 6 5" xfId="3691"/>
    <cellStyle name="Note 4 6 6" xfId="3692"/>
    <cellStyle name="Note 4 6 7" xfId="3693"/>
    <cellStyle name="Note 4 6 8" xfId="3694"/>
    <cellStyle name="Note 4 7" xfId="3695"/>
    <cellStyle name="Note 4 7 2" xfId="3696"/>
    <cellStyle name="Note 4 7 3" xfId="3697"/>
    <cellStyle name="Note 4 7 4" xfId="3698"/>
    <cellStyle name="Note 4 7 5" xfId="3699"/>
    <cellStyle name="Note 4 8" xfId="3700"/>
    <cellStyle name="Note 4 8 2" xfId="3701"/>
    <cellStyle name="Note 4 8 3" xfId="3702"/>
    <cellStyle name="Note 4 8 4" xfId="3703"/>
    <cellStyle name="Note 4 8 5" xfId="3704"/>
    <cellStyle name="Note 4 9" xfId="3705"/>
    <cellStyle name="Note 4 9 2" xfId="3706"/>
    <cellStyle name="Note 4 9 3" xfId="3707"/>
    <cellStyle name="Note 4 9 4" xfId="3708"/>
    <cellStyle name="Note 4 9 5" xfId="3709"/>
    <cellStyle name="Note 40" xfId="3710"/>
    <cellStyle name="Note 40 2" xfId="3711"/>
    <cellStyle name="Note 40 2 2" xfId="3712"/>
    <cellStyle name="Note 40 2 3" xfId="3713"/>
    <cellStyle name="Note 40 2 4" xfId="3714"/>
    <cellStyle name="Note 40 2 5" xfId="3715"/>
    <cellStyle name="Note 40 3" xfId="3716"/>
    <cellStyle name="Note 40 3 2" xfId="3717"/>
    <cellStyle name="Note 40 3 3" xfId="3718"/>
    <cellStyle name="Note 40 3 4" xfId="3719"/>
    <cellStyle name="Note 40 3 5" xfId="3720"/>
    <cellStyle name="Note 40 4" xfId="3721"/>
    <cellStyle name="Note 40 4 2" xfId="3722"/>
    <cellStyle name="Note 40 4 3" xfId="3723"/>
    <cellStyle name="Note 40 4 4" xfId="3724"/>
    <cellStyle name="Note 40 4 5" xfId="3725"/>
    <cellStyle name="Note 40 5" xfId="3726"/>
    <cellStyle name="Note 40 6" xfId="3727"/>
    <cellStyle name="Note 40 7" xfId="3728"/>
    <cellStyle name="Note 40 8" xfId="3729"/>
    <cellStyle name="Note 41" xfId="3730"/>
    <cellStyle name="Note 41 2" xfId="3731"/>
    <cellStyle name="Note 41 2 2" xfId="3732"/>
    <cellStyle name="Note 41 2 3" xfId="3733"/>
    <cellStyle name="Note 41 2 4" xfId="3734"/>
    <cellStyle name="Note 41 2 5" xfId="3735"/>
    <cellStyle name="Note 41 3" xfId="3736"/>
    <cellStyle name="Note 41 3 2" xfId="3737"/>
    <cellStyle name="Note 41 3 3" xfId="3738"/>
    <cellStyle name="Note 41 3 4" xfId="3739"/>
    <cellStyle name="Note 41 3 5" xfId="3740"/>
    <cellStyle name="Note 41 4" xfId="3741"/>
    <cellStyle name="Note 41 4 2" xfId="3742"/>
    <cellStyle name="Note 41 4 3" xfId="3743"/>
    <cellStyle name="Note 41 4 4" xfId="3744"/>
    <cellStyle name="Note 41 4 5" xfId="3745"/>
    <cellStyle name="Note 41 5" xfId="3746"/>
    <cellStyle name="Note 41 6" xfId="3747"/>
    <cellStyle name="Note 41 7" xfId="3748"/>
    <cellStyle name="Note 41 8" xfId="3749"/>
    <cellStyle name="Note 42" xfId="3750"/>
    <cellStyle name="Note 42 2" xfId="3751"/>
    <cellStyle name="Note 42 2 2" xfId="3752"/>
    <cellStyle name="Note 42 2 3" xfId="3753"/>
    <cellStyle name="Note 42 2 4" xfId="3754"/>
    <cellStyle name="Note 42 2 5" xfId="3755"/>
    <cellStyle name="Note 42 3" xfId="3756"/>
    <cellStyle name="Note 42 3 2" xfId="3757"/>
    <cellStyle name="Note 42 3 3" xfId="3758"/>
    <cellStyle name="Note 42 3 4" xfId="3759"/>
    <cellStyle name="Note 42 3 5" xfId="3760"/>
    <cellStyle name="Note 42 4" xfId="3761"/>
    <cellStyle name="Note 42 4 2" xfId="3762"/>
    <cellStyle name="Note 42 4 3" xfId="3763"/>
    <cellStyle name="Note 42 4 4" xfId="3764"/>
    <cellStyle name="Note 42 4 5" xfId="3765"/>
    <cellStyle name="Note 42 5" xfId="3766"/>
    <cellStyle name="Note 42 6" xfId="3767"/>
    <cellStyle name="Note 42 7" xfId="3768"/>
    <cellStyle name="Note 42 8" xfId="3769"/>
    <cellStyle name="Note 43" xfId="3770"/>
    <cellStyle name="Note 43 2" xfId="3771"/>
    <cellStyle name="Note 43 2 2" xfId="3772"/>
    <cellStyle name="Note 43 3" xfId="3773"/>
    <cellStyle name="Note 43 3 2" xfId="3774"/>
    <cellStyle name="Note 43 4" xfId="3775"/>
    <cellStyle name="Note 43 4 2" xfId="3776"/>
    <cellStyle name="Note 43 5" xfId="3777"/>
    <cellStyle name="Note 43 6" xfId="3778"/>
    <cellStyle name="Note 43 7" xfId="3779"/>
    <cellStyle name="Note 43 8" xfId="3780"/>
    <cellStyle name="Note 44" xfId="3781"/>
    <cellStyle name="Note 44 2" xfId="3782"/>
    <cellStyle name="Note 44 2 2" xfId="3783"/>
    <cellStyle name="Note 44 3" xfId="3784"/>
    <cellStyle name="Note 44 4" xfId="3785"/>
    <cellStyle name="Note 44 5" xfId="3786"/>
    <cellStyle name="Note 44 6" xfId="3787"/>
    <cellStyle name="Note 45" xfId="3788"/>
    <cellStyle name="Note 45 2" xfId="3789"/>
    <cellStyle name="Note 45 2 2" xfId="3790"/>
    <cellStyle name="Note 45 3" xfId="3791"/>
    <cellStyle name="Note 45 4" xfId="3792"/>
    <cellStyle name="Note 45 5" xfId="3793"/>
    <cellStyle name="Note 45 6" xfId="3794"/>
    <cellStyle name="Note 46" xfId="3795"/>
    <cellStyle name="Note 46 2" xfId="3796"/>
    <cellStyle name="Note 47" xfId="3797"/>
    <cellStyle name="Note 47 2" xfId="3798"/>
    <cellStyle name="Note 48" xfId="3799"/>
    <cellStyle name="Note 48 2" xfId="3800"/>
    <cellStyle name="Note 49" xfId="3801"/>
    <cellStyle name="Note 49 2" xfId="3802"/>
    <cellStyle name="Note 5" xfId="3803"/>
    <cellStyle name="Note 5 10" xfId="3804"/>
    <cellStyle name="Note 5 11" xfId="3805"/>
    <cellStyle name="Note 5 12" xfId="3806"/>
    <cellStyle name="Note 5 13" xfId="3807"/>
    <cellStyle name="Note 5 14" xfId="3808"/>
    <cellStyle name="Note 5 15" xfId="3809"/>
    <cellStyle name="Note 5 16" xfId="3810"/>
    <cellStyle name="Note 5 17" xfId="3811"/>
    <cellStyle name="Note 5 18" xfId="3812"/>
    <cellStyle name="Note 5 2" xfId="3813"/>
    <cellStyle name="Note 5 2 10" xfId="3814"/>
    <cellStyle name="Note 5 2 11" xfId="3815"/>
    <cellStyle name="Note 5 2 11 2" xfId="5455"/>
    <cellStyle name="Note 5 2 12" xfId="3816"/>
    <cellStyle name="Note 5 2 2" xfId="3817"/>
    <cellStyle name="Note 5 2 3" xfId="3818"/>
    <cellStyle name="Note 5 2 4" xfId="3819"/>
    <cellStyle name="Note 5 2 5" xfId="3820"/>
    <cellStyle name="Note 5 2 6" xfId="3821"/>
    <cellStyle name="Note 5 2 7" xfId="3822"/>
    <cellStyle name="Note 5 2 8" xfId="3823"/>
    <cellStyle name="Note 5 2 9" xfId="3824"/>
    <cellStyle name="Note 5 3" xfId="3825"/>
    <cellStyle name="Note 5 3 2" xfId="3826"/>
    <cellStyle name="Note 5 3 3" xfId="3827"/>
    <cellStyle name="Note 5 3 4" xfId="3828"/>
    <cellStyle name="Note 5 3 5" xfId="3829"/>
    <cellStyle name="Note 5 3 6" xfId="3830"/>
    <cellStyle name="Note 5 3 7" xfId="3831"/>
    <cellStyle name="Note 5 3 8" xfId="3832"/>
    <cellStyle name="Note 5 4" xfId="3833"/>
    <cellStyle name="Note 5 4 2" xfId="3834"/>
    <cellStyle name="Note 5 4 3" xfId="3835"/>
    <cellStyle name="Note 5 4 4" xfId="3836"/>
    <cellStyle name="Note 5 4 5" xfId="3837"/>
    <cellStyle name="Note 5 4 6" xfId="3838"/>
    <cellStyle name="Note 5 4 7" xfId="3839"/>
    <cellStyle name="Note 5 4 8" xfId="3840"/>
    <cellStyle name="Note 5 5" xfId="3841"/>
    <cellStyle name="Note 5 5 2" xfId="3842"/>
    <cellStyle name="Note 5 5 3" xfId="3843"/>
    <cellStyle name="Note 5 5 4" xfId="3844"/>
    <cellStyle name="Note 5 5 5" xfId="3845"/>
    <cellStyle name="Note 5 5 6" xfId="3846"/>
    <cellStyle name="Note 5 5 7" xfId="3847"/>
    <cellStyle name="Note 5 5 8" xfId="3848"/>
    <cellStyle name="Note 5 6" xfId="3849"/>
    <cellStyle name="Note 5 6 2" xfId="3850"/>
    <cellStyle name="Note 5 6 3" xfId="3851"/>
    <cellStyle name="Note 5 6 4" xfId="3852"/>
    <cellStyle name="Note 5 6 5" xfId="3853"/>
    <cellStyle name="Note 5 7" xfId="3854"/>
    <cellStyle name="Note 5 7 2" xfId="3855"/>
    <cellStyle name="Note 5 7 3" xfId="3856"/>
    <cellStyle name="Note 5 7 4" xfId="3857"/>
    <cellStyle name="Note 5 7 5" xfId="3858"/>
    <cellStyle name="Note 5 8" xfId="3859"/>
    <cellStyle name="Note 5 8 2" xfId="3860"/>
    <cellStyle name="Note 5 8 3" xfId="3861"/>
    <cellStyle name="Note 5 8 4" xfId="3862"/>
    <cellStyle name="Note 5 8 5" xfId="3863"/>
    <cellStyle name="Note 5 9" xfId="3864"/>
    <cellStyle name="Note 50" xfId="3865"/>
    <cellStyle name="Note 50 2" xfId="3866"/>
    <cellStyle name="Note 51" xfId="3867"/>
    <cellStyle name="Note 51 2" xfId="3868"/>
    <cellStyle name="Note 52" xfId="3869"/>
    <cellStyle name="Note 52 2" xfId="3870"/>
    <cellStyle name="Note 53" xfId="3871"/>
    <cellStyle name="Note 53 2" xfId="3872"/>
    <cellStyle name="Note 54" xfId="3873"/>
    <cellStyle name="Note 54 2" xfId="3874"/>
    <cellStyle name="Note 55" xfId="3875"/>
    <cellStyle name="Note 55 2" xfId="3876"/>
    <cellStyle name="Note 56" xfId="3877"/>
    <cellStyle name="Note 56 2" xfId="3878"/>
    <cellStyle name="Note 57" xfId="3879"/>
    <cellStyle name="Note 57 2" xfId="3880"/>
    <cellStyle name="Note 58" xfId="3881"/>
    <cellStyle name="Note 58 2" xfId="3882"/>
    <cellStyle name="Note 59" xfId="3883"/>
    <cellStyle name="Note 59 2" xfId="5456"/>
    <cellStyle name="Note 6" xfId="3884"/>
    <cellStyle name="Note 6 10" xfId="3885"/>
    <cellStyle name="Note 6 11" xfId="3886"/>
    <cellStyle name="Note 6 12" xfId="3887"/>
    <cellStyle name="Note 6 13" xfId="3888"/>
    <cellStyle name="Note 6 14" xfId="3889"/>
    <cellStyle name="Note 6 15" xfId="3890"/>
    <cellStyle name="Note 6 16" xfId="3891"/>
    <cellStyle name="Note 6 17" xfId="3892"/>
    <cellStyle name="Note 6 2" xfId="3893"/>
    <cellStyle name="Note 6 2 10" xfId="3894"/>
    <cellStyle name="Note 6 2 2" xfId="3895"/>
    <cellStyle name="Note 6 2 3" xfId="3896"/>
    <cellStyle name="Note 6 2 4" xfId="3897"/>
    <cellStyle name="Note 6 2 5" xfId="3898"/>
    <cellStyle name="Note 6 2 6" xfId="3899"/>
    <cellStyle name="Note 6 2 7" xfId="3900"/>
    <cellStyle name="Note 6 2 8" xfId="3901"/>
    <cellStyle name="Note 6 2 9" xfId="3902"/>
    <cellStyle name="Note 6 2 9 2" xfId="5457"/>
    <cellStyle name="Note 6 3" xfId="3903"/>
    <cellStyle name="Note 6 3 2" xfId="3904"/>
    <cellStyle name="Note 6 3 3" xfId="3905"/>
    <cellStyle name="Note 6 3 4" xfId="3906"/>
    <cellStyle name="Note 6 3 5" xfId="3907"/>
    <cellStyle name="Note 6 3 6" xfId="3908"/>
    <cellStyle name="Note 6 3 7" xfId="3909"/>
    <cellStyle name="Note 6 3 8" xfId="3910"/>
    <cellStyle name="Note 6 4" xfId="3911"/>
    <cellStyle name="Note 6 4 2" xfId="3912"/>
    <cellStyle name="Note 6 4 3" xfId="3913"/>
    <cellStyle name="Note 6 4 4" xfId="3914"/>
    <cellStyle name="Note 6 4 5" xfId="3915"/>
    <cellStyle name="Note 6 4 6" xfId="3916"/>
    <cellStyle name="Note 6 4 7" xfId="3917"/>
    <cellStyle name="Note 6 4 8" xfId="3918"/>
    <cellStyle name="Note 6 5" xfId="3919"/>
    <cellStyle name="Note 6 5 2" xfId="3920"/>
    <cellStyle name="Note 6 5 3" xfId="3921"/>
    <cellStyle name="Note 6 5 4" xfId="3922"/>
    <cellStyle name="Note 6 5 5" xfId="3923"/>
    <cellStyle name="Note 6 6" xfId="3924"/>
    <cellStyle name="Note 6 6 2" xfId="3925"/>
    <cellStyle name="Note 6 6 3" xfId="3926"/>
    <cellStyle name="Note 6 6 4" xfId="3927"/>
    <cellStyle name="Note 6 6 5" xfId="3928"/>
    <cellStyle name="Note 6 7" xfId="3929"/>
    <cellStyle name="Note 6 7 2" xfId="3930"/>
    <cellStyle name="Note 6 7 3" xfId="3931"/>
    <cellStyle name="Note 6 7 4" xfId="3932"/>
    <cellStyle name="Note 6 7 5" xfId="3933"/>
    <cellStyle name="Note 6 8" xfId="3934"/>
    <cellStyle name="Note 6 9" xfId="3935"/>
    <cellStyle name="Note 7" xfId="3936"/>
    <cellStyle name="Note 7 10" xfId="3937"/>
    <cellStyle name="Note 7 11" xfId="3938"/>
    <cellStyle name="Note 7 12" xfId="3939"/>
    <cellStyle name="Note 7 13" xfId="3940"/>
    <cellStyle name="Note 7 14" xfId="3941"/>
    <cellStyle name="Note 7 15" xfId="3942"/>
    <cellStyle name="Note 7 16" xfId="3943"/>
    <cellStyle name="Note 7 17" xfId="3944"/>
    <cellStyle name="Note 7 2" xfId="3945"/>
    <cellStyle name="Note 7 2 10" xfId="3946"/>
    <cellStyle name="Note 7 2 2" xfId="3947"/>
    <cellStyle name="Note 7 2 3" xfId="3948"/>
    <cellStyle name="Note 7 2 4" xfId="3949"/>
    <cellStyle name="Note 7 2 5" xfId="3950"/>
    <cellStyle name="Note 7 2 6" xfId="3951"/>
    <cellStyle name="Note 7 2 7" xfId="3952"/>
    <cellStyle name="Note 7 2 8" xfId="3953"/>
    <cellStyle name="Note 7 2 9" xfId="3954"/>
    <cellStyle name="Note 7 2 9 2" xfId="5458"/>
    <cellStyle name="Note 7 3" xfId="3955"/>
    <cellStyle name="Note 7 3 2" xfId="3956"/>
    <cellStyle name="Note 7 3 2 2" xfId="5460"/>
    <cellStyle name="Note 7 3 3" xfId="3957"/>
    <cellStyle name="Note 7 3 3 2" xfId="5461"/>
    <cellStyle name="Note 7 3 4" xfId="3958"/>
    <cellStyle name="Note 7 3 4 2" xfId="5462"/>
    <cellStyle name="Note 7 3 5" xfId="3959"/>
    <cellStyle name="Note 7 3 5 2" xfId="5463"/>
    <cellStyle name="Note 7 3 6" xfId="3960"/>
    <cellStyle name="Note 7 3 6 2" xfId="5464"/>
    <cellStyle name="Note 7 3 7" xfId="3961"/>
    <cellStyle name="Note 7 3 7 2" xfId="5465"/>
    <cellStyle name="Note 7 3 8" xfId="3962"/>
    <cellStyle name="Note 7 3 8 2" xfId="5466"/>
    <cellStyle name="Note 7 3 9" xfId="5459"/>
    <cellStyle name="Note 7 4" xfId="3963"/>
    <cellStyle name="Note 7 4 2" xfId="3964"/>
    <cellStyle name="Note 7 4 2 2" xfId="5468"/>
    <cellStyle name="Note 7 4 3" xfId="3965"/>
    <cellStyle name="Note 7 4 3 2" xfId="5469"/>
    <cellStyle name="Note 7 4 4" xfId="3966"/>
    <cellStyle name="Note 7 4 4 2" xfId="5470"/>
    <cellStyle name="Note 7 4 5" xfId="3967"/>
    <cellStyle name="Note 7 4 5 2" xfId="5471"/>
    <cellStyle name="Note 7 4 6" xfId="3968"/>
    <cellStyle name="Note 7 4 6 2" xfId="5472"/>
    <cellStyle name="Note 7 4 7" xfId="3969"/>
    <cellStyle name="Note 7 4 7 2" xfId="5473"/>
    <cellStyle name="Note 7 4 8" xfId="3970"/>
    <cellStyle name="Note 7 4 8 2" xfId="5474"/>
    <cellStyle name="Note 7 4 9" xfId="5467"/>
    <cellStyle name="Note 7 5" xfId="3971"/>
    <cellStyle name="Note 7 5 2" xfId="3972"/>
    <cellStyle name="Note 7 5 2 2" xfId="5476"/>
    <cellStyle name="Note 7 5 3" xfId="3973"/>
    <cellStyle name="Note 7 5 3 2" xfId="5477"/>
    <cellStyle name="Note 7 5 4" xfId="3974"/>
    <cellStyle name="Note 7 5 4 2" xfId="5478"/>
    <cellStyle name="Note 7 5 5" xfId="3975"/>
    <cellStyle name="Note 7 5 5 2" xfId="5479"/>
    <cellStyle name="Note 7 5 6" xfId="5475"/>
    <cellStyle name="Note 7 6" xfId="3976"/>
    <cellStyle name="Note 7 6 2" xfId="3977"/>
    <cellStyle name="Note 7 6 2 2" xfId="5481"/>
    <cellStyle name="Note 7 6 3" xfId="3978"/>
    <cellStyle name="Note 7 6 3 2" xfId="5482"/>
    <cellStyle name="Note 7 6 4" xfId="3979"/>
    <cellStyle name="Note 7 6 4 2" xfId="5483"/>
    <cellStyle name="Note 7 6 5" xfId="3980"/>
    <cellStyle name="Note 7 6 5 2" xfId="5484"/>
    <cellStyle name="Note 7 6 6" xfId="5480"/>
    <cellStyle name="Note 7 7" xfId="3981"/>
    <cellStyle name="Note 7 7 2" xfId="3982"/>
    <cellStyle name="Note 7 7 2 2" xfId="5486"/>
    <cellStyle name="Note 7 7 3" xfId="3983"/>
    <cellStyle name="Note 7 7 3 2" xfId="5487"/>
    <cellStyle name="Note 7 7 4" xfId="3984"/>
    <cellStyle name="Note 7 7 4 2" xfId="5488"/>
    <cellStyle name="Note 7 7 5" xfId="3985"/>
    <cellStyle name="Note 7 7 5 2" xfId="5489"/>
    <cellStyle name="Note 7 7 6" xfId="5485"/>
    <cellStyle name="Note 7 8" xfId="3986"/>
    <cellStyle name="Note 7 8 2" xfId="5490"/>
    <cellStyle name="Note 7 9" xfId="3987"/>
    <cellStyle name="Note 7 9 2" xfId="5491"/>
    <cellStyle name="Note 8" xfId="3988"/>
    <cellStyle name="Note 8 10" xfId="3989"/>
    <cellStyle name="Note 8 10 2" xfId="5493"/>
    <cellStyle name="Note 8 11" xfId="3990"/>
    <cellStyle name="Note 8 11 2" xfId="5494"/>
    <cellStyle name="Note 8 12" xfId="3991"/>
    <cellStyle name="Note 8 12 2" xfId="5495"/>
    <cellStyle name="Note 8 13" xfId="3992"/>
    <cellStyle name="Note 8 13 2" xfId="5496"/>
    <cellStyle name="Note 8 14" xfId="3993"/>
    <cellStyle name="Note 8 14 2" xfId="5497"/>
    <cellStyle name="Note 8 15" xfId="3994"/>
    <cellStyle name="Note 8 15 2" xfId="5498"/>
    <cellStyle name="Note 8 16" xfId="5492"/>
    <cellStyle name="Note 8 2" xfId="3995"/>
    <cellStyle name="Note 8 2 10" xfId="3996"/>
    <cellStyle name="Note 8 2 10 2" xfId="5500"/>
    <cellStyle name="Note 8 2 11" xfId="5499"/>
    <cellStyle name="Note 8 2 2" xfId="3997"/>
    <cellStyle name="Note 8 2 2 2" xfId="5501"/>
    <cellStyle name="Note 8 2 3" xfId="3998"/>
    <cellStyle name="Note 8 2 3 2" xfId="5502"/>
    <cellStyle name="Note 8 2 4" xfId="3999"/>
    <cellStyle name="Note 8 2 4 2" xfId="5503"/>
    <cellStyle name="Note 8 2 5" xfId="4000"/>
    <cellStyle name="Note 8 2 5 2" xfId="5504"/>
    <cellStyle name="Note 8 2 6" xfId="4001"/>
    <cellStyle name="Note 8 2 6 2" xfId="5505"/>
    <cellStyle name="Note 8 2 7" xfId="4002"/>
    <cellStyle name="Note 8 2 7 2" xfId="5506"/>
    <cellStyle name="Note 8 2 8" xfId="4003"/>
    <cellStyle name="Note 8 2 8 2" xfId="5507"/>
    <cellStyle name="Note 8 2 9" xfId="4004"/>
    <cellStyle name="Note 8 2 9 2" xfId="5508"/>
    <cellStyle name="Note 8 3" xfId="4005"/>
    <cellStyle name="Note 8 3 2" xfId="4006"/>
    <cellStyle name="Note 8 3 2 2" xfId="5510"/>
    <cellStyle name="Note 8 3 3" xfId="4007"/>
    <cellStyle name="Note 8 3 3 2" xfId="5511"/>
    <cellStyle name="Note 8 3 4" xfId="4008"/>
    <cellStyle name="Note 8 3 4 2" xfId="5512"/>
    <cellStyle name="Note 8 3 5" xfId="4009"/>
    <cellStyle name="Note 8 3 5 2" xfId="5513"/>
    <cellStyle name="Note 8 3 6" xfId="4010"/>
    <cellStyle name="Note 8 3 6 2" xfId="5514"/>
    <cellStyle name="Note 8 3 7" xfId="4011"/>
    <cellStyle name="Note 8 3 7 2" xfId="5515"/>
    <cellStyle name="Note 8 3 8" xfId="4012"/>
    <cellStyle name="Note 8 3 8 2" xfId="5516"/>
    <cellStyle name="Note 8 3 9" xfId="5509"/>
    <cellStyle name="Note 8 4" xfId="4013"/>
    <cellStyle name="Note 8 4 2" xfId="4014"/>
    <cellStyle name="Note 8 4 2 2" xfId="5518"/>
    <cellStyle name="Note 8 4 3" xfId="4015"/>
    <cellStyle name="Note 8 4 3 2" xfId="5519"/>
    <cellStyle name="Note 8 4 4" xfId="4016"/>
    <cellStyle name="Note 8 4 4 2" xfId="5520"/>
    <cellStyle name="Note 8 4 5" xfId="4017"/>
    <cellStyle name="Note 8 4 5 2" xfId="5521"/>
    <cellStyle name="Note 8 4 6" xfId="4018"/>
    <cellStyle name="Note 8 4 6 2" xfId="5522"/>
    <cellStyle name="Note 8 4 7" xfId="4019"/>
    <cellStyle name="Note 8 4 7 2" xfId="5523"/>
    <cellStyle name="Note 8 4 8" xfId="4020"/>
    <cellStyle name="Note 8 4 8 2" xfId="5524"/>
    <cellStyle name="Note 8 4 9" xfId="5517"/>
    <cellStyle name="Note 8 5" xfId="4021"/>
    <cellStyle name="Note 8 5 2" xfId="4022"/>
    <cellStyle name="Note 8 5 2 2" xfId="5526"/>
    <cellStyle name="Note 8 5 3" xfId="4023"/>
    <cellStyle name="Note 8 5 3 2" xfId="5527"/>
    <cellStyle name="Note 8 5 4" xfId="4024"/>
    <cellStyle name="Note 8 5 4 2" xfId="5528"/>
    <cellStyle name="Note 8 5 5" xfId="4025"/>
    <cellStyle name="Note 8 5 5 2" xfId="5529"/>
    <cellStyle name="Note 8 5 6" xfId="5525"/>
    <cellStyle name="Note 8 6" xfId="4026"/>
    <cellStyle name="Note 8 6 2" xfId="4027"/>
    <cellStyle name="Note 8 6 2 2" xfId="5531"/>
    <cellStyle name="Note 8 6 3" xfId="4028"/>
    <cellStyle name="Note 8 6 3 2" xfId="5532"/>
    <cellStyle name="Note 8 6 4" xfId="4029"/>
    <cellStyle name="Note 8 6 4 2" xfId="5533"/>
    <cellStyle name="Note 8 6 5" xfId="4030"/>
    <cellStyle name="Note 8 6 5 2" xfId="5534"/>
    <cellStyle name="Note 8 6 6" xfId="5530"/>
    <cellStyle name="Note 8 7" xfId="4031"/>
    <cellStyle name="Note 8 7 2" xfId="4032"/>
    <cellStyle name="Note 8 7 2 2" xfId="5536"/>
    <cellStyle name="Note 8 7 3" xfId="4033"/>
    <cellStyle name="Note 8 7 3 2" xfId="5537"/>
    <cellStyle name="Note 8 7 4" xfId="4034"/>
    <cellStyle name="Note 8 7 4 2" xfId="5538"/>
    <cellStyle name="Note 8 7 5" xfId="4035"/>
    <cellStyle name="Note 8 7 5 2" xfId="5539"/>
    <cellStyle name="Note 8 7 6" xfId="5535"/>
    <cellStyle name="Note 8 8" xfId="4036"/>
    <cellStyle name="Note 8 8 2" xfId="5540"/>
    <cellStyle name="Note 8 9" xfId="4037"/>
    <cellStyle name="Note 8 9 2" xfId="5541"/>
    <cellStyle name="Note 9" xfId="4038"/>
    <cellStyle name="Note 9 10" xfId="4039"/>
    <cellStyle name="Note 9 10 2" xfId="5543"/>
    <cellStyle name="Note 9 11" xfId="4040"/>
    <cellStyle name="Note 9 11 2" xfId="5544"/>
    <cellStyle name="Note 9 12" xfId="4041"/>
    <cellStyle name="Note 9 12 2" xfId="5545"/>
    <cellStyle name="Note 9 13" xfId="4042"/>
    <cellStyle name="Note 9 13 2" xfId="5546"/>
    <cellStyle name="Note 9 14" xfId="4043"/>
    <cellStyle name="Note 9 14 2" xfId="5547"/>
    <cellStyle name="Note 9 15" xfId="4044"/>
    <cellStyle name="Note 9 15 2" xfId="5548"/>
    <cellStyle name="Note 9 16" xfId="5542"/>
    <cellStyle name="Note 9 2" xfId="4045"/>
    <cellStyle name="Note 9 2 10" xfId="4046"/>
    <cellStyle name="Note 9 2 10 2" xfId="5550"/>
    <cellStyle name="Note 9 2 11" xfId="5549"/>
    <cellStyle name="Note 9 2 2" xfId="4047"/>
    <cellStyle name="Note 9 2 2 2" xfId="5551"/>
    <cellStyle name="Note 9 2 3" xfId="4048"/>
    <cellStyle name="Note 9 2 3 2" xfId="5552"/>
    <cellStyle name="Note 9 2 4" xfId="4049"/>
    <cellStyle name="Note 9 2 4 2" xfId="5553"/>
    <cellStyle name="Note 9 2 5" xfId="4050"/>
    <cellStyle name="Note 9 2 5 2" xfId="5554"/>
    <cellStyle name="Note 9 2 6" xfId="4051"/>
    <cellStyle name="Note 9 2 6 2" xfId="5555"/>
    <cellStyle name="Note 9 2 7" xfId="4052"/>
    <cellStyle name="Note 9 2 7 2" xfId="5556"/>
    <cellStyle name="Note 9 2 8" xfId="4053"/>
    <cellStyle name="Note 9 2 8 2" xfId="5557"/>
    <cellStyle name="Note 9 2 9" xfId="4054"/>
    <cellStyle name="Note 9 2 9 2" xfId="5558"/>
    <cellStyle name="Note 9 3" xfId="4055"/>
    <cellStyle name="Note 9 3 2" xfId="4056"/>
    <cellStyle name="Note 9 3 2 2" xfId="5560"/>
    <cellStyle name="Note 9 3 3" xfId="4057"/>
    <cellStyle name="Note 9 3 3 2" xfId="5561"/>
    <cellStyle name="Note 9 3 4" xfId="4058"/>
    <cellStyle name="Note 9 3 4 2" xfId="5562"/>
    <cellStyle name="Note 9 3 5" xfId="4059"/>
    <cellStyle name="Note 9 3 5 2" xfId="5563"/>
    <cellStyle name="Note 9 3 6" xfId="4060"/>
    <cellStyle name="Note 9 3 6 2" xfId="5564"/>
    <cellStyle name="Note 9 3 7" xfId="4061"/>
    <cellStyle name="Note 9 3 7 2" xfId="5565"/>
    <cellStyle name="Note 9 3 8" xfId="4062"/>
    <cellStyle name="Note 9 3 8 2" xfId="5566"/>
    <cellStyle name="Note 9 3 9" xfId="5559"/>
    <cellStyle name="Note 9 4" xfId="4063"/>
    <cellStyle name="Note 9 4 2" xfId="4064"/>
    <cellStyle name="Note 9 4 2 2" xfId="5568"/>
    <cellStyle name="Note 9 4 3" xfId="4065"/>
    <cellStyle name="Note 9 4 3 2" xfId="5569"/>
    <cellStyle name="Note 9 4 4" xfId="4066"/>
    <cellStyle name="Note 9 4 4 2" xfId="5570"/>
    <cellStyle name="Note 9 4 5" xfId="4067"/>
    <cellStyle name="Note 9 4 5 2" xfId="5571"/>
    <cellStyle name="Note 9 4 6" xfId="4068"/>
    <cellStyle name="Note 9 4 6 2" xfId="5572"/>
    <cellStyle name="Note 9 4 7" xfId="4069"/>
    <cellStyle name="Note 9 4 7 2" xfId="5573"/>
    <cellStyle name="Note 9 4 8" xfId="4070"/>
    <cellStyle name="Note 9 4 8 2" xfId="5574"/>
    <cellStyle name="Note 9 4 9" xfId="5567"/>
    <cellStyle name="Note 9 5" xfId="4071"/>
    <cellStyle name="Note 9 5 2" xfId="4072"/>
    <cellStyle name="Note 9 5 2 2" xfId="5576"/>
    <cellStyle name="Note 9 5 3" xfId="4073"/>
    <cellStyle name="Note 9 5 3 2" xfId="5577"/>
    <cellStyle name="Note 9 5 4" xfId="4074"/>
    <cellStyle name="Note 9 5 4 2" xfId="5578"/>
    <cellStyle name="Note 9 5 5" xfId="4075"/>
    <cellStyle name="Note 9 5 5 2" xfId="5579"/>
    <cellStyle name="Note 9 5 6" xfId="5575"/>
    <cellStyle name="Note 9 6" xfId="4076"/>
    <cellStyle name="Note 9 6 2" xfId="4077"/>
    <cellStyle name="Note 9 6 2 2" xfId="5581"/>
    <cellStyle name="Note 9 6 3" xfId="4078"/>
    <cellStyle name="Note 9 6 3 2" xfId="5582"/>
    <cellStyle name="Note 9 6 4" xfId="4079"/>
    <cellStyle name="Note 9 6 4 2" xfId="5583"/>
    <cellStyle name="Note 9 6 5" xfId="4080"/>
    <cellStyle name="Note 9 6 5 2" xfId="5584"/>
    <cellStyle name="Note 9 6 6" xfId="5580"/>
    <cellStyle name="Note 9 7" xfId="4081"/>
    <cellStyle name="Note 9 7 2" xfId="4082"/>
    <cellStyle name="Note 9 7 2 2" xfId="5586"/>
    <cellStyle name="Note 9 7 3" xfId="4083"/>
    <cellStyle name="Note 9 7 3 2" xfId="5587"/>
    <cellStyle name="Note 9 7 4" xfId="4084"/>
    <cellStyle name="Note 9 7 4 2" xfId="5588"/>
    <cellStyle name="Note 9 7 5" xfId="4085"/>
    <cellStyle name="Note 9 7 5 2" xfId="5589"/>
    <cellStyle name="Note 9 7 6" xfId="5585"/>
    <cellStyle name="Note 9 8" xfId="4086"/>
    <cellStyle name="Note 9 8 2" xfId="5590"/>
    <cellStyle name="Note 9 9" xfId="4087"/>
    <cellStyle name="Note 9 9 2" xfId="5591"/>
    <cellStyle name="Output" xfId="4088" builtinId="21" customBuiltin="1"/>
    <cellStyle name="Output 10 2" xfId="4089"/>
    <cellStyle name="Output 10 2 2" xfId="5593"/>
    <cellStyle name="Output 11 2" xfId="4090"/>
    <cellStyle name="Output 11 2 2" xfId="5594"/>
    <cellStyle name="Output 12 2" xfId="4091"/>
    <cellStyle name="Output 12 2 2" xfId="5595"/>
    <cellStyle name="Output 13 2" xfId="4092"/>
    <cellStyle name="Output 13 2 2" xfId="5596"/>
    <cellStyle name="Output 14 2" xfId="4093"/>
    <cellStyle name="Output 14 2 2" xfId="5597"/>
    <cellStyle name="Output 15 2" xfId="4094"/>
    <cellStyle name="Output 15 2 2" xfId="5598"/>
    <cellStyle name="Output 16 2" xfId="4095"/>
    <cellStyle name="Output 16 2 2" xfId="5599"/>
    <cellStyle name="Output 17 2" xfId="4096"/>
    <cellStyle name="Output 17 2 2" xfId="5600"/>
    <cellStyle name="Output 18" xfId="4097"/>
    <cellStyle name="Output 18 2" xfId="5601"/>
    <cellStyle name="Output 2" xfId="5592"/>
    <cellStyle name="Output 2 2" xfId="4098"/>
    <cellStyle name="Output 2 2 2" xfId="4099"/>
    <cellStyle name="Output 2 2 2 2" xfId="5603"/>
    <cellStyle name="Output 2 2 3" xfId="5602"/>
    <cellStyle name="Output 2 3" xfId="4100"/>
    <cellStyle name="Output 2 3 2" xfId="5604"/>
    <cellStyle name="Output 3" xfId="6257"/>
    <cellStyle name="Output 3 2" xfId="4101"/>
    <cellStyle name="Output 3 2 2" xfId="5605"/>
    <cellStyle name="Output 4 2" xfId="4102"/>
    <cellStyle name="Output 4 2 2" xfId="5606"/>
    <cellStyle name="Output 5 2" xfId="4103"/>
    <cellStyle name="Output 5 2 2" xfId="5607"/>
    <cellStyle name="Output 6 2" xfId="4104"/>
    <cellStyle name="Output 6 2 2" xfId="5608"/>
    <cellStyle name="Output 7 2" xfId="4105"/>
    <cellStyle name="Output 7 2 2" xfId="5609"/>
    <cellStyle name="Output 8 2" xfId="4106"/>
    <cellStyle name="Output 8 2 2" xfId="5610"/>
    <cellStyle name="Output 9 2" xfId="4107"/>
    <cellStyle name="Output 9 2 2" xfId="5611"/>
    <cellStyle name="Percent" xfId="4108" builtinId="5"/>
    <cellStyle name="Percent 10" xfId="4109"/>
    <cellStyle name="Percent 10 2" xfId="4110"/>
    <cellStyle name="Percent 10 2 2" xfId="5614"/>
    <cellStyle name="Percent 10 3" xfId="4111"/>
    <cellStyle name="Percent 10 3 2" xfId="5615"/>
    <cellStyle name="Percent 10 4" xfId="5613"/>
    <cellStyle name="Percent 11" xfId="4112"/>
    <cellStyle name="Percent 11 2" xfId="4113"/>
    <cellStyle name="Percent 11 2 2" xfId="5617"/>
    <cellStyle name="Percent 11 3" xfId="4114"/>
    <cellStyle name="Percent 11 3 2" xfId="5618"/>
    <cellStyle name="Percent 11 4" xfId="5616"/>
    <cellStyle name="Percent 12" xfId="4115"/>
    <cellStyle name="Percent 12 2" xfId="4116"/>
    <cellStyle name="Percent 12 2 2" xfId="5620"/>
    <cellStyle name="Percent 12 3" xfId="4117"/>
    <cellStyle name="Percent 12 3 2" xfId="5621"/>
    <cellStyle name="Percent 12 4" xfId="5619"/>
    <cellStyle name="Percent 13" xfId="5612"/>
    <cellStyle name="Percent 14" xfId="6258"/>
    <cellStyle name="Percent 2" xfId="4118"/>
    <cellStyle name="Percent 2 10" xfId="4119"/>
    <cellStyle name="Percent 2 10 2" xfId="5623"/>
    <cellStyle name="Percent 2 11" xfId="4120"/>
    <cellStyle name="Percent 2 11 2" xfId="5624"/>
    <cellStyle name="Percent 2 12" xfId="4121"/>
    <cellStyle name="Percent 2 12 2" xfId="5625"/>
    <cellStyle name="Percent 2 13" xfId="4122"/>
    <cellStyle name="Percent 2 13 2" xfId="5626"/>
    <cellStyle name="Percent 2 14" xfId="4123"/>
    <cellStyle name="Percent 2 14 2" xfId="5627"/>
    <cellStyle name="Percent 2 15" xfId="4124"/>
    <cellStyle name="Percent 2 15 2" xfId="5628"/>
    <cellStyle name="Percent 2 16" xfId="4125"/>
    <cellStyle name="Percent 2 16 2" xfId="5629"/>
    <cellStyle name="Percent 2 17" xfId="4126"/>
    <cellStyle name="Percent 2 17 2" xfId="5630"/>
    <cellStyle name="Percent 2 18" xfId="4127"/>
    <cellStyle name="Percent 2 18 2" xfId="5631"/>
    <cellStyle name="Percent 2 19" xfId="4128"/>
    <cellStyle name="Percent 2 19 2" xfId="5632"/>
    <cellStyle name="Percent 2 2" xfId="4129"/>
    <cellStyle name="Percent 2 2 2" xfId="5633"/>
    <cellStyle name="Percent 2 20" xfId="4130"/>
    <cellStyle name="Percent 2 20 2" xfId="5634"/>
    <cellStyle name="Percent 2 21" xfId="4131"/>
    <cellStyle name="Percent 2 21 2" xfId="5635"/>
    <cellStyle name="Percent 2 22" xfId="4132"/>
    <cellStyle name="Percent 2 22 2" xfId="5636"/>
    <cellStyle name="Percent 2 23" xfId="4133"/>
    <cellStyle name="Percent 2 23 2" xfId="5637"/>
    <cellStyle name="Percent 2 24" xfId="4134"/>
    <cellStyle name="Percent 2 24 2" xfId="5638"/>
    <cellStyle name="Percent 2 25" xfId="4135"/>
    <cellStyle name="Percent 2 25 2" xfId="5639"/>
    <cellStyle name="Percent 2 26" xfId="4136"/>
    <cellStyle name="Percent 2 26 2" xfId="5640"/>
    <cellStyle name="Percent 2 27" xfId="4137"/>
    <cellStyle name="Percent 2 27 2" xfId="5641"/>
    <cellStyle name="Percent 2 28" xfId="4138"/>
    <cellStyle name="Percent 2 28 2" xfId="5642"/>
    <cellStyle name="Percent 2 29" xfId="4139"/>
    <cellStyle name="Percent 2 29 2" xfId="5643"/>
    <cellStyle name="Percent 2 3" xfId="4140"/>
    <cellStyle name="Percent 2 3 2" xfId="4141"/>
    <cellStyle name="Percent 2 3 2 2" xfId="5645"/>
    <cellStyle name="Percent 2 3 3" xfId="4142"/>
    <cellStyle name="Percent 2 3 3 2" xfId="5646"/>
    <cellStyle name="Percent 2 3 4" xfId="4143"/>
    <cellStyle name="Percent 2 3 4 2" xfId="5647"/>
    <cellStyle name="Percent 2 3 5" xfId="4144"/>
    <cellStyle name="Percent 2 3 5 2" xfId="5648"/>
    <cellStyle name="Percent 2 3 6" xfId="5644"/>
    <cellStyle name="Percent 2 30" xfId="4145"/>
    <cellStyle name="Percent 2 30 2" xfId="5649"/>
    <cellStyle name="Percent 2 31" xfId="4146"/>
    <cellStyle name="Percent 2 31 2" xfId="5650"/>
    <cellStyle name="Percent 2 32" xfId="4147"/>
    <cellStyle name="Percent 2 32 2" xfId="5651"/>
    <cellStyle name="Percent 2 33" xfId="4148"/>
    <cellStyle name="Percent 2 33 2" xfId="5652"/>
    <cellStyle name="Percent 2 34" xfId="4149"/>
    <cellStyle name="Percent 2 34 2" xfId="5653"/>
    <cellStyle name="Percent 2 35" xfId="4150"/>
    <cellStyle name="Percent 2 35 2" xfId="5654"/>
    <cellStyle name="Percent 2 36" xfId="4151"/>
    <cellStyle name="Percent 2 36 2" xfId="5655"/>
    <cellStyle name="Percent 2 37" xfId="4152"/>
    <cellStyle name="Percent 2 37 2" xfId="5656"/>
    <cellStyle name="Percent 2 38" xfId="4153"/>
    <cellStyle name="Percent 2 38 2" xfId="5657"/>
    <cellStyle name="Percent 2 39" xfId="4154"/>
    <cellStyle name="Percent 2 39 2" xfId="5658"/>
    <cellStyle name="Percent 2 4" xfId="4155"/>
    <cellStyle name="Percent 2 4 2" xfId="5659"/>
    <cellStyle name="Percent 2 40" xfId="4156"/>
    <cellStyle name="Percent 2 40 2" xfId="5660"/>
    <cellStyle name="Percent 2 41" xfId="4157"/>
    <cellStyle name="Percent 2 41 2" xfId="5661"/>
    <cellStyle name="Percent 2 42" xfId="4158"/>
    <cellStyle name="Percent 2 42 2" xfId="5662"/>
    <cellStyle name="Percent 2 43" xfId="4159"/>
    <cellStyle name="Percent 2 43 2" xfId="5663"/>
    <cellStyle name="Percent 2 44" xfId="5622"/>
    <cellStyle name="Percent 2 5" xfId="4160"/>
    <cellStyle name="Percent 2 5 2" xfId="4161"/>
    <cellStyle name="Percent 2 5 2 2" xfId="5665"/>
    <cellStyle name="Percent 2 5 3" xfId="4162"/>
    <cellStyle name="Percent 2 5 3 2" xfId="5666"/>
    <cellStyle name="Percent 2 5 4" xfId="5664"/>
    <cellStyle name="Percent 2 6" xfId="4163"/>
    <cellStyle name="Percent 2 6 2" xfId="5667"/>
    <cellStyle name="Percent 2 7" xfId="4164"/>
    <cellStyle name="Percent 2 7 2" xfId="5668"/>
    <cellStyle name="Percent 2 8" xfId="4165"/>
    <cellStyle name="Percent 2 8 2" xfId="5669"/>
    <cellStyle name="Percent 2 9" xfId="4166"/>
    <cellStyle name="Percent 2 9 2" xfId="5670"/>
    <cellStyle name="Percent 3" xfId="4167"/>
    <cellStyle name="Percent 3 2" xfId="4168"/>
    <cellStyle name="Percent 3 2 2" xfId="5672"/>
    <cellStyle name="Percent 3 3" xfId="4169"/>
    <cellStyle name="Percent 3 3 2" xfId="5673"/>
    <cellStyle name="Percent 3 4" xfId="4170"/>
    <cellStyle name="Percent 3 4 2" xfId="5674"/>
    <cellStyle name="Percent 3 5" xfId="5671"/>
    <cellStyle name="Percent 4" xfId="4171"/>
    <cellStyle name="Percent 4 2" xfId="5675"/>
    <cellStyle name="Percent 5" xfId="4172"/>
    <cellStyle name="Percent 5 2" xfId="4173"/>
    <cellStyle name="Percent 5 2 2" xfId="5677"/>
    <cellStyle name="Percent 5 3" xfId="4174"/>
    <cellStyle name="Percent 5 3 2" xfId="5678"/>
    <cellStyle name="Percent 5 4" xfId="5676"/>
    <cellStyle name="Percent 6" xfId="4175"/>
    <cellStyle name="Percent 6 2" xfId="5679"/>
    <cellStyle name="Percent 7" xfId="4176"/>
    <cellStyle name="Percent 7 2" xfId="4177"/>
    <cellStyle name="Percent 7 2 2" xfId="5681"/>
    <cellStyle name="Percent 7 3" xfId="4178"/>
    <cellStyle name="Percent 7 3 2" xfId="5682"/>
    <cellStyle name="Percent 7 4" xfId="4179"/>
    <cellStyle name="Percent 7 4 2" xfId="5683"/>
    <cellStyle name="Percent 7 5" xfId="5680"/>
    <cellStyle name="Percent 8" xfId="4180"/>
    <cellStyle name="Percent 8 2" xfId="4181"/>
    <cellStyle name="Percent 8 2 2" xfId="5685"/>
    <cellStyle name="Percent 8 3" xfId="4182"/>
    <cellStyle name="Percent 8 3 2" xfId="5686"/>
    <cellStyle name="Percent 8 4" xfId="5684"/>
    <cellStyle name="Percent 9" xfId="4183"/>
    <cellStyle name="Percent 9 2" xfId="5687"/>
    <cellStyle name="QTD" xfId="4184"/>
    <cellStyle name="QTD 2" xfId="5688"/>
    <cellStyle name="Style 1" xfId="4185"/>
    <cellStyle name="Style 1 2" xfId="5689"/>
    <cellStyle name="Title" xfId="4186" builtinId="15" customBuiltin="1"/>
    <cellStyle name="Title 10 2" xfId="4187"/>
    <cellStyle name="Title 10 2 2" xfId="5691"/>
    <cellStyle name="Title 11 2" xfId="4188"/>
    <cellStyle name="Title 11 2 2" xfId="5692"/>
    <cellStyle name="Title 12 2" xfId="4189"/>
    <cellStyle name="Title 12 2 2" xfId="5693"/>
    <cellStyle name="Title 13 2" xfId="4190"/>
    <cellStyle name="Title 13 2 2" xfId="5694"/>
    <cellStyle name="Title 14 2" xfId="4191"/>
    <cellStyle name="Title 14 2 2" xfId="5695"/>
    <cellStyle name="Title 15 2" xfId="4192"/>
    <cellStyle name="Title 15 2 2" xfId="5696"/>
    <cellStyle name="Title 16 2" xfId="4193"/>
    <cellStyle name="Title 16 2 2" xfId="5697"/>
    <cellStyle name="Title 17 2" xfId="4194"/>
    <cellStyle name="Title 17 2 2" xfId="5698"/>
    <cellStyle name="Title 18" xfId="4195"/>
    <cellStyle name="Title 18 2" xfId="5699"/>
    <cellStyle name="Title 2" xfId="4196"/>
    <cellStyle name="Title 2 2" xfId="4197"/>
    <cellStyle name="Title 2 2 2" xfId="4198"/>
    <cellStyle name="Title 2 2 2 2" xfId="5702"/>
    <cellStyle name="Title 2 2 3" xfId="5701"/>
    <cellStyle name="Title 2 3" xfId="4199"/>
    <cellStyle name="Title 2 3 2" xfId="5703"/>
    <cellStyle name="Title 2 4" xfId="4200"/>
    <cellStyle name="Title 2 4 2" xfId="5704"/>
    <cellStyle name="Title 2 5" xfId="4201"/>
    <cellStyle name="Title 2 5 2" xfId="5705"/>
    <cellStyle name="Title 2 6" xfId="5700"/>
    <cellStyle name="Title 3" xfId="4202"/>
    <cellStyle name="Title 3 2" xfId="4203"/>
    <cellStyle name="Title 3 2 2" xfId="5707"/>
    <cellStyle name="Title 3 3" xfId="4204"/>
    <cellStyle name="Title 3 3 2" xfId="5708"/>
    <cellStyle name="Title 3 4" xfId="4205"/>
    <cellStyle name="Title 3 4 2" xfId="5709"/>
    <cellStyle name="Title 3 5" xfId="5706"/>
    <cellStyle name="Title 4" xfId="4206"/>
    <cellStyle name="Title 4 2" xfId="4207"/>
    <cellStyle name="Title 4 2 2" xfId="5711"/>
    <cellStyle name="Title 4 3" xfId="5710"/>
    <cellStyle name="Title 5" xfId="5690"/>
    <cellStyle name="Title 5 2" xfId="4208"/>
    <cellStyle name="Title 5 2 2" xfId="5712"/>
    <cellStyle name="Title 6" xfId="6259"/>
    <cellStyle name="Title 6 2" xfId="4209"/>
    <cellStyle name="Title 6 2 2" xfId="5713"/>
    <cellStyle name="Title 7 2" xfId="4210"/>
    <cellStyle name="Title 7 2 2" xfId="5714"/>
    <cellStyle name="Title 8 2" xfId="4211"/>
    <cellStyle name="Title 8 2 2" xfId="5715"/>
    <cellStyle name="Title 9 2" xfId="4212"/>
    <cellStyle name="Title 9 2 2" xfId="5716"/>
    <cellStyle name="Total" xfId="4213" builtinId="25" customBuiltin="1"/>
    <cellStyle name="Total 10 2" xfId="4214"/>
    <cellStyle name="Total 10 2 2" xfId="5718"/>
    <cellStyle name="Total 11 2" xfId="4215"/>
    <cellStyle name="Total 11 2 2" xfId="5719"/>
    <cellStyle name="Total 12 2" xfId="4216"/>
    <cellStyle name="Total 12 2 2" xfId="5720"/>
    <cellStyle name="Total 13 2" xfId="4217"/>
    <cellStyle name="Total 13 2 2" xfId="5721"/>
    <cellStyle name="Total 14 2" xfId="4218"/>
    <cellStyle name="Total 14 2 2" xfId="5722"/>
    <cellStyle name="Total 15 2" xfId="4219"/>
    <cellStyle name="Total 15 2 2" xfId="5723"/>
    <cellStyle name="Total 16 2" xfId="4220"/>
    <cellStyle name="Total 16 2 2" xfId="5724"/>
    <cellStyle name="Total 17 2" xfId="4221"/>
    <cellStyle name="Total 17 2 2" xfId="5725"/>
    <cellStyle name="Total 18" xfId="4222"/>
    <cellStyle name="Total 18 2" xfId="5726"/>
    <cellStyle name="Total 2" xfId="5717"/>
    <cellStyle name="Total 2 2" xfId="4223"/>
    <cellStyle name="Total 2 2 2" xfId="4224"/>
    <cellStyle name="Total 2 2 2 2" xfId="5728"/>
    <cellStyle name="Total 2 2 3" xfId="5727"/>
    <cellStyle name="Total 2 3" xfId="4225"/>
    <cellStyle name="Total 2 3 2" xfId="5729"/>
    <cellStyle name="Total 3" xfId="6260"/>
    <cellStyle name="Total 3 2" xfId="4226"/>
    <cellStyle name="Total 3 2 2" xfId="5730"/>
    <cellStyle name="Total 4 2" xfId="4227"/>
    <cellStyle name="Total 4 2 2" xfId="5731"/>
    <cellStyle name="Total 5 2" xfId="4228"/>
    <cellStyle name="Total 5 2 2" xfId="5732"/>
    <cellStyle name="Total 6 2" xfId="4229"/>
    <cellStyle name="Total 6 2 2" xfId="5733"/>
    <cellStyle name="Total 7 2" xfId="4230"/>
    <cellStyle name="Total 7 2 2" xfId="5734"/>
    <cellStyle name="Total 8 2" xfId="4231"/>
    <cellStyle name="Total 8 2 2" xfId="5735"/>
    <cellStyle name="Total 9 2" xfId="4232"/>
    <cellStyle name="Total 9 2 2" xfId="5736"/>
    <cellStyle name="Warning Text" xfId="4233" builtinId="11" customBuiltin="1"/>
    <cellStyle name="Warning Text 10 2" xfId="4234"/>
    <cellStyle name="Warning Text 10 2 2" xfId="5738"/>
    <cellStyle name="Warning Text 11 2" xfId="4235"/>
    <cellStyle name="Warning Text 11 2 2" xfId="5739"/>
    <cellStyle name="Warning Text 12 2" xfId="4236"/>
    <cellStyle name="Warning Text 12 2 2" xfId="5740"/>
    <cellStyle name="Warning Text 13 2" xfId="4237"/>
    <cellStyle name="Warning Text 13 2 2" xfId="5741"/>
    <cellStyle name="Warning Text 14 2" xfId="4238"/>
    <cellStyle name="Warning Text 14 2 2" xfId="5742"/>
    <cellStyle name="Warning Text 15 2" xfId="4239"/>
    <cellStyle name="Warning Text 15 2 2" xfId="5743"/>
    <cellStyle name="Warning Text 16 2" xfId="4240"/>
    <cellStyle name="Warning Text 16 2 2" xfId="5744"/>
    <cellStyle name="Warning Text 17 2" xfId="4241"/>
    <cellStyle name="Warning Text 17 2 2" xfId="5745"/>
    <cellStyle name="Warning Text 18" xfId="4242"/>
    <cellStyle name="Warning Text 18 2" xfId="5746"/>
    <cellStyle name="Warning Text 2" xfId="5737"/>
    <cellStyle name="Warning Text 2 2" xfId="4243"/>
    <cellStyle name="Warning Text 2 2 2" xfId="4244"/>
    <cellStyle name="Warning Text 2 2 2 2" xfId="5748"/>
    <cellStyle name="Warning Text 2 2 3" xfId="5747"/>
    <cellStyle name="Warning Text 2 3" xfId="4245"/>
    <cellStyle name="Warning Text 2 3 2" xfId="5749"/>
    <cellStyle name="Warning Text 3" xfId="6261"/>
    <cellStyle name="Warning Text 3 2" xfId="4246"/>
    <cellStyle name="Warning Text 3 2 2" xfId="5750"/>
    <cellStyle name="Warning Text 4 2" xfId="4247"/>
    <cellStyle name="Warning Text 4 2 2" xfId="5751"/>
    <cellStyle name="Warning Text 5 2" xfId="4248"/>
    <cellStyle name="Warning Text 5 2 2" xfId="5752"/>
    <cellStyle name="Warning Text 6 2" xfId="4249"/>
    <cellStyle name="Warning Text 6 2 2" xfId="5753"/>
    <cellStyle name="Warning Text 7 2" xfId="4250"/>
    <cellStyle name="Warning Text 7 2 2" xfId="5754"/>
    <cellStyle name="Warning Text 8 2" xfId="4251"/>
    <cellStyle name="Warning Text 8 2 2" xfId="5755"/>
    <cellStyle name="Warning Text 9 2" xfId="4252"/>
    <cellStyle name="Warning Text 9 2 2" xfId="5756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externalLink" Target="externalLinks/externalLink3.xml"/><Relationship Id="rId18" Type="http://schemas.openxmlformats.org/officeDocument/2006/relationships/externalLink" Target="externalLinks/externalLink8.xml"/><Relationship Id="rId26" Type="http://schemas.openxmlformats.org/officeDocument/2006/relationships/externalLink" Target="externalLinks/externalLink16.xml"/><Relationship Id="rId39" Type="http://schemas.openxmlformats.org/officeDocument/2006/relationships/styles" Target="styles.xml"/><Relationship Id="rId21" Type="http://schemas.openxmlformats.org/officeDocument/2006/relationships/externalLink" Target="externalLinks/externalLink11.xml"/><Relationship Id="rId34" Type="http://schemas.openxmlformats.org/officeDocument/2006/relationships/externalLink" Target="externalLinks/externalLink24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6.xml"/><Relationship Id="rId20" Type="http://schemas.openxmlformats.org/officeDocument/2006/relationships/externalLink" Target="externalLinks/externalLink10.xml"/><Relationship Id="rId29" Type="http://schemas.openxmlformats.org/officeDocument/2006/relationships/externalLink" Target="externalLinks/externalLink19.xml"/><Relationship Id="rId41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1.xml"/><Relationship Id="rId24" Type="http://schemas.openxmlformats.org/officeDocument/2006/relationships/externalLink" Target="externalLinks/externalLink14.xml"/><Relationship Id="rId32" Type="http://schemas.openxmlformats.org/officeDocument/2006/relationships/externalLink" Target="externalLinks/externalLink22.xml"/><Relationship Id="rId37" Type="http://schemas.openxmlformats.org/officeDocument/2006/relationships/externalLink" Target="externalLinks/externalLink27.xml"/><Relationship Id="rId40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5.xml"/><Relationship Id="rId23" Type="http://schemas.openxmlformats.org/officeDocument/2006/relationships/externalLink" Target="externalLinks/externalLink13.xml"/><Relationship Id="rId28" Type="http://schemas.openxmlformats.org/officeDocument/2006/relationships/externalLink" Target="externalLinks/externalLink18.xml"/><Relationship Id="rId36" Type="http://schemas.openxmlformats.org/officeDocument/2006/relationships/externalLink" Target="externalLinks/externalLink26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9.xml"/><Relationship Id="rId31" Type="http://schemas.openxmlformats.org/officeDocument/2006/relationships/externalLink" Target="externalLinks/externalLink2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4.xml"/><Relationship Id="rId22" Type="http://schemas.openxmlformats.org/officeDocument/2006/relationships/externalLink" Target="externalLinks/externalLink12.xml"/><Relationship Id="rId27" Type="http://schemas.openxmlformats.org/officeDocument/2006/relationships/externalLink" Target="externalLinks/externalLink17.xml"/><Relationship Id="rId30" Type="http://schemas.openxmlformats.org/officeDocument/2006/relationships/externalLink" Target="externalLinks/externalLink20.xml"/><Relationship Id="rId35" Type="http://schemas.openxmlformats.org/officeDocument/2006/relationships/externalLink" Target="externalLinks/externalLink25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externalLink" Target="externalLinks/externalLink2.xml"/><Relationship Id="rId17" Type="http://schemas.openxmlformats.org/officeDocument/2006/relationships/externalLink" Target="externalLinks/externalLink7.xml"/><Relationship Id="rId25" Type="http://schemas.openxmlformats.org/officeDocument/2006/relationships/externalLink" Target="externalLinks/externalLink15.xml"/><Relationship Id="rId33" Type="http://schemas.openxmlformats.org/officeDocument/2006/relationships/externalLink" Target="externalLinks/externalLink23.xml"/><Relationship Id="rId38" Type="http://schemas.openxmlformats.org/officeDocument/2006/relationships/theme" Target="theme/theme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381000</xdr:colOff>
      <xdr:row>2</xdr:row>
      <xdr:rowOff>188359</xdr:rowOff>
    </xdr:from>
    <xdr:ext cx="2401177" cy="264560"/>
    <xdr:sp macro="" textlink="">
      <xdr:nvSpPr>
        <xdr:cNvPr id="2" name="TextBox 1"/>
        <xdr:cNvSpPr txBox="1"/>
      </xdr:nvSpPr>
      <xdr:spPr>
        <a:xfrm flipV="1">
          <a:off x="5505450" y="778909"/>
          <a:ext cx="2401177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/>
        <a:p>
          <a:endParaRPr lang="en-GB"/>
        </a:p>
      </xdr:txBody>
    </xdr:sp>
    <xdr:clientData/>
  </xdr:oneCellAnchor>
  <xdr:oneCellAnchor>
    <xdr:from>
      <xdr:col>6</xdr:col>
      <xdr:colOff>0</xdr:colOff>
      <xdr:row>1</xdr:row>
      <xdr:rowOff>171450</xdr:rowOff>
    </xdr:from>
    <xdr:ext cx="184731" cy="264560"/>
    <xdr:sp macro="" textlink="">
      <xdr:nvSpPr>
        <xdr:cNvPr id="3" name="TextBox 2"/>
        <xdr:cNvSpPr txBox="1"/>
      </xdr:nvSpPr>
      <xdr:spPr>
        <a:xfrm>
          <a:off x="7181850" y="4667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GB"/>
        </a:p>
      </xdr:txBody>
    </xdr:sp>
    <xdr:clientData/>
  </xdr:one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EWCND420060R\aws\Documents%20and%20Settings\cngotho\Local%20Settings\Temporary%20Internet%20Files\OLK1D\Budget%202007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esther.gachuhi\Desktop\Jane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EWCND420060R\aws\Published%20Accounts\PALAL\Published%20accounts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EWCND420060R\aws\Documents%20and%20Settings\Luke%20Magambo\My%20Documents\budget\2005\Master%20Budget\budget%202005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0.6\finance\Documents%20and%20Settings\Dmuchungu\Local%20Settings\Temporary%20Internet%20Files\Content.Outlook\5L4MX833\MANAGEMENT%20ACCOUNTS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EWCND420060R\aws\windows\TEMP\management%20accounts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EWCND420060R\aws\windows\TEMP\2003%20draft%20accounts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0.6\finance\Published%20Accounts\PALAL\Published%20accounts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EWCND420060R\aws\Mgt%20accounts\2004\Dec\Published%20accounts%20(version%202)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Charles%20Lemiso\Google%20Drive\Personal%20Documents\The%20Writing%20Company%20Ltd\Capital%20returns%20progress.xlsx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72.16.0.1\h\KIS%20Region\Budgets\2007-8\KIS%202007-8%20Budget%20&amp;%20Reforecast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EWCND420060R\aws\reports\ala-nov\MGT-ALA-(autocurrencyconvert)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EWBRDBP2J\aws\CLIENTS%202007\Alan%20Dick\Schedules%20from%20Client\Schedules%20to%20EY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EWCND420060R\aws\Mgt%20accounts\2004\Jun\MANAGEMENT%20ACCOUNTS-BOARD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EWCND420060R\aws\PAN%20AFRICA\Pan%20Africa%20Ins\Published%20accounts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EWCND420060R\aws\Published%20accounts\2002\published%20accounts-(new%20company-PALAC)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EWCND420060R\aws\Documents%20and%20Settings\nbikon\Desktop\Pan%20Africa%20Ins\SUBSIDIARIES\P%20A%20Securities%20-%20October%202006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EWCND420060R\aws\Documents%20and%20Settings\cngotho\My%20Documents\Budgets\Draft%202007\PASL\PAS%20Income%20and%20Expenditure%20Budget%202007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lchiko\Local%20Settings\Temporary%20Internet%20Files\Content.Outlook\E5KVVWPZ\CBU%20JUNE%20%202010%20Premium%20Income%20-%2030%2006%202010%20(3).xlsx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0.6\finance\Documents%20and%20Settings\Dmuchungu\Local%20Settings\Temporary%20Internet%20Files\Content.Outlook\5L4MX833\MANAGEMENT%20ACCOUNTS_Mancom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Charles%20Lemiso\Desktop\Company%20Files\ILAM\2014\Execution\Sections\U%20-%20Income%20and%20other%20income.xlsx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Charles%20Lemiso\Desktop\Company%20Files\AEA\Sections\VD%20-%20Administrative%20Expenses\V%20-%20Admin%20and%20Other%20Expenses.xlsx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EWCND420060R\aws\Documents%20and%20Settings\cngotho\Local%20Settings\Temporary%20Internet%20Files\OLK1D\P%20A%20Securities-%20Year%202007%20to%20Year%202009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lchiko\Local%20Settings\Temporary%20Internet%20Files\Content.Outlook\E5KVVWPZ\CBU%20JUNE%20%202010%20Premium%20Income%20-%2030%2006%202010%20(2)%20(3).xlsx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dam\Downloads\March%202019%20Investment%20Schedule%20-%20workings.xlsx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dam\AppData\Local\Temp\Microsoft%20Dynamics%20NAV\83432\Report25.xlsx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My%20Documents\2017\Investments\Bonds%20Portfolio%20lates%20tb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TR"/>
      <sheetName val="Contol Sheet"/>
      <sheetName val="Contents"/>
      <sheetName val="Assumptions"/>
      <sheetName val="List"/>
      <sheetName val="Statistica abstract"/>
      <sheetName val="P&amp;L"/>
      <sheetName val="Staff Bonus Drivers"/>
      <sheetName val="INC.ST. IND LIFE"/>
      <sheetName val="INC.ST. CB"/>
      <sheetName val="BP"/>
      <sheetName val="Cop Prm inc"/>
      <sheetName val="NOTES 1"/>
      <sheetName val="Unit_cost"/>
      <sheetName val="Variances"/>
      <sheetName val="Staff Compliment"/>
      <sheetName val="Capex Summary"/>
      <sheetName val="Aims bgt input"/>
      <sheetName val="Accepted_Biz"/>
      <sheetName val="Statistics"/>
      <sheetName val="INC. STATE. SUM"/>
      <sheetName val="premium budget"/>
      <sheetName val="BS"/>
      <sheetName val="SOCIE"/>
      <sheetName val="Update_Prm"/>
      <sheetName val="PR_updates"/>
      <sheetName val="Cashflow"/>
      <sheetName val="Fsize.pro"/>
      <sheetName val="Inv_Inc"/>
      <sheetName val="Note 6"/>
      <sheetName val="Branch p&amp;L"/>
      <sheetName val="budget-corporate"/>
      <sheetName val="Note5"/>
      <sheetName val="Sec.50(UL)"/>
      <sheetName val="Sec.50(Combined)"/>
      <sheetName val="sec.50(Ind. Life)"/>
      <sheetName val="Sec.50(group)"/>
      <sheetName val="Sec.50(DA)"/>
      <sheetName val="File size Criteria"/>
      <sheetName val="Company_TB"/>
      <sheetName val="IL_tb"/>
      <sheetName val="GL_Tb"/>
      <sheetName val="UL_TB"/>
      <sheetName val="SH_TB"/>
      <sheetName val="DA_tb"/>
      <sheetName val="Snap shot"/>
      <sheetName val="Capex"/>
      <sheetName val="unitcost"/>
      <sheetName val="Expenses"/>
      <sheetName val="Detailed field prod"/>
      <sheetName val="Field production"/>
      <sheetName val="premium_08"/>
      <sheetName val="Premium_07"/>
      <sheetName val="Premium"/>
      <sheetName val="Filesize_08"/>
      <sheetName val="FileSize 07"/>
      <sheetName val="File Size"/>
      <sheetName val="criteria"/>
      <sheetName val="41-1"/>
      <sheetName val="70-1"/>
      <sheetName val="New Busines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>
        <row r="1">
          <cell r="A1" t="str">
            <v>Account</v>
          </cell>
        </row>
      </sheetData>
      <sheetData sheetId="41">
        <row r="1">
          <cell r="A1" t="str">
            <v>Account</v>
          </cell>
        </row>
      </sheetData>
      <sheetData sheetId="42">
        <row r="1">
          <cell r="A1" t="str">
            <v>ACCOUNT</v>
          </cell>
        </row>
      </sheetData>
      <sheetData sheetId="43"/>
      <sheetData sheetId="44"/>
      <sheetData sheetId="45"/>
      <sheetData sheetId="46"/>
      <sheetData sheetId="47"/>
      <sheetData sheetId="48">
        <row r="6">
          <cell r="A6" t="str">
            <v>Account</v>
          </cell>
          <cell r="P6" t="str">
            <v>Total</v>
          </cell>
          <cell r="R6" t="str">
            <v>Projected</v>
          </cell>
          <cell r="S6" t="str">
            <v>Bgt 06</v>
          </cell>
          <cell r="X6" t="str">
            <v>Account</v>
          </cell>
        </row>
        <row r="7">
          <cell r="A7" t="str">
            <v>400-10-010</v>
          </cell>
          <cell r="P7">
            <v>21524621.5</v>
          </cell>
          <cell r="R7">
            <v>19545120</v>
          </cell>
          <cell r="S7">
            <v>20419128</v>
          </cell>
          <cell r="X7" t="str">
            <v>IL</v>
          </cell>
        </row>
        <row r="8">
          <cell r="A8" t="str">
            <v>400-10-010</v>
          </cell>
          <cell r="P8">
            <v>16327236</v>
          </cell>
          <cell r="R8">
            <v>13754815.200000001</v>
          </cell>
          <cell r="S8">
            <v>13848421</v>
          </cell>
          <cell r="X8" t="str">
            <v>IL</v>
          </cell>
        </row>
        <row r="9">
          <cell r="A9" t="str">
            <v>400-10-010</v>
          </cell>
          <cell r="P9">
            <v>2050455</v>
          </cell>
          <cell r="R9">
            <v>2811602.4</v>
          </cell>
          <cell r="S9">
            <v>2510922</v>
          </cell>
          <cell r="X9" t="str">
            <v>IL</v>
          </cell>
        </row>
        <row r="10">
          <cell r="A10" t="str">
            <v>400-10-010</v>
          </cell>
          <cell r="P10">
            <v>7612277.1000000015</v>
          </cell>
          <cell r="R10">
            <v>5019585.5999999996</v>
          </cell>
          <cell r="S10">
            <v>6846872</v>
          </cell>
          <cell r="X10" t="str">
            <v>IL</v>
          </cell>
        </row>
        <row r="11">
          <cell r="A11" t="str">
            <v>400-10-010</v>
          </cell>
          <cell r="P11">
            <v>9997745.9000000004</v>
          </cell>
          <cell r="R11">
            <v>7645276.8000000007</v>
          </cell>
          <cell r="S11">
            <v>7808374</v>
          </cell>
          <cell r="X11" t="str">
            <v>IL</v>
          </cell>
        </row>
        <row r="12">
          <cell r="A12" t="str">
            <v>400-10-010</v>
          </cell>
          <cell r="P12">
            <v>2705891.9</v>
          </cell>
          <cell r="R12">
            <v>1714692</v>
          </cell>
          <cell r="S12">
            <v>1997654</v>
          </cell>
          <cell r="X12" t="str">
            <v>IL</v>
          </cell>
        </row>
        <row r="13">
          <cell r="A13" t="str">
            <v>400-10-010</v>
          </cell>
          <cell r="P13">
            <v>15407115</v>
          </cell>
          <cell r="R13">
            <v>13755139.200000001</v>
          </cell>
          <cell r="S13">
            <v>14917764</v>
          </cell>
          <cell r="X13" t="str">
            <v>IL</v>
          </cell>
        </row>
        <row r="14">
          <cell r="A14" t="str">
            <v>400-10-010</v>
          </cell>
          <cell r="P14">
            <v>2091889.8</v>
          </cell>
          <cell r="R14">
            <v>1844856</v>
          </cell>
          <cell r="S14">
            <v>1919661</v>
          </cell>
          <cell r="X14" t="str">
            <v>IL</v>
          </cell>
        </row>
        <row r="15">
          <cell r="A15" t="str">
            <v>400-10-010</v>
          </cell>
          <cell r="P15">
            <v>7639460.5999999996</v>
          </cell>
          <cell r="R15">
            <v>7352572.8000000007</v>
          </cell>
          <cell r="S15">
            <v>6236482</v>
          </cell>
          <cell r="X15" t="str">
            <v>IL</v>
          </cell>
        </row>
        <row r="16">
          <cell r="A16" t="str">
            <v>400-10-010</v>
          </cell>
          <cell r="P16">
            <v>689066.4</v>
          </cell>
          <cell r="R16">
            <v>606028.80000000005</v>
          </cell>
          <cell r="S16">
            <v>645348</v>
          </cell>
          <cell r="X16" t="str">
            <v>IL</v>
          </cell>
        </row>
        <row r="17">
          <cell r="A17" t="str">
            <v>400-10-010</v>
          </cell>
          <cell r="P17">
            <v>530706</v>
          </cell>
          <cell r="R17">
            <v>466752</v>
          </cell>
          <cell r="S17">
            <v>484704</v>
          </cell>
          <cell r="X17" t="str">
            <v>IL</v>
          </cell>
        </row>
        <row r="18">
          <cell r="A18" t="str">
            <v>400-10-010</v>
          </cell>
          <cell r="P18">
            <v>457343.7</v>
          </cell>
          <cell r="R18">
            <v>413030.40000000002</v>
          </cell>
          <cell r="S18">
            <v>417701</v>
          </cell>
          <cell r="X18" t="str">
            <v>IL</v>
          </cell>
        </row>
        <row r="19">
          <cell r="A19" t="str">
            <v>400-10-010</v>
          </cell>
          <cell r="P19">
            <v>435233.1</v>
          </cell>
          <cell r="R19">
            <v>386875.2</v>
          </cell>
          <cell r="S19">
            <v>404870</v>
          </cell>
          <cell r="X19" t="str">
            <v>IL</v>
          </cell>
        </row>
        <row r="20">
          <cell r="A20" t="str">
            <v>400-10-010</v>
          </cell>
          <cell r="P20">
            <v>371494.2</v>
          </cell>
          <cell r="R20">
            <v>329126.40000000002</v>
          </cell>
          <cell r="S20">
            <v>339293</v>
          </cell>
          <cell r="X20" t="str">
            <v>IL</v>
          </cell>
        </row>
        <row r="21">
          <cell r="A21" t="str">
            <v>400-10-010</v>
          </cell>
          <cell r="P21">
            <v>5136477</v>
          </cell>
          <cell r="R21">
            <v>14756712</v>
          </cell>
          <cell r="S21">
            <v>12870667</v>
          </cell>
          <cell r="X21" t="str">
            <v>IL</v>
          </cell>
        </row>
        <row r="22">
          <cell r="A22" t="str">
            <v>400-10-010</v>
          </cell>
          <cell r="P22">
            <v>299409</v>
          </cell>
          <cell r="R22">
            <v>277728</v>
          </cell>
          <cell r="S22">
            <v>273456</v>
          </cell>
          <cell r="X22" t="str">
            <v>IL</v>
          </cell>
        </row>
        <row r="23">
          <cell r="A23" t="str">
            <v>400-10-010</v>
          </cell>
          <cell r="P23">
            <v>399990.3</v>
          </cell>
          <cell r="R23">
            <v>360945.6</v>
          </cell>
          <cell r="S23">
            <v>372082</v>
          </cell>
          <cell r="X23" t="str">
            <v>IL</v>
          </cell>
        </row>
        <row r="24">
          <cell r="A24" t="str">
            <v>400-10-010</v>
          </cell>
          <cell r="P24">
            <v>304852.8</v>
          </cell>
          <cell r="R24">
            <v>265353.59999999998</v>
          </cell>
          <cell r="S24">
            <v>273456</v>
          </cell>
          <cell r="X24" t="str">
            <v>IL</v>
          </cell>
        </row>
        <row r="25">
          <cell r="A25" t="str">
            <v>400-10-010</v>
          </cell>
          <cell r="P25">
            <v>280962</v>
          </cell>
          <cell r="R25">
            <v>251904</v>
          </cell>
          <cell r="S25">
            <v>256608</v>
          </cell>
          <cell r="X25" t="str">
            <v>IL</v>
          </cell>
        </row>
        <row r="26">
          <cell r="A26" t="str">
            <v>400-10-010</v>
          </cell>
          <cell r="P26">
            <v>304852.8</v>
          </cell>
          <cell r="R26">
            <v>265353.59999999998</v>
          </cell>
          <cell r="S26">
            <v>285535</v>
          </cell>
          <cell r="X26" t="str">
            <v>IL</v>
          </cell>
        </row>
        <row r="27">
          <cell r="A27" t="str">
            <v>400-10-010</v>
          </cell>
          <cell r="P27">
            <v>293449.2</v>
          </cell>
          <cell r="R27">
            <v>258086.39999999999</v>
          </cell>
          <cell r="S27">
            <v>268013</v>
          </cell>
          <cell r="X27" t="str">
            <v>IL</v>
          </cell>
        </row>
        <row r="28">
          <cell r="A28" t="str">
            <v>400-10-010</v>
          </cell>
          <cell r="P28">
            <v>0</v>
          </cell>
          <cell r="R28">
            <v>289660.79999999999</v>
          </cell>
          <cell r="S28">
            <v>300802</v>
          </cell>
          <cell r="X28" t="str">
            <v>IL</v>
          </cell>
        </row>
        <row r="29">
          <cell r="A29" t="str">
            <v>400-10-010</v>
          </cell>
          <cell r="P29">
            <v>6446513.6999999983</v>
          </cell>
          <cell r="R29">
            <v>6166456.8000000007</v>
          </cell>
          <cell r="S29">
            <v>7047091</v>
          </cell>
          <cell r="X29" t="str">
            <v>COP</v>
          </cell>
        </row>
        <row r="30">
          <cell r="A30" t="str">
            <v>400-10-010</v>
          </cell>
          <cell r="P30">
            <v>3203960.1</v>
          </cell>
          <cell r="R30">
            <v>2917072.8</v>
          </cell>
          <cell r="S30">
            <v>2685174</v>
          </cell>
          <cell r="X30" t="str">
            <v>IL</v>
          </cell>
        </row>
        <row r="31">
          <cell r="A31" t="str">
            <v>400-10-012</v>
          </cell>
          <cell r="P31">
            <v>732600</v>
          </cell>
          <cell r="R31">
            <v>732600</v>
          </cell>
          <cell r="S31">
            <v>732600</v>
          </cell>
          <cell r="X31" t="str">
            <v>IL</v>
          </cell>
        </row>
        <row r="32">
          <cell r="A32" t="str">
            <v>400-10-012</v>
          </cell>
          <cell r="P32">
            <v>18180</v>
          </cell>
          <cell r="R32">
            <v>18180</v>
          </cell>
          <cell r="S32">
            <v>18180</v>
          </cell>
          <cell r="X32" t="str">
            <v>IL</v>
          </cell>
        </row>
        <row r="33">
          <cell r="A33" t="str">
            <v>400-10-012</v>
          </cell>
          <cell r="P33">
            <v>0</v>
          </cell>
          <cell r="R33">
            <v>0</v>
          </cell>
          <cell r="S33">
            <v>0</v>
          </cell>
          <cell r="X33" t="str">
            <v>IL</v>
          </cell>
        </row>
        <row r="34">
          <cell r="A34" t="str">
            <v>400-10-012</v>
          </cell>
          <cell r="P34">
            <v>0</v>
          </cell>
          <cell r="R34">
            <v>0</v>
          </cell>
          <cell r="S34">
            <v>0</v>
          </cell>
          <cell r="X34" t="str">
            <v>IL</v>
          </cell>
        </row>
        <row r="35">
          <cell r="A35" t="str">
            <v>400-10-012</v>
          </cell>
          <cell r="P35">
            <v>277440</v>
          </cell>
          <cell r="R35">
            <v>277440</v>
          </cell>
          <cell r="S35">
            <v>277440</v>
          </cell>
          <cell r="X35" t="str">
            <v>IL</v>
          </cell>
        </row>
        <row r="36">
          <cell r="A36" t="str">
            <v>400-10-012</v>
          </cell>
          <cell r="P36">
            <v>0</v>
          </cell>
          <cell r="R36">
            <v>0</v>
          </cell>
          <cell r="S36">
            <v>0</v>
          </cell>
          <cell r="X36" t="str">
            <v>IL</v>
          </cell>
        </row>
        <row r="37">
          <cell r="A37" t="str">
            <v>400-10-012</v>
          </cell>
          <cell r="P37">
            <v>447000</v>
          </cell>
          <cell r="R37">
            <v>447000</v>
          </cell>
          <cell r="S37">
            <v>447000</v>
          </cell>
          <cell r="X37" t="str">
            <v>IL</v>
          </cell>
        </row>
        <row r="38">
          <cell r="A38" t="str">
            <v>400-10-012</v>
          </cell>
          <cell r="P38">
            <v>0</v>
          </cell>
          <cell r="R38">
            <v>0</v>
          </cell>
          <cell r="S38">
            <v>0</v>
          </cell>
          <cell r="X38" t="str">
            <v>IL</v>
          </cell>
        </row>
        <row r="39">
          <cell r="A39" t="str">
            <v>400-10-012</v>
          </cell>
          <cell r="P39">
            <v>26580</v>
          </cell>
          <cell r="R39">
            <v>26580</v>
          </cell>
          <cell r="S39">
            <v>0</v>
          </cell>
          <cell r="X39" t="str">
            <v>IL</v>
          </cell>
        </row>
        <row r="40">
          <cell r="A40" t="str">
            <v>400-10-012</v>
          </cell>
          <cell r="P40">
            <v>0</v>
          </cell>
          <cell r="R40">
            <v>0</v>
          </cell>
          <cell r="S40">
            <v>0</v>
          </cell>
          <cell r="X40" t="str">
            <v>IL</v>
          </cell>
        </row>
        <row r="41">
          <cell r="A41" t="str">
            <v>400-10-012</v>
          </cell>
          <cell r="P41">
            <v>0</v>
          </cell>
          <cell r="R41">
            <v>0</v>
          </cell>
          <cell r="S41">
            <v>0</v>
          </cell>
          <cell r="X41" t="str">
            <v>IL</v>
          </cell>
        </row>
        <row r="42">
          <cell r="A42" t="str">
            <v>400-10-012</v>
          </cell>
          <cell r="P42">
            <v>0</v>
          </cell>
          <cell r="R42">
            <v>0</v>
          </cell>
          <cell r="S42">
            <v>0</v>
          </cell>
          <cell r="X42" t="str">
            <v>IL</v>
          </cell>
        </row>
        <row r="43">
          <cell r="A43" t="str">
            <v>400-10-012</v>
          </cell>
          <cell r="P43">
            <v>0</v>
          </cell>
          <cell r="R43">
            <v>0</v>
          </cell>
          <cell r="S43">
            <v>0</v>
          </cell>
          <cell r="X43" t="str">
            <v>IL</v>
          </cell>
        </row>
        <row r="44">
          <cell r="A44" t="str">
            <v>400-10-012</v>
          </cell>
          <cell r="P44">
            <v>0</v>
          </cell>
          <cell r="R44">
            <v>0</v>
          </cell>
          <cell r="S44">
            <v>0</v>
          </cell>
          <cell r="X44" t="str">
            <v>IL</v>
          </cell>
        </row>
        <row r="45">
          <cell r="A45" t="str">
            <v>400-10-012</v>
          </cell>
          <cell r="P45">
            <v>3540</v>
          </cell>
          <cell r="R45">
            <v>3540</v>
          </cell>
          <cell r="S45">
            <v>3540</v>
          </cell>
          <cell r="X45" t="str">
            <v>IL</v>
          </cell>
        </row>
        <row r="46">
          <cell r="A46" t="str">
            <v>400-10-012</v>
          </cell>
          <cell r="P46">
            <v>0</v>
          </cell>
          <cell r="R46">
            <v>0</v>
          </cell>
          <cell r="S46">
            <v>0</v>
          </cell>
          <cell r="X46" t="str">
            <v>IL</v>
          </cell>
        </row>
        <row r="47">
          <cell r="A47" t="str">
            <v>400-10-012</v>
          </cell>
          <cell r="P47">
            <v>0</v>
          </cell>
          <cell r="R47">
            <v>0</v>
          </cell>
          <cell r="S47">
            <v>0</v>
          </cell>
          <cell r="X47" t="str">
            <v>IL</v>
          </cell>
        </row>
        <row r="48">
          <cell r="A48" t="str">
            <v>400-10-012</v>
          </cell>
          <cell r="P48">
            <v>0</v>
          </cell>
          <cell r="R48">
            <v>0</v>
          </cell>
          <cell r="S48">
            <v>0</v>
          </cell>
          <cell r="X48" t="str">
            <v>IL</v>
          </cell>
        </row>
        <row r="49">
          <cell r="A49" t="str">
            <v>400-10-012</v>
          </cell>
          <cell r="P49">
            <v>0</v>
          </cell>
          <cell r="R49">
            <v>0</v>
          </cell>
          <cell r="S49">
            <v>0</v>
          </cell>
          <cell r="X49" t="str">
            <v>IL</v>
          </cell>
        </row>
        <row r="50">
          <cell r="A50" t="str">
            <v>400-10-012</v>
          </cell>
          <cell r="P50">
            <v>0</v>
          </cell>
          <cell r="R50">
            <v>0</v>
          </cell>
          <cell r="S50">
            <v>0</v>
          </cell>
          <cell r="X50" t="str">
            <v>IL</v>
          </cell>
        </row>
        <row r="51">
          <cell r="A51" t="str">
            <v>400-10-012</v>
          </cell>
          <cell r="P51">
            <v>0</v>
          </cell>
          <cell r="R51">
            <v>0</v>
          </cell>
          <cell r="S51">
            <v>0</v>
          </cell>
          <cell r="X51" t="str">
            <v>IL</v>
          </cell>
        </row>
        <row r="52">
          <cell r="A52" t="str">
            <v>400-10-012</v>
          </cell>
          <cell r="P52">
            <v>0</v>
          </cell>
          <cell r="R52">
            <v>0</v>
          </cell>
          <cell r="S52">
            <v>0</v>
          </cell>
          <cell r="X52" t="str">
            <v>IL</v>
          </cell>
        </row>
        <row r="53">
          <cell r="A53" t="str">
            <v>400-10-012</v>
          </cell>
          <cell r="P53">
            <v>0</v>
          </cell>
          <cell r="R53">
            <v>0</v>
          </cell>
          <cell r="S53">
            <v>0</v>
          </cell>
          <cell r="X53" t="str">
            <v>COP</v>
          </cell>
        </row>
        <row r="54">
          <cell r="A54" t="str">
            <v>400-10-012</v>
          </cell>
          <cell r="P54">
            <v>31080</v>
          </cell>
          <cell r="R54">
            <v>31080</v>
          </cell>
          <cell r="S54">
            <v>31080</v>
          </cell>
          <cell r="X54" t="str">
            <v>IL</v>
          </cell>
        </row>
        <row r="55">
          <cell r="A55" t="str">
            <v>400-10-020</v>
          </cell>
          <cell r="P55">
            <v>2286000</v>
          </cell>
          <cell r="R55">
            <v>2286000</v>
          </cell>
          <cell r="S55">
            <v>2286000</v>
          </cell>
          <cell r="X55" t="str">
            <v>IL</v>
          </cell>
        </row>
        <row r="56">
          <cell r="A56" t="str">
            <v>400-10-020</v>
          </cell>
          <cell r="P56">
            <v>1301100</v>
          </cell>
          <cell r="R56">
            <v>1199100</v>
          </cell>
          <cell r="S56">
            <v>1199100</v>
          </cell>
          <cell r="X56" t="str">
            <v>IL</v>
          </cell>
        </row>
        <row r="57">
          <cell r="A57" t="str">
            <v>400-10-020</v>
          </cell>
          <cell r="P57">
            <v>218400</v>
          </cell>
          <cell r="R57">
            <v>327600</v>
          </cell>
          <cell r="S57">
            <v>296400</v>
          </cell>
          <cell r="X57" t="str">
            <v>IL</v>
          </cell>
        </row>
        <row r="58">
          <cell r="A58" t="str">
            <v>400-10-020</v>
          </cell>
          <cell r="P58">
            <v>774000</v>
          </cell>
          <cell r="R58">
            <v>636000</v>
          </cell>
          <cell r="S58">
            <v>774000</v>
          </cell>
          <cell r="X58" t="str">
            <v>IL</v>
          </cell>
        </row>
        <row r="59">
          <cell r="A59" t="str">
            <v>400-10-020</v>
          </cell>
          <cell r="P59">
            <v>733200</v>
          </cell>
          <cell r="R59">
            <v>577200</v>
          </cell>
          <cell r="S59">
            <v>577200</v>
          </cell>
          <cell r="X59" t="str">
            <v>IL</v>
          </cell>
        </row>
        <row r="60">
          <cell r="A60" t="str">
            <v>400-10-020</v>
          </cell>
          <cell r="P60">
            <v>280800</v>
          </cell>
          <cell r="R60">
            <v>202800</v>
          </cell>
          <cell r="S60">
            <v>234000</v>
          </cell>
          <cell r="X60" t="str">
            <v>IL</v>
          </cell>
        </row>
        <row r="61">
          <cell r="A61" t="str">
            <v>400-10-020</v>
          </cell>
          <cell r="P61">
            <v>1479600</v>
          </cell>
          <cell r="R61">
            <v>1449304.8</v>
          </cell>
          <cell r="S61">
            <v>1464000</v>
          </cell>
          <cell r="X61" t="str">
            <v>IL</v>
          </cell>
        </row>
        <row r="62">
          <cell r="A62" t="str">
            <v>400-10-020</v>
          </cell>
          <cell r="P62">
            <v>202800</v>
          </cell>
          <cell r="R62">
            <v>202800</v>
          </cell>
          <cell r="S62">
            <v>202800</v>
          </cell>
          <cell r="X62" t="str">
            <v>IL</v>
          </cell>
        </row>
        <row r="63">
          <cell r="A63" t="str">
            <v>400-10-020</v>
          </cell>
          <cell r="P63">
            <v>808800</v>
          </cell>
          <cell r="R63">
            <v>777600</v>
          </cell>
          <cell r="S63">
            <v>699600</v>
          </cell>
          <cell r="X63" t="str">
            <v>IL</v>
          </cell>
        </row>
        <row r="64">
          <cell r="A64" t="str">
            <v>400-10-020</v>
          </cell>
          <cell r="P64">
            <v>78000</v>
          </cell>
          <cell r="R64">
            <v>78000</v>
          </cell>
          <cell r="S64">
            <v>78000</v>
          </cell>
          <cell r="X64" t="str">
            <v>IL</v>
          </cell>
        </row>
        <row r="65">
          <cell r="A65" t="str">
            <v>400-10-020</v>
          </cell>
          <cell r="P65">
            <v>62400</v>
          </cell>
          <cell r="R65">
            <v>62400</v>
          </cell>
          <cell r="S65">
            <v>62400</v>
          </cell>
          <cell r="X65" t="str">
            <v>IL</v>
          </cell>
        </row>
        <row r="66">
          <cell r="A66" t="str">
            <v>400-10-020</v>
          </cell>
          <cell r="P66">
            <v>46800</v>
          </cell>
          <cell r="R66">
            <v>46800</v>
          </cell>
          <cell r="S66">
            <v>46800</v>
          </cell>
          <cell r="X66" t="str">
            <v>IL</v>
          </cell>
        </row>
        <row r="67">
          <cell r="A67" t="str">
            <v>400-10-020</v>
          </cell>
          <cell r="P67">
            <v>46800</v>
          </cell>
          <cell r="R67">
            <v>46800</v>
          </cell>
          <cell r="S67">
            <v>46800</v>
          </cell>
          <cell r="X67" t="str">
            <v>IL</v>
          </cell>
        </row>
        <row r="68">
          <cell r="A68" t="str">
            <v>400-10-020</v>
          </cell>
          <cell r="P68">
            <v>46800</v>
          </cell>
          <cell r="R68">
            <v>46800</v>
          </cell>
          <cell r="S68">
            <v>46800</v>
          </cell>
          <cell r="X68" t="str">
            <v>IL</v>
          </cell>
        </row>
        <row r="69">
          <cell r="A69" t="str">
            <v>400-10-020</v>
          </cell>
          <cell r="P69">
            <v>561600</v>
          </cell>
          <cell r="R69">
            <v>2547600</v>
          </cell>
          <cell r="S69">
            <v>2419200</v>
          </cell>
          <cell r="X69" t="str">
            <v>IL</v>
          </cell>
        </row>
        <row r="70">
          <cell r="A70" t="str">
            <v>400-10-020</v>
          </cell>
          <cell r="P70">
            <v>46800</v>
          </cell>
          <cell r="R70">
            <v>46800</v>
          </cell>
          <cell r="S70">
            <v>46800</v>
          </cell>
          <cell r="X70" t="str">
            <v>IL</v>
          </cell>
        </row>
        <row r="71">
          <cell r="A71" t="str">
            <v>400-10-020</v>
          </cell>
          <cell r="P71">
            <v>46800</v>
          </cell>
          <cell r="R71">
            <v>46800</v>
          </cell>
          <cell r="S71">
            <v>46800</v>
          </cell>
          <cell r="X71" t="str">
            <v>IL</v>
          </cell>
        </row>
        <row r="72">
          <cell r="A72" t="str">
            <v>400-10-020</v>
          </cell>
          <cell r="P72">
            <v>46800</v>
          </cell>
          <cell r="R72">
            <v>46800</v>
          </cell>
          <cell r="S72">
            <v>46800</v>
          </cell>
          <cell r="X72" t="str">
            <v>IL</v>
          </cell>
        </row>
        <row r="73">
          <cell r="A73" t="str">
            <v>400-10-020</v>
          </cell>
          <cell r="P73">
            <v>31200</v>
          </cell>
          <cell r="R73">
            <v>31200</v>
          </cell>
          <cell r="S73">
            <v>31200</v>
          </cell>
          <cell r="X73" t="str">
            <v>IL</v>
          </cell>
        </row>
        <row r="74">
          <cell r="A74" t="str">
            <v>400-10-020</v>
          </cell>
          <cell r="P74">
            <v>46800</v>
          </cell>
          <cell r="R74">
            <v>46800</v>
          </cell>
          <cell r="S74">
            <v>46800</v>
          </cell>
          <cell r="X74" t="str">
            <v>IL</v>
          </cell>
        </row>
        <row r="75">
          <cell r="A75" t="str">
            <v>400-10-020</v>
          </cell>
          <cell r="P75">
            <v>31200</v>
          </cell>
          <cell r="R75">
            <v>31200</v>
          </cell>
          <cell r="S75">
            <v>31200</v>
          </cell>
          <cell r="X75" t="str">
            <v>IL</v>
          </cell>
        </row>
        <row r="76">
          <cell r="A76" t="str">
            <v>400-10-020</v>
          </cell>
          <cell r="P76">
            <v>0</v>
          </cell>
          <cell r="R76">
            <v>46800</v>
          </cell>
          <cell r="S76">
            <v>46800</v>
          </cell>
          <cell r="X76" t="str">
            <v>IL</v>
          </cell>
        </row>
        <row r="77">
          <cell r="A77" t="str">
            <v>400-10-020</v>
          </cell>
          <cell r="P77">
            <v>1072800</v>
          </cell>
          <cell r="R77">
            <v>1022880</v>
          </cell>
          <cell r="S77">
            <v>1041600</v>
          </cell>
          <cell r="X77" t="str">
            <v>COP</v>
          </cell>
        </row>
        <row r="78">
          <cell r="A78" t="str">
            <v>400-10-020</v>
          </cell>
          <cell r="P78">
            <v>405600</v>
          </cell>
          <cell r="R78">
            <v>405600</v>
          </cell>
          <cell r="S78">
            <v>405600</v>
          </cell>
          <cell r="X78" t="str">
            <v>IL</v>
          </cell>
        </row>
        <row r="79">
          <cell r="A79" t="str">
            <v>400-10-030</v>
          </cell>
          <cell r="P79">
            <v>54000</v>
          </cell>
          <cell r="R79">
            <v>54000</v>
          </cell>
          <cell r="S79">
            <v>30000</v>
          </cell>
          <cell r="X79" t="str">
            <v>IL</v>
          </cell>
        </row>
        <row r="80">
          <cell r="A80" t="str">
            <v>400-10-030</v>
          </cell>
          <cell r="P80">
            <v>120000</v>
          </cell>
          <cell r="R80">
            <v>90000</v>
          </cell>
          <cell r="S80">
            <v>90000</v>
          </cell>
          <cell r="X80" t="str">
            <v>IL</v>
          </cell>
        </row>
        <row r="81">
          <cell r="A81" t="str">
            <v>400-10-030</v>
          </cell>
          <cell r="P81">
            <v>0</v>
          </cell>
          <cell r="R81">
            <v>0</v>
          </cell>
          <cell r="S81">
            <v>0</v>
          </cell>
          <cell r="X81" t="str">
            <v>IL</v>
          </cell>
        </row>
        <row r="82">
          <cell r="A82" t="str">
            <v>400-10-030</v>
          </cell>
          <cell r="P82">
            <v>60000</v>
          </cell>
          <cell r="R82">
            <v>30000</v>
          </cell>
          <cell r="S82">
            <v>60000</v>
          </cell>
          <cell r="X82" t="str">
            <v>IL</v>
          </cell>
        </row>
        <row r="83">
          <cell r="A83" t="str">
            <v>400-10-030</v>
          </cell>
          <cell r="P83">
            <v>108000</v>
          </cell>
          <cell r="R83">
            <v>78000</v>
          </cell>
          <cell r="S83">
            <v>78000</v>
          </cell>
          <cell r="X83" t="str">
            <v>IL</v>
          </cell>
        </row>
        <row r="84">
          <cell r="A84" t="str">
            <v>400-10-030</v>
          </cell>
          <cell r="P84">
            <v>0</v>
          </cell>
          <cell r="R84">
            <v>0</v>
          </cell>
          <cell r="S84">
            <v>0</v>
          </cell>
          <cell r="X84" t="str">
            <v>IL</v>
          </cell>
        </row>
        <row r="85">
          <cell r="A85" t="str">
            <v>400-10-030</v>
          </cell>
          <cell r="P85">
            <v>60000</v>
          </cell>
          <cell r="R85">
            <v>72542.399999999994</v>
          </cell>
          <cell r="S85">
            <v>138000</v>
          </cell>
          <cell r="X85" t="str">
            <v>IL</v>
          </cell>
        </row>
        <row r="86">
          <cell r="A86" t="str">
            <v>400-10-030</v>
          </cell>
          <cell r="P86">
            <v>30000</v>
          </cell>
          <cell r="R86">
            <v>30000</v>
          </cell>
          <cell r="S86">
            <v>30000</v>
          </cell>
          <cell r="X86" t="str">
            <v>IL</v>
          </cell>
        </row>
        <row r="87">
          <cell r="A87" t="str">
            <v>400-10-030</v>
          </cell>
          <cell r="P87">
            <v>30000</v>
          </cell>
          <cell r="R87">
            <v>30000</v>
          </cell>
          <cell r="S87">
            <v>30000</v>
          </cell>
          <cell r="X87" t="str">
            <v>IL</v>
          </cell>
        </row>
        <row r="88">
          <cell r="A88" t="str">
            <v>400-10-030</v>
          </cell>
          <cell r="P88">
            <v>0</v>
          </cell>
          <cell r="R88">
            <v>0</v>
          </cell>
          <cell r="S88">
            <v>0</v>
          </cell>
          <cell r="X88" t="str">
            <v>IL</v>
          </cell>
        </row>
        <row r="89">
          <cell r="A89" t="str">
            <v>400-10-030</v>
          </cell>
          <cell r="P89">
            <v>0</v>
          </cell>
          <cell r="R89">
            <v>0</v>
          </cell>
          <cell r="S89">
            <v>0</v>
          </cell>
          <cell r="X89" t="str">
            <v>IL</v>
          </cell>
        </row>
        <row r="90">
          <cell r="A90" t="str">
            <v>400-10-030</v>
          </cell>
          <cell r="P90">
            <v>0</v>
          </cell>
          <cell r="R90">
            <v>0</v>
          </cell>
          <cell r="S90">
            <v>0</v>
          </cell>
          <cell r="X90" t="str">
            <v>IL</v>
          </cell>
        </row>
        <row r="91">
          <cell r="A91" t="str">
            <v>400-10-030</v>
          </cell>
          <cell r="P91">
            <v>0</v>
          </cell>
          <cell r="R91">
            <v>0</v>
          </cell>
          <cell r="S91">
            <v>0</v>
          </cell>
          <cell r="X91" t="str">
            <v>IL</v>
          </cell>
        </row>
        <row r="92">
          <cell r="A92" t="str">
            <v>400-10-030</v>
          </cell>
          <cell r="P92">
            <v>0</v>
          </cell>
          <cell r="R92">
            <v>0</v>
          </cell>
          <cell r="S92">
            <v>0</v>
          </cell>
          <cell r="X92" t="str">
            <v>IL</v>
          </cell>
        </row>
        <row r="93">
          <cell r="A93" t="str">
            <v>400-10-030</v>
          </cell>
          <cell r="P93">
            <v>0</v>
          </cell>
          <cell r="R93">
            <v>30000</v>
          </cell>
          <cell r="S93">
            <v>0</v>
          </cell>
          <cell r="X93" t="str">
            <v>IL</v>
          </cell>
        </row>
        <row r="94">
          <cell r="A94" t="str">
            <v>400-10-030</v>
          </cell>
          <cell r="P94">
            <v>0</v>
          </cell>
          <cell r="R94">
            <v>0</v>
          </cell>
          <cell r="S94">
            <v>0</v>
          </cell>
          <cell r="X94" t="str">
            <v>IL</v>
          </cell>
        </row>
        <row r="95">
          <cell r="A95" t="str">
            <v>400-10-030</v>
          </cell>
          <cell r="P95">
            <v>0</v>
          </cell>
          <cell r="R95">
            <v>0</v>
          </cell>
          <cell r="S95">
            <v>0</v>
          </cell>
          <cell r="X95" t="str">
            <v>IL</v>
          </cell>
        </row>
        <row r="96">
          <cell r="A96" t="str">
            <v>400-10-030</v>
          </cell>
          <cell r="P96">
            <v>0</v>
          </cell>
          <cell r="R96">
            <v>0</v>
          </cell>
          <cell r="S96">
            <v>0</v>
          </cell>
          <cell r="X96" t="str">
            <v>IL</v>
          </cell>
        </row>
        <row r="97">
          <cell r="A97" t="str">
            <v>400-10-030</v>
          </cell>
          <cell r="P97">
            <v>0</v>
          </cell>
          <cell r="R97">
            <v>0</v>
          </cell>
          <cell r="S97">
            <v>0</v>
          </cell>
          <cell r="X97" t="str">
            <v>IL</v>
          </cell>
        </row>
        <row r="98">
          <cell r="A98" t="str">
            <v>400-10-030</v>
          </cell>
          <cell r="P98">
            <v>0</v>
          </cell>
          <cell r="R98">
            <v>0</v>
          </cell>
          <cell r="S98">
            <v>0</v>
          </cell>
          <cell r="X98" t="str">
            <v>IL</v>
          </cell>
        </row>
        <row r="99">
          <cell r="A99" t="str">
            <v>400-10-030</v>
          </cell>
          <cell r="P99">
            <v>0</v>
          </cell>
          <cell r="R99">
            <v>0</v>
          </cell>
          <cell r="S99">
            <v>0</v>
          </cell>
          <cell r="X99" t="str">
            <v>IL</v>
          </cell>
        </row>
        <row r="100">
          <cell r="A100" t="str">
            <v>400-10-030</v>
          </cell>
          <cell r="P100">
            <v>0</v>
          </cell>
          <cell r="R100">
            <v>0</v>
          </cell>
          <cell r="S100">
            <v>0</v>
          </cell>
          <cell r="X100" t="str">
            <v>IL</v>
          </cell>
        </row>
        <row r="101">
          <cell r="A101" t="str">
            <v>400-10-030</v>
          </cell>
          <cell r="P101">
            <v>30000</v>
          </cell>
          <cell r="R101">
            <v>30000</v>
          </cell>
          <cell r="S101">
            <v>30000</v>
          </cell>
          <cell r="X101" t="str">
            <v>COP</v>
          </cell>
        </row>
        <row r="102">
          <cell r="A102" t="str">
            <v>400-10-030</v>
          </cell>
          <cell r="P102">
            <v>72000</v>
          </cell>
          <cell r="R102">
            <v>72000</v>
          </cell>
          <cell r="S102">
            <v>48000</v>
          </cell>
          <cell r="X102" t="str">
            <v>IL</v>
          </cell>
        </row>
        <row r="103">
          <cell r="A103" t="str">
            <v>400-10-040</v>
          </cell>
          <cell r="P103">
            <v>300000</v>
          </cell>
          <cell r="R103">
            <v>300000</v>
          </cell>
          <cell r="S103">
            <v>300000</v>
          </cell>
          <cell r="X103" t="str">
            <v>IL</v>
          </cell>
        </row>
        <row r="104">
          <cell r="A104" t="str">
            <v>400-10-040</v>
          </cell>
          <cell r="P104">
            <v>180000</v>
          </cell>
          <cell r="R104">
            <v>180000</v>
          </cell>
          <cell r="S104">
            <v>180000</v>
          </cell>
          <cell r="X104" t="str">
            <v>IL</v>
          </cell>
        </row>
        <row r="105">
          <cell r="A105" t="str">
            <v>400-10-040</v>
          </cell>
          <cell r="P105">
            <v>0</v>
          </cell>
          <cell r="R105">
            <v>0</v>
          </cell>
          <cell r="S105">
            <v>0</v>
          </cell>
          <cell r="X105" t="str">
            <v>IL</v>
          </cell>
        </row>
        <row r="106">
          <cell r="A106" t="str">
            <v>400-10-040</v>
          </cell>
          <cell r="P106">
            <v>0</v>
          </cell>
          <cell r="R106">
            <v>0</v>
          </cell>
          <cell r="S106">
            <v>0</v>
          </cell>
          <cell r="X106" t="str">
            <v>IL</v>
          </cell>
        </row>
        <row r="107">
          <cell r="A107" t="str">
            <v>400-10-040</v>
          </cell>
          <cell r="P107">
            <v>0</v>
          </cell>
          <cell r="R107">
            <v>0</v>
          </cell>
          <cell r="S107">
            <v>0</v>
          </cell>
          <cell r="X107" t="str">
            <v>IL</v>
          </cell>
        </row>
        <row r="108">
          <cell r="A108" t="str">
            <v>400-10-040</v>
          </cell>
          <cell r="P108">
            <v>0</v>
          </cell>
          <cell r="R108">
            <v>0</v>
          </cell>
          <cell r="S108">
            <v>0</v>
          </cell>
          <cell r="X108" t="str">
            <v>IL</v>
          </cell>
        </row>
        <row r="109">
          <cell r="A109" t="str">
            <v>400-10-040</v>
          </cell>
          <cell r="P109">
            <v>300000</v>
          </cell>
          <cell r="R109">
            <v>300000</v>
          </cell>
          <cell r="S109">
            <v>300000</v>
          </cell>
          <cell r="X109" t="str">
            <v>IL</v>
          </cell>
        </row>
        <row r="110">
          <cell r="A110" t="str">
            <v>400-10-040</v>
          </cell>
          <cell r="P110">
            <v>0</v>
          </cell>
          <cell r="R110">
            <v>0</v>
          </cell>
          <cell r="S110">
            <v>0</v>
          </cell>
          <cell r="X110" t="str">
            <v>IL</v>
          </cell>
        </row>
        <row r="111">
          <cell r="A111" t="str">
            <v>400-10-040</v>
          </cell>
          <cell r="P111">
            <v>0</v>
          </cell>
          <cell r="R111">
            <v>0</v>
          </cell>
          <cell r="S111">
            <v>0</v>
          </cell>
          <cell r="X111" t="str">
            <v>IL</v>
          </cell>
        </row>
        <row r="112">
          <cell r="A112" t="str">
            <v>400-10-040</v>
          </cell>
          <cell r="P112">
            <v>0</v>
          </cell>
          <cell r="R112">
            <v>0</v>
          </cell>
          <cell r="S112">
            <v>0</v>
          </cell>
          <cell r="X112" t="str">
            <v>IL</v>
          </cell>
        </row>
        <row r="113">
          <cell r="A113" t="str">
            <v>400-10-040</v>
          </cell>
          <cell r="P113">
            <v>0</v>
          </cell>
          <cell r="R113">
            <v>0</v>
          </cell>
          <cell r="S113">
            <v>0</v>
          </cell>
          <cell r="X113" t="str">
            <v>IL</v>
          </cell>
        </row>
        <row r="114">
          <cell r="A114" t="str">
            <v>400-10-040</v>
          </cell>
          <cell r="P114">
            <v>0</v>
          </cell>
          <cell r="R114">
            <v>0</v>
          </cell>
          <cell r="S114">
            <v>0</v>
          </cell>
          <cell r="X114" t="str">
            <v>IL</v>
          </cell>
        </row>
        <row r="115">
          <cell r="A115" t="str">
            <v>400-10-040</v>
          </cell>
          <cell r="P115">
            <v>0</v>
          </cell>
          <cell r="R115">
            <v>0</v>
          </cell>
          <cell r="S115">
            <v>0</v>
          </cell>
          <cell r="X115" t="str">
            <v>IL</v>
          </cell>
        </row>
        <row r="116">
          <cell r="A116" t="str">
            <v>400-10-040</v>
          </cell>
          <cell r="P116">
            <v>0</v>
          </cell>
          <cell r="R116">
            <v>0</v>
          </cell>
          <cell r="S116">
            <v>0</v>
          </cell>
          <cell r="X116" t="str">
            <v>IL</v>
          </cell>
        </row>
        <row r="117">
          <cell r="A117" t="str">
            <v>400-10-040</v>
          </cell>
          <cell r="P117">
            <v>0</v>
          </cell>
          <cell r="R117">
            <v>300000</v>
          </cell>
          <cell r="S117">
            <v>300000</v>
          </cell>
          <cell r="X117" t="str">
            <v>IL</v>
          </cell>
        </row>
        <row r="118">
          <cell r="A118" t="str">
            <v>400-10-040</v>
          </cell>
          <cell r="P118">
            <v>0</v>
          </cell>
          <cell r="R118">
            <v>0</v>
          </cell>
          <cell r="S118">
            <v>0</v>
          </cell>
          <cell r="X118" t="str">
            <v>IL</v>
          </cell>
        </row>
        <row r="119">
          <cell r="A119" t="str">
            <v>400-10-040</v>
          </cell>
          <cell r="P119">
            <v>0</v>
          </cell>
          <cell r="R119">
            <v>0</v>
          </cell>
          <cell r="S119">
            <v>0</v>
          </cell>
          <cell r="X119" t="str">
            <v>IL</v>
          </cell>
        </row>
        <row r="120">
          <cell r="A120" t="str">
            <v>400-10-040</v>
          </cell>
          <cell r="P120">
            <v>0</v>
          </cell>
          <cell r="R120">
            <v>0</v>
          </cell>
          <cell r="S120">
            <v>0</v>
          </cell>
          <cell r="X120" t="str">
            <v>IL</v>
          </cell>
        </row>
        <row r="121">
          <cell r="A121" t="str">
            <v>400-10-040</v>
          </cell>
          <cell r="P121">
            <v>0</v>
          </cell>
          <cell r="R121">
            <v>0</v>
          </cell>
          <cell r="S121">
            <v>0</v>
          </cell>
          <cell r="X121" t="str">
            <v>IL</v>
          </cell>
        </row>
        <row r="122">
          <cell r="A122" t="str">
            <v>400-10-040</v>
          </cell>
          <cell r="P122">
            <v>0</v>
          </cell>
          <cell r="R122">
            <v>0</v>
          </cell>
          <cell r="S122">
            <v>0</v>
          </cell>
          <cell r="X122" t="str">
            <v>IL</v>
          </cell>
        </row>
        <row r="123">
          <cell r="A123" t="str">
            <v>400-10-040</v>
          </cell>
          <cell r="P123">
            <v>0</v>
          </cell>
          <cell r="R123">
            <v>0</v>
          </cell>
          <cell r="S123">
            <v>0</v>
          </cell>
          <cell r="X123" t="str">
            <v>IL</v>
          </cell>
        </row>
        <row r="124">
          <cell r="A124" t="str">
            <v>400-10-040</v>
          </cell>
          <cell r="P124">
            <v>0</v>
          </cell>
          <cell r="R124">
            <v>0</v>
          </cell>
          <cell r="S124">
            <v>0</v>
          </cell>
          <cell r="X124" t="str">
            <v>IL</v>
          </cell>
        </row>
        <row r="125">
          <cell r="A125" t="str">
            <v>400-10-040</v>
          </cell>
          <cell r="P125">
            <v>0</v>
          </cell>
          <cell r="R125">
            <v>0</v>
          </cell>
          <cell r="S125">
            <v>0</v>
          </cell>
          <cell r="X125" t="str">
            <v>COP</v>
          </cell>
        </row>
        <row r="126">
          <cell r="A126" t="str">
            <v>400-10-040</v>
          </cell>
          <cell r="P126">
            <v>0</v>
          </cell>
          <cell r="R126">
            <v>0</v>
          </cell>
          <cell r="S126">
            <v>0</v>
          </cell>
          <cell r="X126" t="str">
            <v>IL</v>
          </cell>
        </row>
        <row r="127">
          <cell r="A127" t="str">
            <v>400-10-050</v>
          </cell>
          <cell r="P127">
            <v>643200</v>
          </cell>
          <cell r="R127">
            <v>0</v>
          </cell>
          <cell r="S127">
            <v>0</v>
          </cell>
          <cell r="X127" t="str">
            <v>IL</v>
          </cell>
        </row>
        <row r="128">
          <cell r="A128" t="str">
            <v>400-10-050</v>
          </cell>
          <cell r="P128">
            <v>564000</v>
          </cell>
          <cell r="R128">
            <v>570000</v>
          </cell>
          <cell r="S128">
            <v>570000</v>
          </cell>
          <cell r="X128" t="str">
            <v>IL</v>
          </cell>
        </row>
        <row r="129">
          <cell r="A129" t="str">
            <v>400-10-050</v>
          </cell>
          <cell r="P129">
            <v>0</v>
          </cell>
          <cell r="R129">
            <v>0</v>
          </cell>
          <cell r="S129">
            <v>0</v>
          </cell>
          <cell r="X129" t="str">
            <v>IL</v>
          </cell>
        </row>
        <row r="130">
          <cell r="A130" t="str">
            <v>400-10-050</v>
          </cell>
          <cell r="P130">
            <v>120000</v>
          </cell>
          <cell r="R130">
            <v>120000</v>
          </cell>
          <cell r="S130">
            <v>120000</v>
          </cell>
          <cell r="X130" t="str">
            <v>IL</v>
          </cell>
        </row>
        <row r="131">
          <cell r="A131" t="str">
            <v>400-10-050</v>
          </cell>
          <cell r="P131">
            <v>99840</v>
          </cell>
          <cell r="R131">
            <v>99840</v>
          </cell>
          <cell r="S131">
            <v>99840</v>
          </cell>
          <cell r="X131" t="str">
            <v>IL</v>
          </cell>
        </row>
        <row r="132">
          <cell r="A132" t="str">
            <v>400-10-050</v>
          </cell>
          <cell r="P132">
            <v>0</v>
          </cell>
          <cell r="R132">
            <v>0</v>
          </cell>
          <cell r="S132">
            <v>0</v>
          </cell>
          <cell r="X132" t="str">
            <v>IL</v>
          </cell>
        </row>
        <row r="133">
          <cell r="A133" t="str">
            <v>400-10-050</v>
          </cell>
          <cell r="P133">
            <v>643200</v>
          </cell>
          <cell r="R133">
            <v>0</v>
          </cell>
          <cell r="S133">
            <v>0</v>
          </cell>
          <cell r="X133" t="str">
            <v>IL</v>
          </cell>
        </row>
        <row r="134">
          <cell r="A134" t="str">
            <v>400-10-050</v>
          </cell>
          <cell r="P134">
            <v>0</v>
          </cell>
          <cell r="R134">
            <v>0</v>
          </cell>
          <cell r="S134">
            <v>0</v>
          </cell>
          <cell r="X134" t="str">
            <v>IL</v>
          </cell>
        </row>
        <row r="135">
          <cell r="A135" t="str">
            <v>400-10-050</v>
          </cell>
          <cell r="P135">
            <v>0</v>
          </cell>
          <cell r="R135">
            <v>0</v>
          </cell>
          <cell r="S135">
            <v>0</v>
          </cell>
          <cell r="X135" t="str">
            <v>IL</v>
          </cell>
        </row>
        <row r="136">
          <cell r="A136" t="str">
            <v>400-10-050</v>
          </cell>
          <cell r="P136">
            <v>0</v>
          </cell>
          <cell r="R136">
            <v>0</v>
          </cell>
          <cell r="S136">
            <v>0</v>
          </cell>
          <cell r="X136" t="str">
            <v>IL</v>
          </cell>
        </row>
        <row r="137">
          <cell r="A137" t="str">
            <v>400-10-050</v>
          </cell>
          <cell r="P137">
            <v>0</v>
          </cell>
          <cell r="R137">
            <v>0</v>
          </cell>
          <cell r="S137">
            <v>0</v>
          </cell>
          <cell r="X137" t="str">
            <v>IL</v>
          </cell>
        </row>
        <row r="138">
          <cell r="A138" t="str">
            <v>400-10-050</v>
          </cell>
          <cell r="P138">
            <v>0</v>
          </cell>
          <cell r="R138">
            <v>0</v>
          </cell>
          <cell r="S138">
            <v>0</v>
          </cell>
          <cell r="X138" t="str">
            <v>IL</v>
          </cell>
        </row>
        <row r="139">
          <cell r="A139" t="str">
            <v>400-10-050</v>
          </cell>
          <cell r="P139">
            <v>0</v>
          </cell>
          <cell r="R139">
            <v>0</v>
          </cell>
          <cell r="S139">
            <v>0</v>
          </cell>
          <cell r="X139" t="str">
            <v>IL</v>
          </cell>
        </row>
        <row r="140">
          <cell r="A140" t="str">
            <v>400-10-050</v>
          </cell>
          <cell r="P140">
            <v>0</v>
          </cell>
          <cell r="R140">
            <v>0</v>
          </cell>
          <cell r="S140">
            <v>0</v>
          </cell>
          <cell r="X140" t="str">
            <v>IL</v>
          </cell>
        </row>
        <row r="141">
          <cell r="A141" t="str">
            <v>400-10-050</v>
          </cell>
          <cell r="P141">
            <v>0</v>
          </cell>
          <cell r="R141">
            <v>0</v>
          </cell>
          <cell r="S141">
            <v>0</v>
          </cell>
          <cell r="X141" t="str">
            <v>IL</v>
          </cell>
        </row>
        <row r="142">
          <cell r="A142" t="str">
            <v>400-10-050</v>
          </cell>
          <cell r="P142">
            <v>0</v>
          </cell>
          <cell r="R142">
            <v>0</v>
          </cell>
          <cell r="S142">
            <v>0</v>
          </cell>
          <cell r="X142" t="str">
            <v>IL</v>
          </cell>
        </row>
        <row r="143">
          <cell r="A143" t="str">
            <v>400-10-050</v>
          </cell>
          <cell r="P143">
            <v>0</v>
          </cell>
          <cell r="R143">
            <v>0</v>
          </cell>
          <cell r="S143">
            <v>0</v>
          </cell>
          <cell r="X143" t="str">
            <v>IL</v>
          </cell>
        </row>
        <row r="144">
          <cell r="A144" t="str">
            <v>400-10-050</v>
          </cell>
          <cell r="P144">
            <v>0</v>
          </cell>
          <cell r="R144">
            <v>0</v>
          </cell>
          <cell r="S144">
            <v>0</v>
          </cell>
          <cell r="X144" t="str">
            <v>IL</v>
          </cell>
        </row>
        <row r="145">
          <cell r="A145" t="str">
            <v>400-10-050</v>
          </cell>
          <cell r="P145">
            <v>0</v>
          </cell>
          <cell r="R145">
            <v>0</v>
          </cell>
          <cell r="S145">
            <v>0</v>
          </cell>
          <cell r="X145" t="str">
            <v>IL</v>
          </cell>
        </row>
        <row r="146">
          <cell r="A146" t="str">
            <v>400-10-050</v>
          </cell>
          <cell r="P146">
            <v>0</v>
          </cell>
          <cell r="R146">
            <v>0</v>
          </cell>
          <cell r="S146">
            <v>0</v>
          </cell>
          <cell r="X146" t="str">
            <v>IL</v>
          </cell>
        </row>
        <row r="147">
          <cell r="A147" t="str">
            <v>400-10-050</v>
          </cell>
          <cell r="P147">
            <v>0</v>
          </cell>
          <cell r="R147">
            <v>0</v>
          </cell>
          <cell r="S147">
            <v>0</v>
          </cell>
          <cell r="X147" t="str">
            <v>IL</v>
          </cell>
        </row>
        <row r="148">
          <cell r="A148" t="str">
            <v>400-10-050</v>
          </cell>
          <cell r="P148">
            <v>0</v>
          </cell>
          <cell r="R148">
            <v>0</v>
          </cell>
          <cell r="S148">
            <v>0</v>
          </cell>
          <cell r="X148" t="str">
            <v>IL</v>
          </cell>
        </row>
        <row r="149">
          <cell r="A149" t="str">
            <v>400-10-050</v>
          </cell>
          <cell r="P149">
            <v>120000</v>
          </cell>
          <cell r="R149">
            <v>120000</v>
          </cell>
          <cell r="S149">
            <v>120000</v>
          </cell>
          <cell r="X149" t="str">
            <v>COP</v>
          </cell>
        </row>
        <row r="150">
          <cell r="A150" t="str">
            <v>400-10-050</v>
          </cell>
          <cell r="P150">
            <v>0</v>
          </cell>
          <cell r="R150">
            <v>0</v>
          </cell>
          <cell r="S150">
            <v>0</v>
          </cell>
          <cell r="X150" t="str">
            <v>IL</v>
          </cell>
        </row>
        <row r="151">
          <cell r="A151" t="str">
            <v>400-10-060</v>
          </cell>
          <cell r="P151">
            <v>1240800</v>
          </cell>
          <cell r="R151">
            <v>1240800</v>
          </cell>
          <cell r="S151">
            <v>1240800</v>
          </cell>
          <cell r="X151" t="str">
            <v>IL</v>
          </cell>
        </row>
        <row r="152">
          <cell r="A152" t="str">
            <v>400-10-060</v>
          </cell>
          <cell r="P152">
            <v>840000</v>
          </cell>
          <cell r="R152">
            <v>720000</v>
          </cell>
          <cell r="S152">
            <v>813600</v>
          </cell>
          <cell r="X152" t="str">
            <v>IL</v>
          </cell>
        </row>
        <row r="153">
          <cell r="A153" t="str">
            <v>400-10-060</v>
          </cell>
          <cell r="P153">
            <v>0</v>
          </cell>
          <cell r="R153">
            <v>0</v>
          </cell>
          <cell r="S153">
            <v>0</v>
          </cell>
          <cell r="X153" t="str">
            <v>IL</v>
          </cell>
        </row>
        <row r="154">
          <cell r="A154" t="str">
            <v>400-10-060</v>
          </cell>
          <cell r="P154">
            <v>428400</v>
          </cell>
          <cell r="R154">
            <v>303600</v>
          </cell>
          <cell r="S154">
            <v>428400</v>
          </cell>
          <cell r="X154" t="str">
            <v>IL</v>
          </cell>
        </row>
        <row r="155">
          <cell r="A155" t="str">
            <v>400-10-060</v>
          </cell>
          <cell r="P155">
            <v>220560</v>
          </cell>
          <cell r="R155">
            <v>118560</v>
          </cell>
          <cell r="S155">
            <v>118560</v>
          </cell>
          <cell r="X155" t="str">
            <v>IL</v>
          </cell>
        </row>
        <row r="156">
          <cell r="A156" t="str">
            <v>400-10-060</v>
          </cell>
          <cell r="P156">
            <v>0</v>
          </cell>
          <cell r="R156">
            <v>0</v>
          </cell>
          <cell r="S156">
            <v>0</v>
          </cell>
          <cell r="X156" t="str">
            <v>IL</v>
          </cell>
        </row>
        <row r="157">
          <cell r="A157" t="str">
            <v>400-10-060</v>
          </cell>
          <cell r="P157">
            <v>2260800</v>
          </cell>
          <cell r="R157">
            <v>2309714.4</v>
          </cell>
          <cell r="S157">
            <v>2479200</v>
          </cell>
          <cell r="X157" t="str">
            <v>IL</v>
          </cell>
        </row>
        <row r="158">
          <cell r="A158" t="str">
            <v>400-10-060</v>
          </cell>
          <cell r="P158">
            <v>124800</v>
          </cell>
          <cell r="R158">
            <v>124800</v>
          </cell>
          <cell r="S158">
            <v>124800</v>
          </cell>
          <cell r="X158" t="str">
            <v>IL</v>
          </cell>
        </row>
        <row r="159">
          <cell r="A159" t="str">
            <v>400-10-060</v>
          </cell>
          <cell r="P159">
            <v>124800</v>
          </cell>
          <cell r="R159">
            <v>124800</v>
          </cell>
          <cell r="S159">
            <v>124800</v>
          </cell>
          <cell r="X159" t="str">
            <v>IL</v>
          </cell>
        </row>
        <row r="160">
          <cell r="A160" t="str">
            <v>400-10-060</v>
          </cell>
          <cell r="P160">
            <v>0</v>
          </cell>
          <cell r="R160">
            <v>0</v>
          </cell>
          <cell r="S160">
            <v>0</v>
          </cell>
          <cell r="X160" t="str">
            <v>IL</v>
          </cell>
        </row>
        <row r="161">
          <cell r="A161" t="str">
            <v>400-10-060</v>
          </cell>
          <cell r="P161">
            <v>0</v>
          </cell>
          <cell r="R161">
            <v>0</v>
          </cell>
          <cell r="S161">
            <v>0</v>
          </cell>
          <cell r="X161" t="str">
            <v>IL</v>
          </cell>
        </row>
        <row r="162">
          <cell r="A162" t="str">
            <v>400-10-060</v>
          </cell>
          <cell r="P162">
            <v>0</v>
          </cell>
          <cell r="R162">
            <v>0</v>
          </cell>
          <cell r="S162">
            <v>0</v>
          </cell>
          <cell r="X162" t="str">
            <v>IL</v>
          </cell>
        </row>
        <row r="163">
          <cell r="A163" t="str">
            <v>400-10-060</v>
          </cell>
          <cell r="P163">
            <v>0</v>
          </cell>
          <cell r="R163">
            <v>0</v>
          </cell>
          <cell r="S163">
            <v>0</v>
          </cell>
          <cell r="X163" t="str">
            <v>IL</v>
          </cell>
        </row>
        <row r="164">
          <cell r="A164" t="str">
            <v>400-10-060</v>
          </cell>
          <cell r="P164">
            <v>0</v>
          </cell>
          <cell r="R164">
            <v>0</v>
          </cell>
          <cell r="S164">
            <v>0</v>
          </cell>
          <cell r="X164" t="str">
            <v>IL</v>
          </cell>
        </row>
        <row r="165">
          <cell r="A165" t="str">
            <v>400-10-060</v>
          </cell>
          <cell r="P165">
            <v>2409600</v>
          </cell>
          <cell r="R165">
            <v>2534400</v>
          </cell>
          <cell r="S165">
            <v>2409600</v>
          </cell>
          <cell r="X165" t="str">
            <v>IL</v>
          </cell>
        </row>
        <row r="166">
          <cell r="A166" t="str">
            <v>400-10-060</v>
          </cell>
          <cell r="P166">
            <v>0</v>
          </cell>
          <cell r="R166">
            <v>0</v>
          </cell>
          <cell r="S166">
            <v>0</v>
          </cell>
          <cell r="X166" t="str">
            <v>IL</v>
          </cell>
        </row>
        <row r="167">
          <cell r="A167" t="str">
            <v>400-10-060</v>
          </cell>
          <cell r="P167">
            <v>0</v>
          </cell>
          <cell r="R167">
            <v>0</v>
          </cell>
          <cell r="S167">
            <v>0</v>
          </cell>
          <cell r="X167" t="str">
            <v>IL</v>
          </cell>
        </row>
        <row r="168">
          <cell r="A168" t="str">
            <v>400-10-060</v>
          </cell>
          <cell r="P168">
            <v>0</v>
          </cell>
          <cell r="R168">
            <v>0</v>
          </cell>
          <cell r="S168">
            <v>0</v>
          </cell>
          <cell r="X168" t="str">
            <v>IL</v>
          </cell>
        </row>
        <row r="169">
          <cell r="A169" t="str">
            <v>400-10-060</v>
          </cell>
          <cell r="P169">
            <v>0</v>
          </cell>
          <cell r="R169">
            <v>0</v>
          </cell>
          <cell r="S169">
            <v>0</v>
          </cell>
          <cell r="X169" t="str">
            <v>IL</v>
          </cell>
        </row>
        <row r="170">
          <cell r="A170" t="str">
            <v>400-10-060</v>
          </cell>
          <cell r="P170">
            <v>0</v>
          </cell>
          <cell r="R170">
            <v>0</v>
          </cell>
          <cell r="S170">
            <v>0</v>
          </cell>
          <cell r="X170" t="str">
            <v>IL</v>
          </cell>
        </row>
        <row r="171">
          <cell r="A171" t="str">
            <v>400-10-060</v>
          </cell>
          <cell r="P171">
            <v>0</v>
          </cell>
          <cell r="R171">
            <v>0</v>
          </cell>
          <cell r="S171">
            <v>0</v>
          </cell>
          <cell r="X171" t="str">
            <v>IL</v>
          </cell>
        </row>
        <row r="172">
          <cell r="A172" t="str">
            <v>400-10-060</v>
          </cell>
          <cell r="P172">
            <v>0</v>
          </cell>
          <cell r="R172">
            <v>0</v>
          </cell>
          <cell r="S172">
            <v>0</v>
          </cell>
          <cell r="X172" t="str">
            <v>IL</v>
          </cell>
        </row>
        <row r="173">
          <cell r="A173" t="str">
            <v>400-10-060</v>
          </cell>
          <cell r="P173">
            <v>303600</v>
          </cell>
          <cell r="R173">
            <v>303600</v>
          </cell>
          <cell r="S173">
            <v>464400</v>
          </cell>
          <cell r="X173" t="str">
            <v>COP</v>
          </cell>
        </row>
        <row r="174">
          <cell r="A174" t="str">
            <v>400-10-060</v>
          </cell>
          <cell r="P174">
            <v>0</v>
          </cell>
          <cell r="R174">
            <v>0</v>
          </cell>
          <cell r="S174">
            <v>0</v>
          </cell>
          <cell r="X174" t="str">
            <v>IL</v>
          </cell>
        </row>
        <row r="175">
          <cell r="A175" t="str">
            <v>400-10-065</v>
          </cell>
          <cell r="P175">
            <v>0</v>
          </cell>
          <cell r="R175">
            <v>334560</v>
          </cell>
          <cell r="S175">
            <v>136400</v>
          </cell>
          <cell r="X175" t="str">
            <v>IL</v>
          </cell>
        </row>
        <row r="176">
          <cell r="A176" t="str">
            <v>400-10-065</v>
          </cell>
          <cell r="P176">
            <v>0</v>
          </cell>
          <cell r="R176">
            <v>0</v>
          </cell>
          <cell r="S176">
            <v>0</v>
          </cell>
          <cell r="X176" t="str">
            <v>IL</v>
          </cell>
        </row>
        <row r="177">
          <cell r="A177" t="str">
            <v>400-10-065</v>
          </cell>
          <cell r="P177">
            <v>0</v>
          </cell>
          <cell r="R177">
            <v>0</v>
          </cell>
          <cell r="S177">
            <v>0</v>
          </cell>
          <cell r="X177" t="str">
            <v>IL</v>
          </cell>
        </row>
        <row r="178">
          <cell r="A178" t="str">
            <v>400-10-065</v>
          </cell>
          <cell r="P178">
            <v>0</v>
          </cell>
          <cell r="R178">
            <v>34286.400000000001</v>
          </cell>
          <cell r="S178">
            <v>21000</v>
          </cell>
          <cell r="X178" t="str">
            <v>IL</v>
          </cell>
        </row>
        <row r="179">
          <cell r="A179" t="str">
            <v>400-10-065</v>
          </cell>
          <cell r="P179">
            <v>0</v>
          </cell>
          <cell r="R179">
            <v>34286.400000000001</v>
          </cell>
          <cell r="S179">
            <v>12000</v>
          </cell>
          <cell r="X179" t="str">
            <v>IL</v>
          </cell>
        </row>
        <row r="180">
          <cell r="A180" t="str">
            <v>400-10-065</v>
          </cell>
          <cell r="P180">
            <v>0</v>
          </cell>
          <cell r="R180">
            <v>0</v>
          </cell>
          <cell r="S180">
            <v>0</v>
          </cell>
          <cell r="X180" t="str">
            <v>IL</v>
          </cell>
        </row>
        <row r="181">
          <cell r="A181" t="str">
            <v>400-10-065</v>
          </cell>
          <cell r="P181">
            <v>0</v>
          </cell>
          <cell r="R181">
            <v>294297.59999999998</v>
          </cell>
          <cell r="S181">
            <v>105000</v>
          </cell>
          <cell r="X181" t="str">
            <v>IL</v>
          </cell>
        </row>
        <row r="182">
          <cell r="A182" t="str">
            <v>400-10-065</v>
          </cell>
          <cell r="P182">
            <v>0</v>
          </cell>
          <cell r="R182">
            <v>0</v>
          </cell>
          <cell r="S182">
            <v>0</v>
          </cell>
          <cell r="X182" t="str">
            <v>IL</v>
          </cell>
        </row>
        <row r="183">
          <cell r="A183" t="str">
            <v>400-10-065</v>
          </cell>
          <cell r="P183">
            <v>0</v>
          </cell>
          <cell r="R183">
            <v>0</v>
          </cell>
          <cell r="S183">
            <v>0</v>
          </cell>
          <cell r="X183" t="str">
            <v>IL</v>
          </cell>
        </row>
        <row r="184">
          <cell r="A184" t="str">
            <v>400-10-065</v>
          </cell>
          <cell r="P184">
            <v>0</v>
          </cell>
          <cell r="R184">
            <v>0</v>
          </cell>
          <cell r="S184">
            <v>0</v>
          </cell>
          <cell r="X184" t="str">
            <v>IL</v>
          </cell>
        </row>
        <row r="185">
          <cell r="A185" t="str">
            <v>400-10-065</v>
          </cell>
          <cell r="P185">
            <v>0</v>
          </cell>
          <cell r="R185">
            <v>0</v>
          </cell>
          <cell r="S185">
            <v>0</v>
          </cell>
          <cell r="X185" t="str">
            <v>IL</v>
          </cell>
        </row>
        <row r="186">
          <cell r="A186" t="str">
            <v>400-10-065</v>
          </cell>
          <cell r="P186">
            <v>0</v>
          </cell>
          <cell r="R186">
            <v>0</v>
          </cell>
          <cell r="S186">
            <v>0</v>
          </cell>
          <cell r="X186" t="str">
            <v>IL</v>
          </cell>
        </row>
        <row r="187">
          <cell r="A187" t="str">
            <v>400-10-065</v>
          </cell>
          <cell r="P187">
            <v>0</v>
          </cell>
          <cell r="R187">
            <v>0</v>
          </cell>
          <cell r="S187">
            <v>0</v>
          </cell>
          <cell r="X187" t="str">
            <v>IL</v>
          </cell>
        </row>
        <row r="188">
          <cell r="A188" t="str">
            <v>400-10-065</v>
          </cell>
          <cell r="P188">
            <v>0</v>
          </cell>
          <cell r="R188">
            <v>16800</v>
          </cell>
          <cell r="S188">
            <v>9000</v>
          </cell>
          <cell r="X188" t="str">
            <v>IL</v>
          </cell>
        </row>
        <row r="189">
          <cell r="A189" t="str">
            <v>400-10-065</v>
          </cell>
          <cell r="P189">
            <v>0</v>
          </cell>
          <cell r="R189">
            <v>60000</v>
          </cell>
          <cell r="S189">
            <v>368000</v>
          </cell>
          <cell r="X189" t="str">
            <v>IL</v>
          </cell>
        </row>
        <row r="190">
          <cell r="A190" t="str">
            <v>400-10-065</v>
          </cell>
          <cell r="P190">
            <v>0</v>
          </cell>
          <cell r="R190">
            <v>0</v>
          </cell>
          <cell r="S190">
            <v>0</v>
          </cell>
          <cell r="X190" t="str">
            <v>IL</v>
          </cell>
        </row>
        <row r="191">
          <cell r="A191" t="str">
            <v>400-10-065</v>
          </cell>
          <cell r="P191">
            <v>0</v>
          </cell>
          <cell r="R191">
            <v>0</v>
          </cell>
          <cell r="S191">
            <v>0</v>
          </cell>
          <cell r="X191" t="str">
            <v>IL</v>
          </cell>
        </row>
        <row r="192">
          <cell r="A192" t="str">
            <v>400-10-065</v>
          </cell>
          <cell r="P192">
            <v>0</v>
          </cell>
          <cell r="R192">
            <v>0</v>
          </cell>
          <cell r="S192">
            <v>0</v>
          </cell>
          <cell r="X192" t="str">
            <v>IL</v>
          </cell>
        </row>
        <row r="193">
          <cell r="A193" t="str">
            <v>400-10-065</v>
          </cell>
          <cell r="P193">
            <v>0</v>
          </cell>
          <cell r="R193">
            <v>28800</v>
          </cell>
          <cell r="S193">
            <v>13200</v>
          </cell>
          <cell r="X193" t="str">
            <v>IL</v>
          </cell>
        </row>
        <row r="194">
          <cell r="A194" t="str">
            <v>400-10-065</v>
          </cell>
          <cell r="P194">
            <v>0</v>
          </cell>
          <cell r="R194">
            <v>0</v>
          </cell>
          <cell r="S194">
            <v>0</v>
          </cell>
          <cell r="X194" t="str">
            <v>IL</v>
          </cell>
        </row>
        <row r="195">
          <cell r="A195" t="str">
            <v>400-10-065</v>
          </cell>
          <cell r="P195">
            <v>0</v>
          </cell>
          <cell r="R195">
            <v>0</v>
          </cell>
          <cell r="S195">
            <v>0</v>
          </cell>
          <cell r="X195" t="str">
            <v>IL</v>
          </cell>
        </row>
        <row r="196">
          <cell r="A196" t="str">
            <v>400-10-065</v>
          </cell>
          <cell r="P196">
            <v>0</v>
          </cell>
          <cell r="R196">
            <v>0</v>
          </cell>
          <cell r="S196">
            <v>0</v>
          </cell>
          <cell r="X196" t="str">
            <v>IL</v>
          </cell>
        </row>
        <row r="197">
          <cell r="A197" t="str">
            <v>400-10-065</v>
          </cell>
          <cell r="P197">
            <v>0</v>
          </cell>
          <cell r="R197">
            <v>0</v>
          </cell>
          <cell r="S197">
            <v>0</v>
          </cell>
          <cell r="X197" t="str">
            <v>COP</v>
          </cell>
        </row>
        <row r="198">
          <cell r="A198" t="str">
            <v>400-10-065</v>
          </cell>
          <cell r="P198">
            <v>0</v>
          </cell>
          <cell r="R198">
            <v>0</v>
          </cell>
          <cell r="S198">
            <v>0</v>
          </cell>
          <cell r="X198" t="str">
            <v>IL</v>
          </cell>
        </row>
        <row r="199">
          <cell r="A199" t="str">
            <v>400-10-070</v>
          </cell>
          <cell r="P199">
            <v>827172.2</v>
          </cell>
          <cell r="R199">
            <v>712351.2</v>
          </cell>
          <cell r="S199">
            <v>754191</v>
          </cell>
          <cell r="X199" t="str">
            <v>IL</v>
          </cell>
        </row>
        <row r="200">
          <cell r="A200" t="str">
            <v>400-10-070</v>
          </cell>
          <cell r="P200">
            <v>2040904.5</v>
          </cell>
          <cell r="R200">
            <v>1656511.2</v>
          </cell>
          <cell r="S200">
            <v>1731053</v>
          </cell>
          <cell r="X200" t="str">
            <v>IL</v>
          </cell>
        </row>
        <row r="201">
          <cell r="A201" t="str">
            <v>400-10-070</v>
          </cell>
          <cell r="P201">
            <v>256306.875</v>
          </cell>
          <cell r="R201">
            <v>326971.2</v>
          </cell>
          <cell r="S201">
            <v>313865</v>
          </cell>
          <cell r="X201" t="str">
            <v>IL</v>
          </cell>
        </row>
        <row r="202">
          <cell r="A202" t="str">
            <v>400-10-070</v>
          </cell>
          <cell r="P202">
            <v>103396.52499999999</v>
          </cell>
          <cell r="R202">
            <v>614520</v>
          </cell>
          <cell r="S202">
            <v>855859</v>
          </cell>
          <cell r="X202" t="str">
            <v>IL</v>
          </cell>
        </row>
        <row r="203">
          <cell r="A203" t="str">
            <v>400-10-070</v>
          </cell>
          <cell r="P203">
            <v>1249718.2375</v>
          </cell>
          <cell r="R203">
            <v>929251.2</v>
          </cell>
          <cell r="S203">
            <v>976047</v>
          </cell>
          <cell r="X203" t="str">
            <v>IL</v>
          </cell>
        </row>
        <row r="204">
          <cell r="A204" t="str">
            <v>400-10-070</v>
          </cell>
          <cell r="P204">
            <v>338236.48749999999</v>
          </cell>
          <cell r="R204">
            <v>203491.20000000001</v>
          </cell>
          <cell r="S204">
            <v>249707</v>
          </cell>
          <cell r="X204" t="str">
            <v>IL</v>
          </cell>
        </row>
        <row r="205">
          <cell r="A205" t="str">
            <v>400-10-070</v>
          </cell>
          <cell r="P205">
            <v>1925889.375</v>
          </cell>
          <cell r="R205">
            <v>1670431.2</v>
          </cell>
          <cell r="S205">
            <v>1864721</v>
          </cell>
          <cell r="X205" t="str">
            <v>IL</v>
          </cell>
        </row>
        <row r="206">
          <cell r="A206" t="str">
            <v>400-10-070</v>
          </cell>
          <cell r="P206">
            <v>261486.22499999995</v>
          </cell>
          <cell r="R206">
            <v>226320</v>
          </cell>
          <cell r="S206">
            <v>239958</v>
          </cell>
          <cell r="X206" t="str">
            <v>IL</v>
          </cell>
        </row>
        <row r="207">
          <cell r="A207" t="str">
            <v>400-10-070</v>
          </cell>
          <cell r="P207">
            <v>954932.57499999995</v>
          </cell>
          <cell r="R207">
            <v>812220</v>
          </cell>
          <cell r="S207">
            <v>779560</v>
          </cell>
          <cell r="X207" t="str">
            <v>IL</v>
          </cell>
        </row>
        <row r="208">
          <cell r="A208" t="str">
            <v>400-10-070</v>
          </cell>
          <cell r="P208">
            <v>86133.3</v>
          </cell>
          <cell r="R208">
            <v>74220</v>
          </cell>
          <cell r="S208">
            <v>80669</v>
          </cell>
          <cell r="X208" t="str">
            <v>IL</v>
          </cell>
        </row>
        <row r="209">
          <cell r="A209" t="str">
            <v>400-10-070</v>
          </cell>
          <cell r="P209">
            <v>66338.25</v>
          </cell>
          <cell r="R209">
            <v>57211.199999999997</v>
          </cell>
          <cell r="S209">
            <v>60588</v>
          </cell>
          <cell r="X209" t="str">
            <v>IL</v>
          </cell>
        </row>
        <row r="210">
          <cell r="A210" t="str">
            <v>400-10-070</v>
          </cell>
          <cell r="P210">
            <v>57167.962499999987</v>
          </cell>
          <cell r="R210">
            <v>49260</v>
          </cell>
          <cell r="S210">
            <v>52213</v>
          </cell>
          <cell r="X210" t="str">
            <v>IL</v>
          </cell>
        </row>
        <row r="211">
          <cell r="A211" t="str">
            <v>400-10-070</v>
          </cell>
          <cell r="P211">
            <v>54400.424999999988</v>
          </cell>
          <cell r="R211">
            <v>47551.199999999997</v>
          </cell>
          <cell r="S211">
            <v>50609</v>
          </cell>
          <cell r="X211" t="str">
            <v>IL</v>
          </cell>
        </row>
        <row r="212">
          <cell r="A212" t="str">
            <v>400-10-070</v>
          </cell>
          <cell r="P212">
            <v>46436.774999999994</v>
          </cell>
          <cell r="R212">
            <v>39931.199999999997</v>
          </cell>
          <cell r="S212">
            <v>42412</v>
          </cell>
          <cell r="X212" t="str">
            <v>IL</v>
          </cell>
        </row>
        <row r="213">
          <cell r="A213" t="str">
            <v>400-10-070</v>
          </cell>
          <cell r="P213">
            <v>1615.5707031249999</v>
          </cell>
          <cell r="R213">
            <v>699120</v>
          </cell>
          <cell r="S213">
            <v>503086</v>
          </cell>
          <cell r="X213" t="str">
            <v>IL</v>
          </cell>
        </row>
        <row r="214">
          <cell r="A214" t="str">
            <v>400-10-070</v>
          </cell>
          <cell r="P214">
            <v>37423.924999999996</v>
          </cell>
          <cell r="R214">
            <v>32160</v>
          </cell>
          <cell r="S214">
            <v>34182</v>
          </cell>
          <cell r="X214" t="str">
            <v>IL</v>
          </cell>
        </row>
        <row r="215">
          <cell r="A215" t="str">
            <v>400-10-070</v>
          </cell>
          <cell r="P215">
            <v>49998.787500000013</v>
          </cell>
          <cell r="R215">
            <v>43740</v>
          </cell>
          <cell r="S215">
            <v>46510</v>
          </cell>
          <cell r="X215" t="str">
            <v>IL</v>
          </cell>
        </row>
        <row r="216">
          <cell r="A216" t="str">
            <v>400-10-070</v>
          </cell>
          <cell r="P216">
            <v>38106.6</v>
          </cell>
          <cell r="R216">
            <v>32280</v>
          </cell>
          <cell r="S216">
            <v>34182</v>
          </cell>
          <cell r="X216" t="str">
            <v>IL</v>
          </cell>
        </row>
        <row r="217">
          <cell r="A217" t="str">
            <v>400-10-070</v>
          </cell>
          <cell r="P217">
            <v>35120.25</v>
          </cell>
          <cell r="R217">
            <v>30271.200000000001</v>
          </cell>
          <cell r="S217">
            <v>32076</v>
          </cell>
          <cell r="X217" t="str">
            <v>IL</v>
          </cell>
        </row>
        <row r="218">
          <cell r="A218" t="str">
            <v>400-10-070</v>
          </cell>
          <cell r="P218">
            <v>38106.6</v>
          </cell>
          <cell r="R218">
            <v>32280</v>
          </cell>
          <cell r="S218">
            <v>35692</v>
          </cell>
          <cell r="X218" t="str">
            <v>IL</v>
          </cell>
        </row>
        <row r="219">
          <cell r="A219" t="str">
            <v>400-10-070</v>
          </cell>
          <cell r="P219">
            <v>36681.15</v>
          </cell>
          <cell r="R219">
            <v>31531.200000000001</v>
          </cell>
          <cell r="S219">
            <v>33502</v>
          </cell>
          <cell r="X219" t="str">
            <v>IL</v>
          </cell>
        </row>
        <row r="220">
          <cell r="A220" t="str">
            <v>400-10-070</v>
          </cell>
          <cell r="P220">
            <v>0</v>
          </cell>
          <cell r="R220">
            <v>35491.199999999997</v>
          </cell>
          <cell r="S220">
            <v>37600</v>
          </cell>
          <cell r="X220" t="str">
            <v>IL</v>
          </cell>
        </row>
        <row r="221">
          <cell r="A221" t="str">
            <v>400-10-070</v>
          </cell>
          <cell r="P221">
            <v>5218.5375000000004</v>
          </cell>
          <cell r="R221">
            <v>834151.2</v>
          </cell>
          <cell r="S221">
            <v>880886</v>
          </cell>
          <cell r="X221" t="str">
            <v>COP</v>
          </cell>
        </row>
        <row r="222">
          <cell r="A222" t="str">
            <v>400-10-070</v>
          </cell>
          <cell r="P222">
            <v>400495.01249999995</v>
          </cell>
          <cell r="R222">
            <v>335911.2</v>
          </cell>
          <cell r="S222">
            <v>335647</v>
          </cell>
          <cell r="X222" t="str">
            <v>IL</v>
          </cell>
        </row>
        <row r="223">
          <cell r="A223" t="str">
            <v>400-10-075</v>
          </cell>
          <cell r="P223">
            <v>0</v>
          </cell>
          <cell r="R223">
            <v>0</v>
          </cell>
          <cell r="S223">
            <v>0</v>
          </cell>
          <cell r="X223" t="str">
            <v>IL</v>
          </cell>
        </row>
        <row r="224">
          <cell r="A224" t="str">
            <v>400-10-075</v>
          </cell>
          <cell r="P224">
            <v>70000.08</v>
          </cell>
          <cell r="R224">
            <v>0</v>
          </cell>
          <cell r="S224">
            <v>0</v>
          </cell>
          <cell r="X224" t="str">
            <v>IL</v>
          </cell>
        </row>
        <row r="225">
          <cell r="A225" t="str">
            <v>400-10-075</v>
          </cell>
          <cell r="P225">
            <v>10000.08</v>
          </cell>
          <cell r="R225">
            <v>0</v>
          </cell>
          <cell r="S225">
            <v>0</v>
          </cell>
          <cell r="X225" t="str">
            <v>IL</v>
          </cell>
        </row>
        <row r="226">
          <cell r="A226" t="str">
            <v>400-10-075</v>
          </cell>
          <cell r="P226">
            <v>0</v>
          </cell>
          <cell r="R226">
            <v>0</v>
          </cell>
          <cell r="S226">
            <v>0</v>
          </cell>
          <cell r="X226" t="str">
            <v>IL</v>
          </cell>
        </row>
        <row r="227">
          <cell r="A227" t="str">
            <v>400-10-075</v>
          </cell>
          <cell r="P227">
            <v>50000.04</v>
          </cell>
          <cell r="R227">
            <v>0</v>
          </cell>
          <cell r="S227">
            <v>0</v>
          </cell>
          <cell r="X227" t="str">
            <v>IL</v>
          </cell>
        </row>
        <row r="228">
          <cell r="A228" t="str">
            <v>400-10-075</v>
          </cell>
          <cell r="P228">
            <v>30000</v>
          </cell>
          <cell r="R228">
            <v>0</v>
          </cell>
          <cell r="S228">
            <v>0</v>
          </cell>
          <cell r="X228" t="str">
            <v>IL</v>
          </cell>
        </row>
        <row r="229">
          <cell r="A229" t="str">
            <v>400-10-075</v>
          </cell>
          <cell r="P229">
            <v>10000.08</v>
          </cell>
          <cell r="R229">
            <v>0</v>
          </cell>
          <cell r="S229">
            <v>0</v>
          </cell>
          <cell r="X229" t="str">
            <v>IL</v>
          </cell>
        </row>
        <row r="230">
          <cell r="A230" t="str">
            <v>400-10-075</v>
          </cell>
          <cell r="P230">
            <v>0</v>
          </cell>
          <cell r="R230">
            <v>0</v>
          </cell>
          <cell r="S230">
            <v>0</v>
          </cell>
          <cell r="X230" t="str">
            <v>IL</v>
          </cell>
        </row>
        <row r="231">
          <cell r="A231" t="str">
            <v>400-10-075</v>
          </cell>
          <cell r="P231">
            <v>27500</v>
          </cell>
          <cell r="R231">
            <v>0</v>
          </cell>
          <cell r="S231">
            <v>0</v>
          </cell>
          <cell r="X231" t="str">
            <v>IL</v>
          </cell>
        </row>
        <row r="232">
          <cell r="A232" t="str">
            <v>400-10-075</v>
          </cell>
          <cell r="P232">
            <v>0</v>
          </cell>
          <cell r="R232">
            <v>0</v>
          </cell>
          <cell r="S232">
            <v>0</v>
          </cell>
          <cell r="X232" t="str">
            <v>IL</v>
          </cell>
        </row>
        <row r="233">
          <cell r="A233" t="str">
            <v>400-10-075</v>
          </cell>
          <cell r="P233">
            <v>0</v>
          </cell>
          <cell r="R233">
            <v>0</v>
          </cell>
          <cell r="S233">
            <v>0</v>
          </cell>
          <cell r="X233" t="str">
            <v>IL</v>
          </cell>
        </row>
        <row r="234">
          <cell r="A234" t="str">
            <v>400-10-075</v>
          </cell>
          <cell r="P234">
            <v>0</v>
          </cell>
          <cell r="R234">
            <v>0</v>
          </cell>
          <cell r="S234">
            <v>0</v>
          </cell>
          <cell r="X234" t="str">
            <v>IL</v>
          </cell>
        </row>
        <row r="235">
          <cell r="A235" t="str">
            <v>400-10-075</v>
          </cell>
          <cell r="P235">
            <v>0</v>
          </cell>
          <cell r="R235">
            <v>0</v>
          </cell>
          <cell r="S235">
            <v>0</v>
          </cell>
          <cell r="X235" t="str">
            <v>IL</v>
          </cell>
        </row>
        <row r="236">
          <cell r="A236" t="str">
            <v>400-10-075</v>
          </cell>
          <cell r="P236">
            <v>20000</v>
          </cell>
          <cell r="R236">
            <v>0</v>
          </cell>
          <cell r="S236">
            <v>0</v>
          </cell>
          <cell r="X236" t="str">
            <v>IL</v>
          </cell>
        </row>
        <row r="237">
          <cell r="A237" t="str">
            <v>400-10-075</v>
          </cell>
          <cell r="P237">
            <v>20000</v>
          </cell>
          <cell r="R237">
            <v>0</v>
          </cell>
          <cell r="S237">
            <v>0</v>
          </cell>
          <cell r="X237" t="str">
            <v>IL</v>
          </cell>
        </row>
        <row r="238">
          <cell r="A238" t="str">
            <v>400-10-075</v>
          </cell>
          <cell r="P238">
            <v>0</v>
          </cell>
          <cell r="R238">
            <v>0</v>
          </cell>
          <cell r="S238">
            <v>0</v>
          </cell>
          <cell r="X238" t="str">
            <v>IL</v>
          </cell>
        </row>
        <row r="239">
          <cell r="A239" t="str">
            <v>400-10-075</v>
          </cell>
          <cell r="P239">
            <v>60000</v>
          </cell>
          <cell r="R239">
            <v>0</v>
          </cell>
          <cell r="S239">
            <v>0</v>
          </cell>
          <cell r="X239" t="str">
            <v>IL</v>
          </cell>
        </row>
        <row r="240">
          <cell r="A240" t="str">
            <v>400-10-075</v>
          </cell>
          <cell r="P240">
            <v>0</v>
          </cell>
          <cell r="R240">
            <v>0</v>
          </cell>
          <cell r="S240">
            <v>0</v>
          </cell>
          <cell r="X240" t="str">
            <v>IL</v>
          </cell>
        </row>
        <row r="241">
          <cell r="A241" t="str">
            <v>400-10-075</v>
          </cell>
          <cell r="P241">
            <v>0</v>
          </cell>
          <cell r="R241">
            <v>0</v>
          </cell>
          <cell r="S241">
            <v>0</v>
          </cell>
          <cell r="X241" t="str">
            <v>IL</v>
          </cell>
        </row>
        <row r="242">
          <cell r="A242" t="str">
            <v>400-10-075</v>
          </cell>
          <cell r="P242">
            <v>0</v>
          </cell>
          <cell r="R242">
            <v>0</v>
          </cell>
          <cell r="S242">
            <v>0</v>
          </cell>
          <cell r="X242" t="str">
            <v>IL</v>
          </cell>
        </row>
        <row r="243">
          <cell r="A243" t="str">
            <v>400-10-075</v>
          </cell>
          <cell r="P243">
            <v>0</v>
          </cell>
          <cell r="R243">
            <v>0</v>
          </cell>
          <cell r="S243">
            <v>0</v>
          </cell>
          <cell r="X243" t="str">
            <v>IL</v>
          </cell>
        </row>
        <row r="244">
          <cell r="A244" t="str">
            <v>400-10-075</v>
          </cell>
          <cell r="P244">
            <v>0</v>
          </cell>
          <cell r="R244">
            <v>0</v>
          </cell>
          <cell r="S244">
            <v>0</v>
          </cell>
          <cell r="X244" t="str">
            <v>IL</v>
          </cell>
        </row>
        <row r="245">
          <cell r="A245" t="str">
            <v>400-10-075</v>
          </cell>
          <cell r="P245">
            <v>0</v>
          </cell>
          <cell r="R245">
            <v>0</v>
          </cell>
          <cell r="S245">
            <v>0</v>
          </cell>
          <cell r="X245" t="str">
            <v>COP</v>
          </cell>
        </row>
        <row r="246">
          <cell r="A246" t="str">
            <v>400-10-075</v>
          </cell>
          <cell r="P246">
            <v>15000</v>
          </cell>
          <cell r="R246">
            <v>0</v>
          </cell>
          <cell r="S246">
            <v>0</v>
          </cell>
          <cell r="X246" t="str">
            <v>IL</v>
          </cell>
        </row>
        <row r="247">
          <cell r="A247" t="str">
            <v>400-10-080</v>
          </cell>
          <cell r="P247">
            <v>3249.96</v>
          </cell>
          <cell r="R247">
            <v>3249.6</v>
          </cell>
          <cell r="S247">
            <v>2250</v>
          </cell>
          <cell r="X247" t="str">
            <v>IL</v>
          </cell>
        </row>
        <row r="248">
          <cell r="A248" t="str">
            <v>400-10-080</v>
          </cell>
          <cell r="P248">
            <v>6024</v>
          </cell>
          <cell r="R248">
            <v>4375.2</v>
          </cell>
          <cell r="S248">
            <v>6875</v>
          </cell>
          <cell r="X248" t="str">
            <v>IL</v>
          </cell>
        </row>
        <row r="249">
          <cell r="A249" t="str">
            <v>400-10-080</v>
          </cell>
          <cell r="P249">
            <v>2508</v>
          </cell>
          <cell r="R249">
            <v>2625.6</v>
          </cell>
          <cell r="S249">
            <v>2750</v>
          </cell>
          <cell r="X249" t="str">
            <v>IL</v>
          </cell>
        </row>
        <row r="250">
          <cell r="A250" t="str">
            <v>400-10-080</v>
          </cell>
          <cell r="P250">
            <v>5364</v>
          </cell>
          <cell r="R250">
            <v>2875.2</v>
          </cell>
          <cell r="S250">
            <v>4627</v>
          </cell>
          <cell r="X250" t="str">
            <v>IL</v>
          </cell>
        </row>
        <row r="251">
          <cell r="A251" t="str">
            <v>400-10-080</v>
          </cell>
          <cell r="P251">
            <v>3120</v>
          </cell>
          <cell r="R251">
            <v>3124.8</v>
          </cell>
          <cell r="S251">
            <v>3000</v>
          </cell>
          <cell r="X251" t="str">
            <v>IL</v>
          </cell>
        </row>
        <row r="252">
          <cell r="A252" t="str">
            <v>400-10-080</v>
          </cell>
          <cell r="P252">
            <v>3024</v>
          </cell>
          <cell r="R252">
            <v>2750.4</v>
          </cell>
          <cell r="S252">
            <v>2750</v>
          </cell>
          <cell r="X252" t="str">
            <v>IL</v>
          </cell>
        </row>
        <row r="253">
          <cell r="A253" t="str">
            <v>400-10-080</v>
          </cell>
          <cell r="P253">
            <v>9516</v>
          </cell>
          <cell r="R253">
            <v>9751.2000000000007</v>
          </cell>
          <cell r="S253">
            <v>9000</v>
          </cell>
          <cell r="X253" t="str">
            <v>IL</v>
          </cell>
        </row>
        <row r="254">
          <cell r="A254" t="str">
            <v>400-10-080</v>
          </cell>
          <cell r="P254">
            <v>2004</v>
          </cell>
          <cell r="R254">
            <v>1999.2</v>
          </cell>
          <cell r="S254">
            <v>2000</v>
          </cell>
          <cell r="X254" t="str">
            <v>IL</v>
          </cell>
        </row>
        <row r="255">
          <cell r="A255" t="str">
            <v>400-10-080</v>
          </cell>
          <cell r="P255">
            <v>8520</v>
          </cell>
          <cell r="R255">
            <v>6751.2</v>
          </cell>
          <cell r="S255">
            <v>7000</v>
          </cell>
          <cell r="X255" t="str">
            <v>IL</v>
          </cell>
        </row>
        <row r="256">
          <cell r="A256" t="str">
            <v>400-10-080</v>
          </cell>
          <cell r="P256">
            <v>375</v>
          </cell>
          <cell r="R256">
            <v>374.4</v>
          </cell>
          <cell r="S256">
            <v>375</v>
          </cell>
          <cell r="X256" t="str">
            <v>IL</v>
          </cell>
        </row>
        <row r="257">
          <cell r="A257" t="str">
            <v>400-10-080</v>
          </cell>
          <cell r="P257">
            <v>372</v>
          </cell>
          <cell r="R257">
            <v>374.4</v>
          </cell>
          <cell r="S257">
            <v>375</v>
          </cell>
          <cell r="X257" t="str">
            <v>IL</v>
          </cell>
        </row>
        <row r="258">
          <cell r="A258" t="str">
            <v>400-10-080</v>
          </cell>
          <cell r="P258">
            <v>252</v>
          </cell>
          <cell r="R258">
            <v>249.6</v>
          </cell>
          <cell r="S258">
            <v>250</v>
          </cell>
          <cell r="X258" t="str">
            <v>IL</v>
          </cell>
        </row>
        <row r="259">
          <cell r="A259" t="str">
            <v>400-10-080</v>
          </cell>
          <cell r="P259">
            <v>876</v>
          </cell>
          <cell r="R259">
            <v>876</v>
          </cell>
          <cell r="S259">
            <v>875</v>
          </cell>
          <cell r="X259" t="str">
            <v>IL</v>
          </cell>
        </row>
        <row r="260">
          <cell r="A260" t="str">
            <v>400-10-080</v>
          </cell>
          <cell r="P260">
            <v>756</v>
          </cell>
          <cell r="R260">
            <v>751.2</v>
          </cell>
          <cell r="S260">
            <v>750</v>
          </cell>
          <cell r="X260" t="str">
            <v>IL</v>
          </cell>
        </row>
        <row r="261">
          <cell r="A261" t="str">
            <v>400-10-080</v>
          </cell>
          <cell r="P261">
            <v>6168</v>
          </cell>
          <cell r="R261">
            <v>6751.2</v>
          </cell>
          <cell r="S261">
            <v>4250</v>
          </cell>
          <cell r="X261" t="str">
            <v>IL</v>
          </cell>
        </row>
        <row r="262">
          <cell r="A262" t="str">
            <v>400-10-080</v>
          </cell>
          <cell r="P262">
            <v>504</v>
          </cell>
          <cell r="R262">
            <v>249.6</v>
          </cell>
          <cell r="S262">
            <v>375</v>
          </cell>
          <cell r="X262" t="str">
            <v>IL</v>
          </cell>
        </row>
        <row r="263">
          <cell r="A263" t="str">
            <v>400-10-080</v>
          </cell>
          <cell r="P263">
            <v>756</v>
          </cell>
          <cell r="R263">
            <v>751.2</v>
          </cell>
          <cell r="S263">
            <v>375</v>
          </cell>
          <cell r="X263" t="str">
            <v>IL</v>
          </cell>
        </row>
        <row r="264">
          <cell r="A264" t="str">
            <v>400-10-080</v>
          </cell>
          <cell r="P264">
            <v>504</v>
          </cell>
          <cell r="R264">
            <v>249.6</v>
          </cell>
          <cell r="S264">
            <v>375</v>
          </cell>
          <cell r="X264" t="str">
            <v>IL</v>
          </cell>
        </row>
        <row r="265">
          <cell r="A265" t="str">
            <v>400-10-080</v>
          </cell>
          <cell r="P265">
            <v>252</v>
          </cell>
          <cell r="R265">
            <v>249.6</v>
          </cell>
          <cell r="S265">
            <v>375</v>
          </cell>
          <cell r="X265" t="str">
            <v>IL</v>
          </cell>
        </row>
        <row r="266">
          <cell r="A266" t="str">
            <v>400-10-080</v>
          </cell>
          <cell r="P266">
            <v>252</v>
          </cell>
          <cell r="R266">
            <v>249.6</v>
          </cell>
          <cell r="S266">
            <v>375</v>
          </cell>
          <cell r="X266" t="str">
            <v>IL</v>
          </cell>
        </row>
        <row r="267">
          <cell r="A267" t="str">
            <v>400-10-080</v>
          </cell>
          <cell r="P267">
            <v>252</v>
          </cell>
          <cell r="R267">
            <v>249.6</v>
          </cell>
          <cell r="S267">
            <v>250</v>
          </cell>
          <cell r="X267" t="str">
            <v>IL</v>
          </cell>
        </row>
        <row r="268">
          <cell r="A268" t="str">
            <v>400-10-080</v>
          </cell>
          <cell r="P268">
            <v>0</v>
          </cell>
          <cell r="R268">
            <v>499.2</v>
          </cell>
          <cell r="S268">
            <v>500</v>
          </cell>
          <cell r="X268" t="str">
            <v>IL</v>
          </cell>
        </row>
        <row r="269">
          <cell r="A269" t="str">
            <v>400-10-080</v>
          </cell>
          <cell r="P269">
            <v>5256</v>
          </cell>
          <cell r="R269">
            <v>5376</v>
          </cell>
          <cell r="S269">
            <v>6750</v>
          </cell>
          <cell r="X269" t="str">
            <v>COP</v>
          </cell>
        </row>
        <row r="270">
          <cell r="A270" t="str">
            <v>400-10-080</v>
          </cell>
          <cell r="P270">
            <v>2496</v>
          </cell>
          <cell r="R270">
            <v>0</v>
          </cell>
          <cell r="S270">
            <v>0</v>
          </cell>
          <cell r="X270" t="str">
            <v>IL</v>
          </cell>
        </row>
        <row r="271">
          <cell r="A271" t="str">
            <v>400-10-090</v>
          </cell>
          <cell r="P271">
            <v>598640.98622000008</v>
          </cell>
          <cell r="R271">
            <v>465278.4</v>
          </cell>
          <cell r="S271">
            <v>617945</v>
          </cell>
          <cell r="X271" t="str">
            <v>IL</v>
          </cell>
        </row>
        <row r="272">
          <cell r="A272" t="str">
            <v>400-10-090</v>
          </cell>
          <cell r="P272">
            <v>242544.2</v>
          </cell>
          <cell r="R272">
            <v>182839.2</v>
          </cell>
          <cell r="S272">
            <v>218804</v>
          </cell>
          <cell r="X272" t="str">
            <v>IL</v>
          </cell>
        </row>
        <row r="273">
          <cell r="A273" t="str">
            <v>400-10-090</v>
          </cell>
          <cell r="P273">
            <v>23945.599999999999</v>
          </cell>
          <cell r="R273">
            <v>26121.599999999999</v>
          </cell>
          <cell r="S273">
            <v>36750</v>
          </cell>
          <cell r="X273" t="str">
            <v>IL</v>
          </cell>
        </row>
        <row r="274">
          <cell r="A274" t="str">
            <v>400-10-090</v>
          </cell>
          <cell r="P274">
            <v>246544.8</v>
          </cell>
          <cell r="R274">
            <v>156369.60000000001</v>
          </cell>
          <cell r="S274">
            <v>299157</v>
          </cell>
          <cell r="X274" t="str">
            <v>IL</v>
          </cell>
        </row>
        <row r="275">
          <cell r="A275" t="str">
            <v>400-10-090</v>
          </cell>
          <cell r="P275">
            <v>114036</v>
          </cell>
          <cell r="R275">
            <v>88905.600000000006</v>
          </cell>
          <cell r="S275">
            <v>101767</v>
          </cell>
          <cell r="X275" t="str">
            <v>IL</v>
          </cell>
        </row>
        <row r="276">
          <cell r="A276" t="str">
            <v>400-10-090</v>
          </cell>
          <cell r="P276">
            <v>44283.3</v>
          </cell>
          <cell r="R276">
            <v>40521.599999999999</v>
          </cell>
          <cell r="S276">
            <v>34610</v>
          </cell>
          <cell r="X276" t="str">
            <v>IL</v>
          </cell>
        </row>
        <row r="277">
          <cell r="A277" t="str">
            <v>400-10-090</v>
          </cell>
          <cell r="P277">
            <v>277079.90000000002</v>
          </cell>
          <cell r="R277">
            <v>216283.2</v>
          </cell>
          <cell r="S277">
            <v>231516</v>
          </cell>
          <cell r="X277" t="str">
            <v>IL</v>
          </cell>
        </row>
        <row r="278">
          <cell r="A278" t="str">
            <v>400-10-090</v>
          </cell>
          <cell r="P278">
            <v>39396</v>
          </cell>
          <cell r="R278">
            <v>32863.199999999997</v>
          </cell>
          <cell r="S278">
            <v>42530</v>
          </cell>
          <cell r="X278" t="str">
            <v>IL</v>
          </cell>
        </row>
        <row r="279">
          <cell r="A279" t="str">
            <v>400-10-090</v>
          </cell>
          <cell r="P279">
            <v>151587.1</v>
          </cell>
          <cell r="R279">
            <v>120134.39999999999</v>
          </cell>
          <cell r="S279">
            <v>136079</v>
          </cell>
          <cell r="X279" t="str">
            <v>IL</v>
          </cell>
        </row>
        <row r="280">
          <cell r="A280" t="str">
            <v>400-10-090</v>
          </cell>
          <cell r="P280">
            <v>25000.2</v>
          </cell>
          <cell r="R280">
            <v>17388</v>
          </cell>
          <cell r="S280">
            <v>23413</v>
          </cell>
          <cell r="X280" t="str">
            <v>IL</v>
          </cell>
        </row>
        <row r="281">
          <cell r="A281" t="str">
            <v>400-10-090</v>
          </cell>
          <cell r="P281">
            <v>14331.9</v>
          </cell>
          <cell r="R281">
            <v>10987.2</v>
          </cell>
          <cell r="S281">
            <v>13087</v>
          </cell>
          <cell r="X281" t="str">
            <v>IL</v>
          </cell>
        </row>
        <row r="282">
          <cell r="A282" t="str">
            <v>400-10-090</v>
          </cell>
          <cell r="P282">
            <v>7120.8</v>
          </cell>
          <cell r="R282">
            <v>5599.2</v>
          </cell>
          <cell r="S282">
            <v>6499</v>
          </cell>
          <cell r="X282" t="str">
            <v>IL</v>
          </cell>
        </row>
        <row r="283">
          <cell r="A283" t="str">
            <v>400-10-090</v>
          </cell>
          <cell r="P283">
            <v>14306.1</v>
          </cell>
          <cell r="R283">
            <v>11186.4</v>
          </cell>
          <cell r="S283">
            <v>13312</v>
          </cell>
          <cell r="X283" t="str">
            <v>IL</v>
          </cell>
        </row>
        <row r="284">
          <cell r="A284" t="str">
            <v>400-10-090</v>
          </cell>
          <cell r="P284">
            <v>5018.1000000000004</v>
          </cell>
          <cell r="R284">
            <v>4008</v>
          </cell>
          <cell r="S284">
            <v>4587</v>
          </cell>
          <cell r="X284" t="str">
            <v>IL</v>
          </cell>
        </row>
        <row r="285">
          <cell r="A285" t="str">
            <v>400-10-090</v>
          </cell>
          <cell r="P285">
            <v>135108</v>
          </cell>
          <cell r="R285">
            <v>271039.2</v>
          </cell>
          <cell r="S285">
            <v>220496</v>
          </cell>
          <cell r="X285" t="str">
            <v>IL</v>
          </cell>
        </row>
        <row r="286">
          <cell r="A286" t="str">
            <v>400-10-090</v>
          </cell>
          <cell r="P286">
            <v>3070.2</v>
          </cell>
          <cell r="R286">
            <v>2592</v>
          </cell>
          <cell r="S286">
            <v>14400</v>
          </cell>
          <cell r="X286" t="str">
            <v>IL</v>
          </cell>
        </row>
        <row r="287">
          <cell r="A287" t="str">
            <v>400-10-090</v>
          </cell>
          <cell r="P287">
            <v>21607.5</v>
          </cell>
          <cell r="R287">
            <v>16713.599999999999</v>
          </cell>
          <cell r="S287">
            <v>19884</v>
          </cell>
          <cell r="X287" t="str">
            <v>IL</v>
          </cell>
        </row>
        <row r="288">
          <cell r="A288" t="str">
            <v>400-10-090</v>
          </cell>
          <cell r="P288">
            <v>3160.5</v>
          </cell>
          <cell r="R288">
            <v>2623.2</v>
          </cell>
          <cell r="S288">
            <v>2833</v>
          </cell>
          <cell r="X288" t="str">
            <v>IL</v>
          </cell>
        </row>
        <row r="289">
          <cell r="A289" t="str">
            <v>400-10-090</v>
          </cell>
          <cell r="P289">
            <v>3160.5</v>
          </cell>
          <cell r="R289">
            <v>2889.6</v>
          </cell>
          <cell r="S289">
            <v>2884</v>
          </cell>
          <cell r="X289" t="str">
            <v>IL</v>
          </cell>
        </row>
        <row r="290">
          <cell r="A290" t="str">
            <v>400-10-090</v>
          </cell>
          <cell r="P290">
            <v>2868</v>
          </cell>
          <cell r="R290">
            <v>2623.2</v>
          </cell>
          <cell r="S290">
            <v>2924</v>
          </cell>
          <cell r="X290" t="str">
            <v>IL</v>
          </cell>
        </row>
        <row r="291">
          <cell r="A291" t="str">
            <v>400-10-090</v>
          </cell>
          <cell r="P291">
            <v>3083.1</v>
          </cell>
          <cell r="R291">
            <v>2541.6</v>
          </cell>
          <cell r="S291">
            <v>2819</v>
          </cell>
          <cell r="X291" t="str">
            <v>IL</v>
          </cell>
        </row>
        <row r="292">
          <cell r="A292" t="str">
            <v>400-10-090</v>
          </cell>
          <cell r="P292">
            <v>0</v>
          </cell>
          <cell r="R292">
            <v>3240</v>
          </cell>
          <cell r="S292">
            <v>3658</v>
          </cell>
          <cell r="X292" t="str">
            <v>IL</v>
          </cell>
        </row>
        <row r="293">
          <cell r="A293" t="str">
            <v>400-10-090</v>
          </cell>
          <cell r="P293">
            <v>178190.7</v>
          </cell>
          <cell r="R293">
            <v>138573.6</v>
          </cell>
          <cell r="S293">
            <v>216677</v>
          </cell>
          <cell r="X293" t="str">
            <v>COP</v>
          </cell>
        </row>
        <row r="294">
          <cell r="A294" t="str">
            <v>400-10-090</v>
          </cell>
          <cell r="P294">
            <v>59640</v>
          </cell>
          <cell r="R294">
            <v>0</v>
          </cell>
          <cell r="S294">
            <v>0</v>
          </cell>
          <cell r="X294" t="str">
            <v>IL</v>
          </cell>
        </row>
        <row r="295">
          <cell r="A295" t="str">
            <v>400-10-100</v>
          </cell>
          <cell r="P295">
            <v>0</v>
          </cell>
          <cell r="R295">
            <v>0</v>
          </cell>
          <cell r="S295">
            <v>0</v>
          </cell>
          <cell r="X295" t="str">
            <v>IL</v>
          </cell>
        </row>
        <row r="296">
          <cell r="A296" t="str">
            <v>400-10-100</v>
          </cell>
          <cell r="P296">
            <v>0</v>
          </cell>
          <cell r="R296">
            <v>0</v>
          </cell>
          <cell r="S296">
            <v>0</v>
          </cell>
          <cell r="X296" t="str">
            <v>IL</v>
          </cell>
        </row>
        <row r="297">
          <cell r="A297" t="str">
            <v>400-10-100</v>
          </cell>
          <cell r="P297">
            <v>0</v>
          </cell>
          <cell r="R297">
            <v>0</v>
          </cell>
          <cell r="S297">
            <v>0</v>
          </cell>
          <cell r="X297" t="str">
            <v>IL</v>
          </cell>
        </row>
        <row r="298">
          <cell r="A298" t="str">
            <v>400-10-100</v>
          </cell>
          <cell r="P298">
            <v>9570000</v>
          </cell>
          <cell r="R298">
            <v>8725365.6000000015</v>
          </cell>
          <cell r="S298">
            <v>8700000</v>
          </cell>
          <cell r="X298" t="str">
            <v>IL</v>
          </cell>
        </row>
        <row r="299">
          <cell r="A299" t="str">
            <v>400-10-100</v>
          </cell>
          <cell r="P299">
            <v>0</v>
          </cell>
          <cell r="R299">
            <v>0</v>
          </cell>
          <cell r="S299">
            <v>0</v>
          </cell>
          <cell r="X299" t="str">
            <v>IL</v>
          </cell>
        </row>
        <row r="300">
          <cell r="A300" t="str">
            <v>400-10-100</v>
          </cell>
          <cell r="P300">
            <v>0</v>
          </cell>
          <cell r="R300">
            <v>0</v>
          </cell>
          <cell r="S300">
            <v>0</v>
          </cell>
          <cell r="X300" t="str">
            <v>IL</v>
          </cell>
        </row>
        <row r="301">
          <cell r="A301" t="str">
            <v>400-10-100</v>
          </cell>
          <cell r="P301">
            <v>0</v>
          </cell>
          <cell r="R301">
            <v>0</v>
          </cell>
          <cell r="S301">
            <v>0</v>
          </cell>
          <cell r="X301" t="str">
            <v>IL</v>
          </cell>
        </row>
        <row r="302">
          <cell r="A302" t="str">
            <v>400-10-100</v>
          </cell>
          <cell r="P302">
            <v>0</v>
          </cell>
          <cell r="R302">
            <v>0</v>
          </cell>
          <cell r="S302">
            <v>0</v>
          </cell>
          <cell r="X302" t="str">
            <v>IL</v>
          </cell>
        </row>
        <row r="303">
          <cell r="A303" t="str">
            <v>400-10-100</v>
          </cell>
          <cell r="P303">
            <v>0</v>
          </cell>
          <cell r="R303">
            <v>0</v>
          </cell>
          <cell r="S303">
            <v>0</v>
          </cell>
          <cell r="X303" t="str">
            <v>IL</v>
          </cell>
        </row>
        <row r="304">
          <cell r="A304" t="str">
            <v>400-10-100</v>
          </cell>
          <cell r="P304">
            <v>0</v>
          </cell>
          <cell r="R304">
            <v>0</v>
          </cell>
          <cell r="S304">
            <v>0</v>
          </cell>
          <cell r="X304" t="str">
            <v>IL</v>
          </cell>
        </row>
        <row r="305">
          <cell r="A305" t="str">
            <v>400-10-100</v>
          </cell>
          <cell r="P305">
            <v>36</v>
          </cell>
          <cell r="R305">
            <v>0</v>
          </cell>
          <cell r="S305">
            <v>0</v>
          </cell>
          <cell r="X305" t="str">
            <v>IL</v>
          </cell>
        </row>
        <row r="306">
          <cell r="A306" t="str">
            <v>400-10-100</v>
          </cell>
          <cell r="P306">
            <v>36</v>
          </cell>
          <cell r="R306">
            <v>0</v>
          </cell>
          <cell r="S306">
            <v>0</v>
          </cell>
          <cell r="X306" t="str">
            <v>IL</v>
          </cell>
        </row>
        <row r="307">
          <cell r="A307" t="str">
            <v>400-10-100</v>
          </cell>
          <cell r="P307">
            <v>0</v>
          </cell>
          <cell r="R307">
            <v>0</v>
          </cell>
          <cell r="S307">
            <v>0</v>
          </cell>
          <cell r="X307" t="str">
            <v>IL</v>
          </cell>
        </row>
        <row r="308">
          <cell r="A308" t="str">
            <v>400-10-100</v>
          </cell>
          <cell r="P308">
            <v>0</v>
          </cell>
          <cell r="R308">
            <v>0</v>
          </cell>
          <cell r="S308">
            <v>0</v>
          </cell>
          <cell r="X308" t="str">
            <v>IL</v>
          </cell>
        </row>
        <row r="309">
          <cell r="A309" t="str">
            <v>400-10-100</v>
          </cell>
          <cell r="P309">
            <v>0</v>
          </cell>
          <cell r="R309">
            <v>0</v>
          </cell>
          <cell r="S309">
            <v>0</v>
          </cell>
          <cell r="X309" t="str">
            <v>IL</v>
          </cell>
        </row>
        <row r="310">
          <cell r="A310" t="str">
            <v>400-10-100</v>
          </cell>
          <cell r="P310">
            <v>0</v>
          </cell>
          <cell r="R310">
            <v>0</v>
          </cell>
          <cell r="S310">
            <v>0</v>
          </cell>
          <cell r="X310" t="str">
            <v>IL</v>
          </cell>
        </row>
        <row r="311">
          <cell r="A311" t="str">
            <v>400-10-100</v>
          </cell>
          <cell r="P311">
            <v>0</v>
          </cell>
          <cell r="R311">
            <v>0</v>
          </cell>
          <cell r="S311">
            <v>0</v>
          </cell>
          <cell r="X311" t="str">
            <v>IL</v>
          </cell>
        </row>
        <row r="312">
          <cell r="A312" t="str">
            <v>400-10-100</v>
          </cell>
          <cell r="P312">
            <v>0</v>
          </cell>
          <cell r="R312">
            <v>0</v>
          </cell>
          <cell r="S312">
            <v>0</v>
          </cell>
          <cell r="X312" t="str">
            <v>IL</v>
          </cell>
        </row>
        <row r="313">
          <cell r="A313" t="str">
            <v>400-10-100</v>
          </cell>
          <cell r="P313">
            <v>0</v>
          </cell>
          <cell r="R313">
            <v>0</v>
          </cell>
          <cell r="S313">
            <v>0</v>
          </cell>
          <cell r="X313" t="str">
            <v>IL</v>
          </cell>
        </row>
        <row r="314">
          <cell r="A314" t="str">
            <v>400-10-100</v>
          </cell>
          <cell r="P314">
            <v>0</v>
          </cell>
          <cell r="R314">
            <v>0</v>
          </cell>
          <cell r="S314">
            <v>0</v>
          </cell>
          <cell r="X314" t="str">
            <v>IL</v>
          </cell>
        </row>
        <row r="315">
          <cell r="A315" t="str">
            <v>400-10-100</v>
          </cell>
          <cell r="P315">
            <v>0</v>
          </cell>
          <cell r="R315">
            <v>0</v>
          </cell>
          <cell r="S315">
            <v>0</v>
          </cell>
          <cell r="X315" t="str">
            <v>IL</v>
          </cell>
        </row>
        <row r="316">
          <cell r="A316" t="str">
            <v>400-10-100</v>
          </cell>
          <cell r="P316">
            <v>0</v>
          </cell>
          <cell r="R316">
            <v>0</v>
          </cell>
          <cell r="S316">
            <v>0</v>
          </cell>
          <cell r="X316" t="str">
            <v>IL</v>
          </cell>
        </row>
        <row r="317">
          <cell r="A317" t="str">
            <v>400-10-100</v>
          </cell>
          <cell r="P317">
            <v>0</v>
          </cell>
          <cell r="R317">
            <v>0</v>
          </cell>
          <cell r="S317">
            <v>0</v>
          </cell>
          <cell r="X317" t="str">
            <v>COP</v>
          </cell>
        </row>
        <row r="318">
          <cell r="A318" t="str">
            <v>400-10-100</v>
          </cell>
          <cell r="P318">
            <v>0</v>
          </cell>
          <cell r="R318">
            <v>0</v>
          </cell>
          <cell r="S318">
            <v>0</v>
          </cell>
          <cell r="X318" t="str">
            <v>IL</v>
          </cell>
        </row>
        <row r="319">
          <cell r="A319" t="str">
            <v>400-10-110</v>
          </cell>
          <cell r="P319">
            <v>849158.6</v>
          </cell>
          <cell r="R319">
            <v>0</v>
          </cell>
          <cell r="S319">
            <v>0</v>
          </cell>
          <cell r="X319" t="str">
            <v>IL</v>
          </cell>
        </row>
        <row r="320">
          <cell r="A320" t="str">
            <v>400-10-110</v>
          </cell>
          <cell r="P320">
            <v>499536</v>
          </cell>
          <cell r="R320">
            <v>0</v>
          </cell>
          <cell r="S320">
            <v>0</v>
          </cell>
          <cell r="X320" t="str">
            <v>IL</v>
          </cell>
        </row>
        <row r="321">
          <cell r="A321" t="str">
            <v>400-10-110</v>
          </cell>
          <cell r="P321">
            <v>65507.8</v>
          </cell>
          <cell r="R321">
            <v>0</v>
          </cell>
          <cell r="S321">
            <v>0</v>
          </cell>
          <cell r="X321" t="str">
            <v>IL</v>
          </cell>
        </row>
        <row r="322">
          <cell r="A322" t="str">
            <v>400-10-110</v>
          </cell>
          <cell r="P322">
            <v>268251</v>
          </cell>
          <cell r="R322">
            <v>0</v>
          </cell>
          <cell r="S322">
            <v>0</v>
          </cell>
          <cell r="X322" t="str">
            <v>IL</v>
          </cell>
        </row>
        <row r="323">
          <cell r="A323" t="str">
            <v>400-10-110</v>
          </cell>
          <cell r="P323">
            <v>0</v>
          </cell>
          <cell r="R323">
            <v>0</v>
          </cell>
          <cell r="S323">
            <v>0</v>
          </cell>
          <cell r="X323" t="str">
            <v>IL</v>
          </cell>
        </row>
        <row r="324">
          <cell r="A324" t="str">
            <v>400-10-110</v>
          </cell>
          <cell r="P324">
            <v>65379</v>
          </cell>
          <cell r="R324">
            <v>0</v>
          </cell>
          <cell r="S324">
            <v>0</v>
          </cell>
          <cell r="X324" t="str">
            <v>IL</v>
          </cell>
        </row>
        <row r="325">
          <cell r="A325" t="str">
            <v>400-10-110</v>
          </cell>
          <cell r="P325">
            <v>548987.69999999995</v>
          </cell>
          <cell r="R325">
            <v>0</v>
          </cell>
          <cell r="S325">
            <v>0</v>
          </cell>
          <cell r="X325" t="str">
            <v>IL</v>
          </cell>
        </row>
        <row r="326">
          <cell r="A326" t="str">
            <v>400-10-110</v>
          </cell>
          <cell r="P326">
            <v>56760</v>
          </cell>
          <cell r="R326">
            <v>0</v>
          </cell>
          <cell r="S326">
            <v>0</v>
          </cell>
          <cell r="X326" t="str">
            <v>IL</v>
          </cell>
        </row>
        <row r="327">
          <cell r="A327" t="str">
            <v>400-10-110</v>
          </cell>
          <cell r="P327">
            <v>244043.8</v>
          </cell>
          <cell r="R327">
            <v>0</v>
          </cell>
          <cell r="S327">
            <v>0</v>
          </cell>
          <cell r="X327" t="str">
            <v>IL</v>
          </cell>
        </row>
        <row r="328">
          <cell r="A328" t="str">
            <v>400-10-110</v>
          </cell>
          <cell r="P328">
            <v>20098.2</v>
          </cell>
          <cell r="R328">
            <v>0</v>
          </cell>
          <cell r="S328">
            <v>0</v>
          </cell>
          <cell r="X328" t="str">
            <v>IL</v>
          </cell>
        </row>
        <row r="329">
          <cell r="A329" t="str">
            <v>400-10-110</v>
          </cell>
          <cell r="P329">
            <v>15480</v>
          </cell>
          <cell r="R329">
            <v>0</v>
          </cell>
          <cell r="S329">
            <v>0</v>
          </cell>
          <cell r="X329" t="str">
            <v>IL</v>
          </cell>
        </row>
        <row r="330">
          <cell r="A330" t="str">
            <v>400-10-110</v>
          </cell>
          <cell r="P330">
            <v>13338.6</v>
          </cell>
          <cell r="R330">
            <v>0</v>
          </cell>
          <cell r="S330">
            <v>0</v>
          </cell>
          <cell r="X330" t="str">
            <v>IL</v>
          </cell>
        </row>
        <row r="331">
          <cell r="A331" t="str">
            <v>400-10-110</v>
          </cell>
          <cell r="P331">
            <v>12693.6</v>
          </cell>
          <cell r="R331">
            <v>0</v>
          </cell>
          <cell r="S331">
            <v>0</v>
          </cell>
          <cell r="X331" t="str">
            <v>IL</v>
          </cell>
        </row>
        <row r="332">
          <cell r="A332" t="str">
            <v>400-10-110</v>
          </cell>
          <cell r="P332">
            <v>10836</v>
          </cell>
          <cell r="R332">
            <v>0</v>
          </cell>
          <cell r="S332">
            <v>0</v>
          </cell>
          <cell r="X332" t="str">
            <v>IL</v>
          </cell>
        </row>
        <row r="333">
          <cell r="A333" t="str">
            <v>400-10-110</v>
          </cell>
          <cell r="P333">
            <v>137325</v>
          </cell>
          <cell r="R333">
            <v>0</v>
          </cell>
          <cell r="S333">
            <v>0</v>
          </cell>
          <cell r="X333" t="str">
            <v>IL</v>
          </cell>
        </row>
        <row r="334">
          <cell r="A334" t="str">
            <v>400-10-110</v>
          </cell>
          <cell r="P334">
            <v>8733.2999999999993</v>
          </cell>
          <cell r="R334">
            <v>0</v>
          </cell>
          <cell r="S334">
            <v>0</v>
          </cell>
          <cell r="X334" t="str">
            <v>IL</v>
          </cell>
        </row>
        <row r="335">
          <cell r="A335" t="str">
            <v>400-10-110</v>
          </cell>
          <cell r="P335">
            <v>11661.6</v>
          </cell>
          <cell r="R335">
            <v>0</v>
          </cell>
          <cell r="S335">
            <v>0</v>
          </cell>
          <cell r="X335" t="str">
            <v>IL</v>
          </cell>
        </row>
        <row r="336">
          <cell r="A336" t="str">
            <v>400-10-110</v>
          </cell>
          <cell r="P336">
            <v>8888.1</v>
          </cell>
          <cell r="R336">
            <v>0</v>
          </cell>
          <cell r="S336">
            <v>0</v>
          </cell>
          <cell r="X336" t="str">
            <v>IL</v>
          </cell>
        </row>
        <row r="337">
          <cell r="A337" t="str">
            <v>400-10-110</v>
          </cell>
          <cell r="P337">
            <v>8191.5</v>
          </cell>
          <cell r="R337">
            <v>0</v>
          </cell>
          <cell r="S337">
            <v>0</v>
          </cell>
          <cell r="X337" t="str">
            <v>IL</v>
          </cell>
        </row>
        <row r="338">
          <cell r="A338" t="str">
            <v>400-10-110</v>
          </cell>
          <cell r="P338">
            <v>8888.1</v>
          </cell>
          <cell r="R338">
            <v>0</v>
          </cell>
          <cell r="S338">
            <v>0</v>
          </cell>
          <cell r="X338" t="str">
            <v>IL</v>
          </cell>
        </row>
        <row r="339">
          <cell r="A339" t="str">
            <v>400-10-110</v>
          </cell>
          <cell r="P339">
            <v>8552.7000000000007</v>
          </cell>
          <cell r="R339">
            <v>0</v>
          </cell>
          <cell r="S339">
            <v>0</v>
          </cell>
          <cell r="X339" t="str">
            <v>IL</v>
          </cell>
        </row>
        <row r="340">
          <cell r="A340" t="str">
            <v>400-10-110</v>
          </cell>
          <cell r="P340">
            <v>0</v>
          </cell>
          <cell r="R340">
            <v>0</v>
          </cell>
          <cell r="S340">
            <v>0</v>
          </cell>
          <cell r="X340" t="str">
            <v>IL</v>
          </cell>
        </row>
        <row r="341">
          <cell r="A341" t="str">
            <v>400-10-110</v>
          </cell>
          <cell r="P341">
            <v>166872</v>
          </cell>
          <cell r="R341">
            <v>0</v>
          </cell>
          <cell r="S341">
            <v>0</v>
          </cell>
          <cell r="X341" t="str">
            <v>COP</v>
          </cell>
        </row>
        <row r="342">
          <cell r="A342" t="str">
            <v>400-10-110</v>
          </cell>
          <cell r="P342">
            <v>86928</v>
          </cell>
          <cell r="R342">
            <v>0</v>
          </cell>
          <cell r="S342">
            <v>0</v>
          </cell>
          <cell r="X342" t="str">
            <v>IL</v>
          </cell>
        </row>
        <row r="343">
          <cell r="A343" t="str">
            <v>400-10-120</v>
          </cell>
          <cell r="P343">
            <v>5774391</v>
          </cell>
          <cell r="R343">
            <v>5137716</v>
          </cell>
          <cell r="S343">
            <v>5137714</v>
          </cell>
          <cell r="X343" t="str">
            <v>IL</v>
          </cell>
        </row>
        <row r="344">
          <cell r="A344" t="str">
            <v>400-10-120</v>
          </cell>
          <cell r="P344">
            <v>0</v>
          </cell>
          <cell r="R344">
            <v>0</v>
          </cell>
          <cell r="S344">
            <v>0</v>
          </cell>
          <cell r="X344" t="str">
            <v>IL</v>
          </cell>
        </row>
        <row r="345">
          <cell r="A345" t="str">
            <v>400-10-120</v>
          </cell>
          <cell r="P345">
            <v>0</v>
          </cell>
          <cell r="R345">
            <v>0</v>
          </cell>
          <cell r="S345">
            <v>0</v>
          </cell>
          <cell r="X345" t="str">
            <v>IL</v>
          </cell>
        </row>
        <row r="346">
          <cell r="A346" t="str">
            <v>400-10-120</v>
          </cell>
          <cell r="P346">
            <v>0</v>
          </cell>
          <cell r="R346">
            <v>0</v>
          </cell>
          <cell r="S346">
            <v>0</v>
          </cell>
          <cell r="X346" t="str">
            <v>IL</v>
          </cell>
        </row>
        <row r="347">
          <cell r="A347" t="str">
            <v>400-10-120</v>
          </cell>
          <cell r="P347">
            <v>0</v>
          </cell>
          <cell r="R347">
            <v>0</v>
          </cell>
          <cell r="S347">
            <v>0</v>
          </cell>
          <cell r="X347" t="str">
            <v>IL</v>
          </cell>
        </row>
        <row r="348">
          <cell r="A348" t="str">
            <v>400-10-120</v>
          </cell>
          <cell r="P348">
            <v>0</v>
          </cell>
          <cell r="R348">
            <v>0</v>
          </cell>
          <cell r="S348">
            <v>0</v>
          </cell>
          <cell r="X348" t="str">
            <v>IL</v>
          </cell>
        </row>
        <row r="349">
          <cell r="A349" t="str">
            <v>400-10-120</v>
          </cell>
          <cell r="P349">
            <v>0</v>
          </cell>
          <cell r="R349">
            <v>0</v>
          </cell>
          <cell r="S349">
            <v>0</v>
          </cell>
          <cell r="X349" t="str">
            <v>IL</v>
          </cell>
        </row>
        <row r="350">
          <cell r="A350" t="str">
            <v>400-10-120</v>
          </cell>
          <cell r="P350">
            <v>0</v>
          </cell>
          <cell r="R350">
            <v>0</v>
          </cell>
          <cell r="S350">
            <v>0</v>
          </cell>
          <cell r="X350" t="str">
            <v>IL</v>
          </cell>
        </row>
        <row r="351">
          <cell r="A351" t="str">
            <v>400-10-120</v>
          </cell>
          <cell r="P351">
            <v>0</v>
          </cell>
          <cell r="R351">
            <v>0</v>
          </cell>
          <cell r="S351">
            <v>0</v>
          </cell>
          <cell r="X351" t="str">
            <v>IL</v>
          </cell>
        </row>
        <row r="352">
          <cell r="A352" t="str">
            <v>400-10-120</v>
          </cell>
          <cell r="P352">
            <v>0</v>
          </cell>
          <cell r="R352">
            <v>0</v>
          </cell>
          <cell r="S352">
            <v>0</v>
          </cell>
          <cell r="X352" t="str">
            <v>IL</v>
          </cell>
        </row>
        <row r="353">
          <cell r="A353" t="str">
            <v>400-10-120</v>
          </cell>
          <cell r="P353">
            <v>0</v>
          </cell>
          <cell r="R353">
            <v>0</v>
          </cell>
          <cell r="S353">
            <v>0</v>
          </cell>
          <cell r="X353" t="str">
            <v>IL</v>
          </cell>
        </row>
        <row r="354">
          <cell r="A354" t="str">
            <v>400-10-120</v>
          </cell>
          <cell r="P354">
            <v>0</v>
          </cell>
          <cell r="R354">
            <v>0</v>
          </cell>
          <cell r="S354">
            <v>0</v>
          </cell>
          <cell r="X354" t="str">
            <v>IL</v>
          </cell>
        </row>
        <row r="355">
          <cell r="A355" t="str">
            <v>400-10-120</v>
          </cell>
          <cell r="P355">
            <v>0</v>
          </cell>
          <cell r="R355">
            <v>0</v>
          </cell>
          <cell r="S355">
            <v>0</v>
          </cell>
          <cell r="X355" t="str">
            <v>IL</v>
          </cell>
        </row>
        <row r="356">
          <cell r="A356" t="str">
            <v>400-10-120</v>
          </cell>
          <cell r="P356">
            <v>0</v>
          </cell>
          <cell r="R356">
            <v>0</v>
          </cell>
          <cell r="S356">
            <v>0</v>
          </cell>
          <cell r="X356" t="str">
            <v>IL</v>
          </cell>
        </row>
        <row r="357">
          <cell r="A357" t="str">
            <v>400-10-120</v>
          </cell>
          <cell r="P357">
            <v>0</v>
          </cell>
          <cell r="R357">
            <v>2925252</v>
          </cell>
          <cell r="S357">
            <v>2925257</v>
          </cell>
          <cell r="X357" t="str">
            <v>IL</v>
          </cell>
        </row>
        <row r="358">
          <cell r="A358" t="str">
            <v>400-10-120</v>
          </cell>
          <cell r="P358">
            <v>0</v>
          </cell>
          <cell r="R358">
            <v>0</v>
          </cell>
          <cell r="S358">
            <v>0</v>
          </cell>
          <cell r="X358" t="str">
            <v>IL</v>
          </cell>
        </row>
        <row r="359">
          <cell r="A359" t="str">
            <v>400-10-120</v>
          </cell>
          <cell r="P359">
            <v>0</v>
          </cell>
          <cell r="R359">
            <v>0</v>
          </cell>
          <cell r="S359">
            <v>0</v>
          </cell>
          <cell r="X359" t="str">
            <v>IL</v>
          </cell>
        </row>
        <row r="360">
          <cell r="A360" t="str">
            <v>400-10-120</v>
          </cell>
          <cell r="P360">
            <v>0</v>
          </cell>
          <cell r="R360">
            <v>0</v>
          </cell>
          <cell r="S360">
            <v>0</v>
          </cell>
          <cell r="X360" t="str">
            <v>IL</v>
          </cell>
        </row>
        <row r="361">
          <cell r="A361" t="str">
            <v>400-10-120</v>
          </cell>
          <cell r="P361">
            <v>0</v>
          </cell>
          <cell r="R361">
            <v>0</v>
          </cell>
          <cell r="S361">
            <v>0</v>
          </cell>
          <cell r="X361" t="str">
            <v>IL</v>
          </cell>
        </row>
        <row r="362">
          <cell r="A362" t="str">
            <v>400-10-120</v>
          </cell>
          <cell r="P362">
            <v>0</v>
          </cell>
          <cell r="R362">
            <v>0</v>
          </cell>
          <cell r="S362">
            <v>0</v>
          </cell>
          <cell r="X362" t="str">
            <v>IL</v>
          </cell>
        </row>
        <row r="363">
          <cell r="A363" t="str">
            <v>400-10-120</v>
          </cell>
          <cell r="P363">
            <v>0</v>
          </cell>
          <cell r="R363">
            <v>0</v>
          </cell>
          <cell r="S363">
            <v>0</v>
          </cell>
          <cell r="X363" t="str">
            <v>IL</v>
          </cell>
        </row>
        <row r="364">
          <cell r="A364" t="str">
            <v>400-10-120</v>
          </cell>
          <cell r="P364">
            <v>0</v>
          </cell>
          <cell r="R364">
            <v>0</v>
          </cell>
          <cell r="S364">
            <v>0</v>
          </cell>
          <cell r="X364" t="str">
            <v>IL</v>
          </cell>
        </row>
        <row r="365">
          <cell r="A365" t="str">
            <v>400-10-120</v>
          </cell>
          <cell r="P365">
            <v>0</v>
          </cell>
          <cell r="R365">
            <v>0</v>
          </cell>
          <cell r="S365">
            <v>0</v>
          </cell>
          <cell r="X365" t="str">
            <v>COP</v>
          </cell>
        </row>
        <row r="366">
          <cell r="A366" t="str">
            <v>400-10-120</v>
          </cell>
          <cell r="P366">
            <v>0</v>
          </cell>
          <cell r="R366">
            <v>0</v>
          </cell>
          <cell r="S366">
            <v>0</v>
          </cell>
          <cell r="X366" t="str">
            <v>IL</v>
          </cell>
        </row>
        <row r="367">
          <cell r="A367" t="str">
            <v>400-10-130</v>
          </cell>
          <cell r="P367">
            <v>0</v>
          </cell>
          <cell r="R367">
            <v>0</v>
          </cell>
          <cell r="S367">
            <v>0</v>
          </cell>
          <cell r="X367" t="str">
            <v>IL</v>
          </cell>
        </row>
        <row r="368">
          <cell r="A368" t="str">
            <v>400-10-130</v>
          </cell>
          <cell r="P368">
            <v>0</v>
          </cell>
          <cell r="R368">
            <v>0</v>
          </cell>
          <cell r="S368">
            <v>0</v>
          </cell>
          <cell r="X368" t="str">
            <v>IL</v>
          </cell>
        </row>
        <row r="369">
          <cell r="A369" t="str">
            <v>400-10-130</v>
          </cell>
          <cell r="P369">
            <v>0</v>
          </cell>
          <cell r="R369">
            <v>106404</v>
          </cell>
          <cell r="S369">
            <v>0</v>
          </cell>
          <cell r="X369" t="str">
            <v>IL</v>
          </cell>
        </row>
        <row r="370">
          <cell r="A370" t="str">
            <v>400-10-130</v>
          </cell>
          <cell r="P370">
            <v>0</v>
          </cell>
          <cell r="R370">
            <v>0</v>
          </cell>
          <cell r="S370">
            <v>0</v>
          </cell>
          <cell r="X370" t="str">
            <v>IL</v>
          </cell>
        </row>
        <row r="371">
          <cell r="A371" t="str">
            <v>400-10-130</v>
          </cell>
          <cell r="P371">
            <v>0</v>
          </cell>
          <cell r="R371">
            <v>349392</v>
          </cell>
          <cell r="S371">
            <v>0</v>
          </cell>
          <cell r="X371" t="str">
            <v>IL</v>
          </cell>
        </row>
        <row r="372">
          <cell r="A372" t="str">
            <v>400-10-130</v>
          </cell>
          <cell r="P372">
            <v>0</v>
          </cell>
          <cell r="R372">
            <v>0</v>
          </cell>
          <cell r="S372">
            <v>0</v>
          </cell>
          <cell r="X372" t="str">
            <v>IL</v>
          </cell>
        </row>
        <row r="373">
          <cell r="A373" t="str">
            <v>400-10-130</v>
          </cell>
          <cell r="P373">
            <v>0</v>
          </cell>
          <cell r="R373">
            <v>189924</v>
          </cell>
          <cell r="S373">
            <v>80004</v>
          </cell>
          <cell r="X373" t="str">
            <v>IL</v>
          </cell>
        </row>
        <row r="374">
          <cell r="A374" t="str">
            <v>400-10-130</v>
          </cell>
          <cell r="P374">
            <v>0</v>
          </cell>
          <cell r="R374">
            <v>0</v>
          </cell>
          <cell r="S374">
            <v>0</v>
          </cell>
          <cell r="X374" t="str">
            <v>IL</v>
          </cell>
        </row>
        <row r="375">
          <cell r="A375" t="str">
            <v>400-10-130</v>
          </cell>
          <cell r="P375">
            <v>0</v>
          </cell>
          <cell r="R375">
            <v>0</v>
          </cell>
          <cell r="S375">
            <v>0</v>
          </cell>
          <cell r="X375" t="str">
            <v>IL</v>
          </cell>
        </row>
        <row r="376">
          <cell r="A376" t="str">
            <v>400-10-130</v>
          </cell>
          <cell r="P376">
            <v>0</v>
          </cell>
          <cell r="R376">
            <v>0</v>
          </cell>
          <cell r="S376">
            <v>0</v>
          </cell>
          <cell r="X376" t="str">
            <v>IL</v>
          </cell>
        </row>
        <row r="377">
          <cell r="A377" t="str">
            <v>400-10-130</v>
          </cell>
          <cell r="P377">
            <v>0</v>
          </cell>
          <cell r="R377">
            <v>0</v>
          </cell>
          <cell r="S377">
            <v>0</v>
          </cell>
          <cell r="X377" t="str">
            <v>IL</v>
          </cell>
        </row>
        <row r="378">
          <cell r="A378" t="str">
            <v>400-10-130</v>
          </cell>
          <cell r="P378">
            <v>0</v>
          </cell>
          <cell r="R378">
            <v>0</v>
          </cell>
          <cell r="S378">
            <v>0</v>
          </cell>
          <cell r="X378" t="str">
            <v>IL</v>
          </cell>
        </row>
        <row r="379">
          <cell r="A379" t="str">
            <v>400-10-130</v>
          </cell>
          <cell r="P379">
            <v>0</v>
          </cell>
          <cell r="R379">
            <v>0</v>
          </cell>
          <cell r="S379">
            <v>0</v>
          </cell>
          <cell r="X379" t="str">
            <v>IL</v>
          </cell>
        </row>
        <row r="380">
          <cell r="A380" t="str">
            <v>400-10-130</v>
          </cell>
          <cell r="P380">
            <v>0</v>
          </cell>
          <cell r="R380">
            <v>0</v>
          </cell>
          <cell r="S380">
            <v>0</v>
          </cell>
          <cell r="X380" t="str">
            <v>IL</v>
          </cell>
        </row>
        <row r="381">
          <cell r="A381" t="str">
            <v>400-10-130</v>
          </cell>
          <cell r="P381">
            <v>0</v>
          </cell>
          <cell r="R381">
            <v>0</v>
          </cell>
          <cell r="S381">
            <v>0</v>
          </cell>
          <cell r="X381" t="str">
            <v>IL</v>
          </cell>
        </row>
        <row r="382">
          <cell r="A382" t="str">
            <v>400-10-130</v>
          </cell>
          <cell r="P382">
            <v>0</v>
          </cell>
          <cell r="R382">
            <v>0</v>
          </cell>
          <cell r="S382">
            <v>0</v>
          </cell>
          <cell r="X382" t="str">
            <v>IL</v>
          </cell>
        </row>
        <row r="383">
          <cell r="A383" t="str">
            <v>400-10-130</v>
          </cell>
          <cell r="P383">
            <v>0</v>
          </cell>
          <cell r="R383">
            <v>0</v>
          </cell>
          <cell r="S383">
            <v>0</v>
          </cell>
          <cell r="X383" t="str">
            <v>IL</v>
          </cell>
        </row>
        <row r="384">
          <cell r="A384" t="str">
            <v>400-10-130</v>
          </cell>
          <cell r="P384">
            <v>0</v>
          </cell>
          <cell r="R384">
            <v>0</v>
          </cell>
          <cell r="S384">
            <v>0</v>
          </cell>
          <cell r="X384" t="str">
            <v>IL</v>
          </cell>
        </row>
        <row r="385">
          <cell r="A385" t="str">
            <v>400-10-130</v>
          </cell>
          <cell r="P385">
            <v>0</v>
          </cell>
          <cell r="R385">
            <v>0</v>
          </cell>
          <cell r="S385">
            <v>0</v>
          </cell>
          <cell r="X385" t="str">
            <v>IL</v>
          </cell>
        </row>
        <row r="386">
          <cell r="A386" t="str">
            <v>400-10-130</v>
          </cell>
          <cell r="P386">
            <v>0</v>
          </cell>
          <cell r="R386">
            <v>0</v>
          </cell>
          <cell r="S386">
            <v>0</v>
          </cell>
          <cell r="X386" t="str">
            <v>IL</v>
          </cell>
        </row>
        <row r="387">
          <cell r="A387" t="str">
            <v>400-10-130</v>
          </cell>
          <cell r="P387">
            <v>0</v>
          </cell>
          <cell r="R387">
            <v>0</v>
          </cell>
          <cell r="S387">
            <v>0</v>
          </cell>
          <cell r="X387" t="str">
            <v>IL</v>
          </cell>
        </row>
        <row r="388">
          <cell r="A388" t="str">
            <v>400-10-130</v>
          </cell>
          <cell r="P388">
            <v>0</v>
          </cell>
          <cell r="R388">
            <v>0</v>
          </cell>
          <cell r="S388">
            <v>0</v>
          </cell>
          <cell r="X388" t="str">
            <v>IL</v>
          </cell>
        </row>
        <row r="389">
          <cell r="A389" t="str">
            <v>400-10-130</v>
          </cell>
          <cell r="P389">
            <v>0</v>
          </cell>
          <cell r="R389">
            <v>0</v>
          </cell>
          <cell r="S389">
            <v>0</v>
          </cell>
          <cell r="X389" t="str">
            <v>COP</v>
          </cell>
        </row>
        <row r="390">
          <cell r="A390" t="str">
            <v>400-10-130</v>
          </cell>
          <cell r="P390">
            <v>0</v>
          </cell>
          <cell r="R390">
            <v>0</v>
          </cell>
          <cell r="S390">
            <v>0</v>
          </cell>
          <cell r="X390" t="str">
            <v>IL</v>
          </cell>
        </row>
        <row r="391">
          <cell r="A391" t="str">
            <v>400-20-010</v>
          </cell>
          <cell r="P391">
            <v>4800</v>
          </cell>
          <cell r="R391">
            <v>4800</v>
          </cell>
          <cell r="S391">
            <v>7200</v>
          </cell>
          <cell r="X391" t="str">
            <v>IL</v>
          </cell>
        </row>
        <row r="392">
          <cell r="A392" t="str">
            <v>400-20-010</v>
          </cell>
          <cell r="P392">
            <v>24000</v>
          </cell>
          <cell r="R392">
            <v>24000</v>
          </cell>
          <cell r="S392">
            <v>24000</v>
          </cell>
          <cell r="X392" t="str">
            <v>IL</v>
          </cell>
        </row>
        <row r="393">
          <cell r="A393" t="str">
            <v>400-20-010</v>
          </cell>
          <cell r="P393">
            <v>12000</v>
          </cell>
          <cell r="R393">
            <v>16800</v>
          </cell>
          <cell r="S393">
            <v>14400</v>
          </cell>
          <cell r="X393" t="str">
            <v>IL</v>
          </cell>
        </row>
        <row r="394">
          <cell r="A394" t="str">
            <v>400-20-010</v>
          </cell>
          <cell r="P394">
            <v>9600</v>
          </cell>
          <cell r="R394">
            <v>7200</v>
          </cell>
          <cell r="S394">
            <v>9600</v>
          </cell>
          <cell r="X394" t="str">
            <v>IL</v>
          </cell>
        </row>
        <row r="395">
          <cell r="A395" t="str">
            <v>400-20-010</v>
          </cell>
          <cell r="P395">
            <v>14400</v>
          </cell>
          <cell r="R395">
            <v>12000</v>
          </cell>
          <cell r="S395">
            <v>12000</v>
          </cell>
          <cell r="X395" t="str">
            <v>IL</v>
          </cell>
        </row>
        <row r="396">
          <cell r="A396" t="str">
            <v>400-20-010</v>
          </cell>
          <cell r="P396">
            <v>9600</v>
          </cell>
          <cell r="R396">
            <v>7200</v>
          </cell>
          <cell r="S396">
            <v>7200</v>
          </cell>
          <cell r="X396" t="str">
            <v>IL</v>
          </cell>
        </row>
        <row r="397">
          <cell r="A397" t="str">
            <v>400-20-010</v>
          </cell>
          <cell r="P397">
            <v>36000</v>
          </cell>
          <cell r="R397">
            <v>34560</v>
          </cell>
          <cell r="S397">
            <v>33600</v>
          </cell>
          <cell r="X397" t="str">
            <v>IL</v>
          </cell>
        </row>
        <row r="398">
          <cell r="A398" t="str">
            <v>400-20-010</v>
          </cell>
          <cell r="P398">
            <v>4800</v>
          </cell>
          <cell r="R398">
            <v>4800</v>
          </cell>
          <cell r="S398">
            <v>0</v>
          </cell>
          <cell r="X398" t="str">
            <v>IL</v>
          </cell>
        </row>
        <row r="399">
          <cell r="A399" t="str">
            <v>400-20-010</v>
          </cell>
          <cell r="P399">
            <v>31200</v>
          </cell>
          <cell r="R399">
            <v>28800</v>
          </cell>
          <cell r="S399">
            <v>26400</v>
          </cell>
          <cell r="X399" t="str">
            <v>IL</v>
          </cell>
        </row>
        <row r="400">
          <cell r="A400" t="str">
            <v>400-20-010</v>
          </cell>
          <cell r="P400">
            <v>2400</v>
          </cell>
          <cell r="R400">
            <v>2400</v>
          </cell>
          <cell r="S400">
            <v>2400</v>
          </cell>
          <cell r="X400" t="str">
            <v>IL</v>
          </cell>
        </row>
        <row r="401">
          <cell r="A401" t="str">
            <v>400-20-010</v>
          </cell>
          <cell r="P401">
            <v>2400</v>
          </cell>
          <cell r="R401">
            <v>2400</v>
          </cell>
          <cell r="S401">
            <v>2400</v>
          </cell>
          <cell r="X401" t="str">
            <v>IL</v>
          </cell>
        </row>
        <row r="402">
          <cell r="A402" t="str">
            <v>400-20-010</v>
          </cell>
          <cell r="P402">
            <v>2400</v>
          </cell>
          <cell r="R402">
            <v>2400</v>
          </cell>
          <cell r="S402">
            <v>2400</v>
          </cell>
          <cell r="X402" t="str">
            <v>IL</v>
          </cell>
        </row>
        <row r="403">
          <cell r="A403" t="str">
            <v>400-20-010</v>
          </cell>
          <cell r="P403">
            <v>2400</v>
          </cell>
          <cell r="R403">
            <v>2400</v>
          </cell>
          <cell r="S403">
            <v>2400</v>
          </cell>
          <cell r="X403" t="str">
            <v>IL</v>
          </cell>
        </row>
        <row r="404">
          <cell r="A404" t="str">
            <v>400-20-010</v>
          </cell>
          <cell r="P404">
            <v>2400</v>
          </cell>
          <cell r="R404">
            <v>2400</v>
          </cell>
          <cell r="S404">
            <v>2400</v>
          </cell>
          <cell r="X404" t="str">
            <v>IL</v>
          </cell>
        </row>
        <row r="405">
          <cell r="A405" t="str">
            <v>400-20-010</v>
          </cell>
          <cell r="P405">
            <v>12000</v>
          </cell>
          <cell r="R405">
            <v>14400</v>
          </cell>
          <cell r="S405">
            <v>12000</v>
          </cell>
          <cell r="X405" t="str">
            <v>IL</v>
          </cell>
        </row>
        <row r="406">
          <cell r="A406" t="str">
            <v>400-20-010</v>
          </cell>
          <cell r="P406">
            <v>2400</v>
          </cell>
          <cell r="R406">
            <v>2400</v>
          </cell>
          <cell r="S406">
            <v>2400</v>
          </cell>
          <cell r="X406" t="str">
            <v>IL</v>
          </cell>
        </row>
        <row r="407">
          <cell r="A407" t="str">
            <v>400-20-010</v>
          </cell>
          <cell r="P407">
            <v>2400</v>
          </cell>
          <cell r="R407">
            <v>2400</v>
          </cell>
          <cell r="S407">
            <v>2400</v>
          </cell>
          <cell r="X407" t="str">
            <v>IL</v>
          </cell>
        </row>
        <row r="408">
          <cell r="A408" t="str">
            <v>400-20-010</v>
          </cell>
          <cell r="P408">
            <v>2400</v>
          </cell>
          <cell r="R408">
            <v>2400</v>
          </cell>
          <cell r="S408">
            <v>2400</v>
          </cell>
          <cell r="X408" t="str">
            <v>IL</v>
          </cell>
        </row>
        <row r="409">
          <cell r="A409" t="str">
            <v>400-20-010</v>
          </cell>
          <cell r="P409">
            <v>2400</v>
          </cell>
          <cell r="R409">
            <v>2400</v>
          </cell>
          <cell r="S409">
            <v>0</v>
          </cell>
          <cell r="X409" t="str">
            <v>IL</v>
          </cell>
        </row>
        <row r="410">
          <cell r="A410" t="str">
            <v>400-20-010</v>
          </cell>
          <cell r="P410">
            <v>2400</v>
          </cell>
          <cell r="R410">
            <v>2400</v>
          </cell>
          <cell r="S410">
            <v>2400</v>
          </cell>
          <cell r="X410" t="str">
            <v>IL</v>
          </cell>
        </row>
        <row r="411">
          <cell r="A411" t="str">
            <v>400-20-010</v>
          </cell>
          <cell r="P411">
            <v>2400</v>
          </cell>
          <cell r="R411">
            <v>2400</v>
          </cell>
          <cell r="S411">
            <v>2400</v>
          </cell>
          <cell r="X411" t="str">
            <v>IL</v>
          </cell>
        </row>
        <row r="412">
          <cell r="A412" t="str">
            <v>400-20-010</v>
          </cell>
          <cell r="P412">
            <v>0</v>
          </cell>
          <cell r="R412">
            <v>2400</v>
          </cell>
          <cell r="S412">
            <v>2400</v>
          </cell>
          <cell r="X412" t="str">
            <v>IL</v>
          </cell>
        </row>
        <row r="413">
          <cell r="A413" t="str">
            <v>400-20-010</v>
          </cell>
          <cell r="P413">
            <v>16800</v>
          </cell>
          <cell r="R413">
            <v>15840</v>
          </cell>
          <cell r="S413">
            <v>16800</v>
          </cell>
          <cell r="X413" t="str">
            <v>COP</v>
          </cell>
        </row>
        <row r="414">
          <cell r="A414" t="str">
            <v>400-20-010</v>
          </cell>
          <cell r="P414">
            <v>12000</v>
          </cell>
          <cell r="R414">
            <v>12000</v>
          </cell>
          <cell r="S414">
            <v>12000</v>
          </cell>
          <cell r="X414" t="str">
            <v>IL</v>
          </cell>
        </row>
        <row r="415">
          <cell r="A415" t="str">
            <v>400-20-020</v>
          </cell>
          <cell r="P415">
            <v>5760</v>
          </cell>
          <cell r="R415">
            <v>5760</v>
          </cell>
          <cell r="S415">
            <v>8640</v>
          </cell>
          <cell r="X415" t="str">
            <v>IL</v>
          </cell>
        </row>
        <row r="416">
          <cell r="A416" t="str">
            <v>400-20-020</v>
          </cell>
          <cell r="P416">
            <v>28800</v>
          </cell>
          <cell r="R416">
            <v>25920</v>
          </cell>
          <cell r="S416">
            <v>28800</v>
          </cell>
          <cell r="X416" t="str">
            <v>IL</v>
          </cell>
        </row>
        <row r="417">
          <cell r="A417" t="str">
            <v>400-20-020</v>
          </cell>
          <cell r="P417">
            <v>14400</v>
          </cell>
          <cell r="R417">
            <v>20160</v>
          </cell>
          <cell r="S417">
            <v>17280</v>
          </cell>
          <cell r="X417" t="str">
            <v>IL</v>
          </cell>
        </row>
        <row r="418">
          <cell r="A418" t="str">
            <v>400-20-020</v>
          </cell>
          <cell r="P418">
            <v>11520</v>
          </cell>
          <cell r="R418">
            <v>5760</v>
          </cell>
          <cell r="S418">
            <v>11520</v>
          </cell>
          <cell r="X418" t="str">
            <v>IL</v>
          </cell>
        </row>
        <row r="419">
          <cell r="A419" t="str">
            <v>400-20-020</v>
          </cell>
          <cell r="P419">
            <v>17280</v>
          </cell>
          <cell r="R419">
            <v>14400</v>
          </cell>
          <cell r="S419">
            <v>14400</v>
          </cell>
          <cell r="X419" t="str">
            <v>IL</v>
          </cell>
        </row>
        <row r="420">
          <cell r="A420" t="str">
            <v>400-20-020</v>
          </cell>
          <cell r="P420">
            <v>11520</v>
          </cell>
          <cell r="R420">
            <v>8640</v>
          </cell>
          <cell r="S420">
            <v>8640</v>
          </cell>
          <cell r="X420" t="str">
            <v>IL</v>
          </cell>
        </row>
        <row r="421">
          <cell r="A421" t="str">
            <v>400-20-020</v>
          </cell>
          <cell r="P421">
            <v>43200</v>
          </cell>
          <cell r="R421">
            <v>35712</v>
          </cell>
          <cell r="S421">
            <v>40320</v>
          </cell>
          <cell r="X421" t="str">
            <v>IL</v>
          </cell>
        </row>
        <row r="422">
          <cell r="A422" t="str">
            <v>400-20-020</v>
          </cell>
          <cell r="P422">
            <v>5760</v>
          </cell>
          <cell r="R422">
            <v>5760</v>
          </cell>
          <cell r="S422">
            <v>0</v>
          </cell>
          <cell r="X422" t="str">
            <v>IL</v>
          </cell>
        </row>
        <row r="423">
          <cell r="A423" t="str">
            <v>400-20-020</v>
          </cell>
          <cell r="P423">
            <v>37440</v>
          </cell>
          <cell r="R423">
            <v>28800</v>
          </cell>
          <cell r="S423">
            <v>31680</v>
          </cell>
          <cell r="X423" t="str">
            <v>IL</v>
          </cell>
        </row>
        <row r="424">
          <cell r="A424" t="str">
            <v>400-20-020</v>
          </cell>
          <cell r="P424">
            <v>2880</v>
          </cell>
          <cell r="R424">
            <v>2880</v>
          </cell>
          <cell r="S424">
            <v>2880</v>
          </cell>
          <cell r="X424" t="str">
            <v>IL</v>
          </cell>
        </row>
        <row r="425">
          <cell r="A425" t="str">
            <v>400-20-020</v>
          </cell>
          <cell r="P425">
            <v>2880</v>
          </cell>
          <cell r="R425">
            <v>2880</v>
          </cell>
          <cell r="S425">
            <v>2880</v>
          </cell>
          <cell r="X425" t="str">
            <v>IL</v>
          </cell>
        </row>
        <row r="426">
          <cell r="A426" t="str">
            <v>400-20-020</v>
          </cell>
          <cell r="P426">
            <v>2880</v>
          </cell>
          <cell r="R426">
            <v>2880</v>
          </cell>
          <cell r="S426">
            <v>2880</v>
          </cell>
          <cell r="X426" t="str">
            <v>IL</v>
          </cell>
        </row>
        <row r="427">
          <cell r="A427" t="str">
            <v>400-20-020</v>
          </cell>
          <cell r="P427">
            <v>2880</v>
          </cell>
          <cell r="R427">
            <v>2880</v>
          </cell>
          <cell r="S427">
            <v>2880</v>
          </cell>
          <cell r="X427" t="str">
            <v>IL</v>
          </cell>
        </row>
        <row r="428">
          <cell r="A428" t="str">
            <v>400-20-020</v>
          </cell>
          <cell r="P428">
            <v>2880</v>
          </cell>
          <cell r="R428">
            <v>2880</v>
          </cell>
          <cell r="S428">
            <v>2880</v>
          </cell>
          <cell r="X428" t="str">
            <v>IL</v>
          </cell>
        </row>
        <row r="429">
          <cell r="A429" t="str">
            <v>400-20-020</v>
          </cell>
          <cell r="P429">
            <v>14400</v>
          </cell>
          <cell r="R429">
            <v>17280</v>
          </cell>
          <cell r="S429">
            <v>14400</v>
          </cell>
          <cell r="X429" t="str">
            <v>IL</v>
          </cell>
        </row>
        <row r="430">
          <cell r="A430" t="str">
            <v>400-20-020</v>
          </cell>
          <cell r="P430">
            <v>2880</v>
          </cell>
          <cell r="R430">
            <v>2880</v>
          </cell>
          <cell r="S430">
            <v>2880</v>
          </cell>
          <cell r="X430" t="str">
            <v>IL</v>
          </cell>
        </row>
        <row r="431">
          <cell r="A431" t="str">
            <v>400-20-020</v>
          </cell>
          <cell r="P431">
            <v>2880</v>
          </cell>
          <cell r="R431">
            <v>2880</v>
          </cell>
          <cell r="S431">
            <v>960</v>
          </cell>
          <cell r="X431" t="str">
            <v>IL</v>
          </cell>
        </row>
        <row r="432">
          <cell r="A432" t="str">
            <v>400-20-020</v>
          </cell>
          <cell r="P432">
            <v>2880</v>
          </cell>
          <cell r="R432">
            <v>2880</v>
          </cell>
          <cell r="S432">
            <v>2880</v>
          </cell>
          <cell r="X432" t="str">
            <v>IL</v>
          </cell>
        </row>
        <row r="433">
          <cell r="A433" t="str">
            <v>400-20-020</v>
          </cell>
          <cell r="P433">
            <v>2880</v>
          </cell>
          <cell r="R433">
            <v>2880</v>
          </cell>
          <cell r="S433">
            <v>0</v>
          </cell>
          <cell r="X433" t="str">
            <v>IL</v>
          </cell>
        </row>
        <row r="434">
          <cell r="A434" t="str">
            <v>400-20-020</v>
          </cell>
          <cell r="P434">
            <v>2880</v>
          </cell>
          <cell r="R434">
            <v>2880</v>
          </cell>
          <cell r="S434">
            <v>2880</v>
          </cell>
          <cell r="X434" t="str">
            <v>IL</v>
          </cell>
        </row>
        <row r="435">
          <cell r="A435" t="str">
            <v>400-20-020</v>
          </cell>
          <cell r="P435">
            <v>2880</v>
          </cell>
          <cell r="R435">
            <v>2880</v>
          </cell>
          <cell r="S435">
            <v>2880</v>
          </cell>
          <cell r="X435" t="str">
            <v>IL</v>
          </cell>
        </row>
        <row r="436">
          <cell r="A436" t="str">
            <v>400-20-020</v>
          </cell>
          <cell r="P436">
            <v>0</v>
          </cell>
          <cell r="R436">
            <v>0</v>
          </cell>
          <cell r="S436">
            <v>0</v>
          </cell>
          <cell r="X436" t="str">
            <v>IL</v>
          </cell>
        </row>
        <row r="437">
          <cell r="A437" t="str">
            <v>400-20-020</v>
          </cell>
          <cell r="P437">
            <v>20160</v>
          </cell>
          <cell r="R437">
            <v>19008</v>
          </cell>
          <cell r="S437">
            <v>20160</v>
          </cell>
          <cell r="X437" t="str">
            <v>COP</v>
          </cell>
        </row>
        <row r="438">
          <cell r="A438" t="str">
            <v>400-20-020</v>
          </cell>
          <cell r="P438">
            <v>14400</v>
          </cell>
          <cell r="R438">
            <v>14400</v>
          </cell>
          <cell r="S438">
            <v>14400</v>
          </cell>
          <cell r="X438" t="str">
            <v>IL</v>
          </cell>
        </row>
        <row r="439">
          <cell r="A439" t="str">
            <v>400-30-010</v>
          </cell>
          <cell r="P439">
            <v>435461.83272727305</v>
          </cell>
          <cell r="R439">
            <v>1682.4</v>
          </cell>
          <cell r="S439">
            <v>3750</v>
          </cell>
          <cell r="X439" t="str">
            <v>IL</v>
          </cell>
        </row>
        <row r="440">
          <cell r="A440" t="str">
            <v>400-30-010</v>
          </cell>
          <cell r="P440">
            <v>2154981.8824999956</v>
          </cell>
          <cell r="R440">
            <v>4450003.2</v>
          </cell>
          <cell r="S440">
            <v>4509290</v>
          </cell>
          <cell r="X440" t="str">
            <v>IL</v>
          </cell>
        </row>
        <row r="441">
          <cell r="A441" t="str">
            <v>400-30-010</v>
          </cell>
          <cell r="P441">
            <v>0</v>
          </cell>
          <cell r="R441">
            <v>0</v>
          </cell>
          <cell r="S441">
            <v>0</v>
          </cell>
          <cell r="X441" t="str">
            <v>IL</v>
          </cell>
        </row>
        <row r="442">
          <cell r="A442" t="str">
            <v>400-30-010</v>
          </cell>
          <cell r="P442">
            <v>59550.47625</v>
          </cell>
          <cell r="R442">
            <v>2246.4</v>
          </cell>
          <cell r="S442">
            <v>4583</v>
          </cell>
          <cell r="X442" t="str">
            <v>IL</v>
          </cell>
        </row>
        <row r="443">
          <cell r="A443" t="str">
            <v>400-30-010</v>
          </cell>
          <cell r="P443">
            <v>117914.00590909092</v>
          </cell>
          <cell r="R443">
            <v>16036.8</v>
          </cell>
          <cell r="S443">
            <v>0</v>
          </cell>
          <cell r="X443" t="str">
            <v>IL</v>
          </cell>
        </row>
        <row r="444">
          <cell r="A444" t="str">
            <v>400-30-010</v>
          </cell>
          <cell r="P444">
            <v>0</v>
          </cell>
          <cell r="R444">
            <v>0</v>
          </cell>
          <cell r="S444">
            <v>0</v>
          </cell>
          <cell r="X444" t="str">
            <v>IL</v>
          </cell>
        </row>
        <row r="445">
          <cell r="A445" t="str">
            <v>400-30-010</v>
          </cell>
          <cell r="P445">
            <v>57956.647500000014</v>
          </cell>
          <cell r="R445">
            <v>0</v>
          </cell>
          <cell r="S445">
            <v>0</v>
          </cell>
          <cell r="X445" t="str">
            <v>IL</v>
          </cell>
        </row>
        <row r="446">
          <cell r="A446" t="str">
            <v>400-30-010</v>
          </cell>
          <cell r="P446">
            <v>0</v>
          </cell>
          <cell r="R446">
            <v>0</v>
          </cell>
          <cell r="S446">
            <v>0</v>
          </cell>
          <cell r="X446" t="str">
            <v>IL</v>
          </cell>
        </row>
        <row r="447">
          <cell r="A447" t="str">
            <v>400-30-010</v>
          </cell>
          <cell r="P447">
            <v>0</v>
          </cell>
          <cell r="R447">
            <v>0</v>
          </cell>
          <cell r="S447">
            <v>0</v>
          </cell>
          <cell r="X447" t="str">
            <v>IL</v>
          </cell>
        </row>
        <row r="448">
          <cell r="A448" t="str">
            <v>400-30-010</v>
          </cell>
          <cell r="P448">
            <v>5921.125</v>
          </cell>
          <cell r="R448">
            <v>0</v>
          </cell>
          <cell r="S448">
            <v>0</v>
          </cell>
          <cell r="X448" t="str">
            <v>IL</v>
          </cell>
        </row>
        <row r="449">
          <cell r="A449" t="str">
            <v>400-30-010</v>
          </cell>
          <cell r="P449">
            <v>67059.45</v>
          </cell>
          <cell r="R449">
            <v>0</v>
          </cell>
          <cell r="S449">
            <v>0</v>
          </cell>
          <cell r="X449" t="str">
            <v>IL</v>
          </cell>
        </row>
        <row r="450">
          <cell r="A450" t="str">
            <v>400-30-010</v>
          </cell>
          <cell r="P450">
            <v>141620</v>
          </cell>
          <cell r="R450">
            <v>0</v>
          </cell>
          <cell r="S450">
            <v>0</v>
          </cell>
          <cell r="X450" t="str">
            <v>IL</v>
          </cell>
        </row>
        <row r="451">
          <cell r="A451" t="str">
            <v>400-30-010</v>
          </cell>
          <cell r="P451">
            <v>35129.468750000007</v>
          </cell>
          <cell r="R451">
            <v>0</v>
          </cell>
          <cell r="S451">
            <v>0</v>
          </cell>
          <cell r="X451" t="str">
            <v>IL</v>
          </cell>
        </row>
        <row r="452">
          <cell r="A452" t="str">
            <v>400-30-010</v>
          </cell>
          <cell r="P452">
            <v>143802.00625000001</v>
          </cell>
          <cell r="R452">
            <v>0</v>
          </cell>
          <cell r="S452">
            <v>0</v>
          </cell>
          <cell r="X452" t="str">
            <v>IL</v>
          </cell>
        </row>
        <row r="453">
          <cell r="A453" t="str">
            <v>400-30-010</v>
          </cell>
          <cell r="P453">
            <v>0</v>
          </cell>
          <cell r="R453">
            <v>0</v>
          </cell>
          <cell r="S453">
            <v>0</v>
          </cell>
          <cell r="X453" t="str">
            <v>IL</v>
          </cell>
        </row>
        <row r="454">
          <cell r="A454" t="str">
            <v>400-30-010</v>
          </cell>
          <cell r="P454">
            <v>93375</v>
          </cell>
          <cell r="R454">
            <v>0</v>
          </cell>
          <cell r="S454">
            <v>0</v>
          </cell>
          <cell r="X454" t="str">
            <v>IL</v>
          </cell>
        </row>
        <row r="455">
          <cell r="A455" t="str">
            <v>400-30-010</v>
          </cell>
          <cell r="P455">
            <v>147001.08333333334</v>
          </cell>
          <cell r="R455">
            <v>5332.8</v>
          </cell>
          <cell r="S455">
            <v>7500</v>
          </cell>
          <cell r="X455" t="str">
            <v>IL</v>
          </cell>
        </row>
        <row r="456">
          <cell r="A456" t="str">
            <v>400-30-010</v>
          </cell>
          <cell r="P456">
            <v>105077.16249999999</v>
          </cell>
          <cell r="R456">
            <v>0</v>
          </cell>
          <cell r="S456">
            <v>0</v>
          </cell>
          <cell r="X456" t="str">
            <v>IL</v>
          </cell>
        </row>
        <row r="457">
          <cell r="A457" t="str">
            <v>400-30-010</v>
          </cell>
          <cell r="P457">
            <v>76031.090909090912</v>
          </cell>
          <cell r="R457">
            <v>17155.2</v>
          </cell>
          <cell r="S457">
            <v>5208</v>
          </cell>
          <cell r="X457" t="str">
            <v>IL</v>
          </cell>
        </row>
        <row r="458">
          <cell r="A458" t="str">
            <v>400-30-010</v>
          </cell>
          <cell r="P458">
            <v>164872.79374999998</v>
          </cell>
          <cell r="R458">
            <v>0</v>
          </cell>
          <cell r="S458">
            <v>0</v>
          </cell>
          <cell r="X458" t="str">
            <v>IL</v>
          </cell>
        </row>
        <row r="459">
          <cell r="A459" t="str">
            <v>400-30-010</v>
          </cell>
          <cell r="P459">
            <v>170849.32500000004</v>
          </cell>
          <cell r="R459">
            <v>0</v>
          </cell>
          <cell r="S459">
            <v>0</v>
          </cell>
          <cell r="X459" t="str">
            <v>IL</v>
          </cell>
        </row>
        <row r="460">
          <cell r="A460" t="str">
            <v>400-30-010</v>
          </cell>
          <cell r="P460">
            <v>363396.65124999994</v>
          </cell>
          <cell r="R460">
            <v>0</v>
          </cell>
          <cell r="S460">
            <v>0</v>
          </cell>
          <cell r="X460" t="str">
            <v>IL</v>
          </cell>
        </row>
        <row r="461">
          <cell r="A461" t="str">
            <v>400-30-010</v>
          </cell>
          <cell r="P461">
            <v>2600</v>
          </cell>
          <cell r="R461">
            <v>0</v>
          </cell>
          <cell r="S461">
            <v>0</v>
          </cell>
          <cell r="X461" t="str">
            <v>COP</v>
          </cell>
        </row>
        <row r="462">
          <cell r="A462" t="str">
            <v>400-30-010</v>
          </cell>
          <cell r="P462">
            <v>3397925.6634469698</v>
          </cell>
          <cell r="R462">
            <v>425798.40000000002</v>
          </cell>
          <cell r="S462">
            <v>4375</v>
          </cell>
          <cell r="X462" t="str">
            <v>IL</v>
          </cell>
        </row>
        <row r="463">
          <cell r="A463" t="str">
            <v>400-30-020</v>
          </cell>
          <cell r="P463">
            <v>248595.7</v>
          </cell>
          <cell r="R463">
            <v>0</v>
          </cell>
          <cell r="S463">
            <v>43750</v>
          </cell>
          <cell r="X463" t="str">
            <v>IL</v>
          </cell>
        </row>
        <row r="464">
          <cell r="A464" t="str">
            <v>400-30-020</v>
          </cell>
          <cell r="P464">
            <v>3128958.4</v>
          </cell>
          <cell r="R464">
            <v>6286466.4000000004</v>
          </cell>
          <cell r="S464">
            <v>6263445</v>
          </cell>
          <cell r="X464" t="str">
            <v>IL</v>
          </cell>
        </row>
        <row r="465">
          <cell r="A465" t="str">
            <v>400-30-020</v>
          </cell>
          <cell r="P465">
            <v>351981.6</v>
          </cell>
          <cell r="R465">
            <v>0</v>
          </cell>
          <cell r="S465">
            <v>73125</v>
          </cell>
          <cell r="X465" t="str">
            <v>IL</v>
          </cell>
        </row>
        <row r="466">
          <cell r="A466" t="str">
            <v>400-30-020</v>
          </cell>
          <cell r="P466">
            <v>294391</v>
          </cell>
          <cell r="R466">
            <v>0</v>
          </cell>
          <cell r="S466">
            <v>2500</v>
          </cell>
          <cell r="X466" t="str">
            <v>IL</v>
          </cell>
        </row>
        <row r="467">
          <cell r="A467" t="str">
            <v>400-30-020</v>
          </cell>
          <cell r="P467">
            <v>10567175.324999997</v>
          </cell>
          <cell r="R467">
            <v>890647.2</v>
          </cell>
          <cell r="S467">
            <v>1704167</v>
          </cell>
          <cell r="X467" t="str">
            <v>IL</v>
          </cell>
        </row>
        <row r="468">
          <cell r="A468" t="str">
            <v>400-30-020</v>
          </cell>
          <cell r="P468">
            <v>102218.4</v>
          </cell>
          <cell r="R468">
            <v>0</v>
          </cell>
          <cell r="S468">
            <v>0</v>
          </cell>
          <cell r="X468" t="str">
            <v>IL</v>
          </cell>
        </row>
        <row r="469">
          <cell r="A469" t="str">
            <v>400-30-020</v>
          </cell>
          <cell r="P469">
            <v>351424.8</v>
          </cell>
          <cell r="R469">
            <v>0</v>
          </cell>
          <cell r="S469">
            <v>967</v>
          </cell>
          <cell r="X469" t="str">
            <v>IL</v>
          </cell>
        </row>
        <row r="470">
          <cell r="A470" t="str">
            <v>400-30-020</v>
          </cell>
          <cell r="P470">
            <v>30000</v>
          </cell>
          <cell r="R470">
            <v>0</v>
          </cell>
          <cell r="S470">
            <v>0</v>
          </cell>
          <cell r="X470" t="str">
            <v>IL</v>
          </cell>
        </row>
        <row r="471">
          <cell r="A471" t="str">
            <v>400-30-020</v>
          </cell>
          <cell r="P471">
            <v>158748</v>
          </cell>
          <cell r="R471">
            <v>2.4</v>
          </cell>
          <cell r="S471">
            <v>38750</v>
          </cell>
          <cell r="X471" t="str">
            <v>IL</v>
          </cell>
        </row>
        <row r="472">
          <cell r="A472" t="str">
            <v>400-30-020</v>
          </cell>
          <cell r="P472">
            <v>74500</v>
          </cell>
          <cell r="R472">
            <v>0</v>
          </cell>
          <cell r="S472">
            <v>0</v>
          </cell>
          <cell r="X472" t="str">
            <v>IL</v>
          </cell>
        </row>
        <row r="473">
          <cell r="A473" t="str">
            <v>400-30-020</v>
          </cell>
          <cell r="P473">
            <v>60160</v>
          </cell>
          <cell r="R473">
            <v>0</v>
          </cell>
          <cell r="S473">
            <v>0</v>
          </cell>
          <cell r="X473" t="str">
            <v>IL</v>
          </cell>
        </row>
        <row r="474">
          <cell r="A474" t="str">
            <v>400-30-020</v>
          </cell>
          <cell r="P474">
            <v>62451</v>
          </cell>
          <cell r="R474">
            <v>0</v>
          </cell>
          <cell r="S474">
            <v>9500</v>
          </cell>
          <cell r="X474" t="str">
            <v>IL</v>
          </cell>
        </row>
        <row r="475">
          <cell r="A475" t="str">
            <v>400-30-020</v>
          </cell>
          <cell r="P475">
            <v>62451</v>
          </cell>
          <cell r="R475">
            <v>0</v>
          </cell>
          <cell r="S475">
            <v>15500</v>
          </cell>
          <cell r="X475" t="str">
            <v>IL</v>
          </cell>
        </row>
        <row r="476">
          <cell r="A476" t="str">
            <v>400-30-020</v>
          </cell>
          <cell r="P476">
            <v>55908.75</v>
          </cell>
          <cell r="R476">
            <v>0</v>
          </cell>
          <cell r="S476">
            <v>3750</v>
          </cell>
          <cell r="X476" t="str">
            <v>IL</v>
          </cell>
        </row>
        <row r="477">
          <cell r="A477" t="str">
            <v>400-30-020</v>
          </cell>
          <cell r="P477">
            <v>666115.47500000044</v>
          </cell>
          <cell r="R477">
            <v>51026.400000000001</v>
          </cell>
          <cell r="S477">
            <v>4500</v>
          </cell>
          <cell r="X477" t="str">
            <v>IL</v>
          </cell>
        </row>
        <row r="478">
          <cell r="A478" t="str">
            <v>400-30-020</v>
          </cell>
          <cell r="P478">
            <v>62291</v>
          </cell>
          <cell r="R478">
            <v>0</v>
          </cell>
          <cell r="S478">
            <v>22500</v>
          </cell>
          <cell r="X478" t="str">
            <v>IL</v>
          </cell>
        </row>
        <row r="479">
          <cell r="A479" t="str">
            <v>400-30-020</v>
          </cell>
          <cell r="P479">
            <v>71156</v>
          </cell>
          <cell r="R479">
            <v>0</v>
          </cell>
          <cell r="S479">
            <v>0</v>
          </cell>
          <cell r="X479" t="str">
            <v>IL</v>
          </cell>
        </row>
        <row r="480">
          <cell r="A480" t="str">
            <v>400-30-020</v>
          </cell>
          <cell r="P480">
            <v>132051.5</v>
          </cell>
          <cell r="R480">
            <v>0</v>
          </cell>
          <cell r="S480">
            <v>0</v>
          </cell>
          <cell r="X480" t="str">
            <v>IL</v>
          </cell>
        </row>
        <row r="481">
          <cell r="A481" t="str">
            <v>400-30-020</v>
          </cell>
          <cell r="P481">
            <v>126211.5</v>
          </cell>
          <cell r="R481">
            <v>0</v>
          </cell>
          <cell r="S481">
            <v>0</v>
          </cell>
          <cell r="X481" t="str">
            <v>IL</v>
          </cell>
        </row>
        <row r="482">
          <cell r="A482" t="str">
            <v>400-30-020</v>
          </cell>
          <cell r="P482">
            <v>161447</v>
          </cell>
          <cell r="R482">
            <v>0</v>
          </cell>
          <cell r="S482">
            <v>0</v>
          </cell>
          <cell r="X482" t="str">
            <v>IL</v>
          </cell>
        </row>
        <row r="483">
          <cell r="A483" t="str">
            <v>400-30-020</v>
          </cell>
          <cell r="P483">
            <v>137451</v>
          </cell>
          <cell r="R483">
            <v>0</v>
          </cell>
          <cell r="S483">
            <v>0</v>
          </cell>
          <cell r="X483" t="str">
            <v>IL</v>
          </cell>
        </row>
        <row r="484">
          <cell r="A484" t="str">
            <v>400-30-020</v>
          </cell>
          <cell r="P484">
            <v>29298</v>
          </cell>
          <cell r="R484">
            <v>0</v>
          </cell>
          <cell r="S484">
            <v>2417</v>
          </cell>
          <cell r="X484" t="str">
            <v>IL</v>
          </cell>
        </row>
        <row r="485">
          <cell r="A485" t="str">
            <v>400-30-020</v>
          </cell>
          <cell r="P485">
            <v>71996</v>
          </cell>
          <cell r="R485">
            <v>0</v>
          </cell>
          <cell r="S485">
            <v>0</v>
          </cell>
          <cell r="X485" t="str">
            <v>COP</v>
          </cell>
        </row>
        <row r="486">
          <cell r="A486" t="str">
            <v>400-30-020</v>
          </cell>
          <cell r="P486">
            <v>27500</v>
          </cell>
          <cell r="R486">
            <v>0</v>
          </cell>
          <cell r="S486">
            <v>0</v>
          </cell>
          <cell r="X486" t="str">
            <v>IL</v>
          </cell>
        </row>
        <row r="487">
          <cell r="A487" t="str">
            <v>400-30-030</v>
          </cell>
          <cell r="P487">
            <v>0</v>
          </cell>
          <cell r="R487">
            <v>0</v>
          </cell>
          <cell r="S487">
            <v>0</v>
          </cell>
          <cell r="X487" t="str">
            <v>IL</v>
          </cell>
        </row>
        <row r="488">
          <cell r="A488" t="str">
            <v>400-30-030</v>
          </cell>
          <cell r="P488">
            <v>3095875</v>
          </cell>
          <cell r="R488">
            <v>2681136</v>
          </cell>
          <cell r="S488">
            <v>3046290</v>
          </cell>
          <cell r="X488" t="str">
            <v>IL</v>
          </cell>
        </row>
        <row r="489">
          <cell r="A489" t="str">
            <v>400-30-030</v>
          </cell>
          <cell r="P489">
            <v>0</v>
          </cell>
          <cell r="R489">
            <v>0</v>
          </cell>
          <cell r="S489">
            <v>0</v>
          </cell>
          <cell r="X489" t="str">
            <v>IL</v>
          </cell>
        </row>
        <row r="490">
          <cell r="A490" t="str">
            <v>400-30-030</v>
          </cell>
          <cell r="P490">
            <v>0</v>
          </cell>
          <cell r="R490">
            <v>0</v>
          </cell>
          <cell r="S490">
            <v>0</v>
          </cell>
          <cell r="X490" t="str">
            <v>IL</v>
          </cell>
        </row>
        <row r="491">
          <cell r="A491" t="str">
            <v>400-30-030</v>
          </cell>
          <cell r="P491">
            <v>0</v>
          </cell>
          <cell r="R491">
            <v>0</v>
          </cell>
          <cell r="S491">
            <v>0</v>
          </cell>
          <cell r="X491" t="str">
            <v>IL</v>
          </cell>
        </row>
        <row r="492">
          <cell r="A492" t="str">
            <v>400-30-030</v>
          </cell>
          <cell r="P492">
            <v>0</v>
          </cell>
          <cell r="R492">
            <v>0</v>
          </cell>
          <cell r="S492">
            <v>0</v>
          </cell>
          <cell r="X492" t="str">
            <v>IL</v>
          </cell>
        </row>
        <row r="493">
          <cell r="A493" t="str">
            <v>400-30-030</v>
          </cell>
          <cell r="P493">
            <v>0</v>
          </cell>
          <cell r="R493">
            <v>0</v>
          </cell>
          <cell r="S493">
            <v>0</v>
          </cell>
          <cell r="X493" t="str">
            <v>IL</v>
          </cell>
        </row>
        <row r="494">
          <cell r="A494" t="str">
            <v>400-30-030</v>
          </cell>
          <cell r="P494">
            <v>0</v>
          </cell>
          <cell r="R494">
            <v>0</v>
          </cell>
          <cell r="S494">
            <v>0</v>
          </cell>
          <cell r="X494" t="str">
            <v>IL</v>
          </cell>
        </row>
        <row r="495">
          <cell r="A495" t="str">
            <v>400-30-030</v>
          </cell>
          <cell r="P495">
            <v>0</v>
          </cell>
          <cell r="R495">
            <v>0</v>
          </cell>
          <cell r="S495">
            <v>0</v>
          </cell>
          <cell r="X495" t="str">
            <v>IL</v>
          </cell>
        </row>
        <row r="496">
          <cell r="A496" t="str">
            <v>400-30-030</v>
          </cell>
          <cell r="P496">
            <v>0</v>
          </cell>
          <cell r="R496">
            <v>0</v>
          </cell>
          <cell r="S496">
            <v>0</v>
          </cell>
          <cell r="X496" t="str">
            <v>IL</v>
          </cell>
        </row>
        <row r="497">
          <cell r="A497" t="str">
            <v>400-30-030</v>
          </cell>
          <cell r="P497">
            <v>0</v>
          </cell>
          <cell r="R497">
            <v>0</v>
          </cell>
          <cell r="S497">
            <v>0</v>
          </cell>
          <cell r="X497" t="str">
            <v>IL</v>
          </cell>
        </row>
        <row r="498">
          <cell r="A498" t="str">
            <v>400-30-030</v>
          </cell>
          <cell r="P498">
            <v>0</v>
          </cell>
          <cell r="R498">
            <v>0</v>
          </cell>
          <cell r="S498">
            <v>0</v>
          </cell>
          <cell r="X498" t="str">
            <v>IL</v>
          </cell>
        </row>
        <row r="499">
          <cell r="A499" t="str">
            <v>400-30-030</v>
          </cell>
          <cell r="P499">
            <v>0</v>
          </cell>
          <cell r="R499">
            <v>0</v>
          </cell>
          <cell r="S499">
            <v>0</v>
          </cell>
          <cell r="X499" t="str">
            <v>IL</v>
          </cell>
        </row>
        <row r="500">
          <cell r="A500" t="str">
            <v>400-30-030</v>
          </cell>
          <cell r="P500">
            <v>0</v>
          </cell>
          <cell r="R500">
            <v>0</v>
          </cell>
          <cell r="S500">
            <v>0</v>
          </cell>
          <cell r="X500" t="str">
            <v>IL</v>
          </cell>
        </row>
        <row r="501">
          <cell r="A501" t="str">
            <v>400-30-030</v>
          </cell>
          <cell r="P501">
            <v>0</v>
          </cell>
          <cell r="R501">
            <v>0</v>
          </cell>
          <cell r="S501">
            <v>0</v>
          </cell>
          <cell r="X501" t="str">
            <v>IL</v>
          </cell>
        </row>
        <row r="502">
          <cell r="A502" t="str">
            <v>400-30-030</v>
          </cell>
          <cell r="P502">
            <v>0</v>
          </cell>
          <cell r="R502">
            <v>0</v>
          </cell>
          <cell r="S502">
            <v>0</v>
          </cell>
          <cell r="X502" t="str">
            <v>IL</v>
          </cell>
        </row>
        <row r="503">
          <cell r="A503" t="str">
            <v>400-30-030</v>
          </cell>
          <cell r="P503">
            <v>0</v>
          </cell>
          <cell r="R503">
            <v>0</v>
          </cell>
          <cell r="S503">
            <v>0</v>
          </cell>
          <cell r="X503" t="str">
            <v>IL</v>
          </cell>
        </row>
        <row r="504">
          <cell r="A504" t="str">
            <v>400-30-030</v>
          </cell>
          <cell r="P504">
            <v>0</v>
          </cell>
          <cell r="R504">
            <v>0</v>
          </cell>
          <cell r="S504">
            <v>0</v>
          </cell>
          <cell r="X504" t="str">
            <v>IL</v>
          </cell>
        </row>
        <row r="505">
          <cell r="A505" t="str">
            <v>400-30-030</v>
          </cell>
          <cell r="P505">
            <v>0</v>
          </cell>
          <cell r="R505">
            <v>0</v>
          </cell>
          <cell r="S505">
            <v>0</v>
          </cell>
          <cell r="X505" t="str">
            <v>IL</v>
          </cell>
        </row>
        <row r="506">
          <cell r="A506" t="str">
            <v>400-30-030</v>
          </cell>
          <cell r="P506">
            <v>0</v>
          </cell>
          <cell r="R506">
            <v>0</v>
          </cell>
          <cell r="S506">
            <v>0</v>
          </cell>
          <cell r="X506" t="str">
            <v>IL</v>
          </cell>
        </row>
        <row r="507">
          <cell r="A507" t="str">
            <v>400-30-030</v>
          </cell>
          <cell r="P507">
            <v>0</v>
          </cell>
          <cell r="R507">
            <v>0</v>
          </cell>
          <cell r="S507">
            <v>0</v>
          </cell>
          <cell r="X507" t="str">
            <v>IL</v>
          </cell>
        </row>
        <row r="508">
          <cell r="A508" t="str">
            <v>400-30-030</v>
          </cell>
          <cell r="P508">
            <v>0</v>
          </cell>
          <cell r="R508">
            <v>0</v>
          </cell>
          <cell r="S508">
            <v>0</v>
          </cell>
          <cell r="X508" t="str">
            <v>IL</v>
          </cell>
        </row>
        <row r="509">
          <cell r="A509" t="str">
            <v>400-30-030</v>
          </cell>
          <cell r="P509">
            <v>0</v>
          </cell>
          <cell r="R509">
            <v>0</v>
          </cell>
          <cell r="S509">
            <v>0</v>
          </cell>
          <cell r="X509" t="str">
            <v>COP</v>
          </cell>
        </row>
        <row r="510">
          <cell r="A510" t="str">
            <v>400-30-030</v>
          </cell>
          <cell r="P510">
            <v>0</v>
          </cell>
          <cell r="R510">
            <v>0</v>
          </cell>
          <cell r="S510">
            <v>0</v>
          </cell>
          <cell r="X510" t="str">
            <v>IL</v>
          </cell>
        </row>
        <row r="511">
          <cell r="A511" t="str">
            <v>400-30-035</v>
          </cell>
          <cell r="P511">
            <v>0</v>
          </cell>
          <cell r="R511">
            <v>0</v>
          </cell>
          <cell r="S511">
            <v>0</v>
          </cell>
          <cell r="X511" t="str">
            <v>IL</v>
          </cell>
        </row>
        <row r="512">
          <cell r="A512" t="str">
            <v>400-30-035</v>
          </cell>
          <cell r="P512">
            <v>2073692.64</v>
          </cell>
          <cell r="R512">
            <v>1973856</v>
          </cell>
          <cell r="S512">
            <v>0</v>
          </cell>
          <cell r="X512" t="str">
            <v>IL</v>
          </cell>
        </row>
        <row r="513">
          <cell r="A513" t="str">
            <v>400-30-035</v>
          </cell>
          <cell r="P513">
            <v>0</v>
          </cell>
          <cell r="R513">
            <v>0</v>
          </cell>
          <cell r="S513">
            <v>0</v>
          </cell>
          <cell r="X513" t="str">
            <v>IL</v>
          </cell>
        </row>
        <row r="514">
          <cell r="A514" t="str">
            <v>400-30-035</v>
          </cell>
          <cell r="P514">
            <v>0</v>
          </cell>
          <cell r="R514">
            <v>0</v>
          </cell>
          <cell r="S514">
            <v>0</v>
          </cell>
          <cell r="X514" t="str">
            <v>IL</v>
          </cell>
        </row>
        <row r="515">
          <cell r="A515" t="str">
            <v>400-30-035</v>
          </cell>
          <cell r="P515">
            <v>0</v>
          </cell>
          <cell r="R515">
            <v>0</v>
          </cell>
          <cell r="S515">
            <v>0</v>
          </cell>
          <cell r="X515" t="str">
            <v>IL</v>
          </cell>
        </row>
        <row r="516">
          <cell r="A516" t="str">
            <v>400-30-035</v>
          </cell>
          <cell r="P516">
            <v>0</v>
          </cell>
          <cell r="R516">
            <v>0</v>
          </cell>
          <cell r="S516">
            <v>0</v>
          </cell>
          <cell r="X516" t="str">
            <v>IL</v>
          </cell>
        </row>
        <row r="517">
          <cell r="A517" t="str">
            <v>400-30-035</v>
          </cell>
          <cell r="P517">
            <v>0</v>
          </cell>
          <cell r="R517">
            <v>0</v>
          </cell>
          <cell r="S517">
            <v>0</v>
          </cell>
          <cell r="X517" t="str">
            <v>IL</v>
          </cell>
        </row>
        <row r="518">
          <cell r="A518" t="str">
            <v>400-30-035</v>
          </cell>
          <cell r="P518">
            <v>0</v>
          </cell>
          <cell r="R518">
            <v>0</v>
          </cell>
          <cell r="S518">
            <v>0</v>
          </cell>
          <cell r="X518" t="str">
            <v>IL</v>
          </cell>
        </row>
        <row r="519">
          <cell r="A519" t="str">
            <v>400-30-035</v>
          </cell>
          <cell r="P519">
            <v>0</v>
          </cell>
          <cell r="R519">
            <v>0</v>
          </cell>
          <cell r="S519">
            <v>0</v>
          </cell>
          <cell r="X519" t="str">
            <v>IL</v>
          </cell>
        </row>
        <row r="520">
          <cell r="A520" t="str">
            <v>400-30-035</v>
          </cell>
          <cell r="P520">
            <v>0</v>
          </cell>
          <cell r="R520">
            <v>0</v>
          </cell>
          <cell r="S520">
            <v>0</v>
          </cell>
          <cell r="X520" t="str">
            <v>IL</v>
          </cell>
        </row>
        <row r="521">
          <cell r="A521" t="str">
            <v>400-30-035</v>
          </cell>
          <cell r="P521">
            <v>0</v>
          </cell>
          <cell r="R521">
            <v>0</v>
          </cell>
          <cell r="S521">
            <v>0</v>
          </cell>
          <cell r="X521" t="str">
            <v>IL</v>
          </cell>
        </row>
        <row r="522">
          <cell r="A522" t="str">
            <v>400-30-035</v>
          </cell>
          <cell r="P522">
            <v>0</v>
          </cell>
          <cell r="R522">
            <v>0</v>
          </cell>
          <cell r="S522">
            <v>0</v>
          </cell>
          <cell r="X522" t="str">
            <v>IL</v>
          </cell>
        </row>
        <row r="523">
          <cell r="A523" t="str">
            <v>400-30-035</v>
          </cell>
          <cell r="P523">
            <v>0</v>
          </cell>
          <cell r="R523">
            <v>0</v>
          </cell>
          <cell r="S523">
            <v>0</v>
          </cell>
          <cell r="X523" t="str">
            <v>IL</v>
          </cell>
        </row>
        <row r="524">
          <cell r="A524" t="str">
            <v>400-30-035</v>
          </cell>
          <cell r="P524">
            <v>0</v>
          </cell>
          <cell r="R524">
            <v>0</v>
          </cell>
          <cell r="S524">
            <v>0</v>
          </cell>
          <cell r="X524" t="str">
            <v>IL</v>
          </cell>
        </row>
        <row r="525">
          <cell r="A525" t="str">
            <v>400-30-035</v>
          </cell>
          <cell r="P525">
            <v>0</v>
          </cell>
          <cell r="R525">
            <v>0</v>
          </cell>
          <cell r="S525">
            <v>0</v>
          </cell>
          <cell r="X525" t="str">
            <v>IL</v>
          </cell>
        </row>
        <row r="526">
          <cell r="A526" t="str">
            <v>400-30-035</v>
          </cell>
          <cell r="P526">
            <v>0</v>
          </cell>
          <cell r="R526">
            <v>0</v>
          </cell>
          <cell r="S526">
            <v>0</v>
          </cell>
          <cell r="X526" t="str">
            <v>IL</v>
          </cell>
        </row>
        <row r="527">
          <cell r="A527" t="str">
            <v>400-30-035</v>
          </cell>
          <cell r="P527">
            <v>0</v>
          </cell>
          <cell r="R527">
            <v>0</v>
          </cell>
          <cell r="S527">
            <v>0</v>
          </cell>
          <cell r="X527" t="str">
            <v>IL</v>
          </cell>
        </row>
        <row r="528">
          <cell r="A528" t="str">
            <v>400-30-035</v>
          </cell>
          <cell r="P528">
            <v>0</v>
          </cell>
          <cell r="R528">
            <v>0</v>
          </cell>
          <cell r="S528">
            <v>0</v>
          </cell>
          <cell r="X528" t="str">
            <v>IL</v>
          </cell>
        </row>
        <row r="529">
          <cell r="A529" t="str">
            <v>400-30-035</v>
          </cell>
          <cell r="P529">
            <v>0</v>
          </cell>
          <cell r="R529">
            <v>0</v>
          </cell>
          <cell r="S529">
            <v>0</v>
          </cell>
          <cell r="X529" t="str">
            <v>IL</v>
          </cell>
        </row>
        <row r="530">
          <cell r="A530" t="str">
            <v>400-30-035</v>
          </cell>
          <cell r="P530">
            <v>0</v>
          </cell>
          <cell r="R530">
            <v>0</v>
          </cell>
          <cell r="S530">
            <v>0</v>
          </cell>
          <cell r="X530" t="str">
            <v>IL</v>
          </cell>
        </row>
        <row r="531">
          <cell r="A531" t="str">
            <v>400-30-035</v>
          </cell>
          <cell r="P531">
            <v>0</v>
          </cell>
          <cell r="R531">
            <v>0</v>
          </cell>
          <cell r="S531">
            <v>0</v>
          </cell>
          <cell r="X531" t="str">
            <v>IL</v>
          </cell>
        </row>
        <row r="532">
          <cell r="A532" t="str">
            <v>400-30-035</v>
          </cell>
          <cell r="P532">
            <v>0</v>
          </cell>
          <cell r="R532">
            <v>0</v>
          </cell>
          <cell r="S532">
            <v>0</v>
          </cell>
          <cell r="X532" t="str">
            <v>IL</v>
          </cell>
        </row>
        <row r="533">
          <cell r="A533" t="str">
            <v>400-30-035</v>
          </cell>
          <cell r="P533">
            <v>0</v>
          </cell>
          <cell r="R533">
            <v>0</v>
          </cell>
          <cell r="S533">
            <v>0</v>
          </cell>
          <cell r="X533" t="str">
            <v>COP</v>
          </cell>
        </row>
        <row r="534">
          <cell r="A534" t="str">
            <v>400-30-035</v>
          </cell>
          <cell r="P534">
            <v>0</v>
          </cell>
          <cell r="R534">
            <v>0</v>
          </cell>
          <cell r="S534">
            <v>0</v>
          </cell>
          <cell r="X534" t="str">
            <v>IL</v>
          </cell>
        </row>
        <row r="535">
          <cell r="A535" t="str">
            <v>400-30-040</v>
          </cell>
          <cell r="P535">
            <v>561000</v>
          </cell>
          <cell r="R535">
            <v>0</v>
          </cell>
          <cell r="S535">
            <v>0</v>
          </cell>
          <cell r="X535" t="str">
            <v>IL</v>
          </cell>
        </row>
        <row r="536">
          <cell r="A536" t="str">
            <v>400-30-040</v>
          </cell>
          <cell r="P536">
            <v>715200</v>
          </cell>
          <cell r="R536">
            <v>5738899.1999999993</v>
          </cell>
          <cell r="S536">
            <v>5481992</v>
          </cell>
          <cell r="X536" t="str">
            <v>IL</v>
          </cell>
        </row>
        <row r="537">
          <cell r="A537" t="str">
            <v>400-30-040</v>
          </cell>
          <cell r="P537">
            <v>694800</v>
          </cell>
          <cell r="R537">
            <v>0</v>
          </cell>
          <cell r="S537">
            <v>0</v>
          </cell>
          <cell r="X537" t="str">
            <v>IL</v>
          </cell>
        </row>
        <row r="538">
          <cell r="A538" t="str">
            <v>400-30-040</v>
          </cell>
          <cell r="P538">
            <v>660000</v>
          </cell>
          <cell r="R538">
            <v>0</v>
          </cell>
          <cell r="S538">
            <v>0</v>
          </cell>
          <cell r="X538" t="str">
            <v>IL</v>
          </cell>
        </row>
        <row r="539">
          <cell r="A539" t="str">
            <v>400-30-040</v>
          </cell>
          <cell r="P539">
            <v>510000</v>
          </cell>
          <cell r="R539">
            <v>0</v>
          </cell>
          <cell r="S539">
            <v>0</v>
          </cell>
          <cell r="X539" t="str">
            <v>IL</v>
          </cell>
        </row>
        <row r="540">
          <cell r="A540" t="str">
            <v>400-30-040</v>
          </cell>
          <cell r="P540">
            <v>256200</v>
          </cell>
          <cell r="R540">
            <v>0</v>
          </cell>
          <cell r="S540">
            <v>0</v>
          </cell>
          <cell r="X540" t="str">
            <v>IL</v>
          </cell>
        </row>
        <row r="541">
          <cell r="A541" t="str">
            <v>400-30-040</v>
          </cell>
          <cell r="P541">
            <v>1360200</v>
          </cell>
          <cell r="R541">
            <v>0</v>
          </cell>
          <cell r="S541">
            <v>0</v>
          </cell>
          <cell r="X541" t="str">
            <v>IL</v>
          </cell>
        </row>
        <row r="542">
          <cell r="A542" t="str">
            <v>400-30-040</v>
          </cell>
          <cell r="P542">
            <v>117600</v>
          </cell>
          <cell r="R542">
            <v>0</v>
          </cell>
          <cell r="S542">
            <v>0</v>
          </cell>
          <cell r="X542" t="str">
            <v>IL</v>
          </cell>
        </row>
        <row r="543">
          <cell r="A543" t="str">
            <v>400-30-040</v>
          </cell>
          <cell r="P543">
            <v>482830</v>
          </cell>
          <cell r="R543">
            <v>0</v>
          </cell>
          <cell r="S543">
            <v>0</v>
          </cell>
          <cell r="X543" t="str">
            <v>IL</v>
          </cell>
        </row>
        <row r="544">
          <cell r="A544" t="str">
            <v>400-30-040</v>
          </cell>
          <cell r="P544">
            <v>1200000</v>
          </cell>
          <cell r="R544">
            <v>1173278.3999999999</v>
          </cell>
          <cell r="S544">
            <v>1215360</v>
          </cell>
          <cell r="X544" t="str">
            <v>IL</v>
          </cell>
        </row>
        <row r="545">
          <cell r="A545" t="str">
            <v>400-30-040</v>
          </cell>
          <cell r="P545">
            <v>529200</v>
          </cell>
          <cell r="R545">
            <v>504000</v>
          </cell>
          <cell r="S545">
            <v>629184</v>
          </cell>
          <cell r="X545" t="str">
            <v>IL</v>
          </cell>
        </row>
        <row r="546">
          <cell r="A546" t="str">
            <v>400-30-040</v>
          </cell>
          <cell r="P546">
            <v>414000</v>
          </cell>
          <cell r="R546">
            <v>372019.20000000001</v>
          </cell>
          <cell r="S546">
            <v>384000</v>
          </cell>
          <cell r="X546" t="str">
            <v>IL</v>
          </cell>
        </row>
        <row r="547">
          <cell r="A547" t="str">
            <v>400-30-040</v>
          </cell>
          <cell r="P547">
            <v>26880</v>
          </cell>
          <cell r="R547">
            <v>249480</v>
          </cell>
          <cell r="S547">
            <v>264000</v>
          </cell>
          <cell r="X547" t="str">
            <v>IL</v>
          </cell>
        </row>
        <row r="548">
          <cell r="A548" t="str">
            <v>400-30-040</v>
          </cell>
          <cell r="P548">
            <v>564000</v>
          </cell>
          <cell r="R548">
            <v>490586.4</v>
          </cell>
          <cell r="S548">
            <v>551640</v>
          </cell>
          <cell r="X548" t="str">
            <v>IL</v>
          </cell>
        </row>
        <row r="549">
          <cell r="A549" t="str">
            <v>400-30-040</v>
          </cell>
          <cell r="P549">
            <v>785026</v>
          </cell>
          <cell r="R549">
            <v>850932</v>
          </cell>
          <cell r="S549">
            <v>845400</v>
          </cell>
          <cell r="X549" t="str">
            <v>IL</v>
          </cell>
        </row>
        <row r="550">
          <cell r="A550" t="str">
            <v>400-30-040</v>
          </cell>
          <cell r="P550">
            <v>343200</v>
          </cell>
          <cell r="R550">
            <v>313768.8</v>
          </cell>
          <cell r="S550">
            <v>345145</v>
          </cell>
          <cell r="X550" t="str">
            <v>IL</v>
          </cell>
        </row>
        <row r="551">
          <cell r="A551" t="str">
            <v>400-30-040</v>
          </cell>
          <cell r="P551">
            <v>432000</v>
          </cell>
          <cell r="R551">
            <v>384652.79999999999</v>
          </cell>
          <cell r="S551">
            <v>391776</v>
          </cell>
          <cell r="X551" t="str">
            <v>IL</v>
          </cell>
        </row>
        <row r="552">
          <cell r="A552" t="str">
            <v>400-30-040</v>
          </cell>
          <cell r="P552">
            <v>1328700</v>
          </cell>
          <cell r="R552">
            <v>1282800</v>
          </cell>
          <cell r="S552">
            <v>1116000</v>
          </cell>
          <cell r="X552" t="str">
            <v>IL</v>
          </cell>
        </row>
        <row r="553">
          <cell r="A553" t="str">
            <v>400-30-040</v>
          </cell>
          <cell r="P553">
            <v>339000</v>
          </cell>
          <cell r="R553">
            <v>342720</v>
          </cell>
          <cell r="S553">
            <v>369600</v>
          </cell>
          <cell r="X553" t="str">
            <v>IL</v>
          </cell>
        </row>
        <row r="554">
          <cell r="A554" t="str">
            <v>400-30-040</v>
          </cell>
          <cell r="P554">
            <v>349872</v>
          </cell>
          <cell r="R554">
            <v>289872</v>
          </cell>
          <cell r="S554">
            <v>318864</v>
          </cell>
          <cell r="X554" t="str">
            <v>IL</v>
          </cell>
        </row>
        <row r="555">
          <cell r="A555" t="str">
            <v>400-30-040</v>
          </cell>
          <cell r="P555">
            <v>362280</v>
          </cell>
          <cell r="R555">
            <v>293491.20000000001</v>
          </cell>
          <cell r="S555">
            <v>384000</v>
          </cell>
          <cell r="X555" t="str">
            <v>IL</v>
          </cell>
        </row>
        <row r="556">
          <cell r="A556" t="str">
            <v>400-30-040</v>
          </cell>
          <cell r="P556">
            <v>758940</v>
          </cell>
          <cell r="R556">
            <v>1029180</v>
          </cell>
          <cell r="S556">
            <v>1350000</v>
          </cell>
          <cell r="X556" t="str">
            <v>IL</v>
          </cell>
        </row>
        <row r="557">
          <cell r="A557" t="str">
            <v>400-30-040</v>
          </cell>
          <cell r="P557">
            <v>689300</v>
          </cell>
          <cell r="R557">
            <v>719152.8</v>
          </cell>
          <cell r="S557">
            <v>661800</v>
          </cell>
          <cell r="X557" t="str">
            <v>COP</v>
          </cell>
        </row>
        <row r="558">
          <cell r="A558" t="str">
            <v>400-30-040</v>
          </cell>
          <cell r="P558">
            <v>0</v>
          </cell>
          <cell r="R558">
            <v>0</v>
          </cell>
          <cell r="S558">
            <v>0</v>
          </cell>
          <cell r="X558" t="str">
            <v>IL</v>
          </cell>
        </row>
        <row r="559">
          <cell r="A559" t="str">
            <v>400-30-050</v>
          </cell>
          <cell r="P559">
            <v>0</v>
          </cell>
          <cell r="R559">
            <v>0</v>
          </cell>
          <cell r="S559">
            <v>0</v>
          </cell>
          <cell r="X559" t="str">
            <v>IL</v>
          </cell>
        </row>
        <row r="560">
          <cell r="A560" t="str">
            <v>400-30-050</v>
          </cell>
          <cell r="P560">
            <v>0</v>
          </cell>
          <cell r="R560">
            <v>0</v>
          </cell>
          <cell r="S560">
            <v>0</v>
          </cell>
          <cell r="X560" t="str">
            <v>IL</v>
          </cell>
        </row>
        <row r="561">
          <cell r="A561" t="str">
            <v>400-30-050</v>
          </cell>
          <cell r="P561">
            <v>0</v>
          </cell>
          <cell r="R561">
            <v>0</v>
          </cell>
          <cell r="S561">
            <v>0</v>
          </cell>
          <cell r="X561" t="str">
            <v>IL</v>
          </cell>
        </row>
        <row r="562">
          <cell r="A562" t="str">
            <v>400-30-050</v>
          </cell>
          <cell r="P562">
            <v>2635200</v>
          </cell>
          <cell r="R562">
            <v>2356896</v>
          </cell>
          <cell r="S562">
            <v>2599096</v>
          </cell>
          <cell r="X562" t="str">
            <v>IL</v>
          </cell>
        </row>
        <row r="563">
          <cell r="A563" t="str">
            <v>400-30-050</v>
          </cell>
          <cell r="P563">
            <v>0</v>
          </cell>
          <cell r="R563">
            <v>0</v>
          </cell>
          <cell r="S563">
            <v>0</v>
          </cell>
          <cell r="X563" t="str">
            <v>IL</v>
          </cell>
        </row>
        <row r="564">
          <cell r="A564" t="str">
            <v>400-30-050</v>
          </cell>
          <cell r="P564">
            <v>0</v>
          </cell>
          <cell r="R564">
            <v>0</v>
          </cell>
          <cell r="S564">
            <v>0</v>
          </cell>
          <cell r="X564" t="str">
            <v>IL</v>
          </cell>
        </row>
        <row r="565">
          <cell r="A565" t="str">
            <v>400-30-050</v>
          </cell>
          <cell r="P565">
            <v>0</v>
          </cell>
          <cell r="R565">
            <v>0</v>
          </cell>
          <cell r="S565">
            <v>0</v>
          </cell>
          <cell r="X565" t="str">
            <v>IL</v>
          </cell>
        </row>
        <row r="566">
          <cell r="A566" t="str">
            <v>400-30-050</v>
          </cell>
          <cell r="P566">
            <v>0</v>
          </cell>
          <cell r="R566">
            <v>0</v>
          </cell>
          <cell r="S566">
            <v>0</v>
          </cell>
          <cell r="X566" t="str">
            <v>IL</v>
          </cell>
        </row>
        <row r="567">
          <cell r="A567" t="str">
            <v>400-30-050</v>
          </cell>
          <cell r="P567">
            <v>0</v>
          </cell>
          <cell r="R567">
            <v>0</v>
          </cell>
          <cell r="S567">
            <v>0</v>
          </cell>
          <cell r="X567" t="str">
            <v>IL</v>
          </cell>
        </row>
        <row r="568">
          <cell r="A568" t="str">
            <v>400-30-050</v>
          </cell>
          <cell r="P568">
            <v>111560</v>
          </cell>
          <cell r="R568">
            <v>96000</v>
          </cell>
          <cell r="S568">
            <v>40000</v>
          </cell>
          <cell r="X568" t="str">
            <v>IL</v>
          </cell>
        </row>
        <row r="569">
          <cell r="A569" t="str">
            <v>400-30-050</v>
          </cell>
          <cell r="P569">
            <v>95400</v>
          </cell>
          <cell r="R569">
            <v>133447.20000000001</v>
          </cell>
          <cell r="S569">
            <v>108000</v>
          </cell>
          <cell r="X569" t="str">
            <v>IL</v>
          </cell>
        </row>
        <row r="570">
          <cell r="A570" t="str">
            <v>400-30-050</v>
          </cell>
          <cell r="P570">
            <v>230860</v>
          </cell>
          <cell r="R570">
            <v>87292.800000000003</v>
          </cell>
          <cell r="S570">
            <v>72700</v>
          </cell>
          <cell r="X570" t="str">
            <v>IL</v>
          </cell>
        </row>
        <row r="571">
          <cell r="A571" t="str">
            <v>400-30-050</v>
          </cell>
          <cell r="P571">
            <v>157848</v>
          </cell>
          <cell r="R571">
            <v>80004</v>
          </cell>
          <cell r="S571">
            <v>136000</v>
          </cell>
          <cell r="X571" t="str">
            <v>IL</v>
          </cell>
        </row>
        <row r="572">
          <cell r="A572" t="str">
            <v>400-30-050</v>
          </cell>
          <cell r="P572">
            <v>123600</v>
          </cell>
          <cell r="R572">
            <v>95157.6</v>
          </cell>
          <cell r="S572">
            <v>116600</v>
          </cell>
          <cell r="X572" t="str">
            <v>IL</v>
          </cell>
        </row>
        <row r="573">
          <cell r="A573" t="str">
            <v>400-30-050</v>
          </cell>
          <cell r="P573">
            <v>0</v>
          </cell>
          <cell r="R573">
            <v>0</v>
          </cell>
          <cell r="S573">
            <v>0</v>
          </cell>
          <cell r="X573" t="str">
            <v>IL</v>
          </cell>
        </row>
        <row r="574">
          <cell r="A574" t="str">
            <v>400-30-050</v>
          </cell>
          <cell r="P574">
            <v>98004</v>
          </cell>
          <cell r="R574">
            <v>105369.60000000001</v>
          </cell>
          <cell r="S574">
            <v>97000</v>
          </cell>
          <cell r="X574" t="str">
            <v>IL</v>
          </cell>
        </row>
        <row r="575">
          <cell r="A575" t="str">
            <v>400-30-050</v>
          </cell>
          <cell r="P575">
            <v>173860</v>
          </cell>
          <cell r="R575">
            <v>94284</v>
          </cell>
          <cell r="S575">
            <v>68600</v>
          </cell>
          <cell r="X575" t="str">
            <v>IL</v>
          </cell>
        </row>
        <row r="576">
          <cell r="A576" t="str">
            <v>400-30-050</v>
          </cell>
          <cell r="P576">
            <v>99600</v>
          </cell>
          <cell r="R576">
            <v>93175.2</v>
          </cell>
          <cell r="S576">
            <v>96000</v>
          </cell>
          <cell r="X576" t="str">
            <v>IL</v>
          </cell>
        </row>
        <row r="577">
          <cell r="A577" t="str">
            <v>400-30-050</v>
          </cell>
          <cell r="P577">
            <v>199200</v>
          </cell>
          <cell r="R577">
            <v>93266.4</v>
          </cell>
          <cell r="S577">
            <v>168000</v>
          </cell>
          <cell r="X577" t="str">
            <v>IL</v>
          </cell>
        </row>
        <row r="578">
          <cell r="A578" t="str">
            <v>400-30-050</v>
          </cell>
          <cell r="P578">
            <v>99376</v>
          </cell>
          <cell r="R578">
            <v>83347.199999999997</v>
          </cell>
          <cell r="S578">
            <v>78400</v>
          </cell>
          <cell r="X578" t="str">
            <v>IL</v>
          </cell>
        </row>
        <row r="579">
          <cell r="A579" t="str">
            <v>400-30-050</v>
          </cell>
          <cell r="P579">
            <v>247400</v>
          </cell>
          <cell r="R579">
            <v>86208</v>
          </cell>
          <cell r="S579">
            <v>81900</v>
          </cell>
          <cell r="X579" t="str">
            <v>IL</v>
          </cell>
        </row>
        <row r="580">
          <cell r="A580" t="str">
            <v>400-30-050</v>
          </cell>
          <cell r="P580">
            <v>174200</v>
          </cell>
          <cell r="R580">
            <v>116217.60000000001</v>
          </cell>
          <cell r="S580">
            <v>195000</v>
          </cell>
          <cell r="X580" t="str">
            <v>IL</v>
          </cell>
        </row>
        <row r="581">
          <cell r="A581" t="str">
            <v>400-30-050</v>
          </cell>
          <cell r="P581">
            <v>163120</v>
          </cell>
          <cell r="R581">
            <v>0</v>
          </cell>
          <cell r="S581">
            <v>0</v>
          </cell>
          <cell r="X581" t="str">
            <v>COP</v>
          </cell>
        </row>
        <row r="582">
          <cell r="A582" t="str">
            <v>400-30-050</v>
          </cell>
          <cell r="P582">
            <v>243000</v>
          </cell>
          <cell r="R582">
            <v>0</v>
          </cell>
          <cell r="S582">
            <v>0</v>
          </cell>
          <cell r="X582" t="str">
            <v>IL</v>
          </cell>
        </row>
        <row r="583">
          <cell r="A583" t="str">
            <v>400-30-060</v>
          </cell>
          <cell r="P583">
            <v>0</v>
          </cell>
          <cell r="R583">
            <v>0</v>
          </cell>
          <cell r="S583">
            <v>0</v>
          </cell>
          <cell r="X583" t="str">
            <v>IL</v>
          </cell>
        </row>
        <row r="584">
          <cell r="A584" t="str">
            <v>400-30-060</v>
          </cell>
          <cell r="P584">
            <v>0</v>
          </cell>
          <cell r="R584">
            <v>0</v>
          </cell>
          <cell r="S584">
            <v>0</v>
          </cell>
          <cell r="X584" t="str">
            <v>IL</v>
          </cell>
        </row>
        <row r="585">
          <cell r="A585" t="str">
            <v>400-30-060</v>
          </cell>
          <cell r="P585">
            <v>0</v>
          </cell>
          <cell r="R585">
            <v>0</v>
          </cell>
          <cell r="S585">
            <v>0</v>
          </cell>
          <cell r="X585" t="str">
            <v>IL</v>
          </cell>
        </row>
        <row r="586">
          <cell r="A586" t="str">
            <v>400-30-060</v>
          </cell>
          <cell r="P586">
            <v>0</v>
          </cell>
          <cell r="R586">
            <v>168000</v>
          </cell>
          <cell r="S586">
            <v>0</v>
          </cell>
          <cell r="X586" t="str">
            <v>IL</v>
          </cell>
        </row>
        <row r="587">
          <cell r="A587" t="str">
            <v>400-30-060</v>
          </cell>
          <cell r="P587">
            <v>0</v>
          </cell>
          <cell r="R587">
            <v>0</v>
          </cell>
          <cell r="S587">
            <v>0</v>
          </cell>
          <cell r="X587" t="str">
            <v>IL</v>
          </cell>
        </row>
        <row r="588">
          <cell r="A588" t="str">
            <v>400-30-060</v>
          </cell>
          <cell r="P588">
            <v>0</v>
          </cell>
          <cell r="R588">
            <v>0</v>
          </cell>
          <cell r="S588">
            <v>0</v>
          </cell>
          <cell r="X588" t="str">
            <v>IL</v>
          </cell>
        </row>
        <row r="589">
          <cell r="A589" t="str">
            <v>400-30-060</v>
          </cell>
          <cell r="P589">
            <v>0</v>
          </cell>
          <cell r="R589">
            <v>0</v>
          </cell>
          <cell r="S589">
            <v>0</v>
          </cell>
          <cell r="X589" t="str">
            <v>IL</v>
          </cell>
        </row>
        <row r="590">
          <cell r="A590" t="str">
            <v>400-30-060</v>
          </cell>
          <cell r="P590">
            <v>0</v>
          </cell>
          <cell r="R590">
            <v>0</v>
          </cell>
          <cell r="S590">
            <v>0</v>
          </cell>
          <cell r="X590" t="str">
            <v>IL</v>
          </cell>
        </row>
        <row r="591">
          <cell r="A591" t="str">
            <v>400-30-060</v>
          </cell>
          <cell r="P591">
            <v>0</v>
          </cell>
          <cell r="R591">
            <v>0</v>
          </cell>
          <cell r="S591">
            <v>0</v>
          </cell>
          <cell r="X591" t="str">
            <v>IL</v>
          </cell>
        </row>
        <row r="592">
          <cell r="A592" t="str">
            <v>400-30-060</v>
          </cell>
          <cell r="P592">
            <v>0</v>
          </cell>
          <cell r="R592">
            <v>0</v>
          </cell>
          <cell r="S592">
            <v>0</v>
          </cell>
          <cell r="X592" t="str">
            <v>IL</v>
          </cell>
        </row>
        <row r="593">
          <cell r="A593" t="str">
            <v>400-30-060</v>
          </cell>
          <cell r="P593">
            <v>0</v>
          </cell>
          <cell r="R593">
            <v>0</v>
          </cell>
          <cell r="S593">
            <v>0</v>
          </cell>
          <cell r="X593" t="str">
            <v>IL</v>
          </cell>
        </row>
        <row r="594">
          <cell r="A594" t="str">
            <v>400-30-060</v>
          </cell>
          <cell r="P594">
            <v>7500</v>
          </cell>
          <cell r="R594">
            <v>0</v>
          </cell>
          <cell r="S594">
            <v>0</v>
          </cell>
          <cell r="X594" t="str">
            <v>IL</v>
          </cell>
        </row>
        <row r="595">
          <cell r="A595" t="str">
            <v>400-30-060</v>
          </cell>
          <cell r="P595">
            <v>2400</v>
          </cell>
          <cell r="R595">
            <v>0</v>
          </cell>
          <cell r="S595">
            <v>0</v>
          </cell>
          <cell r="X595" t="str">
            <v>IL</v>
          </cell>
        </row>
        <row r="596">
          <cell r="A596" t="str">
            <v>400-30-060</v>
          </cell>
          <cell r="P596">
            <v>6000</v>
          </cell>
          <cell r="R596">
            <v>0</v>
          </cell>
          <cell r="S596">
            <v>0</v>
          </cell>
          <cell r="X596" t="str">
            <v>IL</v>
          </cell>
        </row>
        <row r="597">
          <cell r="A597" t="str">
            <v>400-30-060</v>
          </cell>
          <cell r="P597">
            <v>21600</v>
          </cell>
          <cell r="R597">
            <v>0</v>
          </cell>
          <cell r="S597">
            <v>0</v>
          </cell>
          <cell r="X597" t="str">
            <v>IL</v>
          </cell>
        </row>
        <row r="598">
          <cell r="A598" t="str">
            <v>400-30-060</v>
          </cell>
          <cell r="P598">
            <v>0</v>
          </cell>
          <cell r="R598">
            <v>0</v>
          </cell>
          <cell r="S598">
            <v>0</v>
          </cell>
          <cell r="X598" t="str">
            <v>IL</v>
          </cell>
        </row>
        <row r="599">
          <cell r="A599" t="str">
            <v>400-30-060</v>
          </cell>
          <cell r="P599">
            <v>4000</v>
          </cell>
          <cell r="R599">
            <v>0</v>
          </cell>
          <cell r="S599">
            <v>0</v>
          </cell>
          <cell r="X599" t="str">
            <v>IL</v>
          </cell>
        </row>
        <row r="600">
          <cell r="A600" t="str">
            <v>400-30-060</v>
          </cell>
          <cell r="P600">
            <v>0</v>
          </cell>
          <cell r="R600">
            <v>0</v>
          </cell>
          <cell r="S600">
            <v>0</v>
          </cell>
          <cell r="X600" t="str">
            <v>IL</v>
          </cell>
        </row>
        <row r="601">
          <cell r="A601" t="str">
            <v>400-30-060</v>
          </cell>
          <cell r="P601">
            <v>0</v>
          </cell>
          <cell r="R601">
            <v>3885.6</v>
          </cell>
          <cell r="S601">
            <v>6000</v>
          </cell>
          <cell r="X601" t="str">
            <v>IL</v>
          </cell>
        </row>
        <row r="602">
          <cell r="A602" t="str">
            <v>400-30-060</v>
          </cell>
          <cell r="P602">
            <v>3000</v>
          </cell>
          <cell r="R602">
            <v>0</v>
          </cell>
          <cell r="S602">
            <v>0</v>
          </cell>
          <cell r="X602" t="str">
            <v>IL</v>
          </cell>
        </row>
        <row r="603">
          <cell r="A603" t="str">
            <v>400-30-060</v>
          </cell>
          <cell r="P603">
            <v>8500</v>
          </cell>
          <cell r="R603">
            <v>0</v>
          </cell>
          <cell r="S603">
            <v>0</v>
          </cell>
          <cell r="X603" t="str">
            <v>IL</v>
          </cell>
        </row>
        <row r="604">
          <cell r="A604" t="str">
            <v>400-30-060</v>
          </cell>
          <cell r="P604">
            <v>3600</v>
          </cell>
          <cell r="R604">
            <v>0</v>
          </cell>
          <cell r="S604">
            <v>0</v>
          </cell>
          <cell r="X604" t="str">
            <v>IL</v>
          </cell>
        </row>
        <row r="605">
          <cell r="A605" t="str">
            <v>400-30-060</v>
          </cell>
          <cell r="P605">
            <v>0</v>
          </cell>
          <cell r="R605">
            <v>0</v>
          </cell>
          <cell r="S605">
            <v>0</v>
          </cell>
          <cell r="X605" t="str">
            <v>COP</v>
          </cell>
        </row>
        <row r="606">
          <cell r="A606" t="str">
            <v>400-30-060</v>
          </cell>
          <cell r="P606">
            <v>168000</v>
          </cell>
          <cell r="R606">
            <v>0</v>
          </cell>
          <cell r="S606">
            <v>0</v>
          </cell>
          <cell r="X606" t="str">
            <v>IL</v>
          </cell>
        </row>
        <row r="607">
          <cell r="A607" t="str">
            <v>400-30-070</v>
          </cell>
          <cell r="P607">
            <v>0</v>
          </cell>
          <cell r="R607">
            <v>0</v>
          </cell>
          <cell r="S607">
            <v>0</v>
          </cell>
          <cell r="X607" t="str">
            <v>IL</v>
          </cell>
        </row>
        <row r="608">
          <cell r="A608" t="str">
            <v>400-30-070</v>
          </cell>
          <cell r="P608">
            <v>0</v>
          </cell>
          <cell r="R608">
            <v>0</v>
          </cell>
          <cell r="S608">
            <v>0</v>
          </cell>
          <cell r="X608" t="str">
            <v>IL</v>
          </cell>
        </row>
        <row r="609">
          <cell r="A609" t="str">
            <v>400-30-070</v>
          </cell>
          <cell r="P609">
            <v>0</v>
          </cell>
          <cell r="R609">
            <v>0</v>
          </cell>
          <cell r="S609">
            <v>0</v>
          </cell>
          <cell r="X609" t="str">
            <v>IL</v>
          </cell>
        </row>
        <row r="610">
          <cell r="A610" t="str">
            <v>400-30-070</v>
          </cell>
          <cell r="P610">
            <v>0</v>
          </cell>
          <cell r="R610">
            <v>0</v>
          </cell>
          <cell r="S610">
            <v>0</v>
          </cell>
          <cell r="X610" t="str">
            <v>IL</v>
          </cell>
        </row>
        <row r="611">
          <cell r="A611" t="str">
            <v>400-30-070</v>
          </cell>
          <cell r="P611">
            <v>0</v>
          </cell>
          <cell r="R611">
            <v>0</v>
          </cell>
          <cell r="S611">
            <v>0</v>
          </cell>
          <cell r="X611" t="str">
            <v>IL</v>
          </cell>
        </row>
        <row r="612">
          <cell r="A612" t="str">
            <v>400-30-070</v>
          </cell>
          <cell r="P612">
            <v>0</v>
          </cell>
          <cell r="R612">
            <v>0</v>
          </cell>
          <cell r="S612">
            <v>0</v>
          </cell>
          <cell r="X612" t="str">
            <v>IL</v>
          </cell>
        </row>
        <row r="613">
          <cell r="A613" t="str">
            <v>400-30-070</v>
          </cell>
          <cell r="P613">
            <v>0</v>
          </cell>
          <cell r="R613">
            <v>0</v>
          </cell>
          <cell r="S613">
            <v>0</v>
          </cell>
          <cell r="X613" t="str">
            <v>IL</v>
          </cell>
        </row>
        <row r="614">
          <cell r="A614" t="str">
            <v>400-30-070</v>
          </cell>
          <cell r="P614">
            <v>0</v>
          </cell>
          <cell r="R614">
            <v>0</v>
          </cell>
          <cell r="S614">
            <v>0</v>
          </cell>
          <cell r="X614" t="str">
            <v>IL</v>
          </cell>
        </row>
        <row r="615">
          <cell r="A615" t="str">
            <v>400-30-070</v>
          </cell>
          <cell r="P615">
            <v>0</v>
          </cell>
          <cell r="R615">
            <v>0</v>
          </cell>
          <cell r="S615">
            <v>0</v>
          </cell>
          <cell r="X615" t="str">
            <v>IL</v>
          </cell>
        </row>
        <row r="616">
          <cell r="A616" t="str">
            <v>400-30-070</v>
          </cell>
          <cell r="P616">
            <v>0</v>
          </cell>
          <cell r="R616">
            <v>0</v>
          </cell>
          <cell r="S616">
            <v>0</v>
          </cell>
          <cell r="X616" t="str">
            <v>IL</v>
          </cell>
        </row>
        <row r="617">
          <cell r="A617" t="str">
            <v>400-30-070</v>
          </cell>
          <cell r="P617">
            <v>0</v>
          </cell>
          <cell r="R617">
            <v>0</v>
          </cell>
          <cell r="S617">
            <v>0</v>
          </cell>
          <cell r="X617" t="str">
            <v>IL</v>
          </cell>
        </row>
        <row r="618">
          <cell r="A618" t="str">
            <v>400-30-070</v>
          </cell>
          <cell r="P618">
            <v>55000</v>
          </cell>
          <cell r="R618">
            <v>0</v>
          </cell>
          <cell r="S618">
            <v>0</v>
          </cell>
          <cell r="X618" t="str">
            <v>IL</v>
          </cell>
        </row>
        <row r="619">
          <cell r="A619" t="str">
            <v>400-30-070</v>
          </cell>
          <cell r="P619">
            <v>21420</v>
          </cell>
          <cell r="R619">
            <v>6000</v>
          </cell>
          <cell r="S619">
            <v>18000</v>
          </cell>
          <cell r="X619" t="str">
            <v>IL</v>
          </cell>
        </row>
        <row r="620">
          <cell r="A620" t="str">
            <v>400-30-070</v>
          </cell>
          <cell r="P620">
            <v>24000</v>
          </cell>
          <cell r="R620">
            <v>13324.8</v>
          </cell>
          <cell r="S620">
            <v>14400</v>
          </cell>
          <cell r="X620" t="str">
            <v>IL</v>
          </cell>
        </row>
        <row r="621">
          <cell r="A621" t="str">
            <v>400-30-070</v>
          </cell>
          <cell r="P621">
            <v>0</v>
          </cell>
          <cell r="R621">
            <v>0</v>
          </cell>
          <cell r="S621">
            <v>0</v>
          </cell>
          <cell r="X621" t="str">
            <v>IL</v>
          </cell>
        </row>
        <row r="622">
          <cell r="A622" t="str">
            <v>400-30-070</v>
          </cell>
          <cell r="P622">
            <v>86400</v>
          </cell>
          <cell r="R622">
            <v>14054.4</v>
          </cell>
          <cell r="S622">
            <v>24000</v>
          </cell>
          <cell r="X622" t="str">
            <v>IL</v>
          </cell>
        </row>
        <row r="623">
          <cell r="A623" t="str">
            <v>400-30-070</v>
          </cell>
          <cell r="P623">
            <v>24000</v>
          </cell>
          <cell r="R623">
            <v>684</v>
          </cell>
          <cell r="S623">
            <v>36000</v>
          </cell>
          <cell r="X623" t="str">
            <v>IL</v>
          </cell>
        </row>
        <row r="624">
          <cell r="A624" t="str">
            <v>400-30-070</v>
          </cell>
          <cell r="P624">
            <v>0</v>
          </cell>
          <cell r="R624">
            <v>0</v>
          </cell>
          <cell r="S624">
            <v>0</v>
          </cell>
          <cell r="X624" t="str">
            <v>IL</v>
          </cell>
        </row>
        <row r="625">
          <cell r="A625" t="str">
            <v>400-30-070</v>
          </cell>
          <cell r="P625">
            <v>12000</v>
          </cell>
          <cell r="R625">
            <v>1255.2</v>
          </cell>
          <cell r="S625">
            <v>6000</v>
          </cell>
          <cell r="X625" t="str">
            <v>IL</v>
          </cell>
        </row>
        <row r="626">
          <cell r="A626" t="str">
            <v>400-30-070</v>
          </cell>
          <cell r="P626">
            <v>0</v>
          </cell>
          <cell r="R626">
            <v>0</v>
          </cell>
          <cell r="S626">
            <v>0</v>
          </cell>
          <cell r="X626" t="str">
            <v>IL</v>
          </cell>
        </row>
        <row r="627">
          <cell r="A627" t="str">
            <v>400-30-070</v>
          </cell>
          <cell r="P627">
            <v>38500</v>
          </cell>
          <cell r="R627">
            <v>17313.599999999999</v>
          </cell>
          <cell r="S627">
            <v>24000</v>
          </cell>
          <cell r="X627" t="str">
            <v>IL</v>
          </cell>
        </row>
        <row r="628">
          <cell r="A628" t="str">
            <v>400-30-070</v>
          </cell>
          <cell r="P628">
            <v>0</v>
          </cell>
          <cell r="R628">
            <v>0</v>
          </cell>
          <cell r="S628">
            <v>0</v>
          </cell>
          <cell r="X628" t="str">
            <v>IL</v>
          </cell>
        </row>
        <row r="629">
          <cell r="A629" t="str">
            <v>400-30-070</v>
          </cell>
          <cell r="P629">
            <v>0</v>
          </cell>
          <cell r="R629">
            <v>0</v>
          </cell>
          <cell r="S629">
            <v>0</v>
          </cell>
          <cell r="X629" t="str">
            <v>COP</v>
          </cell>
        </row>
        <row r="630">
          <cell r="A630" t="str">
            <v>400-30-070</v>
          </cell>
          <cell r="P630">
            <v>0</v>
          </cell>
          <cell r="R630">
            <v>0</v>
          </cell>
          <cell r="S630">
            <v>0</v>
          </cell>
          <cell r="X630" t="str">
            <v>IL</v>
          </cell>
        </row>
        <row r="631">
          <cell r="A631" t="str">
            <v>400-30-080</v>
          </cell>
          <cell r="P631">
            <v>0</v>
          </cell>
          <cell r="R631">
            <v>0</v>
          </cell>
          <cell r="S631">
            <v>0</v>
          </cell>
          <cell r="X631" t="str">
            <v>IL</v>
          </cell>
        </row>
        <row r="632">
          <cell r="A632" t="str">
            <v>400-30-080</v>
          </cell>
          <cell r="P632">
            <v>0</v>
          </cell>
          <cell r="R632">
            <v>0</v>
          </cell>
          <cell r="S632">
            <v>0</v>
          </cell>
          <cell r="X632" t="str">
            <v>IL</v>
          </cell>
        </row>
        <row r="633">
          <cell r="A633" t="str">
            <v>400-30-080</v>
          </cell>
          <cell r="P633">
            <v>0</v>
          </cell>
          <cell r="R633">
            <v>0</v>
          </cell>
          <cell r="S633">
            <v>0</v>
          </cell>
          <cell r="X633" t="str">
            <v>IL</v>
          </cell>
        </row>
        <row r="634">
          <cell r="A634" t="str">
            <v>400-30-080</v>
          </cell>
          <cell r="P634">
            <v>0</v>
          </cell>
          <cell r="R634">
            <v>0</v>
          </cell>
          <cell r="S634">
            <v>0</v>
          </cell>
          <cell r="X634" t="str">
            <v>IL</v>
          </cell>
        </row>
        <row r="635">
          <cell r="A635" t="str">
            <v>400-30-080</v>
          </cell>
          <cell r="P635">
            <v>0</v>
          </cell>
          <cell r="R635">
            <v>0</v>
          </cell>
          <cell r="S635">
            <v>0</v>
          </cell>
          <cell r="X635" t="str">
            <v>IL</v>
          </cell>
        </row>
        <row r="636">
          <cell r="A636" t="str">
            <v>400-30-080</v>
          </cell>
          <cell r="P636">
            <v>0</v>
          </cell>
          <cell r="R636">
            <v>0</v>
          </cell>
          <cell r="S636">
            <v>0</v>
          </cell>
          <cell r="X636" t="str">
            <v>IL</v>
          </cell>
        </row>
        <row r="637">
          <cell r="A637" t="str">
            <v>400-30-080</v>
          </cell>
          <cell r="P637">
            <v>0</v>
          </cell>
          <cell r="R637">
            <v>0</v>
          </cell>
          <cell r="S637">
            <v>0</v>
          </cell>
          <cell r="X637" t="str">
            <v>IL</v>
          </cell>
        </row>
        <row r="638">
          <cell r="A638" t="str">
            <v>400-30-080</v>
          </cell>
          <cell r="P638">
            <v>0</v>
          </cell>
          <cell r="R638">
            <v>0</v>
          </cell>
          <cell r="S638">
            <v>0</v>
          </cell>
          <cell r="X638" t="str">
            <v>IL</v>
          </cell>
        </row>
        <row r="639">
          <cell r="A639" t="str">
            <v>400-30-080</v>
          </cell>
          <cell r="P639">
            <v>0</v>
          </cell>
          <cell r="R639">
            <v>0</v>
          </cell>
          <cell r="S639">
            <v>0</v>
          </cell>
          <cell r="X639" t="str">
            <v>IL</v>
          </cell>
        </row>
        <row r="640">
          <cell r="A640" t="str">
            <v>400-30-080</v>
          </cell>
          <cell r="P640">
            <v>0</v>
          </cell>
          <cell r="R640">
            <v>0</v>
          </cell>
          <cell r="S640">
            <v>0</v>
          </cell>
          <cell r="X640" t="str">
            <v>IL</v>
          </cell>
        </row>
        <row r="641">
          <cell r="A641" t="str">
            <v>400-30-080</v>
          </cell>
          <cell r="P641">
            <v>0</v>
          </cell>
          <cell r="R641">
            <v>1200</v>
          </cell>
          <cell r="S641">
            <v>0</v>
          </cell>
          <cell r="X641" t="str">
            <v>IL</v>
          </cell>
        </row>
        <row r="642">
          <cell r="A642" t="str">
            <v>400-30-080</v>
          </cell>
          <cell r="P642">
            <v>0</v>
          </cell>
          <cell r="R642">
            <v>0</v>
          </cell>
          <cell r="S642">
            <v>0</v>
          </cell>
          <cell r="X642" t="str">
            <v>IL</v>
          </cell>
        </row>
        <row r="643">
          <cell r="A643" t="str">
            <v>400-30-080</v>
          </cell>
          <cell r="P643">
            <v>0</v>
          </cell>
          <cell r="R643">
            <v>0</v>
          </cell>
          <cell r="S643">
            <v>0</v>
          </cell>
          <cell r="X643" t="str">
            <v>IL</v>
          </cell>
        </row>
        <row r="644">
          <cell r="A644" t="str">
            <v>400-30-080</v>
          </cell>
          <cell r="P644">
            <v>0</v>
          </cell>
          <cell r="R644">
            <v>0</v>
          </cell>
          <cell r="S644">
            <v>0</v>
          </cell>
          <cell r="X644" t="str">
            <v>IL</v>
          </cell>
        </row>
        <row r="645">
          <cell r="A645" t="str">
            <v>400-30-080</v>
          </cell>
          <cell r="P645">
            <v>0</v>
          </cell>
          <cell r="R645">
            <v>0</v>
          </cell>
          <cell r="S645">
            <v>0</v>
          </cell>
          <cell r="X645" t="str">
            <v>IL</v>
          </cell>
        </row>
        <row r="646">
          <cell r="A646" t="str">
            <v>400-30-080</v>
          </cell>
          <cell r="P646">
            <v>0</v>
          </cell>
          <cell r="R646">
            <v>0</v>
          </cell>
          <cell r="S646">
            <v>0</v>
          </cell>
          <cell r="X646" t="str">
            <v>IL</v>
          </cell>
        </row>
        <row r="647">
          <cell r="A647" t="str">
            <v>400-30-080</v>
          </cell>
          <cell r="P647">
            <v>0</v>
          </cell>
          <cell r="R647">
            <v>0</v>
          </cell>
          <cell r="S647">
            <v>0</v>
          </cell>
          <cell r="X647" t="str">
            <v>IL</v>
          </cell>
        </row>
        <row r="648">
          <cell r="A648" t="str">
            <v>400-30-080</v>
          </cell>
          <cell r="P648">
            <v>0</v>
          </cell>
          <cell r="R648">
            <v>0</v>
          </cell>
          <cell r="S648">
            <v>0</v>
          </cell>
          <cell r="X648" t="str">
            <v>IL</v>
          </cell>
        </row>
        <row r="649">
          <cell r="A649" t="str">
            <v>400-30-080</v>
          </cell>
          <cell r="P649">
            <v>0</v>
          </cell>
          <cell r="R649">
            <v>0</v>
          </cell>
          <cell r="S649">
            <v>0</v>
          </cell>
          <cell r="X649" t="str">
            <v>IL</v>
          </cell>
        </row>
        <row r="650">
          <cell r="A650" t="str">
            <v>400-30-080</v>
          </cell>
          <cell r="P650">
            <v>0</v>
          </cell>
          <cell r="R650">
            <v>0</v>
          </cell>
          <cell r="S650">
            <v>0</v>
          </cell>
          <cell r="X650" t="str">
            <v>IL</v>
          </cell>
        </row>
        <row r="651">
          <cell r="A651" t="str">
            <v>400-30-080</v>
          </cell>
          <cell r="P651">
            <v>0</v>
          </cell>
          <cell r="R651">
            <v>0</v>
          </cell>
          <cell r="S651">
            <v>0</v>
          </cell>
          <cell r="X651" t="str">
            <v>IL</v>
          </cell>
        </row>
        <row r="652">
          <cell r="A652" t="str">
            <v>400-30-080</v>
          </cell>
          <cell r="P652">
            <v>0</v>
          </cell>
          <cell r="R652">
            <v>0</v>
          </cell>
          <cell r="S652">
            <v>0</v>
          </cell>
          <cell r="X652" t="str">
            <v>IL</v>
          </cell>
        </row>
        <row r="653">
          <cell r="A653" t="str">
            <v>400-30-080</v>
          </cell>
          <cell r="P653">
            <v>0</v>
          </cell>
          <cell r="R653">
            <v>0</v>
          </cell>
          <cell r="S653">
            <v>0</v>
          </cell>
          <cell r="X653" t="str">
            <v>COP</v>
          </cell>
        </row>
        <row r="654">
          <cell r="A654" t="str">
            <v>400-30-080</v>
          </cell>
          <cell r="P654">
            <v>0</v>
          </cell>
          <cell r="R654">
            <v>0</v>
          </cell>
          <cell r="S654">
            <v>0</v>
          </cell>
          <cell r="X654" t="str">
            <v>IL</v>
          </cell>
        </row>
        <row r="655">
          <cell r="A655" t="str">
            <v>400-40-005</v>
          </cell>
          <cell r="P655">
            <v>0</v>
          </cell>
          <cell r="R655">
            <v>0</v>
          </cell>
          <cell r="S655">
            <v>0</v>
          </cell>
          <cell r="X655" t="str">
            <v>IL</v>
          </cell>
        </row>
        <row r="656">
          <cell r="A656" t="str">
            <v>400-40-005</v>
          </cell>
          <cell r="P656">
            <v>1644000</v>
          </cell>
          <cell r="R656">
            <v>1826527.2</v>
          </cell>
          <cell r="S656">
            <v>1600000</v>
          </cell>
          <cell r="X656" t="str">
            <v>IL</v>
          </cell>
        </row>
        <row r="657">
          <cell r="A657" t="str">
            <v>400-40-005</v>
          </cell>
          <cell r="R657">
            <v>36720</v>
          </cell>
          <cell r="S657">
            <v>0</v>
          </cell>
          <cell r="X657" t="str">
            <v>IL</v>
          </cell>
        </row>
        <row r="658">
          <cell r="A658" t="str">
            <v>400-40-005</v>
          </cell>
          <cell r="P658">
            <v>0</v>
          </cell>
          <cell r="R658">
            <v>0</v>
          </cell>
          <cell r="S658">
            <v>0</v>
          </cell>
          <cell r="X658" t="str">
            <v>IL</v>
          </cell>
        </row>
        <row r="659">
          <cell r="A659" t="str">
            <v>400-40-005</v>
          </cell>
          <cell r="R659">
            <v>0</v>
          </cell>
          <cell r="S659">
            <v>0</v>
          </cell>
          <cell r="X659" t="str">
            <v>IL</v>
          </cell>
        </row>
        <row r="660">
          <cell r="A660" t="str">
            <v>400-40-005</v>
          </cell>
          <cell r="P660">
            <v>0</v>
          </cell>
          <cell r="R660">
            <v>0</v>
          </cell>
          <cell r="S660">
            <v>0</v>
          </cell>
          <cell r="X660" t="str">
            <v>IL</v>
          </cell>
        </row>
        <row r="661">
          <cell r="A661" t="str">
            <v>400-40-005</v>
          </cell>
          <cell r="P661">
            <v>0</v>
          </cell>
          <cell r="R661">
            <v>0</v>
          </cell>
          <cell r="S661">
            <v>0</v>
          </cell>
          <cell r="X661" t="str">
            <v>IL</v>
          </cell>
        </row>
        <row r="662">
          <cell r="A662" t="str">
            <v>400-40-005</v>
          </cell>
          <cell r="P662">
            <v>0</v>
          </cell>
          <cell r="R662">
            <v>0</v>
          </cell>
          <cell r="S662">
            <v>0</v>
          </cell>
          <cell r="X662" t="str">
            <v>IL</v>
          </cell>
        </row>
        <row r="663">
          <cell r="A663" t="str">
            <v>400-40-005</v>
          </cell>
          <cell r="P663">
            <v>0</v>
          </cell>
          <cell r="R663">
            <v>59400</v>
          </cell>
          <cell r="S663">
            <v>0</v>
          </cell>
          <cell r="X663" t="str">
            <v>IL</v>
          </cell>
        </row>
        <row r="664">
          <cell r="A664" t="str">
            <v>400-40-005</v>
          </cell>
          <cell r="P664">
            <v>0</v>
          </cell>
          <cell r="R664">
            <v>0</v>
          </cell>
          <cell r="S664">
            <v>0</v>
          </cell>
          <cell r="X664" t="str">
            <v>IL</v>
          </cell>
        </row>
        <row r="665">
          <cell r="A665" t="str">
            <v>400-40-005</v>
          </cell>
          <cell r="P665">
            <v>24000</v>
          </cell>
          <cell r="R665">
            <v>24000</v>
          </cell>
          <cell r="S665">
            <v>30000</v>
          </cell>
          <cell r="X665" t="str">
            <v>IL</v>
          </cell>
        </row>
        <row r="666">
          <cell r="A666" t="str">
            <v>400-40-005</v>
          </cell>
          <cell r="P666">
            <v>0</v>
          </cell>
          <cell r="R666">
            <v>960</v>
          </cell>
          <cell r="S666">
            <v>14400</v>
          </cell>
          <cell r="X666" t="str">
            <v>IL</v>
          </cell>
        </row>
        <row r="667">
          <cell r="A667" t="str">
            <v>400-40-005</v>
          </cell>
          <cell r="P667">
            <v>24000</v>
          </cell>
          <cell r="R667">
            <v>480</v>
          </cell>
          <cell r="S667">
            <v>12000</v>
          </cell>
          <cell r="X667" t="str">
            <v>IL</v>
          </cell>
        </row>
        <row r="668">
          <cell r="A668" t="str">
            <v>400-40-005</v>
          </cell>
          <cell r="P668">
            <v>24000</v>
          </cell>
          <cell r="R668">
            <v>240</v>
          </cell>
          <cell r="S668">
            <v>6000</v>
          </cell>
          <cell r="X668" t="str">
            <v>IL</v>
          </cell>
        </row>
        <row r="669">
          <cell r="A669" t="str">
            <v>400-40-005</v>
          </cell>
          <cell r="P669">
            <v>0</v>
          </cell>
          <cell r="R669">
            <v>523800</v>
          </cell>
          <cell r="S669">
            <v>72000</v>
          </cell>
          <cell r="X669" t="str">
            <v>IL</v>
          </cell>
        </row>
        <row r="670">
          <cell r="A670" t="str">
            <v>400-40-005</v>
          </cell>
          <cell r="P670">
            <v>24000</v>
          </cell>
          <cell r="R670">
            <v>0</v>
          </cell>
          <cell r="S670">
            <v>0</v>
          </cell>
          <cell r="X670" t="str">
            <v>IL</v>
          </cell>
        </row>
        <row r="671">
          <cell r="A671" t="str">
            <v>400-40-005</v>
          </cell>
          <cell r="P671">
            <v>24000</v>
          </cell>
          <cell r="R671">
            <v>0</v>
          </cell>
          <cell r="S671">
            <v>0</v>
          </cell>
          <cell r="X671" t="str">
            <v>IL</v>
          </cell>
        </row>
        <row r="672">
          <cell r="A672" t="str">
            <v>400-40-005</v>
          </cell>
          <cell r="P672">
            <v>24000</v>
          </cell>
          <cell r="R672">
            <v>0</v>
          </cell>
          <cell r="S672">
            <v>0</v>
          </cell>
          <cell r="X672" t="str">
            <v>IL</v>
          </cell>
        </row>
        <row r="673">
          <cell r="A673" t="str">
            <v>400-40-005</v>
          </cell>
          <cell r="P673">
            <v>24000</v>
          </cell>
          <cell r="R673">
            <v>0</v>
          </cell>
          <cell r="S673">
            <v>0</v>
          </cell>
          <cell r="X673" t="str">
            <v>IL</v>
          </cell>
        </row>
        <row r="674">
          <cell r="A674" t="str">
            <v>400-40-005</v>
          </cell>
          <cell r="P674">
            <v>36000</v>
          </cell>
          <cell r="R674">
            <v>0</v>
          </cell>
          <cell r="S674">
            <v>0</v>
          </cell>
          <cell r="X674" t="str">
            <v>IL</v>
          </cell>
        </row>
        <row r="675">
          <cell r="A675" t="str">
            <v>400-40-005</v>
          </cell>
          <cell r="P675">
            <v>24000</v>
          </cell>
          <cell r="R675">
            <v>0</v>
          </cell>
          <cell r="S675">
            <v>0</v>
          </cell>
          <cell r="X675" t="str">
            <v>IL</v>
          </cell>
        </row>
        <row r="676">
          <cell r="A676" t="str">
            <v>400-40-005</v>
          </cell>
          <cell r="P676">
            <v>12000</v>
          </cell>
          <cell r="R676">
            <v>0</v>
          </cell>
          <cell r="S676">
            <v>0</v>
          </cell>
          <cell r="X676" t="str">
            <v>IL</v>
          </cell>
        </row>
        <row r="677">
          <cell r="A677" t="str">
            <v>400-40-005</v>
          </cell>
          <cell r="P677">
            <v>72000</v>
          </cell>
          <cell r="R677">
            <v>62973.599999999999</v>
          </cell>
          <cell r="S677">
            <v>300000</v>
          </cell>
          <cell r="X677" t="str">
            <v>COP</v>
          </cell>
        </row>
        <row r="678">
          <cell r="A678" t="str">
            <v>400-40-005</v>
          </cell>
          <cell r="P678">
            <v>0</v>
          </cell>
          <cell r="R678">
            <v>0</v>
          </cell>
          <cell r="S678">
            <v>0</v>
          </cell>
          <cell r="X678" t="str">
            <v>IL</v>
          </cell>
        </row>
        <row r="679">
          <cell r="A679" t="str">
            <v>400-40-006</v>
          </cell>
          <cell r="P679">
            <v>204000</v>
          </cell>
          <cell r="R679">
            <v>0</v>
          </cell>
          <cell r="S679">
            <v>0</v>
          </cell>
          <cell r="X679" t="str">
            <v>IL</v>
          </cell>
        </row>
        <row r="680">
          <cell r="A680" t="str">
            <v>400-40-006</v>
          </cell>
          <cell r="P680">
            <v>42000</v>
          </cell>
          <cell r="R680">
            <v>0</v>
          </cell>
          <cell r="S680">
            <v>0</v>
          </cell>
          <cell r="X680" t="str">
            <v>IL</v>
          </cell>
        </row>
        <row r="681">
          <cell r="A681" t="str">
            <v>400-40-006</v>
          </cell>
          <cell r="P681">
            <v>0</v>
          </cell>
          <cell r="R681">
            <v>0</v>
          </cell>
          <cell r="S681">
            <v>0</v>
          </cell>
          <cell r="X681" t="str">
            <v>IL</v>
          </cell>
        </row>
        <row r="682">
          <cell r="A682" t="str">
            <v>400-40-006</v>
          </cell>
          <cell r="P682">
            <v>0</v>
          </cell>
          <cell r="R682">
            <v>0</v>
          </cell>
          <cell r="S682">
            <v>0</v>
          </cell>
          <cell r="X682" t="str">
            <v>IL</v>
          </cell>
        </row>
        <row r="683">
          <cell r="A683" t="str">
            <v>400-40-006</v>
          </cell>
          <cell r="P683">
            <v>0</v>
          </cell>
          <cell r="R683">
            <v>0</v>
          </cell>
          <cell r="S683">
            <v>0</v>
          </cell>
          <cell r="X683" t="str">
            <v>IL</v>
          </cell>
        </row>
        <row r="684">
          <cell r="A684" t="str">
            <v>400-40-006</v>
          </cell>
          <cell r="P684">
            <v>0</v>
          </cell>
          <cell r="R684">
            <v>0</v>
          </cell>
          <cell r="S684">
            <v>0</v>
          </cell>
          <cell r="X684" t="str">
            <v>IL</v>
          </cell>
        </row>
        <row r="685">
          <cell r="A685" t="str">
            <v>400-40-006</v>
          </cell>
          <cell r="P685">
            <v>0</v>
          </cell>
          <cell r="R685">
            <v>0</v>
          </cell>
          <cell r="S685">
            <v>0</v>
          </cell>
          <cell r="X685" t="str">
            <v>IL</v>
          </cell>
        </row>
        <row r="686">
          <cell r="A686" t="str">
            <v>400-40-006</v>
          </cell>
          <cell r="P686">
            <v>0</v>
          </cell>
          <cell r="R686">
            <v>0</v>
          </cell>
          <cell r="S686">
            <v>0</v>
          </cell>
          <cell r="X686" t="str">
            <v>IL</v>
          </cell>
        </row>
        <row r="687">
          <cell r="A687" t="str">
            <v>400-40-006</v>
          </cell>
          <cell r="P687">
            <v>0</v>
          </cell>
          <cell r="R687">
            <v>0</v>
          </cell>
          <cell r="S687">
            <v>0</v>
          </cell>
          <cell r="X687" t="str">
            <v>IL</v>
          </cell>
        </row>
        <row r="688">
          <cell r="A688" t="str">
            <v>400-40-006</v>
          </cell>
          <cell r="P688">
            <v>0</v>
          </cell>
          <cell r="R688">
            <v>0</v>
          </cell>
          <cell r="S688">
            <v>0</v>
          </cell>
          <cell r="X688" t="str">
            <v>IL</v>
          </cell>
        </row>
        <row r="689">
          <cell r="A689" t="str">
            <v>400-40-006</v>
          </cell>
          <cell r="P689">
            <v>0</v>
          </cell>
          <cell r="R689">
            <v>51523.199999999997</v>
          </cell>
          <cell r="S689">
            <v>25000</v>
          </cell>
          <cell r="X689" t="str">
            <v>IL</v>
          </cell>
        </row>
        <row r="690">
          <cell r="A690" t="str">
            <v>400-40-006</v>
          </cell>
          <cell r="P690">
            <v>0</v>
          </cell>
          <cell r="R690">
            <v>0</v>
          </cell>
          <cell r="S690">
            <v>0</v>
          </cell>
          <cell r="X690" t="str">
            <v>IL</v>
          </cell>
        </row>
        <row r="691">
          <cell r="A691" t="str">
            <v>400-40-006</v>
          </cell>
          <cell r="P691">
            <v>0</v>
          </cell>
          <cell r="R691">
            <v>0</v>
          </cell>
          <cell r="S691">
            <v>0</v>
          </cell>
          <cell r="X691" t="str">
            <v>IL</v>
          </cell>
        </row>
        <row r="692">
          <cell r="A692" t="str">
            <v>400-40-006</v>
          </cell>
          <cell r="P692">
            <v>0</v>
          </cell>
          <cell r="R692">
            <v>0</v>
          </cell>
          <cell r="S692">
            <v>0</v>
          </cell>
          <cell r="X692" t="str">
            <v>IL</v>
          </cell>
        </row>
        <row r="693">
          <cell r="A693" t="str">
            <v>400-40-006</v>
          </cell>
          <cell r="P693">
            <v>0</v>
          </cell>
          <cell r="R693">
            <v>0</v>
          </cell>
          <cell r="S693">
            <v>0</v>
          </cell>
          <cell r="X693" t="str">
            <v>IL</v>
          </cell>
        </row>
        <row r="694">
          <cell r="A694" t="str">
            <v>400-40-006</v>
          </cell>
          <cell r="P694">
            <v>0</v>
          </cell>
          <cell r="R694">
            <v>0</v>
          </cell>
          <cell r="S694">
            <v>0</v>
          </cell>
          <cell r="X694" t="str">
            <v>IL</v>
          </cell>
        </row>
        <row r="695">
          <cell r="A695" t="str">
            <v>400-40-006</v>
          </cell>
          <cell r="P695">
            <v>20000</v>
          </cell>
          <cell r="R695">
            <v>0</v>
          </cell>
          <cell r="S695">
            <v>0</v>
          </cell>
          <cell r="X695" t="str">
            <v>IL</v>
          </cell>
        </row>
        <row r="696">
          <cell r="A696" t="str">
            <v>400-40-006</v>
          </cell>
          <cell r="P696">
            <v>0</v>
          </cell>
          <cell r="R696">
            <v>0</v>
          </cell>
          <cell r="S696">
            <v>0</v>
          </cell>
          <cell r="X696" t="str">
            <v>IL</v>
          </cell>
        </row>
        <row r="697">
          <cell r="A697" t="str">
            <v>400-40-006</v>
          </cell>
          <cell r="P697">
            <v>0</v>
          </cell>
          <cell r="R697">
            <v>0</v>
          </cell>
          <cell r="S697">
            <v>0</v>
          </cell>
          <cell r="X697" t="str">
            <v>IL</v>
          </cell>
        </row>
        <row r="698">
          <cell r="A698" t="str">
            <v>400-40-006</v>
          </cell>
          <cell r="P698">
            <v>0</v>
          </cell>
          <cell r="R698">
            <v>0</v>
          </cell>
          <cell r="S698">
            <v>0</v>
          </cell>
          <cell r="X698" t="str">
            <v>IL</v>
          </cell>
        </row>
        <row r="699">
          <cell r="A699" t="str">
            <v>400-40-006</v>
          </cell>
          <cell r="P699">
            <v>50000</v>
          </cell>
          <cell r="R699">
            <v>0</v>
          </cell>
          <cell r="S699">
            <v>0</v>
          </cell>
          <cell r="X699" t="str">
            <v>IL</v>
          </cell>
        </row>
        <row r="700">
          <cell r="A700" t="str">
            <v>400-40-006</v>
          </cell>
          <cell r="P700">
            <v>25000</v>
          </cell>
          <cell r="R700">
            <v>0</v>
          </cell>
          <cell r="S700">
            <v>0</v>
          </cell>
          <cell r="X700" t="str">
            <v>IL</v>
          </cell>
        </row>
        <row r="701">
          <cell r="A701" t="str">
            <v>400-40-006</v>
          </cell>
          <cell r="P701">
            <v>0</v>
          </cell>
          <cell r="R701">
            <v>0</v>
          </cell>
          <cell r="S701">
            <v>0</v>
          </cell>
          <cell r="X701" t="str">
            <v>COP</v>
          </cell>
        </row>
        <row r="702">
          <cell r="A702" t="str">
            <v>400-40-006</v>
          </cell>
          <cell r="P702">
            <v>0</v>
          </cell>
          <cell r="R702">
            <v>0</v>
          </cell>
          <cell r="S702">
            <v>0</v>
          </cell>
          <cell r="X702" t="str">
            <v>IL</v>
          </cell>
        </row>
        <row r="703">
          <cell r="A703" t="str">
            <v>400-40-007</v>
          </cell>
          <cell r="P703">
            <v>44160</v>
          </cell>
          <cell r="R703">
            <v>41280</v>
          </cell>
          <cell r="S703">
            <v>49440</v>
          </cell>
          <cell r="X703" t="str">
            <v>IL</v>
          </cell>
        </row>
        <row r="704">
          <cell r="A704" t="str">
            <v>400-40-007</v>
          </cell>
          <cell r="P704">
            <v>46940</v>
          </cell>
          <cell r="R704">
            <v>25680</v>
          </cell>
          <cell r="S704">
            <v>32400</v>
          </cell>
          <cell r="X704" t="str">
            <v>IL</v>
          </cell>
        </row>
        <row r="705">
          <cell r="A705" t="str">
            <v>400-40-007</v>
          </cell>
          <cell r="P705">
            <v>12120</v>
          </cell>
          <cell r="R705">
            <v>11796</v>
          </cell>
          <cell r="S705">
            <v>13440</v>
          </cell>
          <cell r="X705" t="str">
            <v>IL</v>
          </cell>
        </row>
        <row r="706">
          <cell r="A706" t="str">
            <v>400-40-007</v>
          </cell>
          <cell r="P706">
            <v>27420</v>
          </cell>
          <cell r="R706">
            <v>15072</v>
          </cell>
          <cell r="S706">
            <v>17320</v>
          </cell>
          <cell r="X706" t="str">
            <v>IL</v>
          </cell>
        </row>
        <row r="707">
          <cell r="A707" t="str">
            <v>400-40-007</v>
          </cell>
          <cell r="P707">
            <v>20400</v>
          </cell>
          <cell r="R707">
            <v>15072</v>
          </cell>
          <cell r="S707">
            <v>32400</v>
          </cell>
          <cell r="X707" t="str">
            <v>IL</v>
          </cell>
        </row>
        <row r="708">
          <cell r="A708" t="str">
            <v>400-40-007</v>
          </cell>
          <cell r="P708">
            <v>0</v>
          </cell>
          <cell r="R708">
            <v>3168</v>
          </cell>
          <cell r="S708">
            <v>2880</v>
          </cell>
          <cell r="X708" t="str">
            <v>IL</v>
          </cell>
        </row>
        <row r="709">
          <cell r="A709" t="str">
            <v>400-40-007</v>
          </cell>
          <cell r="P709">
            <v>23640</v>
          </cell>
          <cell r="R709">
            <v>28104</v>
          </cell>
          <cell r="S709">
            <v>36120</v>
          </cell>
          <cell r="X709" t="str">
            <v>IL</v>
          </cell>
        </row>
        <row r="710">
          <cell r="A710" t="str">
            <v>400-40-007</v>
          </cell>
          <cell r="P710">
            <v>0</v>
          </cell>
          <cell r="R710">
            <v>1764</v>
          </cell>
          <cell r="S710">
            <v>9240</v>
          </cell>
          <cell r="X710" t="str">
            <v>IL</v>
          </cell>
        </row>
        <row r="711">
          <cell r="A711" t="str">
            <v>400-40-007</v>
          </cell>
          <cell r="P711">
            <v>14545</v>
          </cell>
          <cell r="R711">
            <v>720</v>
          </cell>
          <cell r="S711">
            <v>2880</v>
          </cell>
          <cell r="X711" t="str">
            <v>IL</v>
          </cell>
        </row>
        <row r="712">
          <cell r="A712" t="str">
            <v>400-40-007</v>
          </cell>
          <cell r="P712">
            <v>9240</v>
          </cell>
          <cell r="R712">
            <v>10164</v>
          </cell>
          <cell r="S712">
            <v>10560</v>
          </cell>
          <cell r="X712" t="str">
            <v>IL</v>
          </cell>
        </row>
        <row r="713">
          <cell r="A713" t="str">
            <v>400-40-007</v>
          </cell>
          <cell r="P713">
            <v>9660</v>
          </cell>
          <cell r="R713">
            <v>11928</v>
          </cell>
          <cell r="S713">
            <v>10560</v>
          </cell>
          <cell r="X713" t="str">
            <v>IL</v>
          </cell>
        </row>
        <row r="714">
          <cell r="A714" t="str">
            <v>400-40-007</v>
          </cell>
          <cell r="P714">
            <v>9240</v>
          </cell>
          <cell r="R714">
            <v>8400</v>
          </cell>
          <cell r="S714">
            <v>10560</v>
          </cell>
          <cell r="X714" t="str">
            <v>IL</v>
          </cell>
        </row>
        <row r="715">
          <cell r="A715" t="str">
            <v>400-40-007</v>
          </cell>
          <cell r="P715">
            <v>9660</v>
          </cell>
          <cell r="R715">
            <v>5292</v>
          </cell>
          <cell r="S715">
            <v>10560</v>
          </cell>
          <cell r="X715" t="str">
            <v>IL</v>
          </cell>
        </row>
        <row r="716">
          <cell r="A716" t="str">
            <v>400-40-007</v>
          </cell>
          <cell r="P716">
            <v>9660</v>
          </cell>
          <cell r="R716">
            <v>5304</v>
          </cell>
          <cell r="S716">
            <v>10560</v>
          </cell>
          <cell r="X716" t="str">
            <v>IL</v>
          </cell>
        </row>
        <row r="717">
          <cell r="A717" t="str">
            <v>400-40-007</v>
          </cell>
          <cell r="P717">
            <v>24240</v>
          </cell>
          <cell r="R717">
            <v>47616</v>
          </cell>
          <cell r="S717">
            <v>0</v>
          </cell>
          <cell r="X717" t="str">
            <v>IL</v>
          </cell>
        </row>
        <row r="718">
          <cell r="A718" t="str">
            <v>400-40-007</v>
          </cell>
          <cell r="P718">
            <v>9660</v>
          </cell>
          <cell r="R718">
            <v>8820</v>
          </cell>
          <cell r="S718">
            <v>10560</v>
          </cell>
          <cell r="X718" t="str">
            <v>IL</v>
          </cell>
        </row>
        <row r="719">
          <cell r="A719" t="str">
            <v>400-40-007</v>
          </cell>
          <cell r="P719">
            <v>9240</v>
          </cell>
          <cell r="R719">
            <v>7056</v>
          </cell>
          <cell r="S719">
            <v>10560</v>
          </cell>
          <cell r="X719" t="str">
            <v>IL</v>
          </cell>
        </row>
        <row r="720">
          <cell r="A720" t="str">
            <v>400-40-007</v>
          </cell>
          <cell r="P720">
            <v>9660</v>
          </cell>
          <cell r="R720">
            <v>9996</v>
          </cell>
          <cell r="S720">
            <v>10560</v>
          </cell>
          <cell r="X720" t="str">
            <v>IL</v>
          </cell>
        </row>
        <row r="721">
          <cell r="A721" t="str">
            <v>400-40-007</v>
          </cell>
          <cell r="P721">
            <v>9660</v>
          </cell>
          <cell r="R721">
            <v>7116</v>
          </cell>
          <cell r="S721">
            <v>10560</v>
          </cell>
          <cell r="X721" t="str">
            <v>IL</v>
          </cell>
        </row>
        <row r="722">
          <cell r="A722" t="str">
            <v>400-40-007</v>
          </cell>
          <cell r="P722">
            <v>10500</v>
          </cell>
          <cell r="R722">
            <v>8148</v>
          </cell>
          <cell r="S722">
            <v>11088</v>
          </cell>
          <cell r="X722" t="str">
            <v>IL</v>
          </cell>
        </row>
        <row r="723">
          <cell r="A723" t="str">
            <v>400-40-007</v>
          </cell>
          <cell r="P723">
            <v>10500</v>
          </cell>
          <cell r="R723">
            <v>3780</v>
          </cell>
          <cell r="S723">
            <v>23040</v>
          </cell>
          <cell r="X723" t="str">
            <v>IL</v>
          </cell>
        </row>
        <row r="724">
          <cell r="A724" t="str">
            <v>400-40-007</v>
          </cell>
          <cell r="P724">
            <v>8750</v>
          </cell>
          <cell r="R724">
            <v>6636</v>
          </cell>
          <cell r="S724">
            <v>10560</v>
          </cell>
          <cell r="X724" t="str">
            <v>IL</v>
          </cell>
        </row>
        <row r="725">
          <cell r="A725" t="str">
            <v>400-40-007</v>
          </cell>
          <cell r="P725">
            <v>15000</v>
          </cell>
          <cell r="R725">
            <v>15072</v>
          </cell>
          <cell r="S725">
            <v>15360</v>
          </cell>
          <cell r="X725" t="str">
            <v>COP</v>
          </cell>
        </row>
        <row r="726">
          <cell r="A726" t="str">
            <v>400-40-007</v>
          </cell>
          <cell r="P726">
            <v>0</v>
          </cell>
          <cell r="R726">
            <v>0</v>
          </cell>
          <cell r="S726">
            <v>0</v>
          </cell>
          <cell r="X726" t="str">
            <v>IL</v>
          </cell>
        </row>
        <row r="727">
          <cell r="A727" t="str">
            <v>400-40-008</v>
          </cell>
          <cell r="P727">
            <v>1014000</v>
          </cell>
          <cell r="R727">
            <v>1190143.2</v>
          </cell>
          <cell r="S727">
            <v>443360</v>
          </cell>
          <cell r="X727" t="str">
            <v>IL</v>
          </cell>
        </row>
        <row r="728">
          <cell r="A728" t="str">
            <v>400-40-008</v>
          </cell>
          <cell r="P728">
            <v>0</v>
          </cell>
          <cell r="R728">
            <v>20860.8</v>
          </cell>
          <cell r="S728">
            <v>72000</v>
          </cell>
          <cell r="X728" t="str">
            <v>IL</v>
          </cell>
        </row>
        <row r="729">
          <cell r="A729" t="str">
            <v>400-40-008</v>
          </cell>
          <cell r="P729">
            <v>6400</v>
          </cell>
          <cell r="R729">
            <v>2616</v>
          </cell>
          <cell r="S729">
            <v>8000</v>
          </cell>
          <cell r="X729" t="str">
            <v>IL</v>
          </cell>
        </row>
        <row r="730">
          <cell r="A730" t="str">
            <v>400-40-008</v>
          </cell>
          <cell r="P730">
            <v>30000</v>
          </cell>
          <cell r="R730">
            <v>4248</v>
          </cell>
          <cell r="S730">
            <v>9800</v>
          </cell>
          <cell r="X730" t="str">
            <v>IL</v>
          </cell>
        </row>
        <row r="731">
          <cell r="A731" t="str">
            <v>400-40-008</v>
          </cell>
          <cell r="P731">
            <v>30000</v>
          </cell>
          <cell r="R731">
            <v>3132</v>
          </cell>
          <cell r="S731">
            <v>15000</v>
          </cell>
          <cell r="X731" t="str">
            <v>IL</v>
          </cell>
        </row>
        <row r="732">
          <cell r="A732" t="str">
            <v>400-40-008</v>
          </cell>
          <cell r="P732">
            <v>0</v>
          </cell>
          <cell r="R732">
            <v>6876</v>
          </cell>
          <cell r="S732">
            <v>0</v>
          </cell>
          <cell r="X732" t="str">
            <v>IL</v>
          </cell>
        </row>
        <row r="733">
          <cell r="A733" t="str">
            <v>400-40-008</v>
          </cell>
          <cell r="P733">
            <v>1916000</v>
          </cell>
          <cell r="R733">
            <v>1005000</v>
          </cell>
          <cell r="S733">
            <v>1485000</v>
          </cell>
          <cell r="X733" t="str">
            <v>IL</v>
          </cell>
        </row>
        <row r="734">
          <cell r="A734" t="str">
            <v>400-40-008</v>
          </cell>
          <cell r="P734">
            <v>0</v>
          </cell>
          <cell r="R734">
            <v>0</v>
          </cell>
          <cell r="S734">
            <v>0</v>
          </cell>
          <cell r="X734" t="str">
            <v>IL</v>
          </cell>
        </row>
        <row r="735">
          <cell r="A735" t="str">
            <v>400-40-008</v>
          </cell>
          <cell r="P735">
            <v>0</v>
          </cell>
          <cell r="R735">
            <v>3669.6</v>
          </cell>
          <cell r="S735">
            <v>0</v>
          </cell>
          <cell r="X735" t="str">
            <v>IL</v>
          </cell>
        </row>
        <row r="736">
          <cell r="A736" t="str">
            <v>400-40-008</v>
          </cell>
          <cell r="P736">
            <v>42000</v>
          </cell>
          <cell r="R736">
            <v>57043.199999999997</v>
          </cell>
          <cell r="S736">
            <v>30000</v>
          </cell>
          <cell r="X736" t="str">
            <v>IL</v>
          </cell>
        </row>
        <row r="737">
          <cell r="A737" t="str">
            <v>400-40-008</v>
          </cell>
          <cell r="P737">
            <v>36000</v>
          </cell>
          <cell r="R737">
            <v>31423.200000000001</v>
          </cell>
          <cell r="S737">
            <v>27000</v>
          </cell>
          <cell r="X737" t="str">
            <v>IL</v>
          </cell>
        </row>
        <row r="738">
          <cell r="A738" t="str">
            <v>400-40-008</v>
          </cell>
          <cell r="P738">
            <v>33000</v>
          </cell>
          <cell r="R738">
            <v>47990.400000000001</v>
          </cell>
          <cell r="S738">
            <v>16000</v>
          </cell>
          <cell r="X738" t="str">
            <v>IL</v>
          </cell>
        </row>
        <row r="739">
          <cell r="A739" t="str">
            <v>400-40-008</v>
          </cell>
          <cell r="P739">
            <v>24000</v>
          </cell>
          <cell r="R739">
            <v>27088.799999999999</v>
          </cell>
          <cell r="S739">
            <v>40000</v>
          </cell>
          <cell r="X739" t="str">
            <v>IL</v>
          </cell>
        </row>
        <row r="740">
          <cell r="A740" t="str">
            <v>400-40-008</v>
          </cell>
          <cell r="P740">
            <v>36000</v>
          </cell>
          <cell r="R740">
            <v>23971.200000000001</v>
          </cell>
          <cell r="S740">
            <v>40000</v>
          </cell>
          <cell r="X740" t="str">
            <v>IL</v>
          </cell>
        </row>
        <row r="741">
          <cell r="A741" t="str">
            <v>400-40-008</v>
          </cell>
          <cell r="P741">
            <v>240000</v>
          </cell>
          <cell r="R741">
            <v>217473.6</v>
          </cell>
          <cell r="S741">
            <v>683400</v>
          </cell>
          <cell r="X741" t="str">
            <v>IL</v>
          </cell>
        </row>
        <row r="742">
          <cell r="A742" t="str">
            <v>400-40-008</v>
          </cell>
          <cell r="P742">
            <v>30000</v>
          </cell>
          <cell r="R742">
            <v>21871.200000000001</v>
          </cell>
          <cell r="S742">
            <v>20000</v>
          </cell>
          <cell r="X742" t="str">
            <v>IL</v>
          </cell>
        </row>
        <row r="743">
          <cell r="A743" t="str">
            <v>400-40-008</v>
          </cell>
          <cell r="P743">
            <v>20000</v>
          </cell>
          <cell r="R743">
            <v>58550.400000000001</v>
          </cell>
          <cell r="S743">
            <v>0</v>
          </cell>
          <cell r="X743" t="str">
            <v>IL</v>
          </cell>
        </row>
        <row r="744">
          <cell r="A744" t="str">
            <v>400-40-008</v>
          </cell>
          <cell r="P744">
            <v>48000</v>
          </cell>
          <cell r="R744">
            <v>21871.200000000001</v>
          </cell>
          <cell r="S744">
            <v>30000</v>
          </cell>
          <cell r="X744" t="str">
            <v>IL</v>
          </cell>
        </row>
        <row r="745">
          <cell r="A745" t="str">
            <v>400-40-008</v>
          </cell>
          <cell r="P745">
            <v>48000</v>
          </cell>
          <cell r="R745">
            <v>23848.799999999999</v>
          </cell>
          <cell r="S745">
            <v>40000</v>
          </cell>
          <cell r="X745" t="str">
            <v>IL</v>
          </cell>
        </row>
        <row r="746">
          <cell r="A746" t="str">
            <v>400-40-008</v>
          </cell>
          <cell r="P746">
            <v>26000</v>
          </cell>
          <cell r="R746">
            <v>52876.800000000003</v>
          </cell>
          <cell r="S746">
            <v>20000</v>
          </cell>
          <cell r="X746" t="str">
            <v>IL</v>
          </cell>
        </row>
        <row r="747">
          <cell r="A747" t="str">
            <v>400-40-008</v>
          </cell>
          <cell r="P747">
            <v>30000</v>
          </cell>
          <cell r="R747">
            <v>65428.800000000003</v>
          </cell>
          <cell r="S747">
            <v>20000</v>
          </cell>
          <cell r="X747" t="str">
            <v>IL</v>
          </cell>
        </row>
        <row r="748">
          <cell r="A748" t="str">
            <v>400-40-008</v>
          </cell>
          <cell r="P748">
            <v>24000</v>
          </cell>
          <cell r="R748">
            <v>57038.400000000001</v>
          </cell>
          <cell r="S748">
            <v>30000</v>
          </cell>
          <cell r="X748" t="str">
            <v>IL</v>
          </cell>
        </row>
        <row r="749">
          <cell r="A749" t="str">
            <v>400-40-008</v>
          </cell>
          <cell r="P749">
            <v>100000</v>
          </cell>
          <cell r="R749">
            <v>96000</v>
          </cell>
          <cell r="S749">
            <v>50000</v>
          </cell>
          <cell r="X749" t="str">
            <v>COP</v>
          </cell>
        </row>
        <row r="750">
          <cell r="A750" t="str">
            <v>400-40-008</v>
          </cell>
          <cell r="P750">
            <v>0</v>
          </cell>
          <cell r="R750">
            <v>0</v>
          </cell>
          <cell r="S750">
            <v>0</v>
          </cell>
          <cell r="X750" t="str">
            <v>IL</v>
          </cell>
        </row>
        <row r="751">
          <cell r="A751" t="str">
            <v>400-40-009</v>
          </cell>
          <cell r="P751">
            <v>72000</v>
          </cell>
          <cell r="R751">
            <v>28293.599999999999</v>
          </cell>
          <cell r="S751">
            <v>90000</v>
          </cell>
          <cell r="X751" t="str">
            <v>IL</v>
          </cell>
        </row>
        <row r="752">
          <cell r="A752" t="str">
            <v>400-40-009</v>
          </cell>
          <cell r="P752">
            <v>0</v>
          </cell>
          <cell r="R752">
            <v>6151.2</v>
          </cell>
          <cell r="S752">
            <v>113750</v>
          </cell>
          <cell r="X752" t="str">
            <v>IL</v>
          </cell>
        </row>
        <row r="753">
          <cell r="A753" t="str">
            <v>400-40-009</v>
          </cell>
          <cell r="P753">
            <v>0</v>
          </cell>
          <cell r="R753">
            <v>0</v>
          </cell>
          <cell r="S753">
            <v>0</v>
          </cell>
          <cell r="X753" t="str">
            <v>IL</v>
          </cell>
        </row>
        <row r="754">
          <cell r="A754" t="str">
            <v>400-40-009</v>
          </cell>
          <cell r="P754">
            <v>0</v>
          </cell>
          <cell r="R754">
            <v>5872.8</v>
          </cell>
          <cell r="S754">
            <v>28750</v>
          </cell>
          <cell r="X754" t="str">
            <v>IL</v>
          </cell>
        </row>
        <row r="755">
          <cell r="A755" t="str">
            <v>400-40-009</v>
          </cell>
          <cell r="P755">
            <v>0</v>
          </cell>
          <cell r="R755">
            <v>0</v>
          </cell>
          <cell r="S755">
            <v>0</v>
          </cell>
          <cell r="X755" t="str">
            <v>IL</v>
          </cell>
        </row>
        <row r="756">
          <cell r="A756" t="str">
            <v>400-40-009</v>
          </cell>
          <cell r="P756">
            <v>0</v>
          </cell>
          <cell r="R756">
            <v>0</v>
          </cell>
          <cell r="S756">
            <v>0</v>
          </cell>
          <cell r="X756" t="str">
            <v>IL</v>
          </cell>
        </row>
        <row r="757">
          <cell r="A757" t="str">
            <v>400-40-009</v>
          </cell>
          <cell r="P757">
            <v>0</v>
          </cell>
          <cell r="R757">
            <v>0</v>
          </cell>
          <cell r="S757">
            <v>0</v>
          </cell>
          <cell r="X757" t="str">
            <v>IL</v>
          </cell>
        </row>
        <row r="758">
          <cell r="A758" t="str">
            <v>400-40-009</v>
          </cell>
          <cell r="P758">
            <v>0</v>
          </cell>
          <cell r="R758">
            <v>0</v>
          </cell>
          <cell r="S758">
            <v>0</v>
          </cell>
          <cell r="X758" t="str">
            <v>IL</v>
          </cell>
        </row>
        <row r="759">
          <cell r="A759" t="str">
            <v>400-40-009</v>
          </cell>
          <cell r="P759">
            <v>0</v>
          </cell>
          <cell r="R759">
            <v>0</v>
          </cell>
          <cell r="S759">
            <v>0</v>
          </cell>
          <cell r="X759" t="str">
            <v>IL</v>
          </cell>
        </row>
        <row r="760">
          <cell r="A760" t="str">
            <v>400-40-009</v>
          </cell>
          <cell r="P760">
            <v>0</v>
          </cell>
          <cell r="R760">
            <v>0</v>
          </cell>
          <cell r="S760">
            <v>0</v>
          </cell>
          <cell r="X760" t="str">
            <v>IL</v>
          </cell>
        </row>
        <row r="761">
          <cell r="A761" t="str">
            <v>400-40-009</v>
          </cell>
          <cell r="P761">
            <v>129600</v>
          </cell>
          <cell r="R761">
            <v>115838.39999999999</v>
          </cell>
          <cell r="S761">
            <v>69888</v>
          </cell>
          <cell r="X761" t="str">
            <v>IL</v>
          </cell>
        </row>
        <row r="762">
          <cell r="A762" t="str">
            <v>400-40-009</v>
          </cell>
          <cell r="P762">
            <v>86400</v>
          </cell>
          <cell r="R762">
            <v>84000</v>
          </cell>
          <cell r="S762">
            <v>40092</v>
          </cell>
          <cell r="X762" t="str">
            <v>IL</v>
          </cell>
        </row>
        <row r="763">
          <cell r="A763" t="str">
            <v>400-40-009</v>
          </cell>
          <cell r="P763">
            <v>48000</v>
          </cell>
          <cell r="R763">
            <v>109795.2</v>
          </cell>
          <cell r="S763">
            <v>57480</v>
          </cell>
          <cell r="X763" t="str">
            <v>IL</v>
          </cell>
        </row>
        <row r="764">
          <cell r="A764" t="str">
            <v>400-40-009</v>
          </cell>
          <cell r="P764">
            <v>114000</v>
          </cell>
          <cell r="R764">
            <v>67992</v>
          </cell>
          <cell r="S764">
            <v>46800</v>
          </cell>
          <cell r="X764" t="str">
            <v>IL</v>
          </cell>
        </row>
        <row r="765">
          <cell r="A765" t="str">
            <v>400-40-009</v>
          </cell>
          <cell r="P765">
            <v>0</v>
          </cell>
          <cell r="R765">
            <v>0</v>
          </cell>
          <cell r="S765">
            <v>0</v>
          </cell>
          <cell r="X765" t="str">
            <v>IL</v>
          </cell>
        </row>
        <row r="766">
          <cell r="A766" t="str">
            <v>400-40-009</v>
          </cell>
          <cell r="P766">
            <v>66000</v>
          </cell>
          <cell r="R766">
            <v>57151.199999999997</v>
          </cell>
          <cell r="S766">
            <v>45000</v>
          </cell>
          <cell r="X766" t="str">
            <v>IL</v>
          </cell>
        </row>
        <row r="767">
          <cell r="A767" t="str">
            <v>400-40-009</v>
          </cell>
          <cell r="P767">
            <v>108000</v>
          </cell>
          <cell r="R767">
            <v>108000</v>
          </cell>
          <cell r="S767">
            <v>0</v>
          </cell>
          <cell r="X767" t="str">
            <v>IL</v>
          </cell>
        </row>
        <row r="768">
          <cell r="A768" t="str">
            <v>400-40-009</v>
          </cell>
          <cell r="P768">
            <v>168000</v>
          </cell>
          <cell r="R768">
            <v>162000</v>
          </cell>
          <cell r="S768">
            <v>87885</v>
          </cell>
          <cell r="X768" t="str">
            <v>IL</v>
          </cell>
        </row>
        <row r="769">
          <cell r="A769" t="str">
            <v>400-40-009</v>
          </cell>
          <cell r="P769">
            <v>88800</v>
          </cell>
          <cell r="R769">
            <v>79394.399999999994</v>
          </cell>
          <cell r="S769">
            <v>47520</v>
          </cell>
          <cell r="X769" t="str">
            <v>IL</v>
          </cell>
        </row>
        <row r="770">
          <cell r="A770" t="str">
            <v>400-40-009</v>
          </cell>
          <cell r="P770">
            <v>92400</v>
          </cell>
          <cell r="R770">
            <v>79435.199999999997</v>
          </cell>
          <cell r="S770">
            <v>38808</v>
          </cell>
          <cell r="X770" t="str">
            <v>IL</v>
          </cell>
        </row>
        <row r="771">
          <cell r="A771" t="str">
            <v>400-40-009</v>
          </cell>
          <cell r="P771">
            <v>68400</v>
          </cell>
          <cell r="R771">
            <v>61744.800000000003</v>
          </cell>
          <cell r="S771">
            <v>40092</v>
          </cell>
          <cell r="X771" t="str">
            <v>IL</v>
          </cell>
        </row>
        <row r="772">
          <cell r="A772" t="str">
            <v>400-40-009</v>
          </cell>
          <cell r="P772">
            <v>0</v>
          </cell>
          <cell r="R772">
            <v>0</v>
          </cell>
          <cell r="S772">
            <v>0</v>
          </cell>
          <cell r="X772" t="str">
            <v>IL</v>
          </cell>
        </row>
        <row r="773">
          <cell r="A773" t="str">
            <v>400-40-009</v>
          </cell>
          <cell r="P773">
            <v>12000</v>
          </cell>
          <cell r="R773">
            <v>13000.8</v>
          </cell>
          <cell r="S773">
            <v>31692</v>
          </cell>
          <cell r="X773" t="str">
            <v>COP</v>
          </cell>
        </row>
        <row r="774">
          <cell r="A774" t="str">
            <v>400-40-009</v>
          </cell>
          <cell r="P774">
            <v>90000</v>
          </cell>
          <cell r="R774">
            <v>0</v>
          </cell>
          <cell r="S774">
            <v>0</v>
          </cell>
          <cell r="X774" t="str">
            <v>IL</v>
          </cell>
        </row>
        <row r="775">
          <cell r="A775" t="str">
            <v>400-40-011</v>
          </cell>
          <cell r="P775">
            <v>828000</v>
          </cell>
          <cell r="R775">
            <v>1291140</v>
          </cell>
          <cell r="S775">
            <v>750000</v>
          </cell>
          <cell r="X775" t="str">
            <v>IL</v>
          </cell>
        </row>
        <row r="776">
          <cell r="A776" t="str">
            <v>400-40-011</v>
          </cell>
          <cell r="P776">
            <v>0</v>
          </cell>
          <cell r="R776">
            <v>0</v>
          </cell>
          <cell r="S776">
            <v>0</v>
          </cell>
          <cell r="X776" t="str">
            <v>IL</v>
          </cell>
        </row>
        <row r="777">
          <cell r="A777" t="str">
            <v>400-40-011</v>
          </cell>
          <cell r="P777">
            <v>48</v>
          </cell>
          <cell r="R777">
            <v>10440</v>
          </cell>
          <cell r="S777">
            <v>3608</v>
          </cell>
          <cell r="X777" t="str">
            <v>IL</v>
          </cell>
        </row>
        <row r="778">
          <cell r="A778" t="str">
            <v>400-40-011</v>
          </cell>
          <cell r="P778">
            <v>0</v>
          </cell>
          <cell r="R778">
            <v>0</v>
          </cell>
          <cell r="S778">
            <v>0</v>
          </cell>
          <cell r="X778" t="str">
            <v>IL</v>
          </cell>
        </row>
        <row r="779">
          <cell r="A779" t="str">
            <v>400-40-011</v>
          </cell>
          <cell r="P779">
            <v>0</v>
          </cell>
          <cell r="R779">
            <v>0</v>
          </cell>
          <cell r="S779">
            <v>0</v>
          </cell>
          <cell r="X779" t="str">
            <v>IL</v>
          </cell>
        </row>
        <row r="780">
          <cell r="A780" t="str">
            <v>400-40-011</v>
          </cell>
          <cell r="P780">
            <v>0</v>
          </cell>
          <cell r="R780">
            <v>0</v>
          </cell>
          <cell r="S780">
            <v>0</v>
          </cell>
          <cell r="X780" t="str">
            <v>IL</v>
          </cell>
        </row>
        <row r="781">
          <cell r="A781" t="str">
            <v>400-40-011</v>
          </cell>
          <cell r="P781">
            <v>600000</v>
          </cell>
          <cell r="R781">
            <v>500000</v>
          </cell>
          <cell r="S781">
            <v>13090</v>
          </cell>
          <cell r="X781" t="str">
            <v>IL</v>
          </cell>
        </row>
        <row r="782">
          <cell r="A782" t="str">
            <v>400-40-011</v>
          </cell>
          <cell r="P782">
            <v>0</v>
          </cell>
          <cell r="R782">
            <v>0</v>
          </cell>
          <cell r="S782">
            <v>0</v>
          </cell>
          <cell r="X782" t="str">
            <v>IL</v>
          </cell>
        </row>
        <row r="783">
          <cell r="A783" t="str">
            <v>400-40-011</v>
          </cell>
          <cell r="P783">
            <v>0</v>
          </cell>
          <cell r="R783">
            <v>0</v>
          </cell>
          <cell r="S783">
            <v>0</v>
          </cell>
          <cell r="X783" t="str">
            <v>IL</v>
          </cell>
        </row>
        <row r="784">
          <cell r="A784" t="str">
            <v>400-40-011</v>
          </cell>
          <cell r="P784">
            <v>0</v>
          </cell>
          <cell r="R784">
            <v>-9600</v>
          </cell>
          <cell r="S784">
            <v>0</v>
          </cell>
          <cell r="X784" t="str">
            <v>IL</v>
          </cell>
        </row>
        <row r="785">
          <cell r="A785" t="str">
            <v>400-40-011</v>
          </cell>
          <cell r="P785">
            <v>0</v>
          </cell>
          <cell r="R785">
            <v>0</v>
          </cell>
          <cell r="S785">
            <v>0</v>
          </cell>
          <cell r="X785" t="str">
            <v>IL</v>
          </cell>
        </row>
        <row r="786">
          <cell r="A786" t="str">
            <v>400-40-011</v>
          </cell>
          <cell r="P786">
            <v>0</v>
          </cell>
          <cell r="R786">
            <v>0</v>
          </cell>
          <cell r="S786">
            <v>0</v>
          </cell>
          <cell r="X786" t="str">
            <v>IL</v>
          </cell>
        </row>
        <row r="787">
          <cell r="A787" t="str">
            <v>400-40-011</v>
          </cell>
          <cell r="P787">
            <v>14400</v>
          </cell>
          <cell r="R787">
            <v>0</v>
          </cell>
          <cell r="S787">
            <v>0</v>
          </cell>
          <cell r="X787" t="str">
            <v>IL</v>
          </cell>
        </row>
        <row r="788">
          <cell r="A788" t="str">
            <v>400-40-011</v>
          </cell>
          <cell r="P788">
            <v>34800</v>
          </cell>
          <cell r="R788">
            <v>0</v>
          </cell>
          <cell r="S788">
            <v>0</v>
          </cell>
          <cell r="X788" t="str">
            <v>IL</v>
          </cell>
        </row>
        <row r="789">
          <cell r="A789" t="str">
            <v>400-40-011</v>
          </cell>
          <cell r="P789">
            <v>726948</v>
          </cell>
          <cell r="R789">
            <v>1009543.2</v>
          </cell>
          <cell r="S789">
            <v>1794648</v>
          </cell>
          <cell r="X789" t="str">
            <v>IL</v>
          </cell>
        </row>
        <row r="790">
          <cell r="A790" t="str">
            <v>400-40-011</v>
          </cell>
          <cell r="P790">
            <v>20340</v>
          </cell>
          <cell r="R790">
            <v>0</v>
          </cell>
          <cell r="S790">
            <v>0</v>
          </cell>
          <cell r="X790" t="str">
            <v>IL</v>
          </cell>
        </row>
        <row r="791">
          <cell r="A791" t="str">
            <v>400-40-011</v>
          </cell>
          <cell r="P791">
            <v>0</v>
          </cell>
          <cell r="R791">
            <v>0</v>
          </cell>
          <cell r="S791">
            <v>0</v>
          </cell>
          <cell r="X791" t="str">
            <v>IL</v>
          </cell>
        </row>
        <row r="792">
          <cell r="A792" t="str">
            <v>400-40-011</v>
          </cell>
          <cell r="P792">
            <v>0</v>
          </cell>
          <cell r="R792">
            <v>41815.199999999997</v>
          </cell>
          <cell r="S792">
            <v>0</v>
          </cell>
          <cell r="X792" t="str">
            <v>IL</v>
          </cell>
        </row>
        <row r="793">
          <cell r="A793" t="str">
            <v>400-40-011</v>
          </cell>
          <cell r="P793">
            <v>21600</v>
          </cell>
          <cell r="R793">
            <v>0</v>
          </cell>
          <cell r="S793">
            <v>0</v>
          </cell>
          <cell r="X793" t="str">
            <v>IL</v>
          </cell>
        </row>
        <row r="794">
          <cell r="A794" t="str">
            <v>400-40-011</v>
          </cell>
          <cell r="P794">
            <v>0</v>
          </cell>
          <cell r="R794">
            <v>0</v>
          </cell>
          <cell r="S794">
            <v>0</v>
          </cell>
          <cell r="X794" t="str">
            <v>IL</v>
          </cell>
        </row>
        <row r="795">
          <cell r="A795" t="str">
            <v>400-40-011</v>
          </cell>
          <cell r="P795">
            <v>0</v>
          </cell>
          <cell r="R795">
            <v>0</v>
          </cell>
          <cell r="S795">
            <v>0</v>
          </cell>
          <cell r="X795" t="str">
            <v>IL</v>
          </cell>
        </row>
        <row r="796">
          <cell r="A796" t="str">
            <v>400-40-011</v>
          </cell>
          <cell r="P796">
            <v>0</v>
          </cell>
          <cell r="R796">
            <v>0</v>
          </cell>
          <cell r="S796">
            <v>0</v>
          </cell>
          <cell r="X796" t="str">
            <v>IL</v>
          </cell>
        </row>
        <row r="797">
          <cell r="A797" t="str">
            <v>400-40-011</v>
          </cell>
          <cell r="P797">
            <v>842000</v>
          </cell>
          <cell r="R797">
            <v>672000</v>
          </cell>
          <cell r="S797">
            <v>0</v>
          </cell>
          <cell r="X797" t="str">
            <v>COP</v>
          </cell>
        </row>
        <row r="798">
          <cell r="A798" t="str">
            <v>400-40-011</v>
          </cell>
          <cell r="P798">
            <v>33600</v>
          </cell>
          <cell r="R798">
            <v>0</v>
          </cell>
          <cell r="S798">
            <v>0</v>
          </cell>
          <cell r="X798" t="str">
            <v>IL</v>
          </cell>
        </row>
        <row r="799">
          <cell r="A799" t="str">
            <v>400-40-012</v>
          </cell>
          <cell r="P799">
            <v>0</v>
          </cell>
          <cell r="R799">
            <v>0</v>
          </cell>
          <cell r="S799">
            <v>0</v>
          </cell>
          <cell r="X799" t="str">
            <v>IL</v>
          </cell>
        </row>
        <row r="800">
          <cell r="A800" t="str">
            <v>400-40-012</v>
          </cell>
          <cell r="P800">
            <v>0</v>
          </cell>
          <cell r="R800">
            <v>0</v>
          </cell>
          <cell r="S800">
            <v>0</v>
          </cell>
          <cell r="X800" t="str">
            <v>IL</v>
          </cell>
        </row>
        <row r="801">
          <cell r="A801" t="str">
            <v>400-40-012</v>
          </cell>
          <cell r="P801">
            <v>0</v>
          </cell>
          <cell r="R801">
            <v>0</v>
          </cell>
          <cell r="S801">
            <v>0</v>
          </cell>
          <cell r="X801" t="str">
            <v>IL</v>
          </cell>
        </row>
        <row r="802">
          <cell r="A802" t="str">
            <v>400-40-012</v>
          </cell>
          <cell r="P802">
            <v>0</v>
          </cell>
          <cell r="R802">
            <v>0</v>
          </cell>
          <cell r="S802">
            <v>0</v>
          </cell>
          <cell r="X802" t="str">
            <v>IL</v>
          </cell>
        </row>
        <row r="803">
          <cell r="A803" t="str">
            <v>400-40-012</v>
          </cell>
          <cell r="P803">
            <v>0</v>
          </cell>
          <cell r="R803">
            <v>0</v>
          </cell>
          <cell r="S803">
            <v>0</v>
          </cell>
          <cell r="X803" t="str">
            <v>IL</v>
          </cell>
        </row>
        <row r="804">
          <cell r="A804" t="str">
            <v>400-40-012</v>
          </cell>
          <cell r="P804">
            <v>0</v>
          </cell>
          <cell r="R804">
            <v>0</v>
          </cell>
          <cell r="S804">
            <v>0</v>
          </cell>
          <cell r="X804" t="str">
            <v>IL</v>
          </cell>
        </row>
        <row r="805">
          <cell r="A805" t="str">
            <v>400-40-012</v>
          </cell>
          <cell r="P805">
            <v>0</v>
          </cell>
          <cell r="R805">
            <v>0</v>
          </cell>
          <cell r="S805">
            <v>0</v>
          </cell>
          <cell r="X805" t="str">
            <v>IL</v>
          </cell>
        </row>
        <row r="806">
          <cell r="A806" t="str">
            <v>400-40-012</v>
          </cell>
          <cell r="P806">
            <v>0</v>
          </cell>
          <cell r="R806">
            <v>0</v>
          </cell>
          <cell r="S806">
            <v>0</v>
          </cell>
          <cell r="X806" t="str">
            <v>IL</v>
          </cell>
        </row>
        <row r="807">
          <cell r="A807" t="str">
            <v>400-40-012</v>
          </cell>
          <cell r="P807">
            <v>0</v>
          </cell>
          <cell r="R807">
            <v>0</v>
          </cell>
          <cell r="S807">
            <v>0</v>
          </cell>
          <cell r="X807" t="str">
            <v>IL</v>
          </cell>
        </row>
        <row r="808">
          <cell r="A808" t="str">
            <v>400-40-012</v>
          </cell>
          <cell r="P808">
            <v>0</v>
          </cell>
          <cell r="R808">
            <v>0</v>
          </cell>
          <cell r="S808">
            <v>0</v>
          </cell>
          <cell r="X808" t="str">
            <v>IL</v>
          </cell>
        </row>
        <row r="809">
          <cell r="A809" t="str">
            <v>400-40-012</v>
          </cell>
          <cell r="P809">
            <v>60600</v>
          </cell>
          <cell r="R809">
            <v>84384</v>
          </cell>
          <cell r="S809">
            <v>70800</v>
          </cell>
          <cell r="X809" t="str">
            <v>IL</v>
          </cell>
        </row>
        <row r="810">
          <cell r="A810" t="str">
            <v>400-40-012</v>
          </cell>
          <cell r="P810">
            <v>32000</v>
          </cell>
          <cell r="R810">
            <v>74760</v>
          </cell>
          <cell r="S810">
            <v>30500</v>
          </cell>
          <cell r="X810" t="str">
            <v>IL</v>
          </cell>
        </row>
        <row r="811">
          <cell r="A811" t="str">
            <v>400-40-012</v>
          </cell>
          <cell r="P811">
            <v>48000</v>
          </cell>
          <cell r="R811">
            <v>0</v>
          </cell>
          <cell r="S811">
            <v>0</v>
          </cell>
          <cell r="X811" t="str">
            <v>IL</v>
          </cell>
        </row>
        <row r="812">
          <cell r="A812" t="str">
            <v>400-40-012</v>
          </cell>
          <cell r="P812">
            <v>54000</v>
          </cell>
          <cell r="R812">
            <v>111648</v>
          </cell>
          <cell r="S812">
            <v>87000</v>
          </cell>
          <cell r="X812" t="str">
            <v>IL</v>
          </cell>
        </row>
        <row r="813">
          <cell r="A813" t="str">
            <v>400-40-012</v>
          </cell>
          <cell r="P813">
            <v>0</v>
          </cell>
          <cell r="R813">
            <v>0</v>
          </cell>
          <cell r="S813">
            <v>0</v>
          </cell>
          <cell r="X813" t="str">
            <v>IL</v>
          </cell>
        </row>
        <row r="814">
          <cell r="A814" t="str">
            <v>400-40-012</v>
          </cell>
          <cell r="P814">
            <v>57600</v>
          </cell>
          <cell r="R814">
            <v>57600</v>
          </cell>
          <cell r="S814">
            <v>0</v>
          </cell>
          <cell r="X814" t="str">
            <v>IL</v>
          </cell>
        </row>
        <row r="815">
          <cell r="A815" t="str">
            <v>400-40-012</v>
          </cell>
          <cell r="P815">
            <v>37000</v>
          </cell>
          <cell r="R815">
            <v>82224</v>
          </cell>
          <cell r="S815">
            <v>30000</v>
          </cell>
          <cell r="X815" t="str">
            <v>IL</v>
          </cell>
        </row>
        <row r="816">
          <cell r="A816" t="str">
            <v>400-40-012</v>
          </cell>
          <cell r="P816">
            <v>42075</v>
          </cell>
          <cell r="R816">
            <v>101472</v>
          </cell>
          <cell r="S816">
            <v>83338</v>
          </cell>
          <cell r="X816" t="str">
            <v>IL</v>
          </cell>
        </row>
        <row r="817">
          <cell r="A817" t="str">
            <v>400-40-012</v>
          </cell>
          <cell r="P817">
            <v>50004</v>
          </cell>
          <cell r="R817">
            <v>39360</v>
          </cell>
          <cell r="S817">
            <v>51931</v>
          </cell>
          <cell r="X817" t="str">
            <v>IL</v>
          </cell>
        </row>
        <row r="818">
          <cell r="A818" t="str">
            <v>400-40-012</v>
          </cell>
          <cell r="P818">
            <v>22800</v>
          </cell>
          <cell r="R818">
            <v>54720</v>
          </cell>
          <cell r="S818">
            <v>48000</v>
          </cell>
          <cell r="X818" t="str">
            <v>IL</v>
          </cell>
        </row>
        <row r="819">
          <cell r="A819" t="str">
            <v>400-40-012</v>
          </cell>
          <cell r="P819">
            <v>25000</v>
          </cell>
          <cell r="R819">
            <v>33600</v>
          </cell>
          <cell r="S819">
            <v>30500</v>
          </cell>
          <cell r="X819" t="str">
            <v>IL</v>
          </cell>
        </row>
        <row r="820">
          <cell r="A820" t="str">
            <v>400-40-012</v>
          </cell>
          <cell r="P820">
            <v>68300</v>
          </cell>
          <cell r="R820">
            <v>156480</v>
          </cell>
          <cell r="S820">
            <v>68100</v>
          </cell>
          <cell r="X820" t="str">
            <v>IL</v>
          </cell>
        </row>
        <row r="821">
          <cell r="A821" t="str">
            <v>400-40-012</v>
          </cell>
          <cell r="P821">
            <v>0</v>
          </cell>
          <cell r="R821">
            <v>0</v>
          </cell>
          <cell r="S821">
            <v>0</v>
          </cell>
          <cell r="X821" t="str">
            <v>COP</v>
          </cell>
        </row>
        <row r="822">
          <cell r="A822" t="str">
            <v>400-40-012</v>
          </cell>
          <cell r="P822">
            <v>30000</v>
          </cell>
          <cell r="R822">
            <v>0</v>
          </cell>
          <cell r="S822">
            <v>0</v>
          </cell>
          <cell r="X822" t="str">
            <v>IL</v>
          </cell>
        </row>
        <row r="823">
          <cell r="A823" t="str">
            <v>400-40-013</v>
          </cell>
          <cell r="P823">
            <v>0</v>
          </cell>
          <cell r="R823">
            <v>0</v>
          </cell>
          <cell r="S823">
            <v>0</v>
          </cell>
          <cell r="X823" t="str">
            <v>IL</v>
          </cell>
        </row>
        <row r="824">
          <cell r="A824" t="str">
            <v>400-40-013</v>
          </cell>
          <cell r="P824">
            <v>2325096</v>
          </cell>
          <cell r="R824">
            <v>2089370.4</v>
          </cell>
          <cell r="S824">
            <v>2007346</v>
          </cell>
          <cell r="X824" t="str">
            <v>IL</v>
          </cell>
        </row>
        <row r="825">
          <cell r="A825" t="str">
            <v>400-40-013</v>
          </cell>
          <cell r="P825">
            <v>0</v>
          </cell>
          <cell r="R825">
            <v>0</v>
          </cell>
          <cell r="S825">
            <v>0</v>
          </cell>
          <cell r="X825" t="str">
            <v>IL</v>
          </cell>
        </row>
        <row r="826">
          <cell r="A826" t="str">
            <v>400-40-013</v>
          </cell>
          <cell r="P826">
            <v>0</v>
          </cell>
          <cell r="R826">
            <v>0</v>
          </cell>
          <cell r="S826">
            <v>0</v>
          </cell>
          <cell r="X826" t="str">
            <v>IL</v>
          </cell>
        </row>
        <row r="827">
          <cell r="A827" t="str">
            <v>400-40-013</v>
          </cell>
          <cell r="P827">
            <v>0</v>
          </cell>
          <cell r="R827">
            <v>0</v>
          </cell>
          <cell r="S827">
            <v>0</v>
          </cell>
          <cell r="X827" t="str">
            <v>IL</v>
          </cell>
        </row>
        <row r="828">
          <cell r="A828" t="str">
            <v>400-40-013</v>
          </cell>
          <cell r="P828">
            <v>0</v>
          </cell>
          <cell r="R828">
            <v>0</v>
          </cell>
          <cell r="S828">
            <v>0</v>
          </cell>
          <cell r="X828" t="str">
            <v>IL</v>
          </cell>
        </row>
        <row r="829">
          <cell r="A829" t="str">
            <v>400-40-013</v>
          </cell>
          <cell r="P829">
            <v>0</v>
          </cell>
          <cell r="R829">
            <v>0</v>
          </cell>
          <cell r="S829">
            <v>0</v>
          </cell>
          <cell r="X829" t="str">
            <v>IL</v>
          </cell>
        </row>
        <row r="830">
          <cell r="A830" t="str">
            <v>400-40-013</v>
          </cell>
          <cell r="P830">
            <v>0</v>
          </cell>
          <cell r="R830">
            <v>0</v>
          </cell>
          <cell r="S830">
            <v>0</v>
          </cell>
          <cell r="X830" t="str">
            <v>IL</v>
          </cell>
        </row>
        <row r="831">
          <cell r="A831" t="str">
            <v>400-40-013</v>
          </cell>
          <cell r="P831">
            <v>0</v>
          </cell>
          <cell r="R831">
            <v>0</v>
          </cell>
          <cell r="S831">
            <v>0</v>
          </cell>
          <cell r="X831" t="str">
            <v>IL</v>
          </cell>
        </row>
        <row r="832">
          <cell r="A832" t="str">
            <v>400-40-013</v>
          </cell>
          <cell r="P832">
            <v>0</v>
          </cell>
          <cell r="R832">
            <v>0</v>
          </cell>
          <cell r="S832">
            <v>0</v>
          </cell>
          <cell r="X832" t="str">
            <v>IL</v>
          </cell>
        </row>
        <row r="833">
          <cell r="A833" t="str">
            <v>400-40-013</v>
          </cell>
          <cell r="P833">
            <v>0</v>
          </cell>
          <cell r="R833">
            <v>0</v>
          </cell>
          <cell r="S833">
            <v>0</v>
          </cell>
          <cell r="X833" t="str">
            <v>IL</v>
          </cell>
        </row>
        <row r="834">
          <cell r="A834" t="str">
            <v>400-40-013</v>
          </cell>
          <cell r="P834">
            <v>0</v>
          </cell>
          <cell r="R834">
            <v>0</v>
          </cell>
          <cell r="S834">
            <v>0</v>
          </cell>
          <cell r="X834" t="str">
            <v>IL</v>
          </cell>
        </row>
        <row r="835">
          <cell r="A835" t="str">
            <v>400-40-013</v>
          </cell>
          <cell r="P835">
            <v>0</v>
          </cell>
          <cell r="R835">
            <v>0</v>
          </cell>
          <cell r="S835">
            <v>0</v>
          </cell>
          <cell r="X835" t="str">
            <v>IL</v>
          </cell>
        </row>
        <row r="836">
          <cell r="A836" t="str">
            <v>400-40-013</v>
          </cell>
          <cell r="P836">
            <v>0</v>
          </cell>
          <cell r="R836">
            <v>0</v>
          </cell>
          <cell r="S836">
            <v>0</v>
          </cell>
          <cell r="X836" t="str">
            <v>IL</v>
          </cell>
        </row>
        <row r="837">
          <cell r="A837" t="str">
            <v>400-40-013</v>
          </cell>
          <cell r="P837">
            <v>0</v>
          </cell>
          <cell r="R837">
            <v>0</v>
          </cell>
          <cell r="S837">
            <v>0</v>
          </cell>
          <cell r="X837" t="str">
            <v>IL</v>
          </cell>
        </row>
        <row r="838">
          <cell r="A838" t="str">
            <v>400-40-013</v>
          </cell>
          <cell r="P838">
            <v>0</v>
          </cell>
          <cell r="R838">
            <v>0</v>
          </cell>
          <cell r="S838">
            <v>0</v>
          </cell>
          <cell r="X838" t="str">
            <v>IL</v>
          </cell>
        </row>
        <row r="839">
          <cell r="A839" t="str">
            <v>400-40-013</v>
          </cell>
          <cell r="P839">
            <v>0</v>
          </cell>
          <cell r="R839">
            <v>0</v>
          </cell>
          <cell r="S839">
            <v>0</v>
          </cell>
          <cell r="X839" t="str">
            <v>IL</v>
          </cell>
        </row>
        <row r="840">
          <cell r="A840" t="str">
            <v>400-40-013</v>
          </cell>
          <cell r="P840">
            <v>0</v>
          </cell>
          <cell r="R840">
            <v>0</v>
          </cell>
          <cell r="S840">
            <v>0</v>
          </cell>
          <cell r="X840" t="str">
            <v>IL</v>
          </cell>
        </row>
        <row r="841">
          <cell r="A841" t="str">
            <v>400-40-013</v>
          </cell>
          <cell r="P841">
            <v>0</v>
          </cell>
          <cell r="R841">
            <v>0</v>
          </cell>
          <cell r="S841">
            <v>0</v>
          </cell>
          <cell r="X841" t="str">
            <v>IL</v>
          </cell>
        </row>
        <row r="842">
          <cell r="A842" t="str">
            <v>400-40-013</v>
          </cell>
          <cell r="P842">
            <v>0</v>
          </cell>
          <cell r="R842">
            <v>0</v>
          </cell>
          <cell r="S842">
            <v>0</v>
          </cell>
          <cell r="X842" t="str">
            <v>IL</v>
          </cell>
        </row>
        <row r="843">
          <cell r="A843" t="str">
            <v>400-40-013</v>
          </cell>
          <cell r="P843">
            <v>0</v>
          </cell>
          <cell r="R843">
            <v>0</v>
          </cell>
          <cell r="S843">
            <v>0</v>
          </cell>
          <cell r="X843" t="str">
            <v>IL</v>
          </cell>
        </row>
        <row r="844">
          <cell r="A844" t="str">
            <v>400-40-013</v>
          </cell>
          <cell r="P844">
            <v>0</v>
          </cell>
          <cell r="R844">
            <v>0</v>
          </cell>
          <cell r="S844">
            <v>0</v>
          </cell>
          <cell r="X844" t="str">
            <v>IL</v>
          </cell>
        </row>
        <row r="845">
          <cell r="A845" t="str">
            <v>400-40-013</v>
          </cell>
          <cell r="P845">
            <v>0</v>
          </cell>
          <cell r="R845">
            <v>0</v>
          </cell>
          <cell r="S845">
            <v>0</v>
          </cell>
          <cell r="X845" t="str">
            <v>COP</v>
          </cell>
        </row>
        <row r="846">
          <cell r="A846" t="str">
            <v>400-40-013</v>
          </cell>
          <cell r="P846">
            <v>189000</v>
          </cell>
          <cell r="R846">
            <v>0</v>
          </cell>
          <cell r="S846">
            <v>0</v>
          </cell>
          <cell r="X846" t="str">
            <v>IL</v>
          </cell>
        </row>
        <row r="847">
          <cell r="A847" t="str">
            <v>400-40-014</v>
          </cell>
          <cell r="P847">
            <v>0</v>
          </cell>
          <cell r="R847">
            <v>0</v>
          </cell>
          <cell r="S847">
            <v>0</v>
          </cell>
          <cell r="X847" t="str">
            <v>IL</v>
          </cell>
        </row>
        <row r="848">
          <cell r="A848" t="str">
            <v>400-40-014</v>
          </cell>
          <cell r="P848">
            <v>0</v>
          </cell>
          <cell r="R848">
            <v>0</v>
          </cell>
          <cell r="S848">
            <v>0</v>
          </cell>
          <cell r="X848" t="str">
            <v>IL</v>
          </cell>
        </row>
        <row r="849">
          <cell r="A849" t="str">
            <v>400-40-014</v>
          </cell>
          <cell r="P849">
            <v>0</v>
          </cell>
          <cell r="R849">
            <v>0</v>
          </cell>
          <cell r="S849">
            <v>0</v>
          </cell>
          <cell r="X849" t="str">
            <v>IL</v>
          </cell>
        </row>
        <row r="850">
          <cell r="A850" t="str">
            <v>400-40-014</v>
          </cell>
          <cell r="P850">
            <v>0</v>
          </cell>
          <cell r="R850">
            <v>0</v>
          </cell>
          <cell r="S850">
            <v>0</v>
          </cell>
          <cell r="X850" t="str">
            <v>IL</v>
          </cell>
        </row>
        <row r="851">
          <cell r="A851" t="str">
            <v>400-40-014</v>
          </cell>
          <cell r="P851">
            <v>0</v>
          </cell>
          <cell r="R851">
            <v>0</v>
          </cell>
          <cell r="S851">
            <v>0</v>
          </cell>
          <cell r="X851" t="str">
            <v>IL</v>
          </cell>
        </row>
        <row r="852">
          <cell r="A852" t="str">
            <v>400-40-014</v>
          </cell>
          <cell r="P852">
            <v>0</v>
          </cell>
          <cell r="R852">
            <v>0</v>
          </cell>
          <cell r="S852">
            <v>0</v>
          </cell>
          <cell r="X852" t="str">
            <v>IL</v>
          </cell>
        </row>
        <row r="853">
          <cell r="A853" t="str">
            <v>400-40-014</v>
          </cell>
          <cell r="P853">
            <v>0</v>
          </cell>
          <cell r="R853">
            <v>0</v>
          </cell>
          <cell r="S853">
            <v>0</v>
          </cell>
          <cell r="X853" t="str">
            <v>IL</v>
          </cell>
        </row>
        <row r="854">
          <cell r="A854" t="str">
            <v>400-40-014</v>
          </cell>
          <cell r="P854">
            <v>0</v>
          </cell>
          <cell r="R854">
            <v>0</v>
          </cell>
          <cell r="S854">
            <v>0</v>
          </cell>
          <cell r="X854" t="str">
            <v>IL</v>
          </cell>
        </row>
        <row r="855">
          <cell r="A855" t="str">
            <v>400-40-014</v>
          </cell>
          <cell r="P855">
            <v>0</v>
          </cell>
          <cell r="R855">
            <v>0</v>
          </cell>
          <cell r="S855">
            <v>0</v>
          </cell>
          <cell r="X855" t="str">
            <v>IL</v>
          </cell>
        </row>
        <row r="856">
          <cell r="A856" t="str">
            <v>400-40-014</v>
          </cell>
          <cell r="P856">
            <v>0</v>
          </cell>
          <cell r="R856">
            <v>0</v>
          </cell>
          <cell r="S856">
            <v>0</v>
          </cell>
          <cell r="X856" t="str">
            <v>IL</v>
          </cell>
        </row>
        <row r="857">
          <cell r="A857" t="str">
            <v>400-40-014</v>
          </cell>
          <cell r="P857">
            <v>0</v>
          </cell>
          <cell r="R857">
            <v>0</v>
          </cell>
          <cell r="S857">
            <v>0</v>
          </cell>
          <cell r="X857" t="str">
            <v>IL</v>
          </cell>
        </row>
        <row r="858">
          <cell r="A858" t="str">
            <v>400-40-014</v>
          </cell>
          <cell r="P858">
            <v>0</v>
          </cell>
          <cell r="R858">
            <v>0</v>
          </cell>
          <cell r="S858">
            <v>0</v>
          </cell>
          <cell r="X858" t="str">
            <v>IL</v>
          </cell>
        </row>
        <row r="859">
          <cell r="A859" t="str">
            <v>400-40-014</v>
          </cell>
          <cell r="P859">
            <v>0</v>
          </cell>
          <cell r="R859">
            <v>0</v>
          </cell>
          <cell r="S859">
            <v>0</v>
          </cell>
          <cell r="X859" t="str">
            <v>IL</v>
          </cell>
        </row>
        <row r="860">
          <cell r="A860" t="str">
            <v>400-40-014</v>
          </cell>
          <cell r="P860">
            <v>0</v>
          </cell>
          <cell r="R860">
            <v>0</v>
          </cell>
          <cell r="S860">
            <v>0</v>
          </cell>
          <cell r="X860" t="str">
            <v>IL</v>
          </cell>
        </row>
        <row r="861">
          <cell r="A861" t="str">
            <v>400-40-014</v>
          </cell>
          <cell r="P861">
            <v>0</v>
          </cell>
          <cell r="R861">
            <v>0</v>
          </cell>
          <cell r="S861">
            <v>0</v>
          </cell>
          <cell r="X861" t="str">
            <v>IL</v>
          </cell>
        </row>
        <row r="862">
          <cell r="A862" t="str">
            <v>400-40-014</v>
          </cell>
          <cell r="P862">
            <v>0</v>
          </cell>
          <cell r="R862">
            <v>0</v>
          </cell>
          <cell r="S862">
            <v>0</v>
          </cell>
          <cell r="X862" t="str">
            <v>IL</v>
          </cell>
        </row>
        <row r="863">
          <cell r="A863" t="str">
            <v>400-40-014</v>
          </cell>
          <cell r="P863">
            <v>0</v>
          </cell>
          <cell r="R863">
            <v>0</v>
          </cell>
          <cell r="S863">
            <v>0</v>
          </cell>
          <cell r="X863" t="str">
            <v>IL</v>
          </cell>
        </row>
        <row r="864">
          <cell r="A864" t="str">
            <v>400-40-014</v>
          </cell>
          <cell r="P864">
            <v>0</v>
          </cell>
          <cell r="R864">
            <v>0</v>
          </cell>
          <cell r="S864">
            <v>0</v>
          </cell>
          <cell r="X864" t="str">
            <v>IL</v>
          </cell>
        </row>
        <row r="865">
          <cell r="A865" t="str">
            <v>400-40-014</v>
          </cell>
          <cell r="P865">
            <v>0</v>
          </cell>
          <cell r="R865">
            <v>0</v>
          </cell>
          <cell r="S865">
            <v>0</v>
          </cell>
          <cell r="X865" t="str">
            <v>IL</v>
          </cell>
        </row>
        <row r="866">
          <cell r="A866" t="str">
            <v>400-40-014</v>
          </cell>
          <cell r="P866">
            <v>0</v>
          </cell>
          <cell r="R866">
            <v>0</v>
          </cell>
          <cell r="S866">
            <v>0</v>
          </cell>
          <cell r="X866" t="str">
            <v>IL</v>
          </cell>
        </row>
        <row r="867">
          <cell r="A867" t="str">
            <v>400-40-014</v>
          </cell>
          <cell r="P867">
            <v>0</v>
          </cell>
          <cell r="R867">
            <v>0</v>
          </cell>
          <cell r="S867">
            <v>0</v>
          </cell>
          <cell r="X867" t="str">
            <v>IL</v>
          </cell>
        </row>
        <row r="868">
          <cell r="A868" t="str">
            <v>400-40-014</v>
          </cell>
          <cell r="P868">
            <v>0</v>
          </cell>
          <cell r="R868">
            <v>0</v>
          </cell>
          <cell r="S868">
            <v>0</v>
          </cell>
          <cell r="X868" t="str">
            <v>IL</v>
          </cell>
        </row>
        <row r="869">
          <cell r="A869" t="str">
            <v>400-40-014</v>
          </cell>
          <cell r="P869">
            <v>0</v>
          </cell>
          <cell r="R869">
            <v>0</v>
          </cell>
          <cell r="S869">
            <v>0</v>
          </cell>
          <cell r="X869" t="str">
            <v>COP</v>
          </cell>
        </row>
        <row r="870">
          <cell r="A870" t="str">
            <v>400-40-014</v>
          </cell>
          <cell r="P870">
            <v>0</v>
          </cell>
          <cell r="R870">
            <v>0</v>
          </cell>
          <cell r="S870">
            <v>0</v>
          </cell>
          <cell r="X870" t="str">
            <v>IL</v>
          </cell>
        </row>
        <row r="871">
          <cell r="A871" t="str">
            <v>400-40-015</v>
          </cell>
          <cell r="P871">
            <v>0</v>
          </cell>
          <cell r="R871">
            <v>-1440</v>
          </cell>
          <cell r="S871">
            <v>8000</v>
          </cell>
          <cell r="X871" t="str">
            <v>IL</v>
          </cell>
        </row>
        <row r="872">
          <cell r="A872" t="str">
            <v>400-40-015</v>
          </cell>
          <cell r="P872">
            <v>0</v>
          </cell>
          <cell r="R872">
            <v>0</v>
          </cell>
          <cell r="S872">
            <v>0</v>
          </cell>
          <cell r="X872" t="str">
            <v>IL</v>
          </cell>
        </row>
        <row r="873">
          <cell r="A873" t="str">
            <v>400-40-015</v>
          </cell>
          <cell r="P873">
            <v>0</v>
          </cell>
          <cell r="R873">
            <v>0</v>
          </cell>
          <cell r="S873">
            <v>0</v>
          </cell>
          <cell r="X873" t="str">
            <v>IL</v>
          </cell>
        </row>
        <row r="874">
          <cell r="A874" t="str">
            <v>400-40-015</v>
          </cell>
          <cell r="P874">
            <v>0</v>
          </cell>
          <cell r="R874">
            <v>0</v>
          </cell>
          <cell r="S874">
            <v>0</v>
          </cell>
          <cell r="X874" t="str">
            <v>IL</v>
          </cell>
        </row>
        <row r="875">
          <cell r="A875" t="str">
            <v>400-40-015</v>
          </cell>
          <cell r="P875">
            <v>806800</v>
          </cell>
          <cell r="R875">
            <v>170275.20000000001</v>
          </cell>
          <cell r="S875">
            <v>566000</v>
          </cell>
          <cell r="X875" t="str">
            <v>IL</v>
          </cell>
        </row>
        <row r="876">
          <cell r="A876" t="str">
            <v>400-40-015</v>
          </cell>
          <cell r="P876">
            <v>0</v>
          </cell>
          <cell r="R876">
            <v>0</v>
          </cell>
          <cell r="S876">
            <v>0</v>
          </cell>
          <cell r="X876" t="str">
            <v>IL</v>
          </cell>
        </row>
        <row r="877">
          <cell r="A877" t="str">
            <v>400-40-015</v>
          </cell>
          <cell r="P877">
            <v>0</v>
          </cell>
          <cell r="R877">
            <v>0</v>
          </cell>
          <cell r="S877">
            <v>0</v>
          </cell>
          <cell r="X877" t="str">
            <v>IL</v>
          </cell>
        </row>
        <row r="878">
          <cell r="A878" t="str">
            <v>400-40-015</v>
          </cell>
          <cell r="P878">
            <v>0</v>
          </cell>
          <cell r="R878">
            <v>0</v>
          </cell>
          <cell r="S878">
            <v>0</v>
          </cell>
          <cell r="X878" t="str">
            <v>IL</v>
          </cell>
        </row>
        <row r="879">
          <cell r="A879" t="str">
            <v>400-40-015</v>
          </cell>
          <cell r="P879">
            <v>0</v>
          </cell>
          <cell r="R879">
            <v>14755.2</v>
          </cell>
          <cell r="S879">
            <v>0</v>
          </cell>
          <cell r="X879" t="str">
            <v>IL</v>
          </cell>
        </row>
        <row r="880">
          <cell r="A880" t="str">
            <v>400-40-015</v>
          </cell>
          <cell r="P880">
            <v>0</v>
          </cell>
          <cell r="R880">
            <v>0</v>
          </cell>
          <cell r="S880">
            <v>0</v>
          </cell>
          <cell r="X880" t="str">
            <v>IL</v>
          </cell>
        </row>
        <row r="881">
          <cell r="A881" t="str">
            <v>400-40-015</v>
          </cell>
          <cell r="P881">
            <v>0</v>
          </cell>
          <cell r="R881">
            <v>17712</v>
          </cell>
          <cell r="S881">
            <v>5000</v>
          </cell>
          <cell r="X881" t="str">
            <v>IL</v>
          </cell>
        </row>
        <row r="882">
          <cell r="A882" t="str">
            <v>400-40-015</v>
          </cell>
          <cell r="P882">
            <v>13000</v>
          </cell>
          <cell r="R882">
            <v>0</v>
          </cell>
          <cell r="S882">
            <v>0</v>
          </cell>
          <cell r="X882" t="str">
            <v>IL</v>
          </cell>
        </row>
        <row r="883">
          <cell r="A883" t="str">
            <v>400-40-015</v>
          </cell>
          <cell r="P883">
            <v>24000</v>
          </cell>
          <cell r="R883">
            <v>0</v>
          </cell>
          <cell r="S883">
            <v>0</v>
          </cell>
          <cell r="X883" t="str">
            <v>IL</v>
          </cell>
        </row>
        <row r="884">
          <cell r="A884" t="str">
            <v>400-40-015</v>
          </cell>
          <cell r="P884">
            <v>0</v>
          </cell>
          <cell r="R884">
            <v>0</v>
          </cell>
          <cell r="S884">
            <v>0</v>
          </cell>
          <cell r="X884" t="str">
            <v>IL</v>
          </cell>
        </row>
        <row r="885">
          <cell r="A885" t="str">
            <v>400-40-015</v>
          </cell>
          <cell r="P885">
            <v>0</v>
          </cell>
          <cell r="R885">
            <v>0</v>
          </cell>
          <cell r="S885">
            <v>0</v>
          </cell>
          <cell r="X885" t="str">
            <v>IL</v>
          </cell>
        </row>
        <row r="886">
          <cell r="A886" t="str">
            <v>400-40-015</v>
          </cell>
          <cell r="P886">
            <v>0</v>
          </cell>
          <cell r="R886">
            <v>0</v>
          </cell>
          <cell r="S886">
            <v>0</v>
          </cell>
          <cell r="X886" t="str">
            <v>IL</v>
          </cell>
        </row>
        <row r="887">
          <cell r="A887" t="str">
            <v>400-40-015</v>
          </cell>
          <cell r="P887">
            <v>11000</v>
          </cell>
          <cell r="R887">
            <v>7200</v>
          </cell>
          <cell r="S887">
            <v>4000</v>
          </cell>
          <cell r="X887" t="str">
            <v>IL</v>
          </cell>
        </row>
        <row r="888">
          <cell r="A888" t="str">
            <v>400-40-015</v>
          </cell>
          <cell r="P888">
            <v>0</v>
          </cell>
          <cell r="R888">
            <v>0</v>
          </cell>
          <cell r="S888">
            <v>0</v>
          </cell>
          <cell r="X888" t="str">
            <v>IL</v>
          </cell>
        </row>
        <row r="889">
          <cell r="A889" t="str">
            <v>400-40-015</v>
          </cell>
          <cell r="P889">
            <v>0</v>
          </cell>
          <cell r="R889">
            <v>0</v>
          </cell>
          <cell r="S889">
            <v>0</v>
          </cell>
          <cell r="X889" t="str">
            <v>IL</v>
          </cell>
        </row>
        <row r="890">
          <cell r="A890" t="str">
            <v>400-40-015</v>
          </cell>
          <cell r="P890">
            <v>0</v>
          </cell>
          <cell r="R890">
            <v>15312</v>
          </cell>
          <cell r="S890">
            <v>7200</v>
          </cell>
          <cell r="X890" t="str">
            <v>IL</v>
          </cell>
        </row>
        <row r="891">
          <cell r="A891" t="str">
            <v>400-40-015</v>
          </cell>
          <cell r="P891">
            <v>0</v>
          </cell>
          <cell r="R891">
            <v>0</v>
          </cell>
          <cell r="S891">
            <v>0</v>
          </cell>
          <cell r="X891" t="str">
            <v>IL</v>
          </cell>
        </row>
        <row r="892">
          <cell r="A892" t="str">
            <v>400-40-015</v>
          </cell>
          <cell r="P892">
            <v>0</v>
          </cell>
          <cell r="R892">
            <v>0</v>
          </cell>
          <cell r="S892">
            <v>0</v>
          </cell>
          <cell r="X892" t="str">
            <v>IL</v>
          </cell>
        </row>
        <row r="893">
          <cell r="A893" t="str">
            <v>400-40-015</v>
          </cell>
          <cell r="P893">
            <v>0</v>
          </cell>
          <cell r="R893">
            <v>0</v>
          </cell>
          <cell r="S893">
            <v>0</v>
          </cell>
          <cell r="X893" t="str">
            <v>COP</v>
          </cell>
        </row>
        <row r="894">
          <cell r="A894" t="str">
            <v>400-40-015</v>
          </cell>
          <cell r="P894">
            <v>0</v>
          </cell>
          <cell r="R894">
            <v>0</v>
          </cell>
          <cell r="S894">
            <v>0</v>
          </cell>
          <cell r="X894" t="str">
            <v>IL</v>
          </cell>
        </row>
        <row r="895">
          <cell r="A895" t="str">
            <v>400-40-016</v>
          </cell>
          <cell r="P895">
            <v>294000</v>
          </cell>
          <cell r="R895">
            <v>17220</v>
          </cell>
          <cell r="S895">
            <v>250000</v>
          </cell>
          <cell r="X895" t="str">
            <v>IL</v>
          </cell>
        </row>
        <row r="896">
          <cell r="A896" t="str">
            <v>400-40-016</v>
          </cell>
          <cell r="P896">
            <v>0</v>
          </cell>
          <cell r="R896">
            <v>1080</v>
          </cell>
          <cell r="S896">
            <v>0</v>
          </cell>
          <cell r="X896" t="str">
            <v>IL</v>
          </cell>
        </row>
        <row r="897">
          <cell r="A897" t="str">
            <v>400-40-016</v>
          </cell>
          <cell r="P897">
            <v>141000</v>
          </cell>
          <cell r="R897">
            <v>15204</v>
          </cell>
          <cell r="S897">
            <v>0</v>
          </cell>
          <cell r="X897" t="str">
            <v>IL</v>
          </cell>
        </row>
        <row r="898">
          <cell r="A898" t="str">
            <v>400-40-016</v>
          </cell>
          <cell r="P898">
            <v>0</v>
          </cell>
          <cell r="R898">
            <v>14191.2</v>
          </cell>
          <cell r="S898">
            <v>40000</v>
          </cell>
          <cell r="X898" t="str">
            <v>IL</v>
          </cell>
        </row>
        <row r="899">
          <cell r="A899" t="str">
            <v>400-40-016</v>
          </cell>
          <cell r="P899">
            <v>70000</v>
          </cell>
          <cell r="R899">
            <v>144168</v>
          </cell>
          <cell r="S899">
            <v>60000</v>
          </cell>
          <cell r="X899" t="str">
            <v>IL</v>
          </cell>
        </row>
        <row r="900">
          <cell r="A900" t="str">
            <v>400-40-016</v>
          </cell>
          <cell r="P900">
            <v>0</v>
          </cell>
          <cell r="R900">
            <v>480</v>
          </cell>
          <cell r="S900">
            <v>0</v>
          </cell>
          <cell r="X900" t="str">
            <v>IL</v>
          </cell>
        </row>
        <row r="901">
          <cell r="A901" t="str">
            <v>400-40-016</v>
          </cell>
          <cell r="P901">
            <v>240000</v>
          </cell>
          <cell r="R901">
            <v>27232.799999999999</v>
          </cell>
          <cell r="S901">
            <v>24000</v>
          </cell>
          <cell r="X901" t="str">
            <v>IL</v>
          </cell>
        </row>
        <row r="902">
          <cell r="A902" t="str">
            <v>400-40-016</v>
          </cell>
          <cell r="P902">
            <v>0</v>
          </cell>
          <cell r="R902">
            <v>0</v>
          </cell>
          <cell r="S902">
            <v>0</v>
          </cell>
          <cell r="X902" t="str">
            <v>IL</v>
          </cell>
        </row>
        <row r="903">
          <cell r="A903" t="str">
            <v>400-40-016</v>
          </cell>
          <cell r="P903">
            <v>0</v>
          </cell>
          <cell r="R903">
            <v>11827.2</v>
          </cell>
          <cell r="S903">
            <v>12000</v>
          </cell>
          <cell r="X903" t="str">
            <v>IL</v>
          </cell>
        </row>
        <row r="904">
          <cell r="A904" t="str">
            <v>400-40-016</v>
          </cell>
          <cell r="P904">
            <v>0</v>
          </cell>
          <cell r="R904">
            <v>0</v>
          </cell>
          <cell r="S904">
            <v>0</v>
          </cell>
          <cell r="X904" t="str">
            <v>IL</v>
          </cell>
        </row>
        <row r="905">
          <cell r="A905" t="str">
            <v>400-40-016</v>
          </cell>
          <cell r="P905">
            <v>9000</v>
          </cell>
          <cell r="R905">
            <v>1368</v>
          </cell>
          <cell r="S905">
            <v>6000</v>
          </cell>
          <cell r="X905" t="str">
            <v>IL</v>
          </cell>
        </row>
        <row r="906">
          <cell r="A906" t="str">
            <v>400-40-016</v>
          </cell>
          <cell r="P906">
            <v>10000</v>
          </cell>
          <cell r="R906">
            <v>9364.7999999999993</v>
          </cell>
          <cell r="S906">
            <v>0</v>
          </cell>
          <cell r="X906" t="str">
            <v>IL</v>
          </cell>
        </row>
        <row r="907">
          <cell r="A907" t="str">
            <v>400-40-016</v>
          </cell>
          <cell r="P907">
            <v>14004</v>
          </cell>
          <cell r="R907">
            <v>42657.599999999999</v>
          </cell>
          <cell r="S907">
            <v>31000</v>
          </cell>
          <cell r="X907" t="str">
            <v>IL</v>
          </cell>
        </row>
        <row r="908">
          <cell r="A908" t="str">
            <v>400-40-016</v>
          </cell>
          <cell r="P908">
            <v>25200</v>
          </cell>
          <cell r="R908">
            <v>7440</v>
          </cell>
          <cell r="S908">
            <v>11000</v>
          </cell>
          <cell r="X908" t="str">
            <v>IL</v>
          </cell>
        </row>
        <row r="909">
          <cell r="A909" t="str">
            <v>400-40-016</v>
          </cell>
          <cell r="P909">
            <v>39000</v>
          </cell>
          <cell r="R909">
            <v>159540</v>
          </cell>
          <cell r="S909">
            <v>0</v>
          </cell>
          <cell r="X909" t="str">
            <v>IL</v>
          </cell>
        </row>
        <row r="910">
          <cell r="A910" t="str">
            <v>400-40-016</v>
          </cell>
          <cell r="P910">
            <v>3600</v>
          </cell>
          <cell r="R910">
            <v>41760</v>
          </cell>
          <cell r="S910">
            <v>2350</v>
          </cell>
          <cell r="X910" t="str">
            <v>IL</v>
          </cell>
        </row>
        <row r="911">
          <cell r="A911" t="str">
            <v>400-40-016</v>
          </cell>
          <cell r="P911">
            <v>15000</v>
          </cell>
          <cell r="R911">
            <v>600</v>
          </cell>
          <cell r="S911">
            <v>2400</v>
          </cell>
          <cell r="X911" t="str">
            <v>IL</v>
          </cell>
        </row>
        <row r="912">
          <cell r="A912" t="str">
            <v>400-40-016</v>
          </cell>
          <cell r="P912">
            <v>24000</v>
          </cell>
          <cell r="R912">
            <v>432</v>
          </cell>
          <cell r="S912">
            <v>15300</v>
          </cell>
          <cell r="X912" t="str">
            <v>IL</v>
          </cell>
        </row>
        <row r="913">
          <cell r="A913" t="str">
            <v>400-40-016</v>
          </cell>
          <cell r="P913">
            <v>36000</v>
          </cell>
          <cell r="R913">
            <v>84</v>
          </cell>
          <cell r="S913">
            <v>12500</v>
          </cell>
          <cell r="X913" t="str">
            <v>IL</v>
          </cell>
        </row>
        <row r="914">
          <cell r="A914" t="str">
            <v>400-40-016</v>
          </cell>
          <cell r="P914">
            <v>6000</v>
          </cell>
          <cell r="R914">
            <v>66847.199999999997</v>
          </cell>
          <cell r="S914">
            <v>6000</v>
          </cell>
          <cell r="X914" t="str">
            <v>IL</v>
          </cell>
        </row>
        <row r="915">
          <cell r="A915" t="str">
            <v>400-40-016</v>
          </cell>
          <cell r="P915">
            <v>27000</v>
          </cell>
          <cell r="R915">
            <v>96</v>
          </cell>
          <cell r="S915">
            <v>4000</v>
          </cell>
          <cell r="X915" t="str">
            <v>IL</v>
          </cell>
        </row>
        <row r="916">
          <cell r="A916" t="str">
            <v>400-40-016</v>
          </cell>
          <cell r="P916">
            <v>12000</v>
          </cell>
          <cell r="R916">
            <v>684</v>
          </cell>
          <cell r="S916">
            <v>8412</v>
          </cell>
          <cell r="X916" t="str">
            <v>IL</v>
          </cell>
        </row>
        <row r="917">
          <cell r="A917" t="str">
            <v>400-40-016</v>
          </cell>
          <cell r="P917">
            <v>0</v>
          </cell>
          <cell r="R917">
            <v>2815.2</v>
          </cell>
          <cell r="S917">
            <v>48000</v>
          </cell>
          <cell r="X917" t="str">
            <v>COP</v>
          </cell>
        </row>
        <row r="918">
          <cell r="A918" t="str">
            <v>400-40-016</v>
          </cell>
          <cell r="P918">
            <v>1016779</v>
          </cell>
          <cell r="R918">
            <v>464390.40000000002</v>
          </cell>
          <cell r="S918">
            <v>401553</v>
          </cell>
          <cell r="X918" t="str">
            <v>IL</v>
          </cell>
        </row>
        <row r="919">
          <cell r="A919" t="str">
            <v>400-40-017</v>
          </cell>
          <cell r="P919">
            <v>77538</v>
          </cell>
          <cell r="R919">
            <v>8395.2000000000007</v>
          </cell>
          <cell r="S919">
            <v>15000</v>
          </cell>
          <cell r="X919" t="str">
            <v>IL</v>
          </cell>
        </row>
        <row r="920">
          <cell r="A920" t="str">
            <v>400-40-017</v>
          </cell>
          <cell r="P920">
            <v>116000</v>
          </cell>
          <cell r="R920">
            <v>17275.2</v>
          </cell>
          <cell r="S920">
            <v>20000</v>
          </cell>
          <cell r="X920" t="str">
            <v>IL</v>
          </cell>
        </row>
        <row r="921">
          <cell r="A921" t="str">
            <v>400-40-017</v>
          </cell>
          <cell r="P921">
            <v>60000</v>
          </cell>
          <cell r="R921">
            <v>0</v>
          </cell>
          <cell r="S921">
            <v>0</v>
          </cell>
          <cell r="X921" t="str">
            <v>IL</v>
          </cell>
        </row>
        <row r="922">
          <cell r="A922" t="str">
            <v>400-40-017</v>
          </cell>
          <cell r="P922">
            <v>220000</v>
          </cell>
          <cell r="R922">
            <v>0</v>
          </cell>
          <cell r="S922">
            <v>0</v>
          </cell>
          <cell r="X922" t="str">
            <v>IL</v>
          </cell>
        </row>
        <row r="923">
          <cell r="A923" t="str">
            <v>400-40-017</v>
          </cell>
          <cell r="P923">
            <v>190000</v>
          </cell>
          <cell r="R923">
            <v>0</v>
          </cell>
          <cell r="S923">
            <v>0</v>
          </cell>
          <cell r="X923" t="str">
            <v>IL</v>
          </cell>
        </row>
        <row r="924">
          <cell r="A924" t="str">
            <v>400-40-017</v>
          </cell>
          <cell r="P924">
            <v>0</v>
          </cell>
          <cell r="R924">
            <v>0</v>
          </cell>
          <cell r="S924">
            <v>0</v>
          </cell>
          <cell r="X924" t="str">
            <v>IL</v>
          </cell>
        </row>
        <row r="925">
          <cell r="A925" t="str">
            <v>400-40-017</v>
          </cell>
          <cell r="P925">
            <v>209256</v>
          </cell>
          <cell r="R925">
            <v>0</v>
          </cell>
          <cell r="S925">
            <v>0</v>
          </cell>
          <cell r="X925" t="str">
            <v>IL</v>
          </cell>
        </row>
        <row r="926">
          <cell r="A926" t="str">
            <v>400-40-017</v>
          </cell>
          <cell r="P926">
            <v>160000</v>
          </cell>
          <cell r="R926">
            <v>0</v>
          </cell>
          <cell r="S926">
            <v>0</v>
          </cell>
          <cell r="X926" t="str">
            <v>IL</v>
          </cell>
        </row>
        <row r="927">
          <cell r="A927" t="str">
            <v>400-40-017</v>
          </cell>
          <cell r="P927">
            <v>110000</v>
          </cell>
          <cell r="R927">
            <v>8352</v>
          </cell>
          <cell r="S927">
            <v>30000</v>
          </cell>
          <cell r="X927" t="str">
            <v>IL</v>
          </cell>
        </row>
        <row r="928">
          <cell r="A928" t="str">
            <v>400-40-017</v>
          </cell>
          <cell r="P928">
            <v>105000</v>
          </cell>
          <cell r="R928">
            <v>0</v>
          </cell>
          <cell r="S928">
            <v>0</v>
          </cell>
          <cell r="X928" t="str">
            <v>IL</v>
          </cell>
        </row>
        <row r="929">
          <cell r="A929" t="str">
            <v>400-40-017</v>
          </cell>
          <cell r="P929">
            <v>72750</v>
          </cell>
          <cell r="R929">
            <v>48000</v>
          </cell>
          <cell r="S929">
            <v>0</v>
          </cell>
          <cell r="X929" t="str">
            <v>IL</v>
          </cell>
        </row>
        <row r="930">
          <cell r="A930" t="str">
            <v>400-40-017</v>
          </cell>
          <cell r="P930">
            <v>0</v>
          </cell>
          <cell r="R930">
            <v>0</v>
          </cell>
          <cell r="S930">
            <v>0</v>
          </cell>
          <cell r="X930" t="str">
            <v>IL</v>
          </cell>
        </row>
        <row r="931">
          <cell r="A931" t="str">
            <v>400-40-017</v>
          </cell>
          <cell r="P931">
            <v>72208</v>
          </cell>
          <cell r="R931">
            <v>0</v>
          </cell>
          <cell r="S931">
            <v>0</v>
          </cell>
          <cell r="X931" t="str">
            <v>IL</v>
          </cell>
        </row>
        <row r="932">
          <cell r="A932" t="str">
            <v>400-40-017</v>
          </cell>
          <cell r="P932">
            <v>144000</v>
          </cell>
          <cell r="R932">
            <v>0</v>
          </cell>
          <cell r="S932">
            <v>0</v>
          </cell>
          <cell r="X932" t="str">
            <v>IL</v>
          </cell>
        </row>
        <row r="933">
          <cell r="A933" t="str">
            <v>400-40-017</v>
          </cell>
          <cell r="P933">
            <v>1959996</v>
          </cell>
          <cell r="R933">
            <v>50400</v>
          </cell>
          <cell r="S933">
            <v>1430000</v>
          </cell>
          <cell r="X933" t="str">
            <v>IL</v>
          </cell>
        </row>
        <row r="934">
          <cell r="A934" t="str">
            <v>400-40-017</v>
          </cell>
          <cell r="P934">
            <v>99000</v>
          </cell>
          <cell r="R934">
            <v>0</v>
          </cell>
          <cell r="S934">
            <v>0</v>
          </cell>
          <cell r="X934" t="str">
            <v>IL</v>
          </cell>
        </row>
        <row r="935">
          <cell r="A935" t="str">
            <v>400-40-017</v>
          </cell>
          <cell r="P935">
            <v>60000</v>
          </cell>
          <cell r="R935">
            <v>0</v>
          </cell>
          <cell r="S935">
            <v>0</v>
          </cell>
          <cell r="X935" t="str">
            <v>IL</v>
          </cell>
        </row>
        <row r="936">
          <cell r="A936" t="str">
            <v>400-40-017</v>
          </cell>
          <cell r="P936">
            <v>86000</v>
          </cell>
          <cell r="R936">
            <v>0</v>
          </cell>
          <cell r="S936">
            <v>0</v>
          </cell>
          <cell r="X936" t="str">
            <v>IL</v>
          </cell>
        </row>
        <row r="937">
          <cell r="A937" t="str">
            <v>400-40-017</v>
          </cell>
          <cell r="P937">
            <v>66000</v>
          </cell>
          <cell r="R937">
            <v>0</v>
          </cell>
          <cell r="S937">
            <v>0</v>
          </cell>
          <cell r="X937" t="str">
            <v>IL</v>
          </cell>
        </row>
        <row r="938">
          <cell r="A938" t="str">
            <v>400-40-017</v>
          </cell>
          <cell r="P938">
            <v>0</v>
          </cell>
          <cell r="R938">
            <v>0</v>
          </cell>
          <cell r="S938">
            <v>0</v>
          </cell>
          <cell r="X938" t="str">
            <v>IL</v>
          </cell>
        </row>
        <row r="939">
          <cell r="A939" t="str">
            <v>400-40-017</v>
          </cell>
          <cell r="P939">
            <v>60000</v>
          </cell>
          <cell r="R939">
            <v>0</v>
          </cell>
          <cell r="S939">
            <v>0</v>
          </cell>
          <cell r="X939" t="str">
            <v>IL</v>
          </cell>
        </row>
        <row r="940">
          <cell r="A940" t="str">
            <v>400-40-017</v>
          </cell>
          <cell r="P940">
            <v>95300</v>
          </cell>
          <cell r="R940">
            <v>0</v>
          </cell>
          <cell r="S940">
            <v>0</v>
          </cell>
          <cell r="X940" t="str">
            <v>IL</v>
          </cell>
        </row>
        <row r="941">
          <cell r="A941" t="str">
            <v>400-40-017</v>
          </cell>
          <cell r="P941">
            <v>95000</v>
          </cell>
          <cell r="R941">
            <v>36480</v>
          </cell>
          <cell r="S941">
            <v>25000</v>
          </cell>
          <cell r="X941" t="str">
            <v>COP</v>
          </cell>
        </row>
        <row r="942">
          <cell r="A942" t="str">
            <v>400-40-017</v>
          </cell>
          <cell r="P942">
            <v>26000</v>
          </cell>
          <cell r="R942">
            <v>15079.2</v>
          </cell>
          <cell r="S942">
            <v>66000</v>
          </cell>
          <cell r="X942" t="str">
            <v>IL</v>
          </cell>
        </row>
        <row r="943">
          <cell r="A943" t="str">
            <v>400-40-018</v>
          </cell>
          <cell r="P943">
            <v>0</v>
          </cell>
          <cell r="R943">
            <v>0</v>
          </cell>
          <cell r="S943">
            <v>0</v>
          </cell>
          <cell r="X943" t="str">
            <v>IL</v>
          </cell>
        </row>
        <row r="944">
          <cell r="A944" t="str">
            <v>400-40-018</v>
          </cell>
          <cell r="P944">
            <v>0</v>
          </cell>
          <cell r="R944">
            <v>0</v>
          </cell>
          <cell r="S944">
            <v>0</v>
          </cell>
          <cell r="X944" t="str">
            <v>IL</v>
          </cell>
        </row>
        <row r="945">
          <cell r="A945" t="str">
            <v>400-40-018</v>
          </cell>
          <cell r="P945">
            <v>0</v>
          </cell>
          <cell r="R945">
            <v>0</v>
          </cell>
          <cell r="S945">
            <v>0</v>
          </cell>
          <cell r="X945" t="str">
            <v>IL</v>
          </cell>
        </row>
        <row r="946">
          <cell r="A946" t="str">
            <v>400-40-018</v>
          </cell>
          <cell r="P946">
            <v>0</v>
          </cell>
          <cell r="R946">
            <v>0</v>
          </cell>
          <cell r="S946">
            <v>0</v>
          </cell>
          <cell r="X946" t="str">
            <v>IL</v>
          </cell>
        </row>
        <row r="947">
          <cell r="A947" t="str">
            <v>400-40-018</v>
          </cell>
          <cell r="P947">
            <v>0</v>
          </cell>
          <cell r="R947">
            <v>0</v>
          </cell>
          <cell r="S947">
            <v>0</v>
          </cell>
          <cell r="X947" t="str">
            <v>IL</v>
          </cell>
        </row>
        <row r="948">
          <cell r="A948" t="str">
            <v>400-40-018</v>
          </cell>
          <cell r="P948">
            <v>0</v>
          </cell>
          <cell r="R948">
            <v>0</v>
          </cell>
          <cell r="S948">
            <v>0</v>
          </cell>
          <cell r="X948" t="str">
            <v>IL</v>
          </cell>
        </row>
        <row r="949">
          <cell r="A949" t="str">
            <v>400-40-018</v>
          </cell>
          <cell r="P949">
            <v>0</v>
          </cell>
          <cell r="R949">
            <v>0</v>
          </cell>
          <cell r="S949">
            <v>0</v>
          </cell>
          <cell r="X949" t="str">
            <v>IL</v>
          </cell>
        </row>
        <row r="950">
          <cell r="A950" t="str">
            <v>400-40-018</v>
          </cell>
          <cell r="P950">
            <v>0</v>
          </cell>
          <cell r="R950">
            <v>0</v>
          </cell>
          <cell r="S950">
            <v>0</v>
          </cell>
          <cell r="X950" t="str">
            <v>IL</v>
          </cell>
        </row>
        <row r="951">
          <cell r="A951" t="str">
            <v>400-40-018</v>
          </cell>
          <cell r="P951">
            <v>0</v>
          </cell>
          <cell r="R951">
            <v>0</v>
          </cell>
          <cell r="S951">
            <v>0</v>
          </cell>
          <cell r="X951" t="str">
            <v>IL</v>
          </cell>
        </row>
        <row r="952">
          <cell r="A952" t="str">
            <v>400-40-018</v>
          </cell>
          <cell r="P952">
            <v>0</v>
          </cell>
          <cell r="R952">
            <v>3528</v>
          </cell>
          <cell r="S952">
            <v>0</v>
          </cell>
          <cell r="X952" t="str">
            <v>IL</v>
          </cell>
        </row>
        <row r="953">
          <cell r="A953" t="str">
            <v>400-40-018</v>
          </cell>
          <cell r="P953">
            <v>0</v>
          </cell>
          <cell r="R953">
            <v>0</v>
          </cell>
          <cell r="S953">
            <v>0</v>
          </cell>
          <cell r="X953" t="str">
            <v>IL</v>
          </cell>
        </row>
        <row r="954">
          <cell r="A954" t="str">
            <v>400-40-018</v>
          </cell>
          <cell r="P954">
            <v>0</v>
          </cell>
          <cell r="R954">
            <v>0</v>
          </cell>
          <cell r="S954">
            <v>0</v>
          </cell>
          <cell r="X954" t="str">
            <v>IL</v>
          </cell>
        </row>
        <row r="955">
          <cell r="A955" t="str">
            <v>400-40-018</v>
          </cell>
          <cell r="P955">
            <v>0</v>
          </cell>
          <cell r="R955">
            <v>0</v>
          </cell>
          <cell r="S955">
            <v>0</v>
          </cell>
          <cell r="X955" t="str">
            <v>IL</v>
          </cell>
        </row>
        <row r="956">
          <cell r="A956" t="str">
            <v>400-40-018</v>
          </cell>
          <cell r="P956">
            <v>0</v>
          </cell>
          <cell r="R956">
            <v>0</v>
          </cell>
          <cell r="S956">
            <v>0</v>
          </cell>
          <cell r="X956" t="str">
            <v>IL</v>
          </cell>
        </row>
        <row r="957">
          <cell r="A957" t="str">
            <v>400-40-018</v>
          </cell>
          <cell r="P957">
            <v>8561712</v>
          </cell>
          <cell r="R957">
            <v>7762080</v>
          </cell>
          <cell r="S957">
            <v>4890000</v>
          </cell>
          <cell r="X957" t="str">
            <v>IL</v>
          </cell>
        </row>
        <row r="958">
          <cell r="A958" t="str">
            <v>400-40-018</v>
          </cell>
          <cell r="P958">
            <v>0</v>
          </cell>
          <cell r="R958">
            <v>0</v>
          </cell>
          <cell r="S958">
            <v>0</v>
          </cell>
          <cell r="X958" t="str">
            <v>IL</v>
          </cell>
        </row>
        <row r="959">
          <cell r="A959" t="str">
            <v>400-40-018</v>
          </cell>
          <cell r="P959">
            <v>0</v>
          </cell>
          <cell r="R959">
            <v>0</v>
          </cell>
          <cell r="S959">
            <v>0</v>
          </cell>
          <cell r="X959" t="str">
            <v>IL</v>
          </cell>
        </row>
        <row r="960">
          <cell r="A960" t="str">
            <v>400-40-018</v>
          </cell>
          <cell r="P960">
            <v>0</v>
          </cell>
          <cell r="R960">
            <v>0</v>
          </cell>
          <cell r="S960">
            <v>0</v>
          </cell>
          <cell r="X960" t="str">
            <v>IL</v>
          </cell>
        </row>
        <row r="961">
          <cell r="A961" t="str">
            <v>400-40-018</v>
          </cell>
          <cell r="P961">
            <v>0</v>
          </cell>
          <cell r="R961">
            <v>0</v>
          </cell>
          <cell r="S961">
            <v>0</v>
          </cell>
          <cell r="X961" t="str">
            <v>IL</v>
          </cell>
        </row>
        <row r="962">
          <cell r="A962" t="str">
            <v>400-40-018</v>
          </cell>
          <cell r="P962">
            <v>0</v>
          </cell>
          <cell r="R962">
            <v>0</v>
          </cell>
          <cell r="S962">
            <v>0</v>
          </cell>
          <cell r="X962" t="str">
            <v>IL</v>
          </cell>
        </row>
        <row r="963">
          <cell r="A963" t="str">
            <v>400-40-018</v>
          </cell>
          <cell r="P963">
            <v>0</v>
          </cell>
          <cell r="R963">
            <v>0</v>
          </cell>
          <cell r="S963">
            <v>0</v>
          </cell>
          <cell r="X963" t="str">
            <v>IL</v>
          </cell>
        </row>
        <row r="964">
          <cell r="A964" t="str">
            <v>400-40-018</v>
          </cell>
          <cell r="P964">
            <v>0</v>
          </cell>
          <cell r="R964">
            <v>0</v>
          </cell>
          <cell r="S964">
            <v>0</v>
          </cell>
          <cell r="X964" t="str">
            <v>IL</v>
          </cell>
        </row>
        <row r="965">
          <cell r="A965" t="str">
            <v>400-40-018</v>
          </cell>
          <cell r="P965">
            <v>0</v>
          </cell>
          <cell r="R965">
            <v>0</v>
          </cell>
          <cell r="S965">
            <v>0</v>
          </cell>
          <cell r="X965" t="str">
            <v>COP</v>
          </cell>
        </row>
        <row r="966">
          <cell r="A966" t="str">
            <v>400-40-018</v>
          </cell>
          <cell r="P966">
            <v>0</v>
          </cell>
          <cell r="R966">
            <v>0</v>
          </cell>
          <cell r="S966">
            <v>0</v>
          </cell>
          <cell r="X966" t="str">
            <v>IL</v>
          </cell>
        </row>
        <row r="967">
          <cell r="A967" t="str">
            <v>400-40-020</v>
          </cell>
          <cell r="P967">
            <v>0</v>
          </cell>
          <cell r="R967">
            <v>0</v>
          </cell>
          <cell r="S967">
            <v>0</v>
          </cell>
          <cell r="X967" t="str">
            <v>IL</v>
          </cell>
        </row>
        <row r="968">
          <cell r="A968" t="str">
            <v>400-40-020</v>
          </cell>
          <cell r="P968">
            <v>6031992</v>
          </cell>
          <cell r="R968">
            <v>6031999.1999999993</v>
          </cell>
          <cell r="S968">
            <v>6032000</v>
          </cell>
          <cell r="X968" t="str">
            <v>IL</v>
          </cell>
        </row>
        <row r="969">
          <cell r="A969" t="str">
            <v>400-40-020</v>
          </cell>
          <cell r="P969">
            <v>0</v>
          </cell>
          <cell r="R969">
            <v>0</v>
          </cell>
          <cell r="S969">
            <v>0</v>
          </cell>
          <cell r="X969" t="str">
            <v>IL</v>
          </cell>
        </row>
        <row r="970">
          <cell r="A970" t="str">
            <v>400-40-020</v>
          </cell>
          <cell r="P970">
            <v>0</v>
          </cell>
          <cell r="R970">
            <v>0</v>
          </cell>
          <cell r="S970">
            <v>0</v>
          </cell>
          <cell r="X970" t="str">
            <v>IL</v>
          </cell>
        </row>
        <row r="971">
          <cell r="A971" t="str">
            <v>400-40-020</v>
          </cell>
          <cell r="P971">
            <v>0</v>
          </cell>
          <cell r="R971">
            <v>0</v>
          </cell>
          <cell r="S971">
            <v>0</v>
          </cell>
          <cell r="X971" t="str">
            <v>IL</v>
          </cell>
        </row>
        <row r="972">
          <cell r="A972" t="str">
            <v>400-40-020</v>
          </cell>
          <cell r="P972">
            <v>0</v>
          </cell>
          <cell r="R972">
            <v>0</v>
          </cell>
          <cell r="S972">
            <v>0</v>
          </cell>
          <cell r="X972" t="str">
            <v>IL</v>
          </cell>
        </row>
        <row r="973">
          <cell r="A973" t="str">
            <v>400-40-020</v>
          </cell>
          <cell r="P973">
            <v>0</v>
          </cell>
          <cell r="R973">
            <v>0</v>
          </cell>
          <cell r="S973">
            <v>0</v>
          </cell>
          <cell r="X973" t="str">
            <v>IL</v>
          </cell>
        </row>
        <row r="974">
          <cell r="A974" t="str">
            <v>400-40-020</v>
          </cell>
          <cell r="P974">
            <v>0</v>
          </cell>
          <cell r="R974">
            <v>0</v>
          </cell>
          <cell r="S974">
            <v>0</v>
          </cell>
          <cell r="X974" t="str">
            <v>IL</v>
          </cell>
        </row>
        <row r="975">
          <cell r="A975" t="str">
            <v>400-40-020</v>
          </cell>
          <cell r="P975">
            <v>0</v>
          </cell>
          <cell r="R975">
            <v>0</v>
          </cell>
          <cell r="S975">
            <v>0</v>
          </cell>
          <cell r="X975" t="str">
            <v>IL</v>
          </cell>
        </row>
        <row r="976">
          <cell r="A976" t="str">
            <v>400-40-020</v>
          </cell>
          <cell r="R976">
            <v>0</v>
          </cell>
          <cell r="S976">
            <v>0</v>
          </cell>
          <cell r="X976" t="str">
            <v>IL</v>
          </cell>
        </row>
        <row r="977">
          <cell r="A977" t="str">
            <v>400-40-020</v>
          </cell>
          <cell r="P977">
            <v>0</v>
          </cell>
          <cell r="R977">
            <v>0</v>
          </cell>
          <cell r="S977">
            <v>0</v>
          </cell>
          <cell r="X977" t="str">
            <v>IL</v>
          </cell>
        </row>
        <row r="978">
          <cell r="A978" t="str">
            <v>400-40-020</v>
          </cell>
          <cell r="P978">
            <v>0</v>
          </cell>
          <cell r="R978">
            <v>0</v>
          </cell>
          <cell r="S978">
            <v>0</v>
          </cell>
          <cell r="X978" t="str">
            <v>IL</v>
          </cell>
        </row>
        <row r="979">
          <cell r="A979" t="str">
            <v>400-40-020</v>
          </cell>
          <cell r="P979">
            <v>0</v>
          </cell>
          <cell r="R979">
            <v>0</v>
          </cell>
          <cell r="S979">
            <v>0</v>
          </cell>
          <cell r="X979" t="str">
            <v>IL</v>
          </cell>
        </row>
        <row r="980">
          <cell r="A980" t="str">
            <v>400-40-020</v>
          </cell>
          <cell r="P980">
            <v>0</v>
          </cell>
          <cell r="R980">
            <v>0</v>
          </cell>
          <cell r="S980">
            <v>0</v>
          </cell>
          <cell r="X980" t="str">
            <v>IL</v>
          </cell>
        </row>
        <row r="981">
          <cell r="A981" t="str">
            <v>400-40-020</v>
          </cell>
          <cell r="P981">
            <v>0</v>
          </cell>
          <cell r="R981">
            <v>0</v>
          </cell>
          <cell r="S981">
            <v>0</v>
          </cell>
          <cell r="X981" t="str">
            <v>IL</v>
          </cell>
        </row>
        <row r="982">
          <cell r="A982" t="str">
            <v>400-40-020</v>
          </cell>
          <cell r="P982">
            <v>0</v>
          </cell>
          <cell r="R982">
            <v>0</v>
          </cell>
          <cell r="S982">
            <v>0</v>
          </cell>
          <cell r="X982" t="str">
            <v>IL</v>
          </cell>
        </row>
        <row r="983">
          <cell r="A983" t="str">
            <v>400-40-020</v>
          </cell>
          <cell r="P983">
            <v>0</v>
          </cell>
          <cell r="R983">
            <v>0</v>
          </cell>
          <cell r="S983">
            <v>0</v>
          </cell>
          <cell r="X983" t="str">
            <v>IL</v>
          </cell>
        </row>
        <row r="984">
          <cell r="A984" t="str">
            <v>400-40-020</v>
          </cell>
          <cell r="P984">
            <v>0</v>
          </cell>
          <cell r="R984">
            <v>0</v>
          </cell>
          <cell r="S984">
            <v>0</v>
          </cell>
          <cell r="X984" t="str">
            <v>IL</v>
          </cell>
        </row>
        <row r="985">
          <cell r="A985" t="str">
            <v>400-40-020</v>
          </cell>
          <cell r="P985">
            <v>0</v>
          </cell>
          <cell r="R985">
            <v>0</v>
          </cell>
          <cell r="S985">
            <v>0</v>
          </cell>
          <cell r="X985" t="str">
            <v>IL</v>
          </cell>
        </row>
        <row r="986">
          <cell r="A986" t="str">
            <v>400-40-020</v>
          </cell>
          <cell r="P986">
            <v>0</v>
          </cell>
          <cell r="R986">
            <v>0</v>
          </cell>
          <cell r="S986">
            <v>0</v>
          </cell>
          <cell r="X986" t="str">
            <v>IL</v>
          </cell>
        </row>
        <row r="987">
          <cell r="A987" t="str">
            <v>400-40-020</v>
          </cell>
          <cell r="P987">
            <v>0</v>
          </cell>
          <cell r="R987">
            <v>0</v>
          </cell>
          <cell r="S987">
            <v>0</v>
          </cell>
          <cell r="X987" t="str">
            <v>IL</v>
          </cell>
        </row>
        <row r="988">
          <cell r="A988" t="str">
            <v>400-40-020</v>
          </cell>
          <cell r="P988">
            <v>0</v>
          </cell>
          <cell r="R988">
            <v>0</v>
          </cell>
          <cell r="S988">
            <v>0</v>
          </cell>
          <cell r="X988" t="str">
            <v>IL</v>
          </cell>
        </row>
        <row r="989">
          <cell r="A989" t="str">
            <v>400-40-020</v>
          </cell>
          <cell r="P989">
            <v>0</v>
          </cell>
          <cell r="R989">
            <v>0</v>
          </cell>
          <cell r="S989">
            <v>0</v>
          </cell>
          <cell r="X989" t="str">
            <v>COP</v>
          </cell>
        </row>
        <row r="990">
          <cell r="A990" t="str">
            <v>400-40-020</v>
          </cell>
          <cell r="P990">
            <v>0</v>
          </cell>
          <cell r="R990">
            <v>0</v>
          </cell>
          <cell r="S990">
            <v>0</v>
          </cell>
          <cell r="X990" t="str">
            <v>IL</v>
          </cell>
        </row>
        <row r="991">
          <cell r="A991" t="str">
            <v>400-40-021</v>
          </cell>
          <cell r="P991">
            <v>243324</v>
          </cell>
          <cell r="R991">
            <v>123192</v>
          </cell>
          <cell r="S991">
            <v>157891</v>
          </cell>
          <cell r="X991" t="str">
            <v>IL</v>
          </cell>
        </row>
        <row r="992">
          <cell r="A992" t="str">
            <v>400-40-021</v>
          </cell>
          <cell r="P992">
            <v>349230</v>
          </cell>
          <cell r="R992">
            <v>463020</v>
          </cell>
          <cell r="S992">
            <v>269474</v>
          </cell>
          <cell r="X992" t="str">
            <v>IL</v>
          </cell>
        </row>
        <row r="993">
          <cell r="A993" t="str">
            <v>400-40-021</v>
          </cell>
          <cell r="P993">
            <v>548560</v>
          </cell>
          <cell r="R993">
            <v>622392</v>
          </cell>
          <cell r="S993">
            <v>1245925</v>
          </cell>
          <cell r="X993" t="str">
            <v>IL</v>
          </cell>
        </row>
        <row r="994">
          <cell r="A994" t="str">
            <v>400-40-021</v>
          </cell>
          <cell r="P994">
            <v>571227.43999999994</v>
          </cell>
          <cell r="R994">
            <v>430233.59999999998</v>
          </cell>
          <cell r="S994">
            <v>338726</v>
          </cell>
          <cell r="X994" t="str">
            <v>IL</v>
          </cell>
        </row>
        <row r="995">
          <cell r="A995" t="str">
            <v>400-40-021</v>
          </cell>
          <cell r="P995">
            <v>459150</v>
          </cell>
          <cell r="R995">
            <v>139344</v>
          </cell>
          <cell r="S995">
            <v>211590</v>
          </cell>
          <cell r="X995" t="str">
            <v>IL</v>
          </cell>
        </row>
        <row r="996">
          <cell r="A996" t="str">
            <v>400-40-021</v>
          </cell>
          <cell r="P996">
            <v>1623285</v>
          </cell>
          <cell r="R996">
            <v>3193980</v>
          </cell>
          <cell r="S996">
            <v>2324380</v>
          </cell>
          <cell r="X996" t="str">
            <v>IL</v>
          </cell>
        </row>
        <row r="997">
          <cell r="A997" t="str">
            <v>400-40-021</v>
          </cell>
          <cell r="P997">
            <v>649458</v>
          </cell>
          <cell r="R997">
            <v>390439.2</v>
          </cell>
          <cell r="S997">
            <v>1011978</v>
          </cell>
          <cell r="X997" t="str">
            <v>IL</v>
          </cell>
        </row>
        <row r="998">
          <cell r="A998" t="str">
            <v>400-40-021</v>
          </cell>
          <cell r="P998">
            <v>86260</v>
          </cell>
          <cell r="R998">
            <v>70891.199999999997</v>
          </cell>
          <cell r="S998">
            <v>98135</v>
          </cell>
          <cell r="X998" t="str">
            <v>IL</v>
          </cell>
        </row>
        <row r="999">
          <cell r="A999" t="str">
            <v>400-40-021</v>
          </cell>
          <cell r="P999">
            <v>1123103</v>
          </cell>
          <cell r="R999">
            <v>936482.4</v>
          </cell>
          <cell r="S999">
            <v>645886</v>
          </cell>
          <cell r="X999" t="str">
            <v>IL</v>
          </cell>
        </row>
        <row r="1000">
          <cell r="A1000" t="str">
            <v>400-40-021</v>
          </cell>
          <cell r="P1000">
            <v>313845</v>
          </cell>
          <cell r="R1000">
            <v>218368.8</v>
          </cell>
          <cell r="S1000">
            <v>192170</v>
          </cell>
          <cell r="X1000" t="str">
            <v>IL</v>
          </cell>
        </row>
        <row r="1001">
          <cell r="A1001" t="str">
            <v>400-40-021</v>
          </cell>
          <cell r="P1001">
            <v>185533</v>
          </cell>
          <cell r="R1001">
            <v>298197.59999999998</v>
          </cell>
          <cell r="S1001">
            <v>183793</v>
          </cell>
          <cell r="X1001" t="str">
            <v>IL</v>
          </cell>
        </row>
        <row r="1002">
          <cell r="A1002" t="str">
            <v>400-40-021</v>
          </cell>
          <cell r="P1002">
            <v>168214</v>
          </cell>
          <cell r="R1002">
            <v>161150.39999999999</v>
          </cell>
          <cell r="S1002">
            <v>144580</v>
          </cell>
          <cell r="X1002" t="str">
            <v>IL</v>
          </cell>
        </row>
        <row r="1003">
          <cell r="A1003" t="str">
            <v>400-40-021</v>
          </cell>
          <cell r="P1003">
            <v>190714</v>
          </cell>
          <cell r="R1003">
            <v>137356.79999999999</v>
          </cell>
          <cell r="S1003">
            <v>205416</v>
          </cell>
          <cell r="X1003" t="str">
            <v>IL</v>
          </cell>
        </row>
        <row r="1004">
          <cell r="A1004" t="str">
            <v>400-40-021</v>
          </cell>
          <cell r="P1004">
            <v>231393.6</v>
          </cell>
          <cell r="R1004">
            <v>183184.8</v>
          </cell>
          <cell r="S1004">
            <v>201905</v>
          </cell>
          <cell r="X1004" t="str">
            <v>IL</v>
          </cell>
        </row>
        <row r="1005">
          <cell r="A1005" t="str">
            <v>400-40-021</v>
          </cell>
          <cell r="P1005">
            <v>206815.2</v>
          </cell>
          <cell r="R1005">
            <v>224839.2</v>
          </cell>
          <cell r="S1005">
            <v>575130</v>
          </cell>
          <cell r="X1005" t="str">
            <v>IL</v>
          </cell>
        </row>
        <row r="1006">
          <cell r="A1006" t="str">
            <v>400-40-021</v>
          </cell>
          <cell r="P1006">
            <v>209693.6</v>
          </cell>
          <cell r="R1006">
            <v>206301.6</v>
          </cell>
          <cell r="S1006">
            <v>192855</v>
          </cell>
          <cell r="X1006" t="str">
            <v>IL</v>
          </cell>
        </row>
        <row r="1007">
          <cell r="A1007" t="str">
            <v>400-40-021</v>
          </cell>
          <cell r="P1007">
            <v>149669</v>
          </cell>
          <cell r="R1007">
            <v>96283.199999999997</v>
          </cell>
          <cell r="S1007">
            <v>137092</v>
          </cell>
          <cell r="X1007" t="str">
            <v>IL</v>
          </cell>
        </row>
        <row r="1008">
          <cell r="A1008" t="str">
            <v>400-40-021</v>
          </cell>
          <cell r="P1008">
            <v>251393.6</v>
          </cell>
          <cell r="R1008">
            <v>210796.79999999999</v>
          </cell>
          <cell r="S1008">
            <v>198561</v>
          </cell>
          <cell r="X1008" t="str">
            <v>IL</v>
          </cell>
        </row>
        <row r="1009">
          <cell r="A1009" t="str">
            <v>400-40-021</v>
          </cell>
          <cell r="P1009">
            <v>186896.6</v>
          </cell>
          <cell r="R1009">
            <v>193766.39999999999</v>
          </cell>
          <cell r="S1009">
            <v>281143</v>
          </cell>
          <cell r="X1009" t="str">
            <v>IL</v>
          </cell>
        </row>
        <row r="1010">
          <cell r="A1010" t="str">
            <v>400-40-021</v>
          </cell>
          <cell r="P1010">
            <v>186497</v>
          </cell>
          <cell r="R1010">
            <v>172516.8</v>
          </cell>
          <cell r="S1010">
            <v>184000</v>
          </cell>
          <cell r="X1010" t="str">
            <v>IL</v>
          </cell>
        </row>
        <row r="1011">
          <cell r="A1011" t="str">
            <v>400-40-021</v>
          </cell>
          <cell r="P1011">
            <v>248110</v>
          </cell>
          <cell r="R1011">
            <v>250296</v>
          </cell>
          <cell r="S1011">
            <v>160560</v>
          </cell>
          <cell r="X1011" t="str">
            <v>IL</v>
          </cell>
        </row>
        <row r="1012">
          <cell r="A1012" t="str">
            <v>400-40-021</v>
          </cell>
          <cell r="P1012">
            <v>245916</v>
          </cell>
          <cell r="R1012">
            <v>193264.8</v>
          </cell>
          <cell r="S1012">
            <v>214416</v>
          </cell>
          <cell r="X1012" t="str">
            <v>IL</v>
          </cell>
        </row>
        <row r="1013">
          <cell r="A1013" t="str">
            <v>400-40-021</v>
          </cell>
          <cell r="P1013">
            <v>108295</v>
          </cell>
          <cell r="R1013">
            <v>96000</v>
          </cell>
          <cell r="S1013">
            <v>92840</v>
          </cell>
          <cell r="X1013" t="str">
            <v>COP</v>
          </cell>
        </row>
        <row r="1014">
          <cell r="A1014" t="str">
            <v>400-40-021</v>
          </cell>
          <cell r="P1014">
            <v>42420</v>
          </cell>
          <cell r="R1014">
            <v>17788.8</v>
          </cell>
          <cell r="S1014">
            <v>281143</v>
          </cell>
          <cell r="X1014" t="str">
            <v>IL</v>
          </cell>
        </row>
        <row r="1015">
          <cell r="A1015" t="str">
            <v>400-40-022</v>
          </cell>
          <cell r="P1015">
            <v>1000000</v>
          </cell>
          <cell r="R1015">
            <v>1000000.8</v>
          </cell>
          <cell r="S1015">
            <v>1000000</v>
          </cell>
          <cell r="X1015" t="str">
            <v>IL</v>
          </cell>
        </row>
        <row r="1016">
          <cell r="A1016" t="str">
            <v>400-40-022</v>
          </cell>
          <cell r="P1016">
            <v>0</v>
          </cell>
          <cell r="R1016">
            <v>0</v>
          </cell>
          <cell r="S1016">
            <v>0</v>
          </cell>
          <cell r="X1016" t="str">
            <v>IL</v>
          </cell>
        </row>
        <row r="1017">
          <cell r="A1017" t="str">
            <v>400-40-022</v>
          </cell>
          <cell r="P1017">
            <v>0</v>
          </cell>
          <cell r="R1017">
            <v>0</v>
          </cell>
          <cell r="S1017">
            <v>0</v>
          </cell>
          <cell r="X1017" t="str">
            <v>IL</v>
          </cell>
        </row>
        <row r="1018">
          <cell r="A1018" t="str">
            <v>400-40-022</v>
          </cell>
          <cell r="P1018">
            <v>0</v>
          </cell>
          <cell r="R1018">
            <v>0</v>
          </cell>
          <cell r="S1018">
            <v>0</v>
          </cell>
          <cell r="X1018" t="str">
            <v>IL</v>
          </cell>
        </row>
        <row r="1019">
          <cell r="A1019" t="str">
            <v>400-40-022</v>
          </cell>
          <cell r="P1019">
            <v>0</v>
          </cell>
          <cell r="R1019">
            <v>0</v>
          </cell>
          <cell r="S1019">
            <v>0</v>
          </cell>
          <cell r="X1019" t="str">
            <v>IL</v>
          </cell>
        </row>
        <row r="1020">
          <cell r="A1020" t="str">
            <v>400-40-022</v>
          </cell>
          <cell r="P1020">
            <v>0</v>
          </cell>
          <cell r="R1020">
            <v>0</v>
          </cell>
          <cell r="S1020">
            <v>0</v>
          </cell>
          <cell r="X1020" t="str">
            <v>IL</v>
          </cell>
        </row>
        <row r="1021">
          <cell r="A1021" t="str">
            <v>400-40-022</v>
          </cell>
          <cell r="P1021">
            <v>0</v>
          </cell>
          <cell r="R1021">
            <v>0</v>
          </cell>
          <cell r="S1021">
            <v>0</v>
          </cell>
          <cell r="X1021" t="str">
            <v>IL</v>
          </cell>
        </row>
        <row r="1022">
          <cell r="A1022" t="str">
            <v>400-40-022</v>
          </cell>
          <cell r="P1022">
            <v>0</v>
          </cell>
          <cell r="R1022">
            <v>0</v>
          </cell>
          <cell r="S1022">
            <v>0</v>
          </cell>
          <cell r="X1022" t="str">
            <v>IL</v>
          </cell>
        </row>
        <row r="1023">
          <cell r="A1023" t="str">
            <v>400-40-022</v>
          </cell>
          <cell r="P1023">
            <v>0</v>
          </cell>
          <cell r="R1023">
            <v>0</v>
          </cell>
          <cell r="S1023">
            <v>0</v>
          </cell>
          <cell r="X1023" t="str">
            <v>IL</v>
          </cell>
        </row>
        <row r="1024">
          <cell r="A1024" t="str">
            <v>400-40-022</v>
          </cell>
          <cell r="P1024">
            <v>0</v>
          </cell>
          <cell r="R1024">
            <v>0</v>
          </cell>
          <cell r="S1024">
            <v>0</v>
          </cell>
          <cell r="X1024" t="str">
            <v>IL</v>
          </cell>
        </row>
        <row r="1025">
          <cell r="A1025" t="str">
            <v>400-40-022</v>
          </cell>
          <cell r="P1025">
            <v>0</v>
          </cell>
          <cell r="R1025">
            <v>0</v>
          </cell>
          <cell r="S1025">
            <v>0</v>
          </cell>
          <cell r="X1025" t="str">
            <v>IL</v>
          </cell>
        </row>
        <row r="1026">
          <cell r="A1026" t="str">
            <v>400-40-022</v>
          </cell>
          <cell r="P1026">
            <v>0</v>
          </cell>
          <cell r="R1026">
            <v>0</v>
          </cell>
          <cell r="S1026">
            <v>0</v>
          </cell>
          <cell r="X1026" t="str">
            <v>IL</v>
          </cell>
        </row>
        <row r="1027">
          <cell r="A1027" t="str">
            <v>400-40-022</v>
          </cell>
          <cell r="P1027">
            <v>0</v>
          </cell>
          <cell r="R1027">
            <v>0</v>
          </cell>
          <cell r="S1027">
            <v>0</v>
          </cell>
          <cell r="X1027" t="str">
            <v>IL</v>
          </cell>
        </row>
        <row r="1028">
          <cell r="A1028" t="str">
            <v>400-40-022</v>
          </cell>
          <cell r="P1028">
            <v>0</v>
          </cell>
          <cell r="R1028">
            <v>0</v>
          </cell>
          <cell r="S1028">
            <v>0</v>
          </cell>
          <cell r="X1028" t="str">
            <v>IL</v>
          </cell>
        </row>
        <row r="1029">
          <cell r="A1029" t="str">
            <v>400-40-022</v>
          </cell>
          <cell r="P1029">
            <v>0</v>
          </cell>
          <cell r="R1029">
            <v>0</v>
          </cell>
          <cell r="S1029">
            <v>0</v>
          </cell>
          <cell r="X1029" t="str">
            <v>IL</v>
          </cell>
        </row>
        <row r="1030">
          <cell r="A1030" t="str">
            <v>400-40-022</v>
          </cell>
          <cell r="P1030">
            <v>0</v>
          </cell>
          <cell r="R1030">
            <v>0</v>
          </cell>
          <cell r="S1030">
            <v>0</v>
          </cell>
          <cell r="X1030" t="str">
            <v>IL</v>
          </cell>
        </row>
        <row r="1031">
          <cell r="A1031" t="str">
            <v>400-40-022</v>
          </cell>
          <cell r="P1031">
            <v>0</v>
          </cell>
          <cell r="R1031">
            <v>0</v>
          </cell>
          <cell r="S1031">
            <v>0</v>
          </cell>
          <cell r="X1031" t="str">
            <v>IL</v>
          </cell>
        </row>
        <row r="1032">
          <cell r="A1032" t="str">
            <v>400-40-022</v>
          </cell>
          <cell r="P1032">
            <v>0</v>
          </cell>
          <cell r="R1032">
            <v>0</v>
          </cell>
          <cell r="S1032">
            <v>0</v>
          </cell>
          <cell r="X1032" t="str">
            <v>IL</v>
          </cell>
        </row>
        <row r="1033">
          <cell r="A1033" t="str">
            <v>400-40-022</v>
          </cell>
          <cell r="P1033">
            <v>0</v>
          </cell>
          <cell r="R1033">
            <v>0</v>
          </cell>
          <cell r="S1033">
            <v>0</v>
          </cell>
          <cell r="X1033" t="str">
            <v>IL</v>
          </cell>
        </row>
        <row r="1034">
          <cell r="A1034" t="str">
            <v>400-40-022</v>
          </cell>
          <cell r="P1034">
            <v>0</v>
          </cell>
          <cell r="R1034">
            <v>0</v>
          </cell>
          <cell r="S1034">
            <v>0</v>
          </cell>
          <cell r="X1034" t="str">
            <v>IL</v>
          </cell>
        </row>
        <row r="1035">
          <cell r="A1035" t="str">
            <v>400-40-022</v>
          </cell>
          <cell r="P1035">
            <v>0</v>
          </cell>
          <cell r="R1035">
            <v>0</v>
          </cell>
          <cell r="S1035">
            <v>0</v>
          </cell>
          <cell r="X1035" t="str">
            <v>IL</v>
          </cell>
        </row>
        <row r="1036">
          <cell r="A1036" t="str">
            <v>400-40-022</v>
          </cell>
          <cell r="P1036">
            <v>0</v>
          </cell>
          <cell r="R1036">
            <v>0</v>
          </cell>
          <cell r="S1036">
            <v>0</v>
          </cell>
          <cell r="X1036" t="str">
            <v>IL</v>
          </cell>
        </row>
        <row r="1037">
          <cell r="A1037" t="str">
            <v>400-40-022</v>
          </cell>
          <cell r="P1037">
            <v>0</v>
          </cell>
          <cell r="R1037">
            <v>0</v>
          </cell>
          <cell r="S1037">
            <v>0</v>
          </cell>
          <cell r="X1037" t="str">
            <v>COP</v>
          </cell>
        </row>
        <row r="1038">
          <cell r="A1038" t="str">
            <v>400-40-022</v>
          </cell>
          <cell r="P1038">
            <v>0</v>
          </cell>
          <cell r="R1038">
            <v>0</v>
          </cell>
          <cell r="S1038">
            <v>0</v>
          </cell>
          <cell r="X1038" t="str">
            <v>IL</v>
          </cell>
        </row>
        <row r="1039">
          <cell r="A1039" t="str">
            <v>400-40-023</v>
          </cell>
          <cell r="P1039">
            <v>0</v>
          </cell>
          <cell r="R1039">
            <v>68582.399999999994</v>
          </cell>
          <cell r="S1039">
            <v>88828</v>
          </cell>
          <cell r="X1039" t="str">
            <v>IL</v>
          </cell>
        </row>
        <row r="1040">
          <cell r="A1040" t="str">
            <v>400-40-023</v>
          </cell>
          <cell r="P1040">
            <v>134000</v>
          </cell>
          <cell r="R1040">
            <v>56880</v>
          </cell>
          <cell r="S1040">
            <v>48500</v>
          </cell>
          <cell r="X1040" t="str">
            <v>IL</v>
          </cell>
        </row>
        <row r="1041">
          <cell r="A1041" t="str">
            <v>400-40-023</v>
          </cell>
          <cell r="P1041">
            <v>10500</v>
          </cell>
          <cell r="R1041">
            <v>4800</v>
          </cell>
          <cell r="S1041">
            <v>4000</v>
          </cell>
          <cell r="X1041" t="str">
            <v>IL</v>
          </cell>
        </row>
        <row r="1042">
          <cell r="A1042" t="str">
            <v>400-40-023</v>
          </cell>
          <cell r="P1042">
            <v>42700</v>
          </cell>
          <cell r="R1042">
            <v>0</v>
          </cell>
          <cell r="S1042">
            <v>0</v>
          </cell>
          <cell r="X1042" t="str">
            <v>IL</v>
          </cell>
        </row>
        <row r="1043">
          <cell r="A1043" t="str">
            <v>400-40-023</v>
          </cell>
          <cell r="P1043">
            <v>56000</v>
          </cell>
          <cell r="R1043">
            <v>38008.800000000003</v>
          </cell>
          <cell r="S1043">
            <v>52000</v>
          </cell>
          <cell r="X1043" t="str">
            <v>IL</v>
          </cell>
        </row>
        <row r="1044">
          <cell r="A1044" t="str">
            <v>400-40-023</v>
          </cell>
          <cell r="P1044">
            <v>0</v>
          </cell>
          <cell r="R1044">
            <v>14400</v>
          </cell>
          <cell r="S1044">
            <v>2000</v>
          </cell>
          <cell r="X1044" t="str">
            <v>IL</v>
          </cell>
        </row>
        <row r="1045">
          <cell r="A1045" t="str">
            <v>400-40-023</v>
          </cell>
          <cell r="P1045">
            <v>62840</v>
          </cell>
          <cell r="R1045">
            <v>37600.800000000003</v>
          </cell>
          <cell r="S1045">
            <v>62000</v>
          </cell>
          <cell r="X1045" t="str">
            <v>IL</v>
          </cell>
        </row>
        <row r="1046">
          <cell r="A1046" t="str">
            <v>400-40-023</v>
          </cell>
          <cell r="P1046">
            <v>0</v>
          </cell>
          <cell r="R1046">
            <v>9600</v>
          </cell>
          <cell r="S1046">
            <v>16750</v>
          </cell>
          <cell r="X1046" t="str">
            <v>IL</v>
          </cell>
        </row>
        <row r="1047">
          <cell r="A1047" t="str">
            <v>400-40-023</v>
          </cell>
          <cell r="P1047">
            <v>0</v>
          </cell>
          <cell r="R1047">
            <v>21600</v>
          </cell>
          <cell r="S1047">
            <v>42000</v>
          </cell>
          <cell r="X1047" t="str">
            <v>IL</v>
          </cell>
        </row>
        <row r="1048">
          <cell r="A1048" t="str">
            <v>400-40-023</v>
          </cell>
          <cell r="P1048">
            <v>0</v>
          </cell>
          <cell r="R1048">
            <v>0</v>
          </cell>
          <cell r="S1048">
            <v>0</v>
          </cell>
          <cell r="X1048" t="str">
            <v>IL</v>
          </cell>
        </row>
        <row r="1049">
          <cell r="A1049" t="str">
            <v>400-40-023</v>
          </cell>
          <cell r="P1049">
            <v>0</v>
          </cell>
          <cell r="R1049">
            <v>0</v>
          </cell>
          <cell r="S1049">
            <v>0</v>
          </cell>
          <cell r="X1049" t="str">
            <v>IL</v>
          </cell>
        </row>
        <row r="1050">
          <cell r="A1050" t="str">
            <v>400-40-023</v>
          </cell>
          <cell r="P1050">
            <v>0</v>
          </cell>
          <cell r="R1050">
            <v>0</v>
          </cell>
          <cell r="S1050">
            <v>0</v>
          </cell>
          <cell r="X1050" t="str">
            <v>IL</v>
          </cell>
        </row>
        <row r="1051">
          <cell r="A1051" t="str">
            <v>400-40-023</v>
          </cell>
          <cell r="P1051">
            <v>0</v>
          </cell>
          <cell r="R1051">
            <v>0</v>
          </cell>
          <cell r="S1051">
            <v>0</v>
          </cell>
          <cell r="X1051" t="str">
            <v>IL</v>
          </cell>
        </row>
        <row r="1052">
          <cell r="A1052" t="str">
            <v>400-40-023</v>
          </cell>
          <cell r="P1052">
            <v>0</v>
          </cell>
          <cell r="R1052">
            <v>0</v>
          </cell>
          <cell r="S1052">
            <v>0</v>
          </cell>
          <cell r="X1052" t="str">
            <v>IL</v>
          </cell>
        </row>
        <row r="1053">
          <cell r="A1053" t="str">
            <v>400-40-023</v>
          </cell>
          <cell r="P1053">
            <v>13000</v>
          </cell>
          <cell r="R1053">
            <v>2400</v>
          </cell>
          <cell r="S1053">
            <v>8500</v>
          </cell>
          <cell r="X1053" t="str">
            <v>IL</v>
          </cell>
        </row>
        <row r="1054">
          <cell r="A1054" t="str">
            <v>400-40-023</v>
          </cell>
          <cell r="P1054">
            <v>0</v>
          </cell>
          <cell r="R1054">
            <v>0</v>
          </cell>
          <cell r="S1054">
            <v>0</v>
          </cell>
          <cell r="X1054" t="str">
            <v>IL</v>
          </cell>
        </row>
        <row r="1055">
          <cell r="A1055" t="str">
            <v>400-40-023</v>
          </cell>
          <cell r="P1055">
            <v>0</v>
          </cell>
          <cell r="R1055">
            <v>0</v>
          </cell>
          <cell r="S1055">
            <v>0</v>
          </cell>
          <cell r="X1055" t="str">
            <v>IL</v>
          </cell>
        </row>
        <row r="1056">
          <cell r="A1056" t="str">
            <v>400-40-023</v>
          </cell>
          <cell r="P1056">
            <v>0</v>
          </cell>
          <cell r="R1056">
            <v>0</v>
          </cell>
          <cell r="S1056">
            <v>0</v>
          </cell>
          <cell r="X1056" t="str">
            <v>IL</v>
          </cell>
        </row>
        <row r="1057">
          <cell r="A1057" t="str">
            <v>400-40-023</v>
          </cell>
          <cell r="P1057">
            <v>0</v>
          </cell>
          <cell r="R1057">
            <v>0</v>
          </cell>
          <cell r="S1057">
            <v>0</v>
          </cell>
          <cell r="X1057" t="str">
            <v>IL</v>
          </cell>
        </row>
        <row r="1058">
          <cell r="A1058" t="str">
            <v>400-40-023</v>
          </cell>
          <cell r="P1058">
            <v>0</v>
          </cell>
          <cell r="R1058">
            <v>0</v>
          </cell>
          <cell r="S1058">
            <v>0</v>
          </cell>
          <cell r="X1058" t="str">
            <v>IL</v>
          </cell>
        </row>
        <row r="1059">
          <cell r="A1059" t="str">
            <v>400-40-023</v>
          </cell>
          <cell r="P1059">
            <v>0</v>
          </cell>
          <cell r="R1059">
            <v>0</v>
          </cell>
          <cell r="S1059">
            <v>0</v>
          </cell>
          <cell r="X1059" t="str">
            <v>IL</v>
          </cell>
        </row>
        <row r="1060">
          <cell r="A1060" t="str">
            <v>400-40-023</v>
          </cell>
          <cell r="P1060">
            <v>0</v>
          </cell>
          <cell r="R1060">
            <v>0</v>
          </cell>
          <cell r="S1060">
            <v>0</v>
          </cell>
          <cell r="X1060" t="str">
            <v>IL</v>
          </cell>
        </row>
        <row r="1061">
          <cell r="A1061" t="str">
            <v>400-40-023</v>
          </cell>
          <cell r="P1061">
            <v>0</v>
          </cell>
          <cell r="R1061">
            <v>91200</v>
          </cell>
          <cell r="S1061">
            <v>80000</v>
          </cell>
          <cell r="X1061" t="str">
            <v>COP</v>
          </cell>
        </row>
        <row r="1062">
          <cell r="A1062" t="str">
            <v>400-40-023</v>
          </cell>
          <cell r="P1062">
            <v>0</v>
          </cell>
          <cell r="R1062">
            <v>0</v>
          </cell>
          <cell r="S1062">
            <v>0</v>
          </cell>
          <cell r="X1062" t="str">
            <v>IL</v>
          </cell>
        </row>
        <row r="1063">
          <cell r="A1063" t="str">
            <v>400-40-024</v>
          </cell>
          <cell r="P1063">
            <v>450000</v>
          </cell>
          <cell r="R1063">
            <v>0</v>
          </cell>
          <cell r="S1063">
            <v>0</v>
          </cell>
          <cell r="X1063" t="str">
            <v>IL</v>
          </cell>
        </row>
        <row r="1064">
          <cell r="A1064" t="str">
            <v>400-40-024</v>
          </cell>
          <cell r="P1064">
            <v>0</v>
          </cell>
          <cell r="R1064">
            <v>0</v>
          </cell>
          <cell r="S1064">
            <v>0</v>
          </cell>
          <cell r="X1064" t="str">
            <v>IL</v>
          </cell>
        </row>
        <row r="1065">
          <cell r="A1065" t="str">
            <v>400-40-024</v>
          </cell>
          <cell r="P1065">
            <v>0</v>
          </cell>
          <cell r="R1065">
            <v>0</v>
          </cell>
          <cell r="S1065">
            <v>0</v>
          </cell>
          <cell r="X1065" t="str">
            <v>IL</v>
          </cell>
        </row>
        <row r="1066">
          <cell r="A1066" t="str">
            <v>400-40-024</v>
          </cell>
          <cell r="P1066">
            <v>410000</v>
          </cell>
          <cell r="R1066">
            <v>240808.8</v>
          </cell>
          <cell r="S1066">
            <v>610000</v>
          </cell>
          <cell r="X1066" t="str">
            <v>IL</v>
          </cell>
        </row>
        <row r="1067">
          <cell r="A1067" t="str">
            <v>400-40-024</v>
          </cell>
          <cell r="P1067">
            <v>7500</v>
          </cell>
          <cell r="R1067">
            <v>0</v>
          </cell>
          <cell r="S1067">
            <v>0</v>
          </cell>
          <cell r="X1067" t="str">
            <v>IL</v>
          </cell>
        </row>
        <row r="1068">
          <cell r="A1068" t="str">
            <v>400-40-024</v>
          </cell>
          <cell r="P1068">
            <v>0</v>
          </cell>
          <cell r="R1068">
            <v>0</v>
          </cell>
          <cell r="S1068">
            <v>0</v>
          </cell>
          <cell r="X1068" t="str">
            <v>IL</v>
          </cell>
        </row>
        <row r="1069">
          <cell r="A1069" t="str">
            <v>400-40-024</v>
          </cell>
          <cell r="P1069">
            <v>0</v>
          </cell>
          <cell r="R1069">
            <v>0</v>
          </cell>
          <cell r="S1069">
            <v>0</v>
          </cell>
          <cell r="X1069" t="str">
            <v>IL</v>
          </cell>
        </row>
        <row r="1070">
          <cell r="A1070" t="str">
            <v>400-40-024</v>
          </cell>
          <cell r="P1070">
            <v>0</v>
          </cell>
          <cell r="R1070">
            <v>0</v>
          </cell>
          <cell r="S1070">
            <v>0</v>
          </cell>
          <cell r="X1070" t="str">
            <v>IL</v>
          </cell>
        </row>
        <row r="1071">
          <cell r="A1071" t="str">
            <v>400-40-024</v>
          </cell>
          <cell r="P1071">
            <v>0</v>
          </cell>
          <cell r="R1071">
            <v>0</v>
          </cell>
          <cell r="S1071">
            <v>0</v>
          </cell>
          <cell r="X1071" t="str">
            <v>IL</v>
          </cell>
        </row>
        <row r="1072">
          <cell r="A1072" t="str">
            <v>400-40-024</v>
          </cell>
          <cell r="P1072">
            <v>0</v>
          </cell>
          <cell r="R1072">
            <v>0</v>
          </cell>
          <cell r="S1072">
            <v>0</v>
          </cell>
          <cell r="X1072" t="str">
            <v>IL</v>
          </cell>
        </row>
        <row r="1073">
          <cell r="A1073" t="str">
            <v>400-40-024</v>
          </cell>
          <cell r="P1073">
            <v>0</v>
          </cell>
          <cell r="R1073">
            <v>0</v>
          </cell>
          <cell r="S1073">
            <v>0</v>
          </cell>
          <cell r="X1073" t="str">
            <v>IL</v>
          </cell>
        </row>
        <row r="1074">
          <cell r="A1074" t="str">
            <v>400-40-024</v>
          </cell>
          <cell r="P1074">
            <v>0</v>
          </cell>
          <cell r="R1074">
            <v>0</v>
          </cell>
          <cell r="S1074">
            <v>0</v>
          </cell>
          <cell r="X1074" t="str">
            <v>IL</v>
          </cell>
        </row>
        <row r="1075">
          <cell r="A1075" t="str">
            <v>400-40-024</v>
          </cell>
          <cell r="P1075">
            <v>0</v>
          </cell>
          <cell r="R1075">
            <v>0</v>
          </cell>
          <cell r="S1075">
            <v>0</v>
          </cell>
          <cell r="X1075" t="str">
            <v>IL</v>
          </cell>
        </row>
        <row r="1076">
          <cell r="A1076" t="str">
            <v>400-40-024</v>
          </cell>
          <cell r="P1076">
            <v>0</v>
          </cell>
          <cell r="R1076">
            <v>0</v>
          </cell>
          <cell r="S1076">
            <v>0</v>
          </cell>
          <cell r="X1076" t="str">
            <v>IL</v>
          </cell>
        </row>
        <row r="1077">
          <cell r="A1077" t="str">
            <v>400-40-024</v>
          </cell>
          <cell r="P1077">
            <v>0</v>
          </cell>
          <cell r="R1077">
            <v>0</v>
          </cell>
          <cell r="S1077">
            <v>0</v>
          </cell>
          <cell r="X1077" t="str">
            <v>IL</v>
          </cell>
        </row>
        <row r="1078">
          <cell r="A1078" t="str">
            <v>400-40-024</v>
          </cell>
          <cell r="P1078">
            <v>0</v>
          </cell>
          <cell r="R1078">
            <v>0</v>
          </cell>
          <cell r="S1078">
            <v>0</v>
          </cell>
          <cell r="X1078" t="str">
            <v>IL</v>
          </cell>
        </row>
        <row r="1079">
          <cell r="A1079" t="str">
            <v>400-40-024</v>
          </cell>
          <cell r="P1079">
            <v>0</v>
          </cell>
          <cell r="R1079">
            <v>0</v>
          </cell>
          <cell r="S1079">
            <v>0</v>
          </cell>
          <cell r="X1079" t="str">
            <v>IL</v>
          </cell>
        </row>
        <row r="1080">
          <cell r="A1080" t="str">
            <v>400-40-024</v>
          </cell>
          <cell r="P1080">
            <v>0</v>
          </cell>
          <cell r="R1080">
            <v>0</v>
          </cell>
          <cell r="S1080">
            <v>0</v>
          </cell>
          <cell r="X1080" t="str">
            <v>IL</v>
          </cell>
        </row>
        <row r="1081">
          <cell r="A1081" t="str">
            <v>400-40-024</v>
          </cell>
          <cell r="P1081">
            <v>0</v>
          </cell>
          <cell r="R1081">
            <v>0</v>
          </cell>
          <cell r="S1081">
            <v>0</v>
          </cell>
          <cell r="X1081" t="str">
            <v>IL</v>
          </cell>
        </row>
        <row r="1082">
          <cell r="A1082" t="str">
            <v>400-40-024</v>
          </cell>
          <cell r="P1082">
            <v>0</v>
          </cell>
          <cell r="R1082">
            <v>0</v>
          </cell>
          <cell r="S1082">
            <v>0</v>
          </cell>
          <cell r="X1082" t="str">
            <v>IL</v>
          </cell>
        </row>
        <row r="1083">
          <cell r="A1083" t="str">
            <v>400-40-024</v>
          </cell>
          <cell r="P1083">
            <v>0</v>
          </cell>
          <cell r="R1083">
            <v>0</v>
          </cell>
          <cell r="S1083">
            <v>0</v>
          </cell>
          <cell r="X1083" t="str">
            <v>IL</v>
          </cell>
        </row>
        <row r="1084">
          <cell r="A1084" t="str">
            <v>400-40-024</v>
          </cell>
          <cell r="P1084">
            <v>0</v>
          </cell>
          <cell r="R1084">
            <v>0</v>
          </cell>
          <cell r="S1084">
            <v>0</v>
          </cell>
          <cell r="X1084" t="str">
            <v>IL</v>
          </cell>
        </row>
        <row r="1085">
          <cell r="A1085" t="str">
            <v>400-40-024</v>
          </cell>
          <cell r="P1085">
            <v>250000</v>
          </cell>
          <cell r="R1085">
            <v>0</v>
          </cell>
          <cell r="S1085">
            <v>0</v>
          </cell>
          <cell r="X1085" t="str">
            <v>COP</v>
          </cell>
        </row>
        <row r="1086">
          <cell r="A1086" t="str">
            <v>400-40-024</v>
          </cell>
          <cell r="P1086">
            <v>0</v>
          </cell>
          <cell r="R1086">
            <v>0</v>
          </cell>
          <cell r="S1086">
            <v>0</v>
          </cell>
          <cell r="X1086" t="str">
            <v>IL</v>
          </cell>
        </row>
        <row r="1087">
          <cell r="A1087" t="str">
            <v>400-40-025</v>
          </cell>
          <cell r="P1087">
            <v>2562630.4</v>
          </cell>
          <cell r="R1087">
            <v>777237.6</v>
          </cell>
          <cell r="S1087">
            <v>2637141</v>
          </cell>
          <cell r="X1087" t="str">
            <v>IL</v>
          </cell>
        </row>
        <row r="1088">
          <cell r="A1088" t="str">
            <v>400-40-025</v>
          </cell>
          <cell r="P1088">
            <v>329473.75</v>
          </cell>
          <cell r="R1088">
            <v>184353.6</v>
          </cell>
          <cell r="S1088">
            <v>417115</v>
          </cell>
          <cell r="X1088" t="str">
            <v>IL</v>
          </cell>
        </row>
        <row r="1089">
          <cell r="A1089" t="str">
            <v>400-40-025</v>
          </cell>
          <cell r="P1089">
            <v>127412.4</v>
          </cell>
          <cell r="R1089">
            <v>32599.200000000001</v>
          </cell>
          <cell r="S1089">
            <v>0</v>
          </cell>
          <cell r="X1089" t="str">
            <v>IL</v>
          </cell>
        </row>
        <row r="1090">
          <cell r="A1090" t="str">
            <v>400-40-025</v>
          </cell>
          <cell r="P1090">
            <v>597964.75</v>
          </cell>
          <cell r="R1090">
            <v>308503.2</v>
          </cell>
          <cell r="S1090">
            <v>183640</v>
          </cell>
          <cell r="X1090" t="str">
            <v>IL</v>
          </cell>
        </row>
        <row r="1091">
          <cell r="A1091" t="str">
            <v>400-40-025</v>
          </cell>
          <cell r="P1091">
            <v>643466.35</v>
          </cell>
          <cell r="R1091">
            <v>113635.2</v>
          </cell>
          <cell r="S1091">
            <v>867320</v>
          </cell>
          <cell r="X1091" t="str">
            <v>IL</v>
          </cell>
        </row>
        <row r="1092">
          <cell r="A1092" t="str">
            <v>400-40-025</v>
          </cell>
          <cell r="P1092">
            <v>520000</v>
          </cell>
          <cell r="R1092">
            <v>12600</v>
          </cell>
          <cell r="S1092">
            <v>0</v>
          </cell>
          <cell r="X1092" t="str">
            <v>IL</v>
          </cell>
        </row>
        <row r="1093">
          <cell r="A1093" t="str">
            <v>400-40-025</v>
          </cell>
          <cell r="P1093">
            <v>515526.75</v>
          </cell>
          <cell r="R1093">
            <v>316754.40000000002</v>
          </cell>
          <cell r="S1093">
            <v>828131</v>
          </cell>
          <cell r="X1093" t="str">
            <v>IL</v>
          </cell>
        </row>
        <row r="1094">
          <cell r="A1094" t="str">
            <v>400-40-025</v>
          </cell>
          <cell r="P1094">
            <v>32711.85</v>
          </cell>
          <cell r="R1094">
            <v>0</v>
          </cell>
          <cell r="S1094">
            <v>0</v>
          </cell>
          <cell r="X1094" t="str">
            <v>IL</v>
          </cell>
        </row>
        <row r="1095">
          <cell r="A1095" t="str">
            <v>400-40-025</v>
          </cell>
          <cell r="P1095">
            <v>125131.05</v>
          </cell>
          <cell r="R1095">
            <v>68599.199999999997</v>
          </cell>
          <cell r="S1095">
            <v>91440</v>
          </cell>
          <cell r="X1095" t="str">
            <v>IL</v>
          </cell>
        </row>
        <row r="1096">
          <cell r="A1096" t="str">
            <v>400-40-025</v>
          </cell>
          <cell r="P1096">
            <v>72000</v>
          </cell>
          <cell r="R1096">
            <v>19200</v>
          </cell>
          <cell r="S1096">
            <v>36000</v>
          </cell>
          <cell r="X1096" t="str">
            <v>IL</v>
          </cell>
        </row>
        <row r="1097">
          <cell r="A1097" t="str">
            <v>400-40-025</v>
          </cell>
          <cell r="P1097">
            <v>114143.65</v>
          </cell>
          <cell r="R1097">
            <v>52236</v>
          </cell>
          <cell r="S1097">
            <v>96428</v>
          </cell>
          <cell r="X1097" t="str">
            <v>IL</v>
          </cell>
        </row>
        <row r="1098">
          <cell r="A1098" t="str">
            <v>400-40-025</v>
          </cell>
          <cell r="P1098">
            <v>100000</v>
          </cell>
          <cell r="R1098">
            <v>60000</v>
          </cell>
          <cell r="S1098">
            <v>61000</v>
          </cell>
          <cell r="X1098" t="str">
            <v>IL</v>
          </cell>
        </row>
        <row r="1099">
          <cell r="A1099" t="str">
            <v>400-40-025</v>
          </cell>
          <cell r="P1099">
            <v>406543.65</v>
          </cell>
          <cell r="R1099">
            <v>28572</v>
          </cell>
          <cell r="S1099">
            <v>145862</v>
          </cell>
          <cell r="X1099" t="str">
            <v>IL</v>
          </cell>
        </row>
        <row r="1100">
          <cell r="A1100" t="str">
            <v>400-40-025</v>
          </cell>
          <cell r="P1100">
            <v>257658.2</v>
          </cell>
          <cell r="R1100">
            <v>22440</v>
          </cell>
          <cell r="S1100">
            <v>51000</v>
          </cell>
          <cell r="X1100" t="str">
            <v>IL</v>
          </cell>
        </row>
        <row r="1101">
          <cell r="A1101" t="str">
            <v>400-40-025</v>
          </cell>
          <cell r="P1101">
            <v>674039.1</v>
          </cell>
          <cell r="R1101">
            <v>1984958.4</v>
          </cell>
          <cell r="S1101">
            <v>1423880</v>
          </cell>
          <cell r="X1101" t="str">
            <v>IL</v>
          </cell>
        </row>
        <row r="1102">
          <cell r="A1102" t="str">
            <v>400-40-025</v>
          </cell>
          <cell r="P1102">
            <v>178800</v>
          </cell>
          <cell r="R1102">
            <v>8400</v>
          </cell>
          <cell r="S1102">
            <v>83920</v>
          </cell>
          <cell r="X1102" t="str">
            <v>IL</v>
          </cell>
        </row>
        <row r="1103">
          <cell r="A1103" t="str">
            <v>400-40-025</v>
          </cell>
          <cell r="P1103">
            <v>130000</v>
          </cell>
          <cell r="R1103">
            <v>25560</v>
          </cell>
          <cell r="S1103">
            <v>73600</v>
          </cell>
          <cell r="X1103" t="str">
            <v>IL</v>
          </cell>
        </row>
        <row r="1104">
          <cell r="A1104" t="str">
            <v>400-40-025</v>
          </cell>
          <cell r="P1104">
            <v>237933.2</v>
          </cell>
          <cell r="R1104">
            <v>62054.400000000001</v>
          </cell>
          <cell r="S1104">
            <v>63000</v>
          </cell>
          <cell r="X1104" t="str">
            <v>IL</v>
          </cell>
        </row>
        <row r="1105">
          <cell r="A1105" t="str">
            <v>400-40-025</v>
          </cell>
          <cell r="P1105">
            <v>185000</v>
          </cell>
          <cell r="R1105">
            <v>124000.8</v>
          </cell>
          <cell r="S1105">
            <v>42500</v>
          </cell>
          <cell r="X1105" t="str">
            <v>IL</v>
          </cell>
        </row>
        <row r="1106">
          <cell r="A1106" t="str">
            <v>400-40-025</v>
          </cell>
          <cell r="P1106">
            <v>211000</v>
          </cell>
          <cell r="R1106">
            <v>11064</v>
          </cell>
          <cell r="S1106">
            <v>75030</v>
          </cell>
          <cell r="X1106" t="str">
            <v>IL</v>
          </cell>
        </row>
        <row r="1107">
          <cell r="A1107" t="str">
            <v>400-40-025</v>
          </cell>
          <cell r="P1107">
            <v>146000</v>
          </cell>
          <cell r="R1107">
            <v>10080</v>
          </cell>
          <cell r="S1107">
            <v>61000</v>
          </cell>
          <cell r="X1107" t="str">
            <v>IL</v>
          </cell>
        </row>
        <row r="1108">
          <cell r="A1108" t="str">
            <v>400-40-025</v>
          </cell>
          <cell r="P1108">
            <v>100000</v>
          </cell>
          <cell r="R1108">
            <v>10800</v>
          </cell>
          <cell r="S1108">
            <v>75906</v>
          </cell>
          <cell r="X1108" t="str">
            <v>IL</v>
          </cell>
        </row>
        <row r="1109">
          <cell r="A1109" t="str">
            <v>400-40-025</v>
          </cell>
          <cell r="P1109">
            <v>223637.35</v>
          </cell>
          <cell r="R1109">
            <v>288000</v>
          </cell>
          <cell r="S1109">
            <v>643063</v>
          </cell>
          <cell r="X1109" t="str">
            <v>COP</v>
          </cell>
        </row>
        <row r="1110">
          <cell r="A1110" t="str">
            <v>400-40-025</v>
          </cell>
          <cell r="P1110">
            <v>142500</v>
          </cell>
          <cell r="R1110">
            <v>25440</v>
          </cell>
          <cell r="S1110">
            <v>0</v>
          </cell>
          <cell r="X1110" t="str">
            <v>IL</v>
          </cell>
        </row>
        <row r="1111">
          <cell r="A1111" t="str">
            <v>400-40-026</v>
          </cell>
          <cell r="P1111">
            <v>690000</v>
          </cell>
          <cell r="R1111">
            <v>21211.200000000001</v>
          </cell>
          <cell r="S1111">
            <v>256000</v>
          </cell>
          <cell r="X1111" t="str">
            <v>IL</v>
          </cell>
        </row>
        <row r="1112">
          <cell r="A1112" t="str">
            <v>400-40-026</v>
          </cell>
          <cell r="P1112">
            <v>8400</v>
          </cell>
          <cell r="R1112">
            <v>7500</v>
          </cell>
          <cell r="S1112">
            <v>25000</v>
          </cell>
          <cell r="X1112" t="str">
            <v>IL</v>
          </cell>
        </row>
        <row r="1113">
          <cell r="A1113" t="str">
            <v>400-40-026</v>
          </cell>
          <cell r="P1113">
            <v>0</v>
          </cell>
          <cell r="R1113">
            <v>0</v>
          </cell>
          <cell r="S1113">
            <v>0</v>
          </cell>
          <cell r="X1113" t="str">
            <v>IL</v>
          </cell>
        </row>
        <row r="1114">
          <cell r="A1114" t="str">
            <v>400-40-026</v>
          </cell>
          <cell r="P1114">
            <v>0</v>
          </cell>
          <cell r="R1114">
            <v>10392</v>
          </cell>
          <cell r="S1114">
            <v>0</v>
          </cell>
          <cell r="X1114" t="str">
            <v>IL</v>
          </cell>
        </row>
        <row r="1115">
          <cell r="A1115" t="str">
            <v>400-40-026</v>
          </cell>
          <cell r="P1115">
            <v>0</v>
          </cell>
          <cell r="R1115">
            <v>2304</v>
          </cell>
          <cell r="S1115">
            <v>0</v>
          </cell>
          <cell r="X1115" t="str">
            <v>IL</v>
          </cell>
        </row>
        <row r="1116">
          <cell r="A1116" t="str">
            <v>400-40-026</v>
          </cell>
          <cell r="P1116">
            <v>0</v>
          </cell>
          <cell r="R1116">
            <v>304.8</v>
          </cell>
          <cell r="S1116">
            <v>0</v>
          </cell>
          <cell r="X1116" t="str">
            <v>IL</v>
          </cell>
        </row>
        <row r="1117">
          <cell r="A1117" t="str">
            <v>400-40-026</v>
          </cell>
          <cell r="P1117">
            <v>105060</v>
          </cell>
          <cell r="R1117">
            <v>41978.400000000001</v>
          </cell>
          <cell r="S1117">
            <v>112500</v>
          </cell>
          <cell r="X1117" t="str">
            <v>IL</v>
          </cell>
        </row>
        <row r="1118">
          <cell r="A1118" t="str">
            <v>400-40-026</v>
          </cell>
          <cell r="P1118">
            <v>0</v>
          </cell>
          <cell r="R1118">
            <v>0</v>
          </cell>
          <cell r="S1118">
            <v>0</v>
          </cell>
          <cell r="X1118" t="str">
            <v>IL</v>
          </cell>
        </row>
        <row r="1119">
          <cell r="A1119" t="str">
            <v>400-40-026</v>
          </cell>
          <cell r="P1119">
            <v>0</v>
          </cell>
          <cell r="R1119">
            <v>17803.2</v>
          </cell>
          <cell r="S1119">
            <v>15000</v>
          </cell>
          <cell r="X1119" t="str">
            <v>IL</v>
          </cell>
        </row>
        <row r="1120">
          <cell r="A1120" t="str">
            <v>400-40-026</v>
          </cell>
          <cell r="P1120">
            <v>0</v>
          </cell>
          <cell r="R1120">
            <v>0</v>
          </cell>
          <cell r="S1120">
            <v>0</v>
          </cell>
          <cell r="X1120" t="str">
            <v>IL</v>
          </cell>
        </row>
        <row r="1121">
          <cell r="A1121" t="str">
            <v>400-40-026</v>
          </cell>
          <cell r="P1121">
            <v>0</v>
          </cell>
          <cell r="R1121">
            <v>0</v>
          </cell>
          <cell r="S1121">
            <v>0</v>
          </cell>
          <cell r="X1121" t="str">
            <v>IL</v>
          </cell>
        </row>
        <row r="1122">
          <cell r="A1122" t="str">
            <v>400-40-026</v>
          </cell>
          <cell r="P1122">
            <v>0</v>
          </cell>
          <cell r="R1122">
            <v>0</v>
          </cell>
          <cell r="S1122">
            <v>0</v>
          </cell>
          <cell r="X1122" t="str">
            <v>IL</v>
          </cell>
        </row>
        <row r="1123">
          <cell r="A1123" t="str">
            <v>400-40-026</v>
          </cell>
          <cell r="P1123">
            <v>0</v>
          </cell>
          <cell r="R1123">
            <v>0</v>
          </cell>
          <cell r="S1123">
            <v>0</v>
          </cell>
          <cell r="X1123" t="str">
            <v>IL</v>
          </cell>
        </row>
        <row r="1124">
          <cell r="A1124" t="str">
            <v>400-40-026</v>
          </cell>
          <cell r="P1124">
            <v>0</v>
          </cell>
          <cell r="R1124">
            <v>0</v>
          </cell>
          <cell r="S1124">
            <v>0</v>
          </cell>
          <cell r="X1124" t="str">
            <v>IL</v>
          </cell>
        </row>
        <row r="1125">
          <cell r="A1125" t="str">
            <v>400-40-026</v>
          </cell>
          <cell r="P1125">
            <v>0</v>
          </cell>
          <cell r="R1125">
            <v>180110.4</v>
          </cell>
          <cell r="S1125">
            <v>389900</v>
          </cell>
          <cell r="X1125" t="str">
            <v>IL</v>
          </cell>
        </row>
        <row r="1126">
          <cell r="A1126" t="str">
            <v>400-40-026</v>
          </cell>
          <cell r="P1126">
            <v>0</v>
          </cell>
          <cell r="R1126">
            <v>0</v>
          </cell>
          <cell r="S1126">
            <v>0</v>
          </cell>
          <cell r="X1126" t="str">
            <v>IL</v>
          </cell>
        </row>
        <row r="1127">
          <cell r="A1127" t="str">
            <v>400-40-026</v>
          </cell>
          <cell r="P1127">
            <v>0</v>
          </cell>
          <cell r="R1127">
            <v>0</v>
          </cell>
          <cell r="S1127">
            <v>0</v>
          </cell>
          <cell r="X1127" t="str">
            <v>IL</v>
          </cell>
        </row>
        <row r="1128">
          <cell r="A1128" t="str">
            <v>400-40-026</v>
          </cell>
          <cell r="P1128">
            <v>0</v>
          </cell>
          <cell r="R1128">
            <v>0</v>
          </cell>
          <cell r="S1128">
            <v>0</v>
          </cell>
          <cell r="X1128" t="str">
            <v>IL</v>
          </cell>
        </row>
        <row r="1129">
          <cell r="A1129" t="str">
            <v>400-40-026</v>
          </cell>
          <cell r="P1129">
            <v>0</v>
          </cell>
          <cell r="R1129">
            <v>0</v>
          </cell>
          <cell r="S1129">
            <v>0</v>
          </cell>
          <cell r="X1129" t="str">
            <v>IL</v>
          </cell>
        </row>
        <row r="1130">
          <cell r="A1130" t="str">
            <v>400-40-026</v>
          </cell>
          <cell r="P1130">
            <v>0</v>
          </cell>
          <cell r="R1130">
            <v>0</v>
          </cell>
          <cell r="S1130">
            <v>0</v>
          </cell>
          <cell r="X1130" t="str">
            <v>IL</v>
          </cell>
        </row>
        <row r="1131">
          <cell r="A1131" t="str">
            <v>400-40-026</v>
          </cell>
          <cell r="P1131">
            <v>0</v>
          </cell>
          <cell r="R1131">
            <v>0</v>
          </cell>
          <cell r="S1131">
            <v>0</v>
          </cell>
          <cell r="X1131" t="str">
            <v>IL</v>
          </cell>
        </row>
        <row r="1132">
          <cell r="A1132" t="str">
            <v>400-40-026</v>
          </cell>
          <cell r="P1132">
            <v>0</v>
          </cell>
          <cell r="R1132">
            <v>0</v>
          </cell>
          <cell r="S1132">
            <v>0</v>
          </cell>
          <cell r="X1132" t="str">
            <v>IL</v>
          </cell>
        </row>
        <row r="1133">
          <cell r="A1133" t="str">
            <v>400-40-026</v>
          </cell>
          <cell r="P1133">
            <v>0</v>
          </cell>
          <cell r="R1133">
            <v>9770.4</v>
          </cell>
          <cell r="S1133">
            <v>20000</v>
          </cell>
          <cell r="X1133" t="str">
            <v>COP</v>
          </cell>
        </row>
        <row r="1134">
          <cell r="A1134" t="str">
            <v>400-40-026</v>
          </cell>
          <cell r="P1134">
            <v>242000</v>
          </cell>
          <cell r="R1134">
            <v>306974.40000000002</v>
          </cell>
          <cell r="S1134">
            <v>98000</v>
          </cell>
          <cell r="X1134" t="str">
            <v>IL</v>
          </cell>
        </row>
        <row r="1135">
          <cell r="A1135" t="str">
            <v>400-40-027</v>
          </cell>
          <cell r="P1135">
            <v>4000</v>
          </cell>
          <cell r="R1135">
            <v>0</v>
          </cell>
          <cell r="S1135">
            <v>0</v>
          </cell>
          <cell r="X1135" t="str">
            <v>IL</v>
          </cell>
        </row>
        <row r="1136">
          <cell r="A1136" t="str">
            <v>400-40-027</v>
          </cell>
          <cell r="P1136">
            <v>1500</v>
          </cell>
          <cell r="R1136">
            <v>3556.8</v>
          </cell>
          <cell r="S1136">
            <v>4560</v>
          </cell>
          <cell r="X1136" t="str">
            <v>IL</v>
          </cell>
        </row>
        <row r="1137">
          <cell r="A1137" t="str">
            <v>400-40-027</v>
          </cell>
          <cell r="P1137">
            <v>2134000</v>
          </cell>
          <cell r="R1137">
            <v>2166057.6</v>
          </cell>
          <cell r="S1137">
            <v>2190800</v>
          </cell>
          <cell r="X1137" t="str">
            <v>IL</v>
          </cell>
        </row>
        <row r="1138">
          <cell r="A1138" t="str">
            <v>400-40-027</v>
          </cell>
          <cell r="P1138">
            <v>12600</v>
          </cell>
          <cell r="R1138">
            <v>0</v>
          </cell>
          <cell r="S1138">
            <v>0</v>
          </cell>
          <cell r="X1138" t="str">
            <v>IL</v>
          </cell>
        </row>
        <row r="1139">
          <cell r="A1139" t="str">
            <v>400-40-027</v>
          </cell>
          <cell r="P1139">
            <v>0</v>
          </cell>
          <cell r="R1139">
            <v>0</v>
          </cell>
          <cell r="S1139">
            <v>0</v>
          </cell>
          <cell r="X1139" t="str">
            <v>IL</v>
          </cell>
        </row>
        <row r="1140">
          <cell r="A1140" t="str">
            <v>400-40-027</v>
          </cell>
          <cell r="P1140">
            <v>1560000</v>
          </cell>
          <cell r="R1140">
            <v>746232</v>
          </cell>
          <cell r="S1140">
            <v>1985040</v>
          </cell>
          <cell r="X1140" t="str">
            <v>IL</v>
          </cell>
        </row>
        <row r="1141">
          <cell r="A1141" t="str">
            <v>400-40-027</v>
          </cell>
          <cell r="P1141">
            <v>600000</v>
          </cell>
          <cell r="R1141">
            <v>1073436</v>
          </cell>
          <cell r="S1141">
            <v>1605300</v>
          </cell>
          <cell r="X1141" t="str">
            <v>IL</v>
          </cell>
        </row>
        <row r="1142">
          <cell r="A1142" t="str">
            <v>400-40-027</v>
          </cell>
          <cell r="P1142">
            <v>120000</v>
          </cell>
          <cell r="R1142">
            <v>81900</v>
          </cell>
          <cell r="S1142">
            <v>45000</v>
          </cell>
          <cell r="X1142" t="str">
            <v>IL</v>
          </cell>
        </row>
        <row r="1143">
          <cell r="A1143" t="str">
            <v>400-40-027</v>
          </cell>
          <cell r="P1143">
            <v>632400</v>
          </cell>
          <cell r="R1143">
            <v>982802.4</v>
          </cell>
          <cell r="S1143">
            <v>468000</v>
          </cell>
          <cell r="X1143" t="str">
            <v>IL</v>
          </cell>
        </row>
        <row r="1144">
          <cell r="A1144" t="str">
            <v>400-40-027</v>
          </cell>
          <cell r="P1144">
            <v>0</v>
          </cell>
          <cell r="R1144">
            <v>0</v>
          </cell>
          <cell r="S1144">
            <v>0</v>
          </cell>
          <cell r="X1144" t="str">
            <v>IL</v>
          </cell>
        </row>
        <row r="1145">
          <cell r="A1145" t="str">
            <v>400-40-027</v>
          </cell>
          <cell r="P1145">
            <v>11100</v>
          </cell>
          <cell r="R1145">
            <v>10500</v>
          </cell>
          <cell r="S1145">
            <v>4625</v>
          </cell>
          <cell r="X1145" t="str">
            <v>IL</v>
          </cell>
        </row>
        <row r="1146">
          <cell r="A1146" t="str">
            <v>400-40-027</v>
          </cell>
          <cell r="P1146">
            <v>3000</v>
          </cell>
          <cell r="R1146">
            <v>9600</v>
          </cell>
          <cell r="S1146">
            <v>3000</v>
          </cell>
          <cell r="X1146" t="str">
            <v>IL</v>
          </cell>
        </row>
        <row r="1147">
          <cell r="A1147" t="str">
            <v>400-40-027</v>
          </cell>
          <cell r="P1147">
            <v>9300</v>
          </cell>
          <cell r="R1147">
            <v>9600</v>
          </cell>
          <cell r="S1147">
            <v>4200</v>
          </cell>
          <cell r="X1147" t="str">
            <v>IL</v>
          </cell>
        </row>
        <row r="1148">
          <cell r="A1148" t="str">
            <v>400-40-027</v>
          </cell>
          <cell r="P1148">
            <v>10620</v>
          </cell>
          <cell r="R1148">
            <v>11820</v>
          </cell>
          <cell r="S1148">
            <v>3000</v>
          </cell>
          <cell r="X1148" t="str">
            <v>IL</v>
          </cell>
        </row>
        <row r="1149">
          <cell r="A1149" t="str">
            <v>400-40-027</v>
          </cell>
          <cell r="P1149">
            <v>3000</v>
          </cell>
          <cell r="R1149">
            <v>0</v>
          </cell>
          <cell r="S1149">
            <v>0</v>
          </cell>
          <cell r="X1149" t="str">
            <v>IL</v>
          </cell>
        </row>
        <row r="1150">
          <cell r="A1150" t="str">
            <v>400-40-027</v>
          </cell>
          <cell r="P1150">
            <v>9000</v>
          </cell>
          <cell r="R1150">
            <v>312</v>
          </cell>
          <cell r="S1150">
            <v>4500</v>
          </cell>
          <cell r="X1150" t="str">
            <v>IL</v>
          </cell>
        </row>
        <row r="1151">
          <cell r="A1151" t="str">
            <v>400-40-027</v>
          </cell>
          <cell r="P1151">
            <v>10000</v>
          </cell>
          <cell r="R1151">
            <v>9600</v>
          </cell>
          <cell r="S1151">
            <v>3250</v>
          </cell>
          <cell r="X1151" t="str">
            <v>IL</v>
          </cell>
        </row>
        <row r="1152">
          <cell r="A1152" t="str">
            <v>400-40-027</v>
          </cell>
          <cell r="P1152">
            <v>15000</v>
          </cell>
          <cell r="R1152">
            <v>9600</v>
          </cell>
          <cell r="S1152">
            <v>3960</v>
          </cell>
          <cell r="X1152" t="str">
            <v>IL</v>
          </cell>
        </row>
        <row r="1153">
          <cell r="A1153" t="str">
            <v>400-40-027</v>
          </cell>
          <cell r="P1153">
            <v>9000</v>
          </cell>
          <cell r="R1153">
            <v>9600</v>
          </cell>
          <cell r="S1153">
            <v>5100</v>
          </cell>
          <cell r="X1153" t="str">
            <v>IL</v>
          </cell>
        </row>
        <row r="1154">
          <cell r="A1154" t="str">
            <v>400-40-027</v>
          </cell>
          <cell r="P1154">
            <v>0</v>
          </cell>
          <cell r="R1154">
            <v>0</v>
          </cell>
          <cell r="S1154">
            <v>0</v>
          </cell>
          <cell r="X1154" t="str">
            <v>IL</v>
          </cell>
        </row>
        <row r="1155">
          <cell r="A1155" t="str">
            <v>400-40-027</v>
          </cell>
          <cell r="P1155">
            <v>15000</v>
          </cell>
          <cell r="R1155">
            <v>0</v>
          </cell>
          <cell r="S1155">
            <v>0</v>
          </cell>
          <cell r="X1155" t="str">
            <v>IL</v>
          </cell>
        </row>
        <row r="1156">
          <cell r="A1156" t="str">
            <v>400-40-027</v>
          </cell>
          <cell r="P1156">
            <v>2750</v>
          </cell>
          <cell r="R1156">
            <v>0</v>
          </cell>
          <cell r="S1156">
            <v>0</v>
          </cell>
          <cell r="X1156" t="str">
            <v>IL</v>
          </cell>
        </row>
        <row r="1157">
          <cell r="A1157" t="str">
            <v>400-40-027</v>
          </cell>
          <cell r="P1157">
            <v>3000</v>
          </cell>
          <cell r="R1157">
            <v>0</v>
          </cell>
          <cell r="S1157">
            <v>0</v>
          </cell>
          <cell r="X1157" t="str">
            <v>COP</v>
          </cell>
        </row>
        <row r="1158">
          <cell r="A1158" t="str">
            <v>400-40-027</v>
          </cell>
          <cell r="P1158">
            <v>171000</v>
          </cell>
          <cell r="R1158">
            <v>80313.600000000006</v>
          </cell>
          <cell r="S1158">
            <v>145200</v>
          </cell>
          <cell r="X1158" t="str">
            <v>IL</v>
          </cell>
        </row>
        <row r="1159">
          <cell r="A1159" t="str">
            <v>400-40-028</v>
          </cell>
          <cell r="P1159">
            <v>312000</v>
          </cell>
          <cell r="R1159">
            <v>581503.19999999995</v>
          </cell>
          <cell r="S1159">
            <v>312000</v>
          </cell>
          <cell r="X1159" t="str">
            <v>IL</v>
          </cell>
        </row>
        <row r="1160">
          <cell r="A1160" t="str">
            <v>400-40-028</v>
          </cell>
          <cell r="P1160">
            <v>516000</v>
          </cell>
          <cell r="R1160">
            <v>380589.6</v>
          </cell>
          <cell r="S1160">
            <v>246000</v>
          </cell>
          <cell r="X1160" t="str">
            <v>IL</v>
          </cell>
        </row>
        <row r="1161">
          <cell r="A1161" t="str">
            <v>400-40-028</v>
          </cell>
          <cell r="P1161">
            <v>42000</v>
          </cell>
          <cell r="R1161">
            <v>154207.20000000001</v>
          </cell>
          <cell r="S1161">
            <v>207480</v>
          </cell>
          <cell r="X1161" t="str">
            <v>IL</v>
          </cell>
        </row>
        <row r="1162">
          <cell r="A1162" t="str">
            <v>400-40-028</v>
          </cell>
          <cell r="P1162">
            <v>246000</v>
          </cell>
          <cell r="R1162">
            <v>171482.4</v>
          </cell>
          <cell r="S1162">
            <v>180000</v>
          </cell>
          <cell r="X1162" t="str">
            <v>IL</v>
          </cell>
        </row>
        <row r="1163">
          <cell r="A1163" t="str">
            <v>400-40-028</v>
          </cell>
          <cell r="P1163">
            <v>183600</v>
          </cell>
          <cell r="R1163">
            <v>204067.20000000001</v>
          </cell>
          <cell r="S1163">
            <v>176400</v>
          </cell>
          <cell r="X1163" t="str">
            <v>IL</v>
          </cell>
        </row>
        <row r="1164">
          <cell r="A1164" t="str">
            <v>400-40-028</v>
          </cell>
          <cell r="P1164">
            <v>108000</v>
          </cell>
          <cell r="R1164">
            <v>126650.4</v>
          </cell>
          <cell r="S1164">
            <v>182400</v>
          </cell>
          <cell r="X1164" t="str">
            <v>IL</v>
          </cell>
        </row>
        <row r="1165">
          <cell r="A1165" t="str">
            <v>400-40-028</v>
          </cell>
          <cell r="P1165">
            <v>660000</v>
          </cell>
          <cell r="R1165">
            <v>570386.4</v>
          </cell>
          <cell r="S1165">
            <v>822000</v>
          </cell>
          <cell r="X1165" t="str">
            <v>IL</v>
          </cell>
        </row>
        <row r="1166">
          <cell r="A1166" t="str">
            <v>400-40-028</v>
          </cell>
          <cell r="P1166">
            <v>42000</v>
          </cell>
          <cell r="R1166">
            <v>66996</v>
          </cell>
          <cell r="S1166">
            <v>109560</v>
          </cell>
          <cell r="X1166" t="str">
            <v>IL</v>
          </cell>
        </row>
        <row r="1167">
          <cell r="A1167" t="str">
            <v>400-40-028</v>
          </cell>
          <cell r="P1167">
            <v>360000</v>
          </cell>
          <cell r="R1167">
            <v>295108.8</v>
          </cell>
          <cell r="S1167">
            <v>123000</v>
          </cell>
          <cell r="X1167" t="str">
            <v>IL</v>
          </cell>
        </row>
        <row r="1168">
          <cell r="A1168" t="str">
            <v>400-40-028</v>
          </cell>
          <cell r="P1168">
            <v>60000</v>
          </cell>
          <cell r="R1168">
            <v>41743.199999999997</v>
          </cell>
          <cell r="S1168">
            <v>96000</v>
          </cell>
          <cell r="X1168" t="str">
            <v>IL</v>
          </cell>
        </row>
        <row r="1169">
          <cell r="A1169" t="str">
            <v>400-40-028</v>
          </cell>
          <cell r="P1169">
            <v>60000</v>
          </cell>
          <cell r="R1169">
            <v>156232.79999999999</v>
          </cell>
          <cell r="S1169">
            <v>168000</v>
          </cell>
          <cell r="X1169" t="str">
            <v>IL</v>
          </cell>
        </row>
        <row r="1170">
          <cell r="A1170" t="str">
            <v>400-40-028</v>
          </cell>
          <cell r="P1170">
            <v>60000</v>
          </cell>
          <cell r="R1170">
            <v>199843.20000000001</v>
          </cell>
          <cell r="S1170">
            <v>189000</v>
          </cell>
          <cell r="X1170" t="str">
            <v>IL</v>
          </cell>
        </row>
        <row r="1171">
          <cell r="A1171" t="str">
            <v>400-40-028</v>
          </cell>
          <cell r="P1171">
            <v>60000</v>
          </cell>
          <cell r="R1171">
            <v>273424.8</v>
          </cell>
          <cell r="S1171">
            <v>168000</v>
          </cell>
          <cell r="X1171" t="str">
            <v>IL</v>
          </cell>
        </row>
        <row r="1172">
          <cell r="A1172" t="str">
            <v>400-40-028</v>
          </cell>
          <cell r="P1172">
            <v>60000</v>
          </cell>
          <cell r="R1172">
            <v>181488</v>
          </cell>
          <cell r="S1172">
            <v>180000</v>
          </cell>
          <cell r="X1172" t="str">
            <v>IL</v>
          </cell>
        </row>
        <row r="1173">
          <cell r="A1173" t="str">
            <v>400-40-028</v>
          </cell>
          <cell r="P1173">
            <v>264000</v>
          </cell>
          <cell r="R1173">
            <v>456040.8</v>
          </cell>
          <cell r="S1173">
            <v>402671</v>
          </cell>
          <cell r="X1173" t="str">
            <v>IL</v>
          </cell>
        </row>
        <row r="1174">
          <cell r="A1174" t="str">
            <v>400-40-028</v>
          </cell>
          <cell r="P1174">
            <v>60000</v>
          </cell>
          <cell r="R1174">
            <v>177038.4</v>
          </cell>
          <cell r="S1174">
            <v>144000</v>
          </cell>
          <cell r="X1174" t="str">
            <v>IL</v>
          </cell>
        </row>
        <row r="1175">
          <cell r="A1175" t="str">
            <v>400-40-028</v>
          </cell>
          <cell r="P1175">
            <v>60000</v>
          </cell>
          <cell r="R1175">
            <v>202692</v>
          </cell>
          <cell r="S1175">
            <v>216000</v>
          </cell>
          <cell r="X1175" t="str">
            <v>IL</v>
          </cell>
        </row>
        <row r="1176">
          <cell r="A1176" t="str">
            <v>400-40-028</v>
          </cell>
          <cell r="P1176">
            <v>60000</v>
          </cell>
          <cell r="R1176">
            <v>146515.20000000001</v>
          </cell>
          <cell r="S1176">
            <v>168000</v>
          </cell>
          <cell r="X1176" t="str">
            <v>IL</v>
          </cell>
        </row>
        <row r="1177">
          <cell r="A1177" t="str">
            <v>400-40-028</v>
          </cell>
          <cell r="P1177">
            <v>60000</v>
          </cell>
          <cell r="R1177">
            <v>137767.20000000001</v>
          </cell>
          <cell r="S1177">
            <v>138000</v>
          </cell>
          <cell r="X1177" t="str">
            <v>IL</v>
          </cell>
        </row>
        <row r="1178">
          <cell r="A1178" t="str">
            <v>400-40-028</v>
          </cell>
          <cell r="P1178">
            <v>60000</v>
          </cell>
          <cell r="R1178">
            <v>172612.8</v>
          </cell>
          <cell r="S1178">
            <v>156000</v>
          </cell>
          <cell r="X1178" t="str">
            <v>IL</v>
          </cell>
        </row>
        <row r="1179">
          <cell r="A1179" t="str">
            <v>400-40-028</v>
          </cell>
          <cell r="P1179">
            <v>60000</v>
          </cell>
          <cell r="R1179">
            <v>199665.6</v>
          </cell>
          <cell r="S1179">
            <v>132000</v>
          </cell>
          <cell r="X1179" t="str">
            <v>IL</v>
          </cell>
        </row>
        <row r="1180">
          <cell r="A1180" t="str">
            <v>400-40-028</v>
          </cell>
          <cell r="P1180">
            <v>216000</v>
          </cell>
          <cell r="R1180">
            <v>206323.20000000001</v>
          </cell>
          <cell r="S1180">
            <v>120000</v>
          </cell>
          <cell r="X1180" t="str">
            <v>IL</v>
          </cell>
        </row>
        <row r="1181">
          <cell r="A1181" t="str">
            <v>400-40-028</v>
          </cell>
          <cell r="P1181">
            <v>158000</v>
          </cell>
          <cell r="R1181">
            <v>221395.20000000001</v>
          </cell>
          <cell r="S1181">
            <v>160000</v>
          </cell>
          <cell r="X1181" t="str">
            <v>COP</v>
          </cell>
        </row>
        <row r="1182">
          <cell r="A1182" t="str">
            <v>400-40-028</v>
          </cell>
          <cell r="P1182">
            <v>180000</v>
          </cell>
          <cell r="R1182">
            <v>108890.4</v>
          </cell>
          <cell r="S1182">
            <v>84000</v>
          </cell>
          <cell r="X1182" t="str">
            <v>IL</v>
          </cell>
        </row>
        <row r="1183">
          <cell r="A1183" t="str">
            <v>400-40-029</v>
          </cell>
          <cell r="P1183">
            <v>49050</v>
          </cell>
          <cell r="R1183">
            <v>84240</v>
          </cell>
          <cell r="S1183">
            <v>0</v>
          </cell>
          <cell r="X1183" t="str">
            <v>IL</v>
          </cell>
        </row>
        <row r="1184">
          <cell r="A1184" t="str">
            <v>400-40-029</v>
          </cell>
          <cell r="P1184">
            <v>271640</v>
          </cell>
          <cell r="R1184">
            <v>148315.20000000001</v>
          </cell>
          <cell r="S1184">
            <v>423400</v>
          </cell>
          <cell r="X1184" t="str">
            <v>IL</v>
          </cell>
        </row>
        <row r="1185">
          <cell r="A1185" t="str">
            <v>400-40-029</v>
          </cell>
          <cell r="P1185">
            <v>79000</v>
          </cell>
          <cell r="R1185">
            <v>51280.800000000003</v>
          </cell>
          <cell r="S1185">
            <v>226500</v>
          </cell>
          <cell r="X1185" t="str">
            <v>IL</v>
          </cell>
        </row>
        <row r="1186">
          <cell r="A1186" t="str">
            <v>400-40-029</v>
          </cell>
          <cell r="P1186">
            <v>242740</v>
          </cell>
          <cell r="R1186">
            <v>91440</v>
          </cell>
          <cell r="S1186">
            <v>150000</v>
          </cell>
          <cell r="X1186" t="str">
            <v>IL</v>
          </cell>
        </row>
        <row r="1187">
          <cell r="A1187" t="str">
            <v>400-40-029</v>
          </cell>
          <cell r="P1187">
            <v>325000</v>
          </cell>
          <cell r="R1187">
            <v>131383.20000000001</v>
          </cell>
          <cell r="S1187">
            <v>483200</v>
          </cell>
          <cell r="X1187" t="str">
            <v>IL</v>
          </cell>
        </row>
        <row r="1188">
          <cell r="A1188" t="str">
            <v>400-40-029</v>
          </cell>
          <cell r="P1188">
            <v>51000</v>
          </cell>
          <cell r="R1188">
            <v>70759.199999999997</v>
          </cell>
          <cell r="S1188">
            <v>63750</v>
          </cell>
          <cell r="X1188" t="str">
            <v>IL</v>
          </cell>
        </row>
        <row r="1189">
          <cell r="A1189" t="str">
            <v>400-40-029</v>
          </cell>
          <cell r="P1189">
            <v>259515</v>
          </cell>
          <cell r="R1189">
            <v>336134.40000000002</v>
          </cell>
          <cell r="S1189">
            <v>206300</v>
          </cell>
          <cell r="X1189" t="str">
            <v>IL</v>
          </cell>
        </row>
        <row r="1190">
          <cell r="A1190" t="str">
            <v>400-40-029</v>
          </cell>
          <cell r="P1190">
            <v>24600</v>
          </cell>
          <cell r="R1190">
            <v>31680</v>
          </cell>
          <cell r="S1190">
            <v>95700</v>
          </cell>
          <cell r="X1190" t="str">
            <v>IL</v>
          </cell>
        </row>
        <row r="1191">
          <cell r="A1191" t="str">
            <v>400-40-029</v>
          </cell>
          <cell r="P1191">
            <v>114750</v>
          </cell>
          <cell r="R1191">
            <v>161260.79999999999</v>
          </cell>
          <cell r="S1191">
            <v>156750</v>
          </cell>
          <cell r="X1191" t="str">
            <v>IL</v>
          </cell>
        </row>
        <row r="1192">
          <cell r="A1192" t="str">
            <v>400-40-029</v>
          </cell>
          <cell r="P1192">
            <v>0</v>
          </cell>
          <cell r="R1192">
            <v>0</v>
          </cell>
          <cell r="S1192">
            <v>0</v>
          </cell>
          <cell r="X1192" t="str">
            <v>IL</v>
          </cell>
        </row>
        <row r="1193">
          <cell r="A1193" t="str">
            <v>400-40-029</v>
          </cell>
          <cell r="P1193">
            <v>62100</v>
          </cell>
          <cell r="R1193">
            <v>0</v>
          </cell>
          <cell r="S1193">
            <v>0</v>
          </cell>
          <cell r="X1193" t="str">
            <v>IL</v>
          </cell>
        </row>
        <row r="1194">
          <cell r="A1194" t="str">
            <v>400-40-029</v>
          </cell>
          <cell r="P1194">
            <v>0</v>
          </cell>
          <cell r="R1194">
            <v>0</v>
          </cell>
          <cell r="S1194">
            <v>0</v>
          </cell>
          <cell r="X1194" t="str">
            <v>IL</v>
          </cell>
        </row>
        <row r="1195">
          <cell r="A1195" t="str">
            <v>400-40-029</v>
          </cell>
          <cell r="P1195">
            <v>0</v>
          </cell>
          <cell r="R1195">
            <v>0</v>
          </cell>
          <cell r="S1195">
            <v>0</v>
          </cell>
          <cell r="X1195" t="str">
            <v>IL</v>
          </cell>
        </row>
        <row r="1196">
          <cell r="A1196" t="str">
            <v>400-40-029</v>
          </cell>
          <cell r="P1196">
            <v>0</v>
          </cell>
          <cell r="R1196">
            <v>0</v>
          </cell>
          <cell r="S1196">
            <v>0</v>
          </cell>
          <cell r="X1196" t="str">
            <v>IL</v>
          </cell>
        </row>
        <row r="1197">
          <cell r="A1197" t="str">
            <v>400-40-029</v>
          </cell>
          <cell r="P1197">
            <v>145500</v>
          </cell>
          <cell r="R1197">
            <v>1790313.6</v>
          </cell>
          <cell r="S1197">
            <v>126300</v>
          </cell>
          <cell r="X1197" t="str">
            <v>IL</v>
          </cell>
        </row>
        <row r="1198">
          <cell r="A1198" t="str">
            <v>400-40-029</v>
          </cell>
          <cell r="P1198">
            <v>0</v>
          </cell>
          <cell r="R1198">
            <v>0</v>
          </cell>
          <cell r="S1198">
            <v>0</v>
          </cell>
          <cell r="X1198" t="str">
            <v>IL</v>
          </cell>
        </row>
        <row r="1199">
          <cell r="A1199" t="str">
            <v>400-40-029</v>
          </cell>
          <cell r="P1199">
            <v>0</v>
          </cell>
          <cell r="R1199">
            <v>0</v>
          </cell>
          <cell r="S1199">
            <v>0</v>
          </cell>
          <cell r="X1199" t="str">
            <v>IL</v>
          </cell>
        </row>
        <row r="1200">
          <cell r="A1200" t="str">
            <v>400-40-029</v>
          </cell>
          <cell r="P1200">
            <v>0</v>
          </cell>
          <cell r="R1200">
            <v>3600</v>
          </cell>
          <cell r="S1200">
            <v>0</v>
          </cell>
          <cell r="X1200" t="str">
            <v>IL</v>
          </cell>
        </row>
        <row r="1201">
          <cell r="A1201" t="str">
            <v>400-40-029</v>
          </cell>
          <cell r="P1201">
            <v>53700</v>
          </cell>
          <cell r="R1201">
            <v>0</v>
          </cell>
          <cell r="S1201">
            <v>0</v>
          </cell>
          <cell r="X1201" t="str">
            <v>IL</v>
          </cell>
        </row>
        <row r="1202">
          <cell r="A1202" t="str">
            <v>400-40-029</v>
          </cell>
          <cell r="P1202">
            <v>0</v>
          </cell>
          <cell r="R1202">
            <v>0</v>
          </cell>
          <cell r="S1202">
            <v>0</v>
          </cell>
          <cell r="X1202" t="str">
            <v>IL</v>
          </cell>
        </row>
        <row r="1203">
          <cell r="A1203" t="str">
            <v>400-40-029</v>
          </cell>
          <cell r="P1203">
            <v>0</v>
          </cell>
          <cell r="R1203">
            <v>0</v>
          </cell>
          <cell r="S1203">
            <v>0</v>
          </cell>
          <cell r="X1203" t="str">
            <v>IL</v>
          </cell>
        </row>
        <row r="1204">
          <cell r="A1204" t="str">
            <v>400-40-029</v>
          </cell>
          <cell r="P1204">
            <v>0</v>
          </cell>
          <cell r="R1204">
            <v>22560</v>
          </cell>
          <cell r="S1204">
            <v>30000</v>
          </cell>
          <cell r="X1204" t="str">
            <v>IL</v>
          </cell>
        </row>
        <row r="1205">
          <cell r="A1205" t="str">
            <v>400-40-029</v>
          </cell>
          <cell r="P1205">
            <v>191250</v>
          </cell>
          <cell r="R1205">
            <v>268512</v>
          </cell>
          <cell r="S1205">
            <v>150000</v>
          </cell>
          <cell r="X1205" t="str">
            <v>COP</v>
          </cell>
        </row>
        <row r="1206">
          <cell r="A1206" t="str">
            <v>400-40-029</v>
          </cell>
          <cell r="P1206">
            <v>0</v>
          </cell>
          <cell r="R1206">
            <v>0</v>
          </cell>
          <cell r="S1206">
            <v>0</v>
          </cell>
          <cell r="X1206" t="str">
            <v>IL</v>
          </cell>
        </row>
        <row r="1207">
          <cell r="A1207" t="str">
            <v>400-40-030</v>
          </cell>
          <cell r="P1207">
            <v>0</v>
          </cell>
          <cell r="R1207">
            <v>0</v>
          </cell>
          <cell r="S1207">
            <v>0</v>
          </cell>
          <cell r="X1207" t="str">
            <v>IL</v>
          </cell>
        </row>
        <row r="1208">
          <cell r="A1208" t="str">
            <v>400-40-030</v>
          </cell>
          <cell r="P1208">
            <v>1899996</v>
          </cell>
          <cell r="R1208">
            <v>2297757.6</v>
          </cell>
          <cell r="S1208">
            <v>2297757</v>
          </cell>
          <cell r="X1208" t="str">
            <v>IL</v>
          </cell>
        </row>
        <row r="1209">
          <cell r="A1209" t="str">
            <v>400-40-030</v>
          </cell>
          <cell r="P1209">
            <v>0</v>
          </cell>
          <cell r="R1209">
            <v>0</v>
          </cell>
          <cell r="S1209">
            <v>0</v>
          </cell>
          <cell r="X1209" t="str">
            <v>IL</v>
          </cell>
        </row>
        <row r="1210">
          <cell r="A1210" t="str">
            <v>400-40-030</v>
          </cell>
          <cell r="P1210">
            <v>0</v>
          </cell>
          <cell r="R1210">
            <v>0</v>
          </cell>
          <cell r="S1210">
            <v>0</v>
          </cell>
          <cell r="X1210" t="str">
            <v>IL</v>
          </cell>
        </row>
        <row r="1211">
          <cell r="A1211" t="str">
            <v>400-40-030</v>
          </cell>
          <cell r="P1211">
            <v>0</v>
          </cell>
          <cell r="R1211">
            <v>0</v>
          </cell>
          <cell r="S1211">
            <v>0</v>
          </cell>
          <cell r="X1211" t="str">
            <v>IL</v>
          </cell>
        </row>
        <row r="1212">
          <cell r="A1212" t="str">
            <v>400-40-030</v>
          </cell>
          <cell r="P1212">
            <v>0</v>
          </cell>
          <cell r="R1212">
            <v>0</v>
          </cell>
          <cell r="S1212">
            <v>0</v>
          </cell>
          <cell r="X1212" t="str">
            <v>IL</v>
          </cell>
        </row>
        <row r="1213">
          <cell r="A1213" t="str">
            <v>400-40-030</v>
          </cell>
          <cell r="P1213">
            <v>0</v>
          </cell>
          <cell r="R1213">
            <v>0</v>
          </cell>
          <cell r="S1213">
            <v>0</v>
          </cell>
          <cell r="X1213" t="str">
            <v>IL</v>
          </cell>
        </row>
        <row r="1214">
          <cell r="A1214" t="str">
            <v>400-40-030</v>
          </cell>
          <cell r="P1214">
            <v>0</v>
          </cell>
          <cell r="R1214">
            <v>0</v>
          </cell>
          <cell r="S1214">
            <v>0</v>
          </cell>
          <cell r="X1214" t="str">
            <v>IL</v>
          </cell>
        </row>
        <row r="1215">
          <cell r="A1215" t="str">
            <v>400-40-030</v>
          </cell>
          <cell r="P1215">
            <v>0</v>
          </cell>
          <cell r="R1215">
            <v>0</v>
          </cell>
          <cell r="S1215">
            <v>0</v>
          </cell>
          <cell r="X1215" t="str">
            <v>IL</v>
          </cell>
        </row>
        <row r="1216">
          <cell r="A1216" t="str">
            <v>400-40-030</v>
          </cell>
          <cell r="R1216">
            <v>0</v>
          </cell>
          <cell r="S1216">
            <v>0</v>
          </cell>
          <cell r="X1216" t="str">
            <v>IL</v>
          </cell>
        </row>
        <row r="1217">
          <cell r="A1217" t="str">
            <v>400-40-030</v>
          </cell>
          <cell r="P1217">
            <v>0</v>
          </cell>
          <cell r="R1217">
            <v>0</v>
          </cell>
          <cell r="S1217">
            <v>0</v>
          </cell>
          <cell r="X1217" t="str">
            <v>IL</v>
          </cell>
        </row>
        <row r="1218">
          <cell r="A1218" t="str">
            <v>400-40-030</v>
          </cell>
          <cell r="P1218">
            <v>0</v>
          </cell>
          <cell r="R1218">
            <v>0</v>
          </cell>
          <cell r="S1218">
            <v>0</v>
          </cell>
          <cell r="X1218" t="str">
            <v>IL</v>
          </cell>
        </row>
        <row r="1219">
          <cell r="A1219" t="str">
            <v>400-40-030</v>
          </cell>
          <cell r="P1219">
            <v>0</v>
          </cell>
          <cell r="R1219">
            <v>0</v>
          </cell>
          <cell r="S1219">
            <v>0</v>
          </cell>
          <cell r="X1219" t="str">
            <v>IL</v>
          </cell>
        </row>
        <row r="1220">
          <cell r="A1220" t="str">
            <v>400-40-030</v>
          </cell>
          <cell r="P1220">
            <v>0</v>
          </cell>
          <cell r="R1220">
            <v>0</v>
          </cell>
          <cell r="S1220">
            <v>0</v>
          </cell>
          <cell r="X1220" t="str">
            <v>IL</v>
          </cell>
        </row>
        <row r="1221">
          <cell r="A1221" t="str">
            <v>400-40-030</v>
          </cell>
          <cell r="P1221">
            <v>0</v>
          </cell>
          <cell r="R1221">
            <v>0</v>
          </cell>
          <cell r="S1221">
            <v>0</v>
          </cell>
          <cell r="X1221" t="str">
            <v>IL</v>
          </cell>
        </row>
        <row r="1222">
          <cell r="A1222" t="str">
            <v>400-40-030</v>
          </cell>
          <cell r="P1222">
            <v>0</v>
          </cell>
          <cell r="R1222">
            <v>0</v>
          </cell>
          <cell r="S1222">
            <v>0</v>
          </cell>
          <cell r="X1222" t="str">
            <v>IL</v>
          </cell>
        </row>
        <row r="1223">
          <cell r="A1223" t="str">
            <v>400-40-030</v>
          </cell>
          <cell r="P1223">
            <v>0</v>
          </cell>
          <cell r="R1223">
            <v>0</v>
          </cell>
          <cell r="S1223">
            <v>0</v>
          </cell>
          <cell r="X1223" t="str">
            <v>IL</v>
          </cell>
        </row>
        <row r="1224">
          <cell r="A1224" t="str">
            <v>400-40-030</v>
          </cell>
          <cell r="P1224">
            <v>0</v>
          </cell>
          <cell r="R1224">
            <v>0</v>
          </cell>
          <cell r="S1224">
            <v>0</v>
          </cell>
          <cell r="X1224" t="str">
            <v>IL</v>
          </cell>
        </row>
        <row r="1225">
          <cell r="A1225" t="str">
            <v>400-40-030</v>
          </cell>
          <cell r="P1225">
            <v>0</v>
          </cell>
          <cell r="R1225">
            <v>0</v>
          </cell>
          <cell r="S1225">
            <v>0</v>
          </cell>
          <cell r="X1225" t="str">
            <v>IL</v>
          </cell>
        </row>
        <row r="1226">
          <cell r="A1226" t="str">
            <v>400-40-030</v>
          </cell>
          <cell r="P1226">
            <v>0</v>
          </cell>
          <cell r="R1226">
            <v>0</v>
          </cell>
          <cell r="S1226">
            <v>0</v>
          </cell>
          <cell r="X1226" t="str">
            <v>IL</v>
          </cell>
        </row>
        <row r="1227">
          <cell r="A1227" t="str">
            <v>400-40-030</v>
          </cell>
          <cell r="P1227">
            <v>0</v>
          </cell>
          <cell r="R1227">
            <v>0</v>
          </cell>
          <cell r="S1227">
            <v>0</v>
          </cell>
          <cell r="X1227" t="str">
            <v>IL</v>
          </cell>
        </row>
        <row r="1228">
          <cell r="A1228" t="str">
            <v>400-40-030</v>
          </cell>
          <cell r="R1228">
            <v>0</v>
          </cell>
          <cell r="S1228">
            <v>0</v>
          </cell>
          <cell r="X1228" t="str">
            <v>IL</v>
          </cell>
        </row>
        <row r="1229">
          <cell r="A1229" t="str">
            <v>400-40-030</v>
          </cell>
          <cell r="P1229">
            <v>0</v>
          </cell>
          <cell r="R1229">
            <v>0</v>
          </cell>
          <cell r="S1229">
            <v>0</v>
          </cell>
          <cell r="X1229" t="str">
            <v>COP</v>
          </cell>
        </row>
        <row r="1230">
          <cell r="A1230" t="str">
            <v>400-40-030</v>
          </cell>
          <cell r="P1230">
            <v>0</v>
          </cell>
          <cell r="R1230">
            <v>0</v>
          </cell>
          <cell r="S1230">
            <v>0</v>
          </cell>
          <cell r="X1230" t="str">
            <v>IL</v>
          </cell>
        </row>
        <row r="1231">
          <cell r="A1231" t="str">
            <v>400-40-031</v>
          </cell>
          <cell r="P1231">
            <v>155000</v>
          </cell>
          <cell r="R1231">
            <v>0</v>
          </cell>
          <cell r="S1231">
            <v>0</v>
          </cell>
          <cell r="X1231" t="str">
            <v>IL</v>
          </cell>
        </row>
        <row r="1232">
          <cell r="A1232" t="str">
            <v>400-40-031</v>
          </cell>
          <cell r="P1232">
            <v>196000</v>
          </cell>
          <cell r="R1232">
            <v>0</v>
          </cell>
          <cell r="S1232">
            <v>0</v>
          </cell>
          <cell r="X1232" t="str">
            <v>IL</v>
          </cell>
        </row>
        <row r="1233">
          <cell r="A1233" t="str">
            <v>400-40-031</v>
          </cell>
          <cell r="P1233">
            <v>0</v>
          </cell>
          <cell r="R1233">
            <v>0</v>
          </cell>
          <cell r="S1233">
            <v>0</v>
          </cell>
          <cell r="X1233" t="str">
            <v>IL</v>
          </cell>
        </row>
        <row r="1234">
          <cell r="A1234" t="str">
            <v>400-40-031</v>
          </cell>
          <cell r="P1234">
            <v>15000</v>
          </cell>
          <cell r="R1234">
            <v>0</v>
          </cell>
          <cell r="S1234">
            <v>0</v>
          </cell>
          <cell r="X1234" t="str">
            <v>IL</v>
          </cell>
        </row>
        <row r="1235">
          <cell r="A1235" t="str">
            <v>400-40-031</v>
          </cell>
          <cell r="P1235">
            <v>85000</v>
          </cell>
          <cell r="R1235">
            <v>0</v>
          </cell>
          <cell r="S1235">
            <v>0</v>
          </cell>
          <cell r="X1235" t="str">
            <v>IL</v>
          </cell>
        </row>
        <row r="1236">
          <cell r="A1236" t="str">
            <v>400-40-031</v>
          </cell>
          <cell r="P1236">
            <v>0</v>
          </cell>
          <cell r="R1236">
            <v>0</v>
          </cell>
          <cell r="S1236">
            <v>0</v>
          </cell>
          <cell r="X1236" t="str">
            <v>IL</v>
          </cell>
        </row>
        <row r="1237">
          <cell r="A1237" t="str">
            <v>400-40-031</v>
          </cell>
          <cell r="P1237">
            <v>110000</v>
          </cell>
          <cell r="R1237">
            <v>0</v>
          </cell>
          <cell r="S1237">
            <v>0</v>
          </cell>
          <cell r="X1237" t="str">
            <v>IL</v>
          </cell>
        </row>
        <row r="1238">
          <cell r="A1238" t="str">
            <v>400-40-031</v>
          </cell>
          <cell r="P1238">
            <v>0</v>
          </cell>
          <cell r="R1238">
            <v>0</v>
          </cell>
          <cell r="S1238">
            <v>0</v>
          </cell>
          <cell r="X1238" t="str">
            <v>IL</v>
          </cell>
        </row>
        <row r="1239">
          <cell r="A1239" t="str">
            <v>400-40-031</v>
          </cell>
          <cell r="P1239">
            <v>267500</v>
          </cell>
          <cell r="R1239">
            <v>0</v>
          </cell>
          <cell r="S1239">
            <v>0</v>
          </cell>
          <cell r="X1239" t="str">
            <v>IL</v>
          </cell>
        </row>
        <row r="1240">
          <cell r="A1240" t="str">
            <v>400-40-031</v>
          </cell>
          <cell r="P1240">
            <v>15000</v>
          </cell>
          <cell r="R1240">
            <v>0</v>
          </cell>
          <cell r="S1240">
            <v>0</v>
          </cell>
          <cell r="X1240" t="str">
            <v>IL</v>
          </cell>
        </row>
        <row r="1241">
          <cell r="A1241" t="str">
            <v>400-40-031</v>
          </cell>
          <cell r="P1241">
            <v>5000</v>
          </cell>
          <cell r="R1241">
            <v>0</v>
          </cell>
          <cell r="S1241">
            <v>0</v>
          </cell>
          <cell r="X1241" t="str">
            <v>IL</v>
          </cell>
        </row>
        <row r="1242">
          <cell r="A1242" t="str">
            <v>400-40-031</v>
          </cell>
          <cell r="P1242">
            <v>0</v>
          </cell>
          <cell r="R1242">
            <v>0</v>
          </cell>
          <cell r="S1242">
            <v>0</v>
          </cell>
          <cell r="X1242" t="str">
            <v>IL</v>
          </cell>
        </row>
        <row r="1243">
          <cell r="A1243" t="str">
            <v>400-40-031</v>
          </cell>
          <cell r="P1243">
            <v>0</v>
          </cell>
          <cell r="R1243">
            <v>0</v>
          </cell>
          <cell r="S1243">
            <v>0</v>
          </cell>
          <cell r="X1243" t="str">
            <v>IL</v>
          </cell>
        </row>
        <row r="1244">
          <cell r="A1244" t="str">
            <v>400-40-031</v>
          </cell>
          <cell r="P1244">
            <v>10000</v>
          </cell>
          <cell r="R1244">
            <v>0</v>
          </cell>
          <cell r="S1244">
            <v>0</v>
          </cell>
          <cell r="X1244" t="str">
            <v>IL</v>
          </cell>
        </row>
        <row r="1245">
          <cell r="A1245" t="str">
            <v>400-40-031</v>
          </cell>
          <cell r="P1245">
            <v>86428.571428571435</v>
          </cell>
          <cell r="R1245">
            <v>0</v>
          </cell>
          <cell r="S1245">
            <v>0</v>
          </cell>
          <cell r="X1245" t="str">
            <v>IL</v>
          </cell>
        </row>
        <row r="1246">
          <cell r="A1246" t="str">
            <v>400-40-031</v>
          </cell>
          <cell r="P1246">
            <v>0</v>
          </cell>
          <cell r="R1246">
            <v>0</v>
          </cell>
          <cell r="S1246">
            <v>0</v>
          </cell>
          <cell r="X1246" t="str">
            <v>IL</v>
          </cell>
        </row>
        <row r="1247">
          <cell r="A1247" t="str">
            <v>400-40-031</v>
          </cell>
          <cell r="P1247">
            <v>0</v>
          </cell>
          <cell r="R1247">
            <v>0</v>
          </cell>
          <cell r="S1247">
            <v>0</v>
          </cell>
          <cell r="X1247" t="str">
            <v>IL</v>
          </cell>
        </row>
        <row r="1248">
          <cell r="A1248" t="str">
            <v>400-40-031</v>
          </cell>
          <cell r="P1248">
            <v>50000</v>
          </cell>
          <cell r="R1248">
            <v>0</v>
          </cell>
          <cell r="S1248">
            <v>0</v>
          </cell>
          <cell r="X1248" t="str">
            <v>IL</v>
          </cell>
        </row>
        <row r="1249">
          <cell r="A1249" t="str">
            <v>400-40-031</v>
          </cell>
          <cell r="P1249">
            <v>60000</v>
          </cell>
          <cell r="R1249">
            <v>0</v>
          </cell>
          <cell r="S1249">
            <v>0</v>
          </cell>
          <cell r="X1249" t="str">
            <v>IL</v>
          </cell>
        </row>
        <row r="1250">
          <cell r="A1250" t="str">
            <v>400-40-031</v>
          </cell>
          <cell r="P1250">
            <v>10000</v>
          </cell>
          <cell r="R1250">
            <v>0</v>
          </cell>
          <cell r="S1250">
            <v>0</v>
          </cell>
          <cell r="X1250" t="str">
            <v>IL</v>
          </cell>
        </row>
        <row r="1251">
          <cell r="A1251" t="str">
            <v>400-40-031</v>
          </cell>
          <cell r="P1251">
            <v>80000</v>
          </cell>
          <cell r="R1251">
            <v>0</v>
          </cell>
          <cell r="S1251">
            <v>0</v>
          </cell>
          <cell r="X1251" t="str">
            <v>IL</v>
          </cell>
        </row>
        <row r="1252">
          <cell r="A1252" t="str">
            <v>400-40-031</v>
          </cell>
          <cell r="P1252">
            <v>10000</v>
          </cell>
          <cell r="R1252">
            <v>0</v>
          </cell>
          <cell r="S1252">
            <v>0</v>
          </cell>
          <cell r="X1252" t="str">
            <v>IL</v>
          </cell>
        </row>
        <row r="1253">
          <cell r="A1253" t="str">
            <v>400-40-031</v>
          </cell>
          <cell r="P1253">
            <v>50000</v>
          </cell>
          <cell r="R1253">
            <v>0</v>
          </cell>
          <cell r="S1253">
            <v>0</v>
          </cell>
          <cell r="X1253" t="str">
            <v>COP</v>
          </cell>
        </row>
        <row r="1254">
          <cell r="A1254" t="str">
            <v>400-40-031</v>
          </cell>
          <cell r="P1254">
            <v>0</v>
          </cell>
          <cell r="R1254">
            <v>0</v>
          </cell>
          <cell r="S1254">
            <v>0</v>
          </cell>
          <cell r="X1254" t="str">
            <v>IL</v>
          </cell>
        </row>
        <row r="1255">
          <cell r="A1255" t="str">
            <v>400-40-032</v>
          </cell>
          <cell r="P1255">
            <v>0</v>
          </cell>
          <cell r="R1255">
            <v>0</v>
          </cell>
          <cell r="S1255">
            <v>0</v>
          </cell>
          <cell r="X1255" t="str">
            <v>IL</v>
          </cell>
        </row>
        <row r="1256">
          <cell r="A1256" t="str">
            <v>400-40-032</v>
          </cell>
          <cell r="P1256">
            <v>0</v>
          </cell>
          <cell r="R1256">
            <v>0</v>
          </cell>
          <cell r="S1256">
            <v>0</v>
          </cell>
          <cell r="X1256" t="str">
            <v>IL</v>
          </cell>
        </row>
        <row r="1257">
          <cell r="A1257" t="str">
            <v>400-40-032</v>
          </cell>
          <cell r="P1257">
            <v>0</v>
          </cell>
          <cell r="R1257">
            <v>0</v>
          </cell>
          <cell r="S1257">
            <v>0</v>
          </cell>
          <cell r="X1257" t="str">
            <v>IL</v>
          </cell>
        </row>
        <row r="1258">
          <cell r="A1258" t="str">
            <v>400-40-032</v>
          </cell>
          <cell r="P1258">
            <v>0</v>
          </cell>
          <cell r="R1258">
            <v>0</v>
          </cell>
          <cell r="S1258">
            <v>0</v>
          </cell>
          <cell r="X1258" t="str">
            <v>IL</v>
          </cell>
        </row>
        <row r="1259">
          <cell r="A1259" t="str">
            <v>400-40-032</v>
          </cell>
          <cell r="P1259">
            <v>2102616</v>
          </cell>
          <cell r="R1259">
            <v>3244840.8</v>
          </cell>
          <cell r="S1259">
            <v>1475800</v>
          </cell>
          <cell r="X1259" t="str">
            <v>IL</v>
          </cell>
        </row>
        <row r="1260">
          <cell r="A1260" t="str">
            <v>400-40-032</v>
          </cell>
          <cell r="P1260">
            <v>0</v>
          </cell>
          <cell r="R1260">
            <v>0</v>
          </cell>
          <cell r="S1260">
            <v>0</v>
          </cell>
          <cell r="X1260" t="str">
            <v>IL</v>
          </cell>
        </row>
        <row r="1261">
          <cell r="A1261" t="str">
            <v>400-40-032</v>
          </cell>
          <cell r="P1261">
            <v>0</v>
          </cell>
          <cell r="R1261">
            <v>0</v>
          </cell>
          <cell r="S1261">
            <v>0</v>
          </cell>
          <cell r="X1261" t="str">
            <v>IL</v>
          </cell>
        </row>
        <row r="1262">
          <cell r="A1262" t="str">
            <v>400-40-032</v>
          </cell>
          <cell r="P1262">
            <v>0</v>
          </cell>
          <cell r="R1262">
            <v>0</v>
          </cell>
          <cell r="S1262">
            <v>0</v>
          </cell>
          <cell r="X1262" t="str">
            <v>IL</v>
          </cell>
        </row>
        <row r="1263">
          <cell r="A1263" t="str">
            <v>400-40-032</v>
          </cell>
          <cell r="P1263">
            <v>0</v>
          </cell>
          <cell r="R1263">
            <v>0</v>
          </cell>
          <cell r="S1263">
            <v>0</v>
          </cell>
          <cell r="X1263" t="str">
            <v>IL</v>
          </cell>
        </row>
        <row r="1264">
          <cell r="A1264" t="str">
            <v>400-40-032</v>
          </cell>
          <cell r="P1264">
            <v>0</v>
          </cell>
          <cell r="R1264">
            <v>0</v>
          </cell>
          <cell r="S1264">
            <v>0</v>
          </cell>
          <cell r="X1264" t="str">
            <v>IL</v>
          </cell>
        </row>
        <row r="1265">
          <cell r="A1265" t="str">
            <v>400-40-032</v>
          </cell>
          <cell r="P1265">
            <v>487200</v>
          </cell>
          <cell r="R1265">
            <v>0</v>
          </cell>
          <cell r="S1265">
            <v>0</v>
          </cell>
          <cell r="X1265" t="str">
            <v>IL</v>
          </cell>
        </row>
        <row r="1266">
          <cell r="A1266" t="str">
            <v>400-40-032</v>
          </cell>
          <cell r="P1266">
            <v>556800</v>
          </cell>
          <cell r="R1266">
            <v>0</v>
          </cell>
          <cell r="S1266">
            <v>0</v>
          </cell>
          <cell r="X1266" t="str">
            <v>IL</v>
          </cell>
        </row>
        <row r="1267">
          <cell r="A1267" t="str">
            <v>400-40-032</v>
          </cell>
          <cell r="P1267">
            <v>487200</v>
          </cell>
          <cell r="R1267">
            <v>0</v>
          </cell>
          <cell r="S1267">
            <v>0</v>
          </cell>
          <cell r="X1267" t="str">
            <v>IL</v>
          </cell>
        </row>
        <row r="1268">
          <cell r="A1268" t="str">
            <v>400-40-032</v>
          </cell>
          <cell r="P1268">
            <v>487200</v>
          </cell>
          <cell r="R1268">
            <v>0</v>
          </cell>
          <cell r="S1268">
            <v>0</v>
          </cell>
          <cell r="X1268" t="str">
            <v>IL</v>
          </cell>
        </row>
        <row r="1269">
          <cell r="A1269" t="str">
            <v>400-40-032</v>
          </cell>
          <cell r="P1269">
            <v>0</v>
          </cell>
          <cell r="R1269">
            <v>0</v>
          </cell>
          <cell r="S1269">
            <v>0</v>
          </cell>
          <cell r="X1269" t="str">
            <v>IL</v>
          </cell>
        </row>
        <row r="1270">
          <cell r="A1270" t="str">
            <v>400-40-032</v>
          </cell>
          <cell r="P1270">
            <v>487200</v>
          </cell>
          <cell r="R1270">
            <v>0</v>
          </cell>
          <cell r="S1270">
            <v>0</v>
          </cell>
          <cell r="X1270" t="str">
            <v>IL</v>
          </cell>
        </row>
        <row r="1271">
          <cell r="A1271" t="str">
            <v>400-40-032</v>
          </cell>
          <cell r="P1271">
            <v>556800</v>
          </cell>
          <cell r="R1271">
            <v>0</v>
          </cell>
          <cell r="S1271">
            <v>0</v>
          </cell>
          <cell r="X1271" t="str">
            <v>IL</v>
          </cell>
        </row>
        <row r="1272">
          <cell r="A1272" t="str">
            <v>400-40-032</v>
          </cell>
          <cell r="P1272">
            <v>278400</v>
          </cell>
          <cell r="R1272">
            <v>0</v>
          </cell>
          <cell r="S1272">
            <v>0</v>
          </cell>
          <cell r="X1272" t="str">
            <v>IL</v>
          </cell>
        </row>
        <row r="1273">
          <cell r="A1273" t="str">
            <v>400-40-032</v>
          </cell>
          <cell r="P1273">
            <v>556800</v>
          </cell>
          <cell r="R1273">
            <v>0</v>
          </cell>
          <cell r="S1273">
            <v>0</v>
          </cell>
          <cell r="X1273" t="str">
            <v>IL</v>
          </cell>
        </row>
        <row r="1274">
          <cell r="A1274" t="str">
            <v>400-40-032</v>
          </cell>
          <cell r="P1274">
            <v>556800</v>
          </cell>
          <cell r="R1274">
            <v>0</v>
          </cell>
          <cell r="S1274">
            <v>0</v>
          </cell>
          <cell r="X1274" t="str">
            <v>IL</v>
          </cell>
        </row>
        <row r="1275">
          <cell r="A1275" t="str">
            <v>400-40-032</v>
          </cell>
          <cell r="P1275">
            <v>556800</v>
          </cell>
          <cell r="R1275">
            <v>0</v>
          </cell>
          <cell r="S1275">
            <v>0</v>
          </cell>
          <cell r="X1275" t="str">
            <v>IL</v>
          </cell>
        </row>
        <row r="1276">
          <cell r="A1276" t="str">
            <v>400-40-032</v>
          </cell>
          <cell r="P1276">
            <v>250560</v>
          </cell>
          <cell r="R1276">
            <v>0</v>
          </cell>
          <cell r="S1276">
            <v>0</v>
          </cell>
          <cell r="X1276" t="str">
            <v>IL</v>
          </cell>
        </row>
        <row r="1277">
          <cell r="A1277" t="str">
            <v>400-40-032</v>
          </cell>
          <cell r="P1277">
            <v>0</v>
          </cell>
          <cell r="R1277">
            <v>0</v>
          </cell>
          <cell r="S1277">
            <v>0</v>
          </cell>
          <cell r="X1277" t="str">
            <v>COP</v>
          </cell>
        </row>
        <row r="1278">
          <cell r="A1278" t="str">
            <v>400-40-032</v>
          </cell>
          <cell r="P1278">
            <v>0</v>
          </cell>
          <cell r="R1278">
            <v>0</v>
          </cell>
          <cell r="S1278">
            <v>0</v>
          </cell>
          <cell r="X1278" t="str">
            <v>IL</v>
          </cell>
        </row>
        <row r="1279">
          <cell r="A1279" t="str">
            <v>400-40-033</v>
          </cell>
          <cell r="P1279">
            <v>0</v>
          </cell>
          <cell r="R1279">
            <v>0</v>
          </cell>
          <cell r="S1279">
            <v>0</v>
          </cell>
          <cell r="X1279" t="str">
            <v>IL</v>
          </cell>
        </row>
        <row r="1280">
          <cell r="A1280" t="str">
            <v>400-40-033</v>
          </cell>
          <cell r="P1280">
            <v>1090000</v>
          </cell>
          <cell r="R1280">
            <v>1070068.8</v>
          </cell>
          <cell r="S1280">
            <v>1167694</v>
          </cell>
          <cell r="X1280" t="str">
            <v>IL</v>
          </cell>
        </row>
        <row r="1281">
          <cell r="A1281" t="str">
            <v>400-40-033</v>
          </cell>
          <cell r="P1281">
            <v>3600</v>
          </cell>
          <cell r="R1281">
            <v>0</v>
          </cell>
          <cell r="S1281">
            <v>0</v>
          </cell>
          <cell r="X1281" t="str">
            <v>IL</v>
          </cell>
        </row>
        <row r="1282">
          <cell r="A1282" t="str">
            <v>400-40-033</v>
          </cell>
          <cell r="P1282">
            <v>129996.33333333333</v>
          </cell>
          <cell r="R1282">
            <v>0</v>
          </cell>
          <cell r="S1282">
            <v>0</v>
          </cell>
          <cell r="X1282" t="str">
            <v>IL</v>
          </cell>
        </row>
        <row r="1283">
          <cell r="A1283" t="str">
            <v>400-40-033</v>
          </cell>
          <cell r="P1283">
            <v>2790800</v>
          </cell>
          <cell r="R1283">
            <v>1008156</v>
          </cell>
          <cell r="S1283">
            <v>1521000</v>
          </cell>
          <cell r="X1283" t="str">
            <v>IL</v>
          </cell>
        </row>
        <row r="1284">
          <cell r="A1284" t="str">
            <v>400-40-033</v>
          </cell>
          <cell r="P1284">
            <v>0</v>
          </cell>
          <cell r="R1284">
            <v>0</v>
          </cell>
          <cell r="S1284">
            <v>0</v>
          </cell>
          <cell r="X1284" t="str">
            <v>IL</v>
          </cell>
        </row>
        <row r="1285">
          <cell r="A1285" t="str">
            <v>400-40-033</v>
          </cell>
          <cell r="P1285">
            <v>0</v>
          </cell>
          <cell r="R1285">
            <v>0</v>
          </cell>
          <cell r="S1285">
            <v>0</v>
          </cell>
          <cell r="X1285" t="str">
            <v>IL</v>
          </cell>
        </row>
        <row r="1286">
          <cell r="A1286" t="str">
            <v>400-40-033</v>
          </cell>
          <cell r="P1286">
            <v>0</v>
          </cell>
          <cell r="R1286">
            <v>0</v>
          </cell>
          <cell r="S1286">
            <v>0</v>
          </cell>
          <cell r="X1286" t="str">
            <v>IL</v>
          </cell>
        </row>
        <row r="1287">
          <cell r="A1287" t="str">
            <v>400-40-033</v>
          </cell>
          <cell r="P1287">
            <v>0</v>
          </cell>
          <cell r="R1287">
            <v>0</v>
          </cell>
          <cell r="S1287">
            <v>0</v>
          </cell>
          <cell r="X1287" t="str">
            <v>IL</v>
          </cell>
        </row>
        <row r="1288">
          <cell r="A1288" t="str">
            <v>400-40-033</v>
          </cell>
          <cell r="P1288">
            <v>0</v>
          </cell>
          <cell r="R1288">
            <v>0</v>
          </cell>
          <cell r="S1288">
            <v>0</v>
          </cell>
          <cell r="X1288" t="str">
            <v>IL</v>
          </cell>
        </row>
        <row r="1289">
          <cell r="A1289" t="str">
            <v>400-40-033</v>
          </cell>
          <cell r="P1289">
            <v>0</v>
          </cell>
          <cell r="R1289">
            <v>0</v>
          </cell>
          <cell r="S1289">
            <v>0</v>
          </cell>
          <cell r="X1289" t="str">
            <v>IL</v>
          </cell>
        </row>
        <row r="1290">
          <cell r="A1290" t="str">
            <v>400-40-033</v>
          </cell>
          <cell r="P1290">
            <v>0</v>
          </cell>
          <cell r="R1290">
            <v>0</v>
          </cell>
          <cell r="S1290">
            <v>0</v>
          </cell>
          <cell r="X1290" t="str">
            <v>IL</v>
          </cell>
        </row>
        <row r="1291">
          <cell r="A1291" t="str">
            <v>400-40-033</v>
          </cell>
          <cell r="P1291">
            <v>0</v>
          </cell>
          <cell r="R1291">
            <v>0</v>
          </cell>
          <cell r="S1291">
            <v>0</v>
          </cell>
          <cell r="X1291" t="str">
            <v>IL</v>
          </cell>
        </row>
        <row r="1292">
          <cell r="A1292" t="str">
            <v>400-40-033</v>
          </cell>
          <cell r="P1292">
            <v>0</v>
          </cell>
          <cell r="R1292">
            <v>0</v>
          </cell>
          <cell r="S1292">
            <v>0</v>
          </cell>
          <cell r="X1292" t="str">
            <v>IL</v>
          </cell>
        </row>
        <row r="1293">
          <cell r="A1293" t="str">
            <v>400-40-033</v>
          </cell>
          <cell r="P1293">
            <v>0</v>
          </cell>
          <cell r="R1293">
            <v>0</v>
          </cell>
          <cell r="S1293">
            <v>0</v>
          </cell>
          <cell r="X1293" t="str">
            <v>IL</v>
          </cell>
        </row>
        <row r="1294">
          <cell r="A1294" t="str">
            <v>400-40-033</v>
          </cell>
          <cell r="P1294">
            <v>0</v>
          </cell>
          <cell r="R1294">
            <v>0</v>
          </cell>
          <cell r="S1294">
            <v>0</v>
          </cell>
          <cell r="X1294" t="str">
            <v>IL</v>
          </cell>
        </row>
        <row r="1295">
          <cell r="A1295" t="str">
            <v>400-40-033</v>
          </cell>
          <cell r="P1295">
            <v>0</v>
          </cell>
          <cell r="R1295">
            <v>0</v>
          </cell>
          <cell r="S1295">
            <v>0</v>
          </cell>
          <cell r="X1295" t="str">
            <v>IL</v>
          </cell>
        </row>
        <row r="1296">
          <cell r="A1296" t="str">
            <v>400-40-033</v>
          </cell>
          <cell r="P1296">
            <v>0</v>
          </cell>
          <cell r="R1296">
            <v>0</v>
          </cell>
          <cell r="S1296">
            <v>0</v>
          </cell>
          <cell r="X1296" t="str">
            <v>IL</v>
          </cell>
        </row>
        <row r="1297">
          <cell r="A1297" t="str">
            <v>400-40-033</v>
          </cell>
          <cell r="P1297">
            <v>0</v>
          </cell>
          <cell r="R1297">
            <v>0</v>
          </cell>
          <cell r="S1297">
            <v>0</v>
          </cell>
          <cell r="X1297" t="str">
            <v>IL</v>
          </cell>
        </row>
        <row r="1298">
          <cell r="A1298" t="str">
            <v>400-40-033</v>
          </cell>
          <cell r="P1298">
            <v>0</v>
          </cell>
          <cell r="R1298">
            <v>0</v>
          </cell>
          <cell r="S1298">
            <v>0</v>
          </cell>
          <cell r="X1298" t="str">
            <v>IL</v>
          </cell>
        </row>
        <row r="1299">
          <cell r="A1299" t="str">
            <v>400-40-033</v>
          </cell>
          <cell r="P1299">
            <v>0</v>
          </cell>
          <cell r="R1299">
            <v>0</v>
          </cell>
          <cell r="S1299">
            <v>0</v>
          </cell>
          <cell r="X1299" t="str">
            <v>IL</v>
          </cell>
        </row>
        <row r="1300">
          <cell r="A1300" t="str">
            <v>400-40-033</v>
          </cell>
          <cell r="P1300">
            <v>0</v>
          </cell>
          <cell r="R1300">
            <v>0</v>
          </cell>
          <cell r="S1300">
            <v>0</v>
          </cell>
          <cell r="X1300" t="str">
            <v>IL</v>
          </cell>
        </row>
        <row r="1301">
          <cell r="A1301" t="str">
            <v>400-40-033</v>
          </cell>
          <cell r="P1301">
            <v>0</v>
          </cell>
          <cell r="R1301">
            <v>0</v>
          </cell>
          <cell r="S1301">
            <v>0</v>
          </cell>
          <cell r="X1301" t="str">
            <v>COP</v>
          </cell>
        </row>
        <row r="1302">
          <cell r="A1302" t="str">
            <v>400-40-033</v>
          </cell>
          <cell r="P1302">
            <v>0</v>
          </cell>
          <cell r="R1302">
            <v>0</v>
          </cell>
          <cell r="S1302">
            <v>0</v>
          </cell>
          <cell r="X1302" t="str">
            <v>IL</v>
          </cell>
        </row>
        <row r="1303">
          <cell r="A1303" t="str">
            <v>400-40-035</v>
          </cell>
          <cell r="P1303">
            <v>1843200</v>
          </cell>
          <cell r="R1303">
            <v>1884648</v>
          </cell>
          <cell r="S1303">
            <v>1843200</v>
          </cell>
          <cell r="X1303" t="str">
            <v>IL</v>
          </cell>
        </row>
        <row r="1304">
          <cell r="A1304" t="str">
            <v>400-40-035</v>
          </cell>
          <cell r="P1304">
            <v>0</v>
          </cell>
          <cell r="R1304">
            <v>0</v>
          </cell>
          <cell r="S1304">
            <v>0</v>
          </cell>
          <cell r="X1304" t="str">
            <v>IL</v>
          </cell>
        </row>
        <row r="1305">
          <cell r="A1305" t="str">
            <v>400-40-035</v>
          </cell>
          <cell r="P1305">
            <v>0</v>
          </cell>
          <cell r="R1305">
            <v>0</v>
          </cell>
          <cell r="S1305">
            <v>0</v>
          </cell>
          <cell r="X1305" t="str">
            <v>IL</v>
          </cell>
        </row>
        <row r="1306">
          <cell r="A1306" t="str">
            <v>400-40-035</v>
          </cell>
          <cell r="P1306">
            <v>0</v>
          </cell>
          <cell r="R1306">
            <v>0</v>
          </cell>
          <cell r="S1306">
            <v>0</v>
          </cell>
          <cell r="X1306" t="str">
            <v>IL</v>
          </cell>
        </row>
        <row r="1307">
          <cell r="A1307" t="str">
            <v>400-40-035</v>
          </cell>
          <cell r="P1307">
            <v>0</v>
          </cell>
          <cell r="R1307">
            <v>0</v>
          </cell>
          <cell r="S1307">
            <v>0</v>
          </cell>
          <cell r="X1307" t="str">
            <v>IL</v>
          </cell>
        </row>
        <row r="1308">
          <cell r="A1308" t="str">
            <v>400-40-035</v>
          </cell>
          <cell r="P1308">
            <v>0</v>
          </cell>
          <cell r="R1308">
            <v>0</v>
          </cell>
          <cell r="S1308">
            <v>0</v>
          </cell>
          <cell r="X1308" t="str">
            <v>IL</v>
          </cell>
        </row>
        <row r="1309">
          <cell r="A1309" t="str">
            <v>400-40-035</v>
          </cell>
          <cell r="P1309">
            <v>643200</v>
          </cell>
          <cell r="R1309">
            <v>646800</v>
          </cell>
          <cell r="S1309">
            <v>646800</v>
          </cell>
          <cell r="X1309" t="str">
            <v>IL</v>
          </cell>
        </row>
        <row r="1310">
          <cell r="A1310" t="str">
            <v>400-40-035</v>
          </cell>
          <cell r="P1310">
            <v>0</v>
          </cell>
          <cell r="R1310">
            <v>0</v>
          </cell>
          <cell r="S1310">
            <v>0</v>
          </cell>
          <cell r="X1310" t="str">
            <v>IL</v>
          </cell>
        </row>
        <row r="1311">
          <cell r="A1311" t="str">
            <v>400-40-035</v>
          </cell>
          <cell r="P1311">
            <v>0</v>
          </cell>
          <cell r="R1311">
            <v>0</v>
          </cell>
          <cell r="S1311">
            <v>0</v>
          </cell>
          <cell r="X1311" t="str">
            <v>IL</v>
          </cell>
        </row>
        <row r="1312">
          <cell r="A1312" t="str">
            <v>400-40-035</v>
          </cell>
          <cell r="P1312">
            <v>0</v>
          </cell>
          <cell r="R1312">
            <v>0</v>
          </cell>
          <cell r="S1312">
            <v>0</v>
          </cell>
          <cell r="X1312" t="str">
            <v>IL</v>
          </cell>
        </row>
        <row r="1313">
          <cell r="A1313" t="str">
            <v>400-40-035</v>
          </cell>
          <cell r="P1313">
            <v>0</v>
          </cell>
          <cell r="R1313">
            <v>0</v>
          </cell>
          <cell r="S1313">
            <v>0</v>
          </cell>
          <cell r="X1313" t="str">
            <v>IL</v>
          </cell>
        </row>
        <row r="1314">
          <cell r="A1314" t="str">
            <v>400-40-035</v>
          </cell>
          <cell r="P1314">
            <v>0</v>
          </cell>
          <cell r="R1314">
            <v>0</v>
          </cell>
          <cell r="S1314">
            <v>0</v>
          </cell>
          <cell r="X1314" t="str">
            <v>IL</v>
          </cell>
        </row>
        <row r="1315">
          <cell r="A1315" t="str">
            <v>400-40-035</v>
          </cell>
          <cell r="P1315">
            <v>0</v>
          </cell>
          <cell r="R1315">
            <v>0</v>
          </cell>
          <cell r="S1315">
            <v>0</v>
          </cell>
          <cell r="X1315" t="str">
            <v>IL</v>
          </cell>
        </row>
        <row r="1316">
          <cell r="A1316" t="str">
            <v>400-40-035</v>
          </cell>
          <cell r="P1316">
            <v>0</v>
          </cell>
          <cell r="R1316">
            <v>0</v>
          </cell>
          <cell r="S1316">
            <v>0</v>
          </cell>
          <cell r="X1316" t="str">
            <v>IL</v>
          </cell>
        </row>
        <row r="1317">
          <cell r="A1317" t="str">
            <v>400-40-035</v>
          </cell>
          <cell r="P1317">
            <v>0</v>
          </cell>
          <cell r="R1317">
            <v>516000</v>
          </cell>
          <cell r="S1317">
            <v>516000</v>
          </cell>
          <cell r="X1317" t="str">
            <v>IL</v>
          </cell>
        </row>
        <row r="1318">
          <cell r="A1318" t="str">
            <v>400-40-035</v>
          </cell>
          <cell r="P1318">
            <v>0</v>
          </cell>
          <cell r="R1318">
            <v>0</v>
          </cell>
          <cell r="S1318">
            <v>0</v>
          </cell>
          <cell r="X1318" t="str">
            <v>IL</v>
          </cell>
        </row>
        <row r="1319">
          <cell r="A1319" t="str">
            <v>400-40-035</v>
          </cell>
          <cell r="P1319">
            <v>0</v>
          </cell>
          <cell r="R1319">
            <v>0</v>
          </cell>
          <cell r="S1319">
            <v>0</v>
          </cell>
          <cell r="X1319" t="str">
            <v>IL</v>
          </cell>
        </row>
        <row r="1320">
          <cell r="A1320" t="str">
            <v>400-40-035</v>
          </cell>
          <cell r="P1320">
            <v>0</v>
          </cell>
          <cell r="R1320">
            <v>0</v>
          </cell>
          <cell r="S1320">
            <v>0</v>
          </cell>
          <cell r="X1320" t="str">
            <v>IL</v>
          </cell>
        </row>
        <row r="1321">
          <cell r="A1321" t="str">
            <v>400-40-035</v>
          </cell>
          <cell r="P1321">
            <v>0</v>
          </cell>
          <cell r="R1321">
            <v>0</v>
          </cell>
          <cell r="S1321">
            <v>0</v>
          </cell>
          <cell r="X1321" t="str">
            <v>IL</v>
          </cell>
        </row>
        <row r="1322">
          <cell r="A1322" t="str">
            <v>400-40-035</v>
          </cell>
          <cell r="P1322">
            <v>0</v>
          </cell>
          <cell r="R1322">
            <v>0</v>
          </cell>
          <cell r="S1322">
            <v>0</v>
          </cell>
          <cell r="X1322" t="str">
            <v>IL</v>
          </cell>
        </row>
        <row r="1323">
          <cell r="A1323" t="str">
            <v>400-40-035</v>
          </cell>
          <cell r="P1323">
            <v>0</v>
          </cell>
          <cell r="R1323">
            <v>0</v>
          </cell>
          <cell r="S1323">
            <v>0</v>
          </cell>
          <cell r="X1323" t="str">
            <v>IL</v>
          </cell>
        </row>
        <row r="1324">
          <cell r="A1324" t="str">
            <v>400-40-035</v>
          </cell>
          <cell r="P1324">
            <v>0</v>
          </cell>
          <cell r="R1324">
            <v>0</v>
          </cell>
          <cell r="S1324">
            <v>0</v>
          </cell>
          <cell r="X1324" t="str">
            <v>IL</v>
          </cell>
        </row>
        <row r="1325">
          <cell r="A1325" t="str">
            <v>400-40-035</v>
          </cell>
          <cell r="P1325">
            <v>0</v>
          </cell>
          <cell r="R1325">
            <v>0</v>
          </cell>
          <cell r="S1325">
            <v>0</v>
          </cell>
          <cell r="X1325" t="str">
            <v>COP</v>
          </cell>
        </row>
        <row r="1326">
          <cell r="A1326" t="str">
            <v>400-40-035</v>
          </cell>
          <cell r="P1326">
            <v>0</v>
          </cell>
          <cell r="R1326">
            <v>0</v>
          </cell>
          <cell r="S1326">
            <v>0</v>
          </cell>
          <cell r="X1326" t="str">
            <v>IL</v>
          </cell>
        </row>
        <row r="1327">
          <cell r="A1327" t="str">
            <v>400-40-036</v>
          </cell>
          <cell r="P1327">
            <v>0</v>
          </cell>
          <cell r="R1327">
            <v>0</v>
          </cell>
          <cell r="S1327">
            <v>0</v>
          </cell>
          <cell r="X1327" t="str">
            <v>IL</v>
          </cell>
        </row>
        <row r="1328">
          <cell r="A1328" t="str">
            <v>400-40-036</v>
          </cell>
          <cell r="P1328">
            <v>379800.85</v>
          </cell>
          <cell r="R1328">
            <v>1200000</v>
          </cell>
          <cell r="S1328">
            <v>1200000</v>
          </cell>
          <cell r="X1328" t="str">
            <v>IL</v>
          </cell>
        </row>
        <row r="1329">
          <cell r="A1329" t="str">
            <v>400-40-036</v>
          </cell>
          <cell r="P1329">
            <v>0</v>
          </cell>
          <cell r="R1329">
            <v>0</v>
          </cell>
          <cell r="S1329">
            <v>0</v>
          </cell>
          <cell r="X1329" t="str">
            <v>IL</v>
          </cell>
        </row>
        <row r="1330">
          <cell r="A1330" t="str">
            <v>400-40-036</v>
          </cell>
          <cell r="P1330">
            <v>0</v>
          </cell>
          <cell r="R1330">
            <v>0</v>
          </cell>
          <cell r="S1330">
            <v>0</v>
          </cell>
          <cell r="X1330" t="str">
            <v>IL</v>
          </cell>
        </row>
        <row r="1331">
          <cell r="A1331" t="str">
            <v>400-40-036</v>
          </cell>
          <cell r="P1331">
            <v>0</v>
          </cell>
          <cell r="R1331">
            <v>0</v>
          </cell>
          <cell r="S1331">
            <v>0</v>
          </cell>
          <cell r="X1331" t="str">
            <v>IL</v>
          </cell>
        </row>
        <row r="1332">
          <cell r="A1332" t="str">
            <v>400-40-036</v>
          </cell>
          <cell r="P1332">
            <v>0</v>
          </cell>
          <cell r="R1332">
            <v>0</v>
          </cell>
          <cell r="S1332">
            <v>0</v>
          </cell>
          <cell r="X1332" t="str">
            <v>IL</v>
          </cell>
        </row>
        <row r="1333">
          <cell r="A1333" t="str">
            <v>400-40-036</v>
          </cell>
          <cell r="P1333">
            <v>0</v>
          </cell>
          <cell r="R1333">
            <v>0</v>
          </cell>
          <cell r="S1333">
            <v>0</v>
          </cell>
          <cell r="X1333" t="str">
            <v>IL</v>
          </cell>
        </row>
        <row r="1334">
          <cell r="A1334" t="str">
            <v>400-40-036</v>
          </cell>
          <cell r="P1334">
            <v>0</v>
          </cell>
          <cell r="R1334">
            <v>0</v>
          </cell>
          <cell r="S1334">
            <v>0</v>
          </cell>
          <cell r="X1334" t="str">
            <v>IL</v>
          </cell>
        </row>
        <row r="1335">
          <cell r="A1335" t="str">
            <v>400-40-036</v>
          </cell>
          <cell r="P1335">
            <v>0</v>
          </cell>
          <cell r="R1335">
            <v>0</v>
          </cell>
          <cell r="S1335">
            <v>0</v>
          </cell>
          <cell r="X1335" t="str">
            <v>IL</v>
          </cell>
        </row>
        <row r="1336">
          <cell r="A1336" t="str">
            <v>400-40-036</v>
          </cell>
          <cell r="P1336">
            <v>0</v>
          </cell>
          <cell r="R1336">
            <v>0</v>
          </cell>
          <cell r="S1336">
            <v>0</v>
          </cell>
          <cell r="X1336" t="str">
            <v>IL</v>
          </cell>
        </row>
        <row r="1337">
          <cell r="A1337" t="str">
            <v>400-40-036</v>
          </cell>
          <cell r="P1337">
            <v>0</v>
          </cell>
          <cell r="R1337">
            <v>0</v>
          </cell>
          <cell r="S1337">
            <v>0</v>
          </cell>
          <cell r="X1337" t="str">
            <v>IL</v>
          </cell>
        </row>
        <row r="1338">
          <cell r="A1338" t="str">
            <v>400-40-036</v>
          </cell>
          <cell r="P1338">
            <v>0</v>
          </cell>
          <cell r="R1338">
            <v>0</v>
          </cell>
          <cell r="S1338">
            <v>0</v>
          </cell>
          <cell r="X1338" t="str">
            <v>IL</v>
          </cell>
        </row>
        <row r="1339">
          <cell r="A1339" t="str">
            <v>400-40-036</v>
          </cell>
          <cell r="P1339">
            <v>0</v>
          </cell>
          <cell r="R1339">
            <v>0</v>
          </cell>
          <cell r="S1339">
            <v>0</v>
          </cell>
          <cell r="X1339" t="str">
            <v>IL</v>
          </cell>
        </row>
        <row r="1340">
          <cell r="A1340" t="str">
            <v>400-40-036</v>
          </cell>
          <cell r="P1340">
            <v>0</v>
          </cell>
          <cell r="R1340">
            <v>0</v>
          </cell>
          <cell r="S1340">
            <v>0</v>
          </cell>
          <cell r="X1340" t="str">
            <v>IL</v>
          </cell>
        </row>
        <row r="1341">
          <cell r="A1341" t="str">
            <v>400-40-036</v>
          </cell>
          <cell r="P1341">
            <v>0</v>
          </cell>
          <cell r="R1341">
            <v>0</v>
          </cell>
          <cell r="S1341">
            <v>0</v>
          </cell>
          <cell r="X1341" t="str">
            <v>IL</v>
          </cell>
        </row>
        <row r="1342">
          <cell r="A1342" t="str">
            <v>400-40-036</v>
          </cell>
          <cell r="P1342">
            <v>0</v>
          </cell>
          <cell r="R1342">
            <v>0</v>
          </cell>
          <cell r="S1342">
            <v>0</v>
          </cell>
          <cell r="X1342" t="str">
            <v>IL</v>
          </cell>
        </row>
        <row r="1343">
          <cell r="A1343" t="str">
            <v>400-40-036</v>
          </cell>
          <cell r="P1343">
            <v>0</v>
          </cell>
          <cell r="R1343">
            <v>0</v>
          </cell>
          <cell r="S1343">
            <v>0</v>
          </cell>
          <cell r="X1343" t="str">
            <v>IL</v>
          </cell>
        </row>
        <row r="1344">
          <cell r="A1344" t="str">
            <v>400-40-036</v>
          </cell>
          <cell r="P1344">
            <v>0</v>
          </cell>
          <cell r="R1344">
            <v>0</v>
          </cell>
          <cell r="S1344">
            <v>0</v>
          </cell>
          <cell r="X1344" t="str">
            <v>IL</v>
          </cell>
        </row>
        <row r="1345">
          <cell r="A1345" t="str">
            <v>400-40-036</v>
          </cell>
          <cell r="P1345">
            <v>0</v>
          </cell>
          <cell r="R1345">
            <v>0</v>
          </cell>
          <cell r="S1345">
            <v>0</v>
          </cell>
          <cell r="X1345" t="str">
            <v>IL</v>
          </cell>
        </row>
        <row r="1346">
          <cell r="A1346" t="str">
            <v>400-40-036</v>
          </cell>
          <cell r="P1346">
            <v>0</v>
          </cell>
          <cell r="R1346">
            <v>0</v>
          </cell>
          <cell r="S1346">
            <v>0</v>
          </cell>
          <cell r="X1346" t="str">
            <v>IL</v>
          </cell>
        </row>
        <row r="1347">
          <cell r="A1347" t="str">
            <v>400-40-036</v>
          </cell>
          <cell r="P1347">
            <v>0</v>
          </cell>
          <cell r="R1347">
            <v>0</v>
          </cell>
          <cell r="S1347">
            <v>0</v>
          </cell>
          <cell r="X1347" t="str">
            <v>IL</v>
          </cell>
        </row>
        <row r="1348">
          <cell r="A1348" t="str">
            <v>400-40-036</v>
          </cell>
          <cell r="P1348">
            <v>0</v>
          </cell>
          <cell r="R1348">
            <v>0</v>
          </cell>
          <cell r="S1348">
            <v>0</v>
          </cell>
          <cell r="X1348" t="str">
            <v>IL</v>
          </cell>
        </row>
        <row r="1349">
          <cell r="A1349" t="str">
            <v>400-40-036</v>
          </cell>
          <cell r="P1349">
            <v>0</v>
          </cell>
          <cell r="R1349">
            <v>0</v>
          </cell>
          <cell r="S1349">
            <v>0</v>
          </cell>
          <cell r="X1349" t="str">
            <v>COP</v>
          </cell>
        </row>
        <row r="1350">
          <cell r="A1350" t="str">
            <v>400-40-036</v>
          </cell>
          <cell r="P1350">
            <v>0</v>
          </cell>
          <cell r="R1350">
            <v>0</v>
          </cell>
          <cell r="S1350">
            <v>0</v>
          </cell>
          <cell r="X1350" t="str">
            <v>IL</v>
          </cell>
        </row>
        <row r="1351">
          <cell r="A1351" t="str">
            <v>400-40-040</v>
          </cell>
          <cell r="P1351">
            <v>1110000</v>
          </cell>
          <cell r="R1351">
            <v>0</v>
          </cell>
          <cell r="S1351">
            <v>0</v>
          </cell>
          <cell r="X1351" t="str">
            <v>IL</v>
          </cell>
        </row>
        <row r="1352">
          <cell r="A1352" t="str">
            <v>400-40-040</v>
          </cell>
          <cell r="P1352">
            <v>0</v>
          </cell>
          <cell r="R1352">
            <v>0</v>
          </cell>
          <cell r="S1352">
            <v>0</v>
          </cell>
          <cell r="X1352" t="str">
            <v>IL</v>
          </cell>
        </row>
        <row r="1353">
          <cell r="A1353" t="str">
            <v>400-40-040</v>
          </cell>
          <cell r="P1353">
            <v>0</v>
          </cell>
          <cell r="R1353">
            <v>0</v>
          </cell>
          <cell r="S1353">
            <v>0</v>
          </cell>
          <cell r="X1353" t="str">
            <v>IL</v>
          </cell>
        </row>
        <row r="1354">
          <cell r="A1354" t="str">
            <v>400-40-040</v>
          </cell>
          <cell r="P1354">
            <v>0</v>
          </cell>
          <cell r="R1354">
            <v>0</v>
          </cell>
          <cell r="S1354">
            <v>0</v>
          </cell>
          <cell r="X1354" t="str">
            <v>IL</v>
          </cell>
        </row>
        <row r="1355">
          <cell r="A1355" t="str">
            <v>400-40-040</v>
          </cell>
          <cell r="P1355">
            <v>0</v>
          </cell>
          <cell r="R1355">
            <v>0</v>
          </cell>
          <cell r="S1355">
            <v>0</v>
          </cell>
          <cell r="X1355" t="str">
            <v>IL</v>
          </cell>
        </row>
        <row r="1356">
          <cell r="A1356" t="str">
            <v>400-40-040</v>
          </cell>
          <cell r="P1356">
            <v>0</v>
          </cell>
          <cell r="R1356">
            <v>0</v>
          </cell>
          <cell r="S1356">
            <v>0</v>
          </cell>
          <cell r="X1356" t="str">
            <v>IL</v>
          </cell>
        </row>
        <row r="1357">
          <cell r="A1357" t="str">
            <v>400-40-040</v>
          </cell>
          <cell r="P1357">
            <v>0</v>
          </cell>
          <cell r="R1357">
            <v>0</v>
          </cell>
          <cell r="S1357">
            <v>0</v>
          </cell>
          <cell r="X1357" t="str">
            <v>IL</v>
          </cell>
        </row>
        <row r="1358">
          <cell r="A1358" t="str">
            <v>400-40-040</v>
          </cell>
          <cell r="P1358">
            <v>0</v>
          </cell>
          <cell r="R1358">
            <v>0</v>
          </cell>
          <cell r="S1358">
            <v>0</v>
          </cell>
          <cell r="X1358" t="str">
            <v>IL</v>
          </cell>
        </row>
        <row r="1359">
          <cell r="A1359" t="str">
            <v>400-40-040</v>
          </cell>
          <cell r="P1359">
            <v>0</v>
          </cell>
          <cell r="R1359">
            <v>0</v>
          </cell>
          <cell r="S1359">
            <v>0</v>
          </cell>
          <cell r="X1359" t="str">
            <v>IL</v>
          </cell>
        </row>
        <row r="1360">
          <cell r="A1360" t="str">
            <v>400-40-040</v>
          </cell>
          <cell r="R1360">
            <v>0</v>
          </cell>
          <cell r="S1360">
            <v>0</v>
          </cell>
          <cell r="X1360" t="str">
            <v>IL</v>
          </cell>
        </row>
        <row r="1361">
          <cell r="A1361" t="str">
            <v>400-40-040</v>
          </cell>
          <cell r="R1361">
            <v>0</v>
          </cell>
          <cell r="S1361">
            <v>0</v>
          </cell>
          <cell r="X1361" t="str">
            <v>IL</v>
          </cell>
        </row>
        <row r="1362">
          <cell r="A1362" t="str">
            <v>400-40-040</v>
          </cell>
          <cell r="P1362">
            <v>0</v>
          </cell>
          <cell r="R1362">
            <v>0</v>
          </cell>
          <cell r="S1362">
            <v>0</v>
          </cell>
          <cell r="X1362" t="str">
            <v>IL</v>
          </cell>
        </row>
        <row r="1363">
          <cell r="A1363" t="str">
            <v>400-40-040</v>
          </cell>
          <cell r="P1363">
            <v>60000</v>
          </cell>
          <cell r="R1363">
            <v>0</v>
          </cell>
          <cell r="S1363">
            <v>0</v>
          </cell>
          <cell r="X1363" t="str">
            <v>IL</v>
          </cell>
        </row>
        <row r="1364">
          <cell r="A1364" t="str">
            <v>400-40-040</v>
          </cell>
          <cell r="P1364">
            <v>0</v>
          </cell>
          <cell r="R1364">
            <v>0</v>
          </cell>
          <cell r="S1364">
            <v>0</v>
          </cell>
          <cell r="X1364" t="str">
            <v>IL</v>
          </cell>
        </row>
        <row r="1365">
          <cell r="A1365" t="str">
            <v>400-40-040</v>
          </cell>
          <cell r="P1365">
            <v>228000</v>
          </cell>
          <cell r="R1365">
            <v>0</v>
          </cell>
          <cell r="S1365">
            <v>0</v>
          </cell>
          <cell r="X1365" t="str">
            <v>IL</v>
          </cell>
        </row>
        <row r="1366">
          <cell r="A1366" t="str">
            <v>400-40-040</v>
          </cell>
          <cell r="P1366">
            <v>0</v>
          </cell>
          <cell r="R1366">
            <v>0</v>
          </cell>
          <cell r="S1366">
            <v>0</v>
          </cell>
          <cell r="X1366" t="str">
            <v>IL</v>
          </cell>
        </row>
        <row r="1367">
          <cell r="A1367" t="str">
            <v>400-40-040</v>
          </cell>
          <cell r="P1367">
            <v>0</v>
          </cell>
          <cell r="R1367">
            <v>0</v>
          </cell>
          <cell r="S1367">
            <v>0</v>
          </cell>
          <cell r="X1367" t="str">
            <v>IL</v>
          </cell>
        </row>
        <row r="1368">
          <cell r="A1368" t="str">
            <v>400-40-040</v>
          </cell>
          <cell r="P1368">
            <v>0</v>
          </cell>
          <cell r="R1368">
            <v>0</v>
          </cell>
          <cell r="S1368">
            <v>0</v>
          </cell>
          <cell r="X1368" t="str">
            <v>IL</v>
          </cell>
        </row>
        <row r="1369">
          <cell r="A1369" t="str">
            <v>400-40-040</v>
          </cell>
          <cell r="R1369">
            <v>0</v>
          </cell>
          <cell r="S1369">
            <v>0</v>
          </cell>
          <cell r="X1369" t="str">
            <v>IL</v>
          </cell>
        </row>
        <row r="1370">
          <cell r="A1370" t="str">
            <v>400-40-040</v>
          </cell>
          <cell r="P1370">
            <v>0</v>
          </cell>
          <cell r="R1370">
            <v>0</v>
          </cell>
          <cell r="S1370">
            <v>0</v>
          </cell>
          <cell r="X1370" t="str">
            <v>IL</v>
          </cell>
        </row>
        <row r="1371">
          <cell r="A1371" t="str">
            <v>400-40-040</v>
          </cell>
          <cell r="P1371">
            <v>0</v>
          </cell>
          <cell r="R1371">
            <v>0</v>
          </cell>
          <cell r="S1371">
            <v>0</v>
          </cell>
          <cell r="X1371" t="str">
            <v>IL</v>
          </cell>
        </row>
        <row r="1372">
          <cell r="A1372" t="str">
            <v>400-40-040</v>
          </cell>
          <cell r="P1372">
            <v>0</v>
          </cell>
          <cell r="R1372">
            <v>0</v>
          </cell>
          <cell r="S1372">
            <v>0</v>
          </cell>
          <cell r="X1372" t="str">
            <v>IL</v>
          </cell>
        </row>
        <row r="1373">
          <cell r="A1373" t="str">
            <v>400-40-040</v>
          </cell>
          <cell r="P1373">
            <v>0</v>
          </cell>
          <cell r="R1373">
            <v>0</v>
          </cell>
          <cell r="S1373">
            <v>0</v>
          </cell>
          <cell r="X1373" t="str">
            <v>COP</v>
          </cell>
        </row>
        <row r="1374">
          <cell r="A1374" t="str">
            <v>400-40-040</v>
          </cell>
          <cell r="P1374">
            <v>0</v>
          </cell>
          <cell r="R1374">
            <v>0</v>
          </cell>
          <cell r="S1374">
            <v>0</v>
          </cell>
          <cell r="X1374" t="str">
            <v>IL</v>
          </cell>
        </row>
        <row r="1375">
          <cell r="A1375" t="str">
            <v>400-40-050</v>
          </cell>
          <cell r="R1375">
            <v>0</v>
          </cell>
          <cell r="S1375">
            <v>0</v>
          </cell>
          <cell r="X1375" t="str">
            <v>IL</v>
          </cell>
        </row>
        <row r="1376">
          <cell r="A1376" t="str">
            <v>400-40-050</v>
          </cell>
          <cell r="P1376">
            <v>300000</v>
          </cell>
          <cell r="R1376">
            <v>302500.8</v>
          </cell>
          <cell r="S1376">
            <v>302500</v>
          </cell>
          <cell r="X1376" t="str">
            <v>IL</v>
          </cell>
        </row>
        <row r="1377">
          <cell r="A1377" t="str">
            <v>400-40-050</v>
          </cell>
          <cell r="R1377">
            <v>0</v>
          </cell>
          <cell r="S1377">
            <v>0</v>
          </cell>
          <cell r="X1377" t="str">
            <v>IL</v>
          </cell>
        </row>
        <row r="1378">
          <cell r="A1378" t="str">
            <v>400-40-050</v>
          </cell>
          <cell r="R1378">
            <v>0</v>
          </cell>
          <cell r="S1378">
            <v>0</v>
          </cell>
          <cell r="X1378" t="str">
            <v>IL</v>
          </cell>
        </row>
        <row r="1379">
          <cell r="A1379" t="str">
            <v>400-40-050</v>
          </cell>
          <cell r="R1379">
            <v>0</v>
          </cell>
          <cell r="S1379">
            <v>0</v>
          </cell>
          <cell r="X1379" t="str">
            <v>IL</v>
          </cell>
        </row>
        <row r="1380">
          <cell r="A1380" t="str">
            <v>400-40-050</v>
          </cell>
          <cell r="R1380">
            <v>0</v>
          </cell>
          <cell r="S1380">
            <v>0</v>
          </cell>
          <cell r="X1380" t="str">
            <v>IL</v>
          </cell>
        </row>
        <row r="1381">
          <cell r="A1381" t="str">
            <v>400-40-050</v>
          </cell>
          <cell r="R1381">
            <v>0</v>
          </cell>
          <cell r="S1381">
            <v>0</v>
          </cell>
          <cell r="X1381" t="str">
            <v>IL</v>
          </cell>
        </row>
        <row r="1382">
          <cell r="A1382" t="str">
            <v>400-40-050</v>
          </cell>
          <cell r="R1382">
            <v>0</v>
          </cell>
          <cell r="S1382">
            <v>0</v>
          </cell>
          <cell r="X1382" t="str">
            <v>IL</v>
          </cell>
        </row>
        <row r="1383">
          <cell r="A1383" t="str">
            <v>400-40-050</v>
          </cell>
          <cell r="R1383">
            <v>0</v>
          </cell>
          <cell r="S1383">
            <v>0</v>
          </cell>
          <cell r="X1383" t="str">
            <v>IL</v>
          </cell>
        </row>
        <row r="1384">
          <cell r="A1384" t="str">
            <v>400-40-050</v>
          </cell>
          <cell r="R1384">
            <v>0</v>
          </cell>
          <cell r="S1384">
            <v>0</v>
          </cell>
          <cell r="X1384" t="str">
            <v>IL</v>
          </cell>
        </row>
        <row r="1385">
          <cell r="A1385" t="str">
            <v>400-40-050</v>
          </cell>
          <cell r="R1385">
            <v>0</v>
          </cell>
          <cell r="S1385">
            <v>0</v>
          </cell>
          <cell r="X1385" t="str">
            <v>IL</v>
          </cell>
        </row>
        <row r="1386">
          <cell r="A1386" t="str">
            <v>400-40-050</v>
          </cell>
          <cell r="P1386">
            <v>0</v>
          </cell>
          <cell r="R1386">
            <v>0</v>
          </cell>
          <cell r="S1386">
            <v>0</v>
          </cell>
          <cell r="X1386" t="str">
            <v>IL</v>
          </cell>
        </row>
        <row r="1387">
          <cell r="A1387" t="str">
            <v>400-40-050</v>
          </cell>
          <cell r="R1387">
            <v>0</v>
          </cell>
          <cell r="S1387">
            <v>0</v>
          </cell>
          <cell r="X1387" t="str">
            <v>IL</v>
          </cell>
        </row>
        <row r="1388">
          <cell r="A1388" t="str">
            <v>400-40-050</v>
          </cell>
          <cell r="R1388">
            <v>0</v>
          </cell>
          <cell r="S1388">
            <v>0</v>
          </cell>
          <cell r="X1388" t="str">
            <v>IL</v>
          </cell>
        </row>
        <row r="1389">
          <cell r="A1389" t="str">
            <v>400-40-050</v>
          </cell>
          <cell r="R1389">
            <v>0</v>
          </cell>
          <cell r="S1389">
            <v>0</v>
          </cell>
          <cell r="X1389" t="str">
            <v>IL</v>
          </cell>
        </row>
        <row r="1390">
          <cell r="A1390" t="str">
            <v>400-40-050</v>
          </cell>
          <cell r="R1390">
            <v>0</v>
          </cell>
          <cell r="S1390">
            <v>0</v>
          </cell>
          <cell r="X1390" t="str">
            <v>IL</v>
          </cell>
        </row>
        <row r="1391">
          <cell r="A1391" t="str">
            <v>400-40-050</v>
          </cell>
          <cell r="R1391">
            <v>0</v>
          </cell>
          <cell r="S1391">
            <v>0</v>
          </cell>
          <cell r="X1391" t="str">
            <v>IL</v>
          </cell>
        </row>
        <row r="1392">
          <cell r="A1392" t="str">
            <v>400-40-050</v>
          </cell>
          <cell r="R1392">
            <v>0</v>
          </cell>
          <cell r="S1392">
            <v>0</v>
          </cell>
          <cell r="X1392" t="str">
            <v>IL</v>
          </cell>
        </row>
        <row r="1393">
          <cell r="A1393" t="str">
            <v>400-40-050</v>
          </cell>
          <cell r="R1393">
            <v>0</v>
          </cell>
          <cell r="S1393">
            <v>0</v>
          </cell>
          <cell r="X1393" t="str">
            <v>IL</v>
          </cell>
        </row>
        <row r="1394">
          <cell r="A1394" t="str">
            <v>400-40-050</v>
          </cell>
          <cell r="R1394">
            <v>0</v>
          </cell>
          <cell r="S1394">
            <v>0</v>
          </cell>
          <cell r="X1394" t="str">
            <v>IL</v>
          </cell>
        </row>
        <row r="1395">
          <cell r="A1395" t="str">
            <v>400-40-050</v>
          </cell>
          <cell r="P1395">
            <v>0</v>
          </cell>
          <cell r="R1395">
            <v>0</v>
          </cell>
          <cell r="S1395">
            <v>0</v>
          </cell>
          <cell r="X1395" t="str">
            <v>IL</v>
          </cell>
        </row>
        <row r="1396">
          <cell r="A1396" t="str">
            <v>400-40-050</v>
          </cell>
          <cell r="R1396">
            <v>0</v>
          </cell>
          <cell r="S1396">
            <v>0</v>
          </cell>
          <cell r="X1396" t="str">
            <v>IL</v>
          </cell>
        </row>
        <row r="1397">
          <cell r="A1397" t="str">
            <v>400-40-050</v>
          </cell>
          <cell r="R1397">
            <v>0</v>
          </cell>
          <cell r="S1397">
            <v>0</v>
          </cell>
          <cell r="X1397" t="str">
            <v>COP</v>
          </cell>
        </row>
        <row r="1398">
          <cell r="A1398" t="str">
            <v>400-40-050</v>
          </cell>
          <cell r="R1398">
            <v>0</v>
          </cell>
          <cell r="S1398">
            <v>0</v>
          </cell>
          <cell r="X1398" t="str">
            <v>IL</v>
          </cell>
        </row>
        <row r="1399">
          <cell r="A1399" t="str">
            <v>400-40-060</v>
          </cell>
          <cell r="P1399">
            <v>0</v>
          </cell>
          <cell r="R1399">
            <v>0</v>
          </cell>
          <cell r="S1399">
            <v>0</v>
          </cell>
          <cell r="X1399" t="str">
            <v>IL</v>
          </cell>
        </row>
        <row r="1400">
          <cell r="A1400" t="str">
            <v>400-40-060</v>
          </cell>
          <cell r="P1400">
            <v>0</v>
          </cell>
          <cell r="R1400">
            <v>11501920.800000001</v>
          </cell>
          <cell r="S1400">
            <v>11501921</v>
          </cell>
          <cell r="X1400" t="str">
            <v>IL</v>
          </cell>
        </row>
        <row r="1401">
          <cell r="A1401" t="str">
            <v>400-40-060</v>
          </cell>
          <cell r="R1401">
            <v>0</v>
          </cell>
          <cell r="S1401">
            <v>0</v>
          </cell>
          <cell r="X1401" t="str">
            <v>IL</v>
          </cell>
        </row>
        <row r="1402">
          <cell r="A1402" t="str">
            <v>400-40-060</v>
          </cell>
          <cell r="R1402">
            <v>0</v>
          </cell>
          <cell r="S1402">
            <v>0</v>
          </cell>
          <cell r="X1402" t="str">
            <v>IL</v>
          </cell>
        </row>
        <row r="1403">
          <cell r="A1403" t="str">
            <v>400-40-060</v>
          </cell>
          <cell r="R1403">
            <v>0</v>
          </cell>
          <cell r="S1403">
            <v>0</v>
          </cell>
          <cell r="X1403" t="str">
            <v>IL</v>
          </cell>
        </row>
        <row r="1404">
          <cell r="A1404" t="str">
            <v>400-40-060</v>
          </cell>
          <cell r="R1404">
            <v>0</v>
          </cell>
          <cell r="S1404">
            <v>0</v>
          </cell>
          <cell r="X1404" t="str">
            <v>IL</v>
          </cell>
        </row>
        <row r="1405">
          <cell r="A1405" t="str">
            <v>400-40-060</v>
          </cell>
          <cell r="R1405">
            <v>0</v>
          </cell>
          <cell r="S1405">
            <v>0</v>
          </cell>
          <cell r="X1405" t="str">
            <v>IL</v>
          </cell>
        </row>
        <row r="1406">
          <cell r="A1406" t="str">
            <v>400-40-060</v>
          </cell>
          <cell r="R1406">
            <v>0</v>
          </cell>
          <cell r="S1406">
            <v>0</v>
          </cell>
          <cell r="X1406" t="str">
            <v>IL</v>
          </cell>
        </row>
        <row r="1407">
          <cell r="A1407" t="str">
            <v>400-40-060</v>
          </cell>
          <cell r="R1407">
            <v>0</v>
          </cell>
          <cell r="S1407">
            <v>0</v>
          </cell>
          <cell r="X1407" t="str">
            <v>IL</v>
          </cell>
        </row>
        <row r="1408">
          <cell r="A1408" t="str">
            <v>400-40-060</v>
          </cell>
          <cell r="R1408">
            <v>0</v>
          </cell>
          <cell r="S1408">
            <v>0</v>
          </cell>
          <cell r="X1408" t="str">
            <v>IL</v>
          </cell>
        </row>
        <row r="1409">
          <cell r="A1409" t="str">
            <v>400-40-060</v>
          </cell>
          <cell r="R1409">
            <v>0</v>
          </cell>
          <cell r="S1409">
            <v>0</v>
          </cell>
          <cell r="X1409" t="str">
            <v>IL</v>
          </cell>
        </row>
        <row r="1410">
          <cell r="A1410" t="str">
            <v>400-40-060</v>
          </cell>
          <cell r="R1410">
            <v>0</v>
          </cell>
          <cell r="S1410">
            <v>0</v>
          </cell>
          <cell r="X1410" t="str">
            <v>IL</v>
          </cell>
        </row>
        <row r="1411">
          <cell r="A1411" t="str">
            <v>400-40-060</v>
          </cell>
          <cell r="R1411">
            <v>0</v>
          </cell>
          <cell r="S1411">
            <v>0</v>
          </cell>
          <cell r="X1411" t="str">
            <v>IL</v>
          </cell>
        </row>
        <row r="1412">
          <cell r="A1412" t="str">
            <v>400-40-060</v>
          </cell>
          <cell r="R1412">
            <v>0</v>
          </cell>
          <cell r="S1412">
            <v>0</v>
          </cell>
          <cell r="X1412" t="str">
            <v>IL</v>
          </cell>
        </row>
        <row r="1413">
          <cell r="A1413" t="str">
            <v>400-40-060</v>
          </cell>
          <cell r="R1413">
            <v>0</v>
          </cell>
          <cell r="S1413">
            <v>0</v>
          </cell>
          <cell r="X1413" t="str">
            <v>IL</v>
          </cell>
        </row>
        <row r="1414">
          <cell r="A1414" t="str">
            <v>400-40-060</v>
          </cell>
          <cell r="R1414">
            <v>0</v>
          </cell>
          <cell r="S1414">
            <v>0</v>
          </cell>
          <cell r="X1414" t="str">
            <v>IL</v>
          </cell>
        </row>
        <row r="1415">
          <cell r="A1415" t="str">
            <v>400-40-060</v>
          </cell>
          <cell r="R1415">
            <v>0</v>
          </cell>
          <cell r="S1415">
            <v>0</v>
          </cell>
          <cell r="X1415" t="str">
            <v>IL</v>
          </cell>
        </row>
        <row r="1416">
          <cell r="A1416" t="str">
            <v>400-40-060</v>
          </cell>
          <cell r="R1416">
            <v>0</v>
          </cell>
          <cell r="S1416">
            <v>0</v>
          </cell>
          <cell r="X1416" t="str">
            <v>IL</v>
          </cell>
        </row>
        <row r="1417">
          <cell r="A1417" t="str">
            <v>400-40-060</v>
          </cell>
          <cell r="R1417">
            <v>0</v>
          </cell>
          <cell r="S1417">
            <v>0</v>
          </cell>
          <cell r="X1417" t="str">
            <v>IL</v>
          </cell>
        </row>
        <row r="1418">
          <cell r="A1418" t="str">
            <v>400-40-060</v>
          </cell>
          <cell r="R1418">
            <v>0</v>
          </cell>
          <cell r="S1418">
            <v>0</v>
          </cell>
          <cell r="X1418" t="str">
            <v>IL</v>
          </cell>
        </row>
        <row r="1419">
          <cell r="A1419" t="str">
            <v>400-40-060</v>
          </cell>
          <cell r="R1419">
            <v>0</v>
          </cell>
          <cell r="S1419">
            <v>0</v>
          </cell>
          <cell r="X1419" t="str">
            <v>IL</v>
          </cell>
        </row>
        <row r="1420">
          <cell r="A1420" t="str">
            <v>400-40-060</v>
          </cell>
          <cell r="R1420">
            <v>0</v>
          </cell>
          <cell r="S1420">
            <v>0</v>
          </cell>
          <cell r="X1420" t="str">
            <v>IL</v>
          </cell>
        </row>
        <row r="1421">
          <cell r="A1421" t="str">
            <v>400-40-060</v>
          </cell>
          <cell r="P1421">
            <v>0</v>
          </cell>
          <cell r="R1421">
            <v>3833973.6</v>
          </cell>
          <cell r="S1421">
            <v>3833974</v>
          </cell>
          <cell r="X1421" t="str">
            <v>COP</v>
          </cell>
        </row>
        <row r="1422">
          <cell r="A1422" t="str">
            <v>400-40-060</v>
          </cell>
          <cell r="R1422">
            <v>0</v>
          </cell>
          <cell r="S1422">
            <v>0</v>
          </cell>
          <cell r="X1422" t="str">
            <v>IL</v>
          </cell>
        </row>
        <row r="1423">
          <cell r="A1423" t="str">
            <v>400-40-065</v>
          </cell>
          <cell r="P1423">
            <v>0</v>
          </cell>
          <cell r="R1423">
            <v>0</v>
          </cell>
          <cell r="S1423">
            <v>0</v>
          </cell>
          <cell r="X1423" t="str">
            <v>IL</v>
          </cell>
        </row>
        <row r="1424">
          <cell r="A1424" t="str">
            <v>400-40-065</v>
          </cell>
          <cell r="P1424">
            <v>0</v>
          </cell>
          <cell r="R1424">
            <v>0</v>
          </cell>
          <cell r="S1424">
            <v>0</v>
          </cell>
          <cell r="X1424" t="str">
            <v>IL</v>
          </cell>
        </row>
        <row r="1425">
          <cell r="A1425" t="str">
            <v>400-40-065</v>
          </cell>
          <cell r="R1425">
            <v>0</v>
          </cell>
          <cell r="S1425">
            <v>0</v>
          </cell>
          <cell r="X1425" t="str">
            <v>IL</v>
          </cell>
        </row>
        <row r="1426">
          <cell r="A1426" t="str">
            <v>400-40-065</v>
          </cell>
          <cell r="R1426">
            <v>0</v>
          </cell>
          <cell r="S1426">
            <v>0</v>
          </cell>
          <cell r="X1426" t="str">
            <v>IL</v>
          </cell>
        </row>
        <row r="1427">
          <cell r="A1427" t="str">
            <v>400-40-065</v>
          </cell>
          <cell r="R1427">
            <v>0</v>
          </cell>
          <cell r="S1427">
            <v>0</v>
          </cell>
          <cell r="X1427" t="str">
            <v>IL</v>
          </cell>
        </row>
        <row r="1428">
          <cell r="A1428" t="str">
            <v>400-40-065</v>
          </cell>
          <cell r="R1428">
            <v>0</v>
          </cell>
          <cell r="S1428">
            <v>0</v>
          </cell>
          <cell r="X1428" t="str">
            <v>IL</v>
          </cell>
        </row>
        <row r="1429">
          <cell r="A1429" t="str">
            <v>400-40-065</v>
          </cell>
          <cell r="R1429">
            <v>0</v>
          </cell>
          <cell r="S1429">
            <v>0</v>
          </cell>
          <cell r="X1429" t="str">
            <v>IL</v>
          </cell>
        </row>
        <row r="1430">
          <cell r="A1430" t="str">
            <v>400-40-065</v>
          </cell>
          <cell r="R1430">
            <v>0</v>
          </cell>
          <cell r="S1430">
            <v>0</v>
          </cell>
          <cell r="X1430" t="str">
            <v>IL</v>
          </cell>
        </row>
        <row r="1431">
          <cell r="A1431" t="str">
            <v>400-40-065</v>
          </cell>
          <cell r="R1431">
            <v>0</v>
          </cell>
          <cell r="S1431">
            <v>0</v>
          </cell>
          <cell r="X1431" t="str">
            <v>IL</v>
          </cell>
        </row>
        <row r="1432">
          <cell r="A1432" t="str">
            <v>400-40-065</v>
          </cell>
          <cell r="R1432">
            <v>0</v>
          </cell>
          <cell r="S1432">
            <v>0</v>
          </cell>
          <cell r="X1432" t="str">
            <v>IL</v>
          </cell>
        </row>
        <row r="1433">
          <cell r="A1433" t="str">
            <v>400-40-065</v>
          </cell>
          <cell r="R1433">
            <v>0</v>
          </cell>
          <cell r="S1433">
            <v>0</v>
          </cell>
          <cell r="X1433" t="str">
            <v>IL</v>
          </cell>
        </row>
        <row r="1434">
          <cell r="A1434" t="str">
            <v>400-40-065</v>
          </cell>
          <cell r="R1434">
            <v>0</v>
          </cell>
          <cell r="S1434">
            <v>0</v>
          </cell>
          <cell r="X1434" t="str">
            <v>IL</v>
          </cell>
        </row>
        <row r="1435">
          <cell r="A1435" t="str">
            <v>400-40-065</v>
          </cell>
          <cell r="R1435">
            <v>0</v>
          </cell>
          <cell r="S1435">
            <v>0</v>
          </cell>
          <cell r="X1435" t="str">
            <v>IL</v>
          </cell>
        </row>
        <row r="1436">
          <cell r="A1436" t="str">
            <v>400-40-065</v>
          </cell>
          <cell r="R1436">
            <v>0</v>
          </cell>
          <cell r="S1436">
            <v>0</v>
          </cell>
          <cell r="X1436" t="str">
            <v>IL</v>
          </cell>
        </row>
        <row r="1437">
          <cell r="A1437" t="str">
            <v>400-40-065</v>
          </cell>
          <cell r="R1437">
            <v>0</v>
          </cell>
          <cell r="S1437">
            <v>0</v>
          </cell>
          <cell r="X1437" t="str">
            <v>IL</v>
          </cell>
        </row>
        <row r="1438">
          <cell r="A1438" t="str">
            <v>400-40-065</v>
          </cell>
          <cell r="R1438">
            <v>0</v>
          </cell>
          <cell r="S1438">
            <v>0</v>
          </cell>
          <cell r="X1438" t="str">
            <v>IL</v>
          </cell>
        </row>
        <row r="1439">
          <cell r="A1439" t="str">
            <v>400-40-065</v>
          </cell>
          <cell r="R1439">
            <v>0</v>
          </cell>
          <cell r="S1439">
            <v>0</v>
          </cell>
          <cell r="X1439" t="str">
            <v>IL</v>
          </cell>
        </row>
        <row r="1440">
          <cell r="A1440" t="str">
            <v>400-40-065</v>
          </cell>
          <cell r="R1440">
            <v>0</v>
          </cell>
          <cell r="S1440">
            <v>0</v>
          </cell>
          <cell r="X1440" t="str">
            <v>IL</v>
          </cell>
        </row>
        <row r="1441">
          <cell r="A1441" t="str">
            <v>400-40-065</v>
          </cell>
          <cell r="R1441">
            <v>0</v>
          </cell>
          <cell r="S1441">
            <v>0</v>
          </cell>
          <cell r="X1441" t="str">
            <v>IL</v>
          </cell>
        </row>
        <row r="1442">
          <cell r="A1442" t="str">
            <v>400-40-065</v>
          </cell>
          <cell r="R1442">
            <v>0</v>
          </cell>
          <cell r="S1442">
            <v>0</v>
          </cell>
          <cell r="X1442" t="str">
            <v>IL</v>
          </cell>
        </row>
        <row r="1443">
          <cell r="A1443" t="str">
            <v>400-40-065</v>
          </cell>
          <cell r="R1443">
            <v>0</v>
          </cell>
          <cell r="S1443">
            <v>0</v>
          </cell>
          <cell r="X1443" t="str">
            <v>IL</v>
          </cell>
        </row>
        <row r="1444">
          <cell r="A1444" t="str">
            <v>400-40-065</v>
          </cell>
          <cell r="R1444">
            <v>0</v>
          </cell>
          <cell r="S1444">
            <v>0</v>
          </cell>
          <cell r="X1444" t="str">
            <v>IL</v>
          </cell>
        </row>
        <row r="1445">
          <cell r="A1445" t="str">
            <v>400-40-065</v>
          </cell>
          <cell r="R1445">
            <v>0</v>
          </cell>
          <cell r="S1445">
            <v>0</v>
          </cell>
          <cell r="X1445" t="str">
            <v>IL</v>
          </cell>
        </row>
        <row r="1446">
          <cell r="A1446" t="str">
            <v>400-40-070</v>
          </cell>
          <cell r="P1446">
            <v>0</v>
          </cell>
          <cell r="R1446">
            <v>0</v>
          </cell>
          <cell r="S1446">
            <v>0</v>
          </cell>
          <cell r="X1446" t="str">
            <v>IL</v>
          </cell>
        </row>
        <row r="1447">
          <cell r="A1447" t="str">
            <v>400-40-070</v>
          </cell>
          <cell r="P1447">
            <v>-5136797.6302499995</v>
          </cell>
          <cell r="R1447">
            <v>-5478016.8000000007</v>
          </cell>
          <cell r="S1447">
            <v>-5478016</v>
          </cell>
          <cell r="X1447" t="str">
            <v>IL</v>
          </cell>
        </row>
        <row r="1448">
          <cell r="A1448" t="str">
            <v>400-40-070</v>
          </cell>
          <cell r="R1448">
            <v>0</v>
          </cell>
          <cell r="S1448">
            <v>0</v>
          </cell>
          <cell r="X1448" t="str">
            <v>IL</v>
          </cell>
        </row>
        <row r="1449">
          <cell r="A1449" t="str">
            <v>400-40-070</v>
          </cell>
          <cell r="P1449">
            <v>-1778290.0397208333</v>
          </cell>
          <cell r="R1449">
            <v>-1732425.6</v>
          </cell>
          <cell r="S1449">
            <v>-1595655</v>
          </cell>
          <cell r="X1449" t="str">
            <v>IL</v>
          </cell>
        </row>
        <row r="1450">
          <cell r="A1450" t="str">
            <v>400-40-070</v>
          </cell>
          <cell r="P1450">
            <v>-2548060.9486727272</v>
          </cell>
          <cell r="R1450">
            <v>-1274049.6000000001</v>
          </cell>
          <cell r="S1450">
            <v>-1410821</v>
          </cell>
          <cell r="X1450" t="str">
            <v>IL</v>
          </cell>
        </row>
        <row r="1451">
          <cell r="A1451" t="str">
            <v>400-40-070</v>
          </cell>
          <cell r="R1451">
            <v>0</v>
          </cell>
          <cell r="S1451">
            <v>0</v>
          </cell>
          <cell r="X1451" t="str">
            <v>IL</v>
          </cell>
        </row>
        <row r="1452">
          <cell r="A1452" t="str">
            <v>400-40-070</v>
          </cell>
          <cell r="R1452">
            <v>0</v>
          </cell>
          <cell r="S1452">
            <v>0</v>
          </cell>
          <cell r="X1452" t="str">
            <v>IL</v>
          </cell>
        </row>
        <row r="1453">
          <cell r="A1453" t="str">
            <v>400-40-070</v>
          </cell>
          <cell r="R1453">
            <v>0</v>
          </cell>
          <cell r="S1453">
            <v>0</v>
          </cell>
          <cell r="X1453" t="str">
            <v>IL</v>
          </cell>
        </row>
        <row r="1454">
          <cell r="A1454" t="str">
            <v>400-40-070</v>
          </cell>
          <cell r="R1454">
            <v>0</v>
          </cell>
          <cell r="S1454">
            <v>0</v>
          </cell>
          <cell r="X1454" t="str">
            <v>IL</v>
          </cell>
        </row>
        <row r="1455">
          <cell r="A1455" t="str">
            <v>400-40-070</v>
          </cell>
          <cell r="R1455">
            <v>0</v>
          </cell>
          <cell r="S1455">
            <v>0</v>
          </cell>
          <cell r="X1455" t="str">
            <v>IL</v>
          </cell>
        </row>
        <row r="1456">
          <cell r="A1456" t="str">
            <v>400-40-070</v>
          </cell>
          <cell r="R1456">
            <v>0</v>
          </cell>
          <cell r="S1456">
            <v>0</v>
          </cell>
          <cell r="X1456" t="str">
            <v>IL</v>
          </cell>
        </row>
        <row r="1457">
          <cell r="A1457" t="str">
            <v>400-40-070</v>
          </cell>
          <cell r="R1457">
            <v>0</v>
          </cell>
          <cell r="S1457">
            <v>0</v>
          </cell>
          <cell r="X1457" t="str">
            <v>IL</v>
          </cell>
        </row>
        <row r="1458">
          <cell r="A1458" t="str">
            <v>400-40-070</v>
          </cell>
          <cell r="R1458">
            <v>0</v>
          </cell>
          <cell r="S1458">
            <v>0</v>
          </cell>
          <cell r="X1458" t="str">
            <v>IL</v>
          </cell>
        </row>
        <row r="1459">
          <cell r="A1459" t="str">
            <v>400-40-070</v>
          </cell>
          <cell r="R1459">
            <v>0</v>
          </cell>
          <cell r="S1459">
            <v>0</v>
          </cell>
          <cell r="X1459" t="str">
            <v>IL</v>
          </cell>
        </row>
        <row r="1460">
          <cell r="A1460" t="str">
            <v>400-40-070</v>
          </cell>
          <cell r="R1460">
            <v>0</v>
          </cell>
          <cell r="S1460">
            <v>0</v>
          </cell>
          <cell r="X1460" t="str">
            <v>IL</v>
          </cell>
        </row>
        <row r="1461">
          <cell r="A1461" t="str">
            <v>400-40-070</v>
          </cell>
          <cell r="R1461">
            <v>0</v>
          </cell>
          <cell r="S1461">
            <v>0</v>
          </cell>
          <cell r="X1461" t="str">
            <v>IL</v>
          </cell>
        </row>
        <row r="1462">
          <cell r="A1462" t="str">
            <v>400-40-070</v>
          </cell>
          <cell r="R1462">
            <v>0</v>
          </cell>
          <cell r="S1462">
            <v>0</v>
          </cell>
          <cell r="X1462" t="str">
            <v>IL</v>
          </cell>
        </row>
        <row r="1463">
          <cell r="A1463" t="str">
            <v>400-40-070</v>
          </cell>
          <cell r="R1463">
            <v>0</v>
          </cell>
          <cell r="S1463">
            <v>0</v>
          </cell>
          <cell r="X1463" t="str">
            <v>IL</v>
          </cell>
        </row>
        <row r="1464">
          <cell r="A1464" t="str">
            <v>400-40-070</v>
          </cell>
          <cell r="R1464">
            <v>0</v>
          </cell>
          <cell r="S1464">
            <v>0</v>
          </cell>
          <cell r="X1464" t="str">
            <v>IL</v>
          </cell>
        </row>
        <row r="1465">
          <cell r="A1465" t="str">
            <v>400-40-070</v>
          </cell>
          <cell r="R1465">
            <v>0</v>
          </cell>
          <cell r="S1465">
            <v>0</v>
          </cell>
          <cell r="X1465" t="str">
            <v>IL</v>
          </cell>
        </row>
        <row r="1466">
          <cell r="A1466" t="str">
            <v>400-40-070</v>
          </cell>
          <cell r="R1466">
            <v>0</v>
          </cell>
          <cell r="S1466">
            <v>0</v>
          </cell>
          <cell r="X1466" t="str">
            <v>IL</v>
          </cell>
        </row>
        <row r="1467">
          <cell r="A1467" t="str">
            <v>400-40-070</v>
          </cell>
          <cell r="R1467">
            <v>0</v>
          </cell>
          <cell r="S1467">
            <v>0</v>
          </cell>
          <cell r="X1467" t="str">
            <v>IL</v>
          </cell>
        </row>
        <row r="1468">
          <cell r="A1468" t="str">
            <v>400-40-070</v>
          </cell>
          <cell r="P1468">
            <v>5156729.6302499995</v>
          </cell>
          <cell r="R1468">
            <v>8484492</v>
          </cell>
          <cell r="S1468">
            <v>8484492</v>
          </cell>
          <cell r="X1468" t="str">
            <v>COP</v>
          </cell>
        </row>
        <row r="1469">
          <cell r="A1469" t="str">
            <v>400-40-070</v>
          </cell>
          <cell r="P1469">
            <v>1732090.0397208335</v>
          </cell>
          <cell r="R1469">
            <v>0</v>
          </cell>
          <cell r="X1469" t="str">
            <v>COP</v>
          </cell>
        </row>
        <row r="1470">
          <cell r="A1470" t="str">
            <v>400-40-070</v>
          </cell>
          <cell r="P1470">
            <v>2549212.9486727272</v>
          </cell>
          <cell r="R1470">
            <v>0</v>
          </cell>
          <cell r="X1470" t="str">
            <v>COP</v>
          </cell>
        </row>
        <row r="1471">
          <cell r="A1471" t="str">
            <v>400-40-070</v>
          </cell>
          <cell r="R1471">
            <v>0</v>
          </cell>
          <cell r="S1471">
            <v>0</v>
          </cell>
          <cell r="X1471" t="str">
            <v>IL</v>
          </cell>
        </row>
        <row r="1472">
          <cell r="A1472" t="str">
            <v>400-40-075</v>
          </cell>
          <cell r="P1472">
            <v>0</v>
          </cell>
          <cell r="R1472">
            <v>0</v>
          </cell>
          <cell r="S1472">
            <v>0</v>
          </cell>
          <cell r="X1472" t="str">
            <v>IL</v>
          </cell>
        </row>
        <row r="1473">
          <cell r="A1473" t="str">
            <v>400-40-075</v>
          </cell>
          <cell r="P1473">
            <v>0</v>
          </cell>
          <cell r="R1473">
            <v>0</v>
          </cell>
          <cell r="S1473">
            <v>0</v>
          </cell>
          <cell r="X1473" t="str">
            <v>IL</v>
          </cell>
        </row>
        <row r="1474">
          <cell r="A1474" t="str">
            <v>400-40-075</v>
          </cell>
          <cell r="R1474">
            <v>0</v>
          </cell>
          <cell r="S1474">
            <v>0</v>
          </cell>
          <cell r="X1474" t="str">
            <v>IL</v>
          </cell>
        </row>
        <row r="1475">
          <cell r="A1475" t="str">
            <v>400-40-075</v>
          </cell>
          <cell r="R1475">
            <v>0</v>
          </cell>
          <cell r="S1475">
            <v>0</v>
          </cell>
          <cell r="X1475" t="str">
            <v>IL</v>
          </cell>
        </row>
        <row r="1476">
          <cell r="A1476" t="str">
            <v>400-40-075</v>
          </cell>
          <cell r="R1476">
            <v>0</v>
          </cell>
          <cell r="S1476">
            <v>0</v>
          </cell>
          <cell r="X1476" t="str">
            <v>IL</v>
          </cell>
        </row>
        <row r="1477">
          <cell r="A1477" t="str">
            <v>400-40-075</v>
          </cell>
          <cell r="R1477">
            <v>0</v>
          </cell>
          <cell r="S1477">
            <v>0</v>
          </cell>
          <cell r="X1477" t="str">
            <v>IL</v>
          </cell>
        </row>
        <row r="1478">
          <cell r="A1478" t="str">
            <v>400-40-075</v>
          </cell>
          <cell r="R1478">
            <v>0</v>
          </cell>
          <cell r="S1478">
            <v>0</v>
          </cell>
          <cell r="X1478" t="str">
            <v>IL</v>
          </cell>
        </row>
        <row r="1479">
          <cell r="A1479" t="str">
            <v>400-40-075</v>
          </cell>
          <cell r="R1479">
            <v>0</v>
          </cell>
          <cell r="S1479">
            <v>0</v>
          </cell>
          <cell r="X1479" t="str">
            <v>IL</v>
          </cell>
        </row>
        <row r="1480">
          <cell r="A1480" t="str">
            <v>400-40-075</v>
          </cell>
          <cell r="R1480">
            <v>0</v>
          </cell>
          <cell r="S1480">
            <v>0</v>
          </cell>
          <cell r="X1480" t="str">
            <v>IL</v>
          </cell>
        </row>
        <row r="1481">
          <cell r="A1481" t="str">
            <v>400-40-075</v>
          </cell>
          <cell r="R1481">
            <v>0</v>
          </cell>
          <cell r="S1481">
            <v>0</v>
          </cell>
          <cell r="X1481" t="str">
            <v>IL</v>
          </cell>
        </row>
        <row r="1482">
          <cell r="A1482" t="str">
            <v>400-40-075</v>
          </cell>
          <cell r="R1482">
            <v>0</v>
          </cell>
          <cell r="S1482">
            <v>0</v>
          </cell>
          <cell r="X1482" t="str">
            <v>IL</v>
          </cell>
        </row>
        <row r="1483">
          <cell r="A1483" t="str">
            <v>400-40-075</v>
          </cell>
          <cell r="R1483">
            <v>0</v>
          </cell>
          <cell r="S1483">
            <v>0</v>
          </cell>
          <cell r="X1483" t="str">
            <v>IL</v>
          </cell>
        </row>
        <row r="1484">
          <cell r="A1484" t="str">
            <v>400-40-075</v>
          </cell>
          <cell r="R1484">
            <v>0</v>
          </cell>
          <cell r="S1484">
            <v>0</v>
          </cell>
          <cell r="X1484" t="str">
            <v>IL</v>
          </cell>
        </row>
        <row r="1485">
          <cell r="A1485" t="str">
            <v>400-40-075</v>
          </cell>
          <cell r="R1485">
            <v>0</v>
          </cell>
          <cell r="S1485">
            <v>0</v>
          </cell>
          <cell r="X1485" t="str">
            <v>IL</v>
          </cell>
        </row>
        <row r="1486">
          <cell r="A1486" t="str">
            <v>400-40-075</v>
          </cell>
          <cell r="R1486">
            <v>0</v>
          </cell>
          <cell r="S1486">
            <v>0</v>
          </cell>
          <cell r="X1486" t="str">
            <v>IL</v>
          </cell>
        </row>
        <row r="1487">
          <cell r="A1487" t="str">
            <v>400-40-075</v>
          </cell>
          <cell r="R1487">
            <v>0</v>
          </cell>
          <cell r="S1487">
            <v>0</v>
          </cell>
          <cell r="X1487" t="str">
            <v>IL</v>
          </cell>
        </row>
        <row r="1488">
          <cell r="A1488" t="str">
            <v>400-40-075</v>
          </cell>
          <cell r="R1488">
            <v>0</v>
          </cell>
          <cell r="S1488">
            <v>0</v>
          </cell>
          <cell r="X1488" t="str">
            <v>IL</v>
          </cell>
        </row>
        <row r="1489">
          <cell r="A1489" t="str">
            <v>400-40-075</v>
          </cell>
          <cell r="R1489">
            <v>0</v>
          </cell>
          <cell r="S1489">
            <v>0</v>
          </cell>
          <cell r="X1489" t="str">
            <v>IL</v>
          </cell>
        </row>
        <row r="1490">
          <cell r="A1490" t="str">
            <v>400-40-075</v>
          </cell>
          <cell r="R1490">
            <v>0</v>
          </cell>
          <cell r="S1490">
            <v>0</v>
          </cell>
          <cell r="X1490" t="str">
            <v>IL</v>
          </cell>
        </row>
        <row r="1491">
          <cell r="A1491" t="str">
            <v>400-40-075</v>
          </cell>
          <cell r="R1491">
            <v>0</v>
          </cell>
          <cell r="S1491">
            <v>0</v>
          </cell>
          <cell r="X1491" t="str">
            <v>IL</v>
          </cell>
        </row>
        <row r="1492">
          <cell r="A1492" t="str">
            <v>400-40-075</v>
          </cell>
          <cell r="R1492">
            <v>0</v>
          </cell>
          <cell r="S1492">
            <v>0</v>
          </cell>
          <cell r="X1492" t="str">
            <v>IL</v>
          </cell>
        </row>
        <row r="1493">
          <cell r="A1493" t="str">
            <v>400-40-075</v>
          </cell>
          <cell r="R1493">
            <v>0</v>
          </cell>
          <cell r="S1493">
            <v>0</v>
          </cell>
          <cell r="X1493" t="str">
            <v>IL</v>
          </cell>
        </row>
        <row r="1494">
          <cell r="A1494" t="str">
            <v>400-40-075</v>
          </cell>
          <cell r="R1494">
            <v>0</v>
          </cell>
          <cell r="S1494">
            <v>0</v>
          </cell>
          <cell r="X1494" t="str">
            <v>IL</v>
          </cell>
        </row>
        <row r="1495">
          <cell r="A1495" t="str">
            <v>400-40-080</v>
          </cell>
          <cell r="P1495">
            <v>-9408470.8357894551</v>
          </cell>
          <cell r="R1495">
            <v>-8146965.6000000006</v>
          </cell>
          <cell r="S1495">
            <v>-8146965</v>
          </cell>
          <cell r="X1495" t="str">
            <v>IL</v>
          </cell>
        </row>
        <row r="1496">
          <cell r="A1496" t="str">
            <v>400-40-080</v>
          </cell>
          <cell r="R1496">
            <v>0</v>
          </cell>
          <cell r="S1496">
            <v>0</v>
          </cell>
          <cell r="X1496" t="str">
            <v>IL</v>
          </cell>
        </row>
        <row r="1497">
          <cell r="A1497" t="str">
            <v>400-40-080</v>
          </cell>
          <cell r="R1497">
            <v>0</v>
          </cell>
          <cell r="S1497">
            <v>0</v>
          </cell>
          <cell r="X1497" t="str">
            <v>IL</v>
          </cell>
        </row>
        <row r="1498">
          <cell r="A1498" t="str">
            <v>400-40-080</v>
          </cell>
          <cell r="R1498">
            <v>0</v>
          </cell>
          <cell r="S1498">
            <v>0</v>
          </cell>
          <cell r="X1498" t="str">
            <v>IL</v>
          </cell>
        </row>
        <row r="1499">
          <cell r="A1499" t="str">
            <v>400-40-080</v>
          </cell>
          <cell r="R1499">
            <v>0</v>
          </cell>
          <cell r="S1499">
            <v>0</v>
          </cell>
          <cell r="X1499" t="str">
            <v>IL</v>
          </cell>
        </row>
        <row r="1500">
          <cell r="A1500" t="str">
            <v>400-40-080</v>
          </cell>
          <cell r="R1500">
            <v>0</v>
          </cell>
          <cell r="S1500">
            <v>0</v>
          </cell>
          <cell r="X1500" t="str">
            <v>IL</v>
          </cell>
        </row>
        <row r="1501">
          <cell r="A1501" t="str">
            <v>400-40-080</v>
          </cell>
          <cell r="R1501">
            <v>0</v>
          </cell>
          <cell r="S1501">
            <v>0</v>
          </cell>
          <cell r="X1501" t="str">
            <v>IL</v>
          </cell>
        </row>
        <row r="1502">
          <cell r="A1502" t="str">
            <v>400-40-080</v>
          </cell>
          <cell r="R1502">
            <v>0</v>
          </cell>
          <cell r="S1502">
            <v>0</v>
          </cell>
          <cell r="X1502" t="str">
            <v>IL</v>
          </cell>
        </row>
        <row r="1503">
          <cell r="A1503" t="str">
            <v>400-40-080</v>
          </cell>
          <cell r="R1503">
            <v>0</v>
          </cell>
          <cell r="S1503">
            <v>0</v>
          </cell>
          <cell r="X1503" t="str">
            <v>IL</v>
          </cell>
        </row>
        <row r="1504">
          <cell r="A1504" t="str">
            <v>400-40-080</v>
          </cell>
          <cell r="R1504">
            <v>0</v>
          </cell>
          <cell r="S1504">
            <v>0</v>
          </cell>
          <cell r="X1504" t="str">
            <v>IL</v>
          </cell>
        </row>
        <row r="1505">
          <cell r="A1505" t="str">
            <v>400-40-080</v>
          </cell>
          <cell r="R1505">
            <v>0</v>
          </cell>
          <cell r="S1505">
            <v>0</v>
          </cell>
          <cell r="X1505" t="str">
            <v>IL</v>
          </cell>
        </row>
        <row r="1506">
          <cell r="A1506" t="str">
            <v>400-40-080</v>
          </cell>
          <cell r="R1506">
            <v>0</v>
          </cell>
          <cell r="S1506">
            <v>0</v>
          </cell>
          <cell r="X1506" t="str">
            <v>IL</v>
          </cell>
        </row>
        <row r="1507">
          <cell r="A1507" t="str">
            <v>400-40-080</v>
          </cell>
          <cell r="R1507">
            <v>0</v>
          </cell>
          <cell r="S1507">
            <v>0</v>
          </cell>
          <cell r="X1507" t="str">
            <v>IL</v>
          </cell>
        </row>
        <row r="1508">
          <cell r="A1508" t="str">
            <v>400-40-080</v>
          </cell>
          <cell r="R1508">
            <v>0</v>
          </cell>
          <cell r="S1508">
            <v>0</v>
          </cell>
          <cell r="X1508" t="str">
            <v>IL</v>
          </cell>
        </row>
        <row r="1509">
          <cell r="A1509" t="str">
            <v>400-40-080</v>
          </cell>
          <cell r="R1509">
            <v>0</v>
          </cell>
          <cell r="S1509">
            <v>0</v>
          </cell>
          <cell r="X1509" t="str">
            <v>IL</v>
          </cell>
        </row>
        <row r="1510">
          <cell r="A1510" t="str">
            <v>400-40-080</v>
          </cell>
          <cell r="R1510">
            <v>0</v>
          </cell>
          <cell r="S1510">
            <v>0</v>
          </cell>
          <cell r="X1510" t="str">
            <v>IL</v>
          </cell>
        </row>
        <row r="1511">
          <cell r="A1511" t="str">
            <v>400-40-080</v>
          </cell>
          <cell r="R1511">
            <v>0</v>
          </cell>
          <cell r="S1511">
            <v>0</v>
          </cell>
          <cell r="X1511" t="str">
            <v>IL</v>
          </cell>
        </row>
        <row r="1512">
          <cell r="A1512" t="str">
            <v>400-40-080</v>
          </cell>
          <cell r="R1512">
            <v>0</v>
          </cell>
          <cell r="S1512">
            <v>0</v>
          </cell>
          <cell r="X1512" t="str">
            <v>IL</v>
          </cell>
        </row>
        <row r="1513">
          <cell r="A1513" t="str">
            <v>400-40-080</v>
          </cell>
          <cell r="R1513">
            <v>0</v>
          </cell>
          <cell r="S1513">
            <v>0</v>
          </cell>
          <cell r="X1513" t="str">
            <v>IL</v>
          </cell>
        </row>
        <row r="1514">
          <cell r="A1514" t="str">
            <v>400-40-080</v>
          </cell>
          <cell r="R1514">
            <v>0</v>
          </cell>
          <cell r="S1514">
            <v>0</v>
          </cell>
          <cell r="X1514" t="str">
            <v>IL</v>
          </cell>
        </row>
        <row r="1515">
          <cell r="A1515" t="str">
            <v>400-40-080</v>
          </cell>
          <cell r="R1515">
            <v>0</v>
          </cell>
          <cell r="S1515">
            <v>0</v>
          </cell>
          <cell r="X1515" t="str">
            <v>IL</v>
          </cell>
        </row>
        <row r="1516">
          <cell r="A1516" t="str">
            <v>400-40-080</v>
          </cell>
          <cell r="P1516">
            <v>9626354.8357894551</v>
          </cell>
          <cell r="R1516">
            <v>8146965.6000000006</v>
          </cell>
          <cell r="S1516">
            <v>8146965</v>
          </cell>
          <cell r="X1516" t="str">
            <v>COP</v>
          </cell>
        </row>
        <row r="1517">
          <cell r="A1517" t="str">
            <v>400-40-080</v>
          </cell>
          <cell r="R1517">
            <v>0</v>
          </cell>
          <cell r="S1517">
            <v>0</v>
          </cell>
          <cell r="X1517" t="str">
            <v>IL</v>
          </cell>
        </row>
        <row r="1518">
          <cell r="A1518" t="str">
            <v>400-40-090</v>
          </cell>
          <cell r="P1518">
            <v>-2352117.7089473638</v>
          </cell>
          <cell r="R1518">
            <v>-2036740.8</v>
          </cell>
          <cell r="S1518">
            <v>-2036741</v>
          </cell>
          <cell r="X1518" t="str">
            <v>IL</v>
          </cell>
        </row>
        <row r="1519">
          <cell r="A1519" t="str">
            <v>400-40-090</v>
          </cell>
          <cell r="P1519">
            <v>-5136797.6302499995</v>
          </cell>
          <cell r="R1519">
            <v>-5478016.8000000007</v>
          </cell>
          <cell r="S1519">
            <v>-5478016</v>
          </cell>
          <cell r="X1519" t="str">
            <v>IL</v>
          </cell>
        </row>
        <row r="1520">
          <cell r="A1520" t="str">
            <v>400-40-090</v>
          </cell>
          <cell r="R1520">
            <v>0</v>
          </cell>
          <cell r="S1520">
            <v>0</v>
          </cell>
          <cell r="X1520" t="str">
            <v>IL</v>
          </cell>
        </row>
        <row r="1521">
          <cell r="A1521" t="str">
            <v>400-40-090</v>
          </cell>
          <cell r="R1521">
            <v>0</v>
          </cell>
          <cell r="S1521">
            <v>0</v>
          </cell>
          <cell r="X1521" t="str">
            <v>IL</v>
          </cell>
        </row>
        <row r="1522">
          <cell r="A1522" t="str">
            <v>400-40-090</v>
          </cell>
          <cell r="P1522">
            <v>-1592538.0929204547</v>
          </cell>
          <cell r="R1522">
            <v>0</v>
          </cell>
          <cell r="S1522">
            <v>0</v>
          </cell>
          <cell r="X1522" t="str">
            <v>IL</v>
          </cell>
        </row>
        <row r="1523">
          <cell r="A1523" t="str">
            <v>400-40-090</v>
          </cell>
          <cell r="R1523">
            <v>0</v>
          </cell>
          <cell r="S1523">
            <v>0</v>
          </cell>
          <cell r="X1523" t="str">
            <v>IL</v>
          </cell>
        </row>
        <row r="1524">
          <cell r="A1524" t="str">
            <v>400-40-090</v>
          </cell>
          <cell r="R1524">
            <v>0</v>
          </cell>
          <cell r="S1524">
            <v>0</v>
          </cell>
          <cell r="X1524" t="str">
            <v>IL</v>
          </cell>
        </row>
        <row r="1525">
          <cell r="A1525" t="str">
            <v>400-40-090</v>
          </cell>
          <cell r="R1525">
            <v>0</v>
          </cell>
          <cell r="S1525">
            <v>0</v>
          </cell>
          <cell r="X1525" t="str">
            <v>IL</v>
          </cell>
        </row>
        <row r="1526">
          <cell r="A1526" t="str">
            <v>400-40-090</v>
          </cell>
          <cell r="R1526">
            <v>0</v>
          </cell>
          <cell r="S1526">
            <v>0</v>
          </cell>
          <cell r="X1526" t="str">
            <v>IL</v>
          </cell>
        </row>
        <row r="1527">
          <cell r="A1527" t="str">
            <v>400-40-090</v>
          </cell>
          <cell r="R1527">
            <v>0</v>
          </cell>
          <cell r="S1527">
            <v>0</v>
          </cell>
          <cell r="X1527" t="str">
            <v>IL</v>
          </cell>
        </row>
        <row r="1528">
          <cell r="A1528" t="str">
            <v>400-40-090</v>
          </cell>
          <cell r="R1528">
            <v>0</v>
          </cell>
          <cell r="S1528">
            <v>0</v>
          </cell>
          <cell r="X1528" t="str">
            <v>IL</v>
          </cell>
        </row>
        <row r="1529">
          <cell r="A1529" t="str">
            <v>400-40-090</v>
          </cell>
          <cell r="R1529">
            <v>0</v>
          </cell>
          <cell r="S1529">
            <v>0</v>
          </cell>
          <cell r="X1529" t="str">
            <v>IL</v>
          </cell>
        </row>
        <row r="1530">
          <cell r="A1530" t="str">
            <v>400-40-090</v>
          </cell>
          <cell r="R1530">
            <v>0</v>
          </cell>
          <cell r="S1530">
            <v>0</v>
          </cell>
          <cell r="X1530" t="str">
            <v>IL</v>
          </cell>
        </row>
        <row r="1531">
          <cell r="A1531" t="str">
            <v>400-40-090</v>
          </cell>
          <cell r="R1531">
            <v>0</v>
          </cell>
          <cell r="S1531">
            <v>0</v>
          </cell>
          <cell r="X1531" t="str">
            <v>IL</v>
          </cell>
        </row>
        <row r="1532">
          <cell r="A1532" t="str">
            <v>400-40-090</v>
          </cell>
          <cell r="R1532">
            <v>0</v>
          </cell>
          <cell r="S1532">
            <v>0</v>
          </cell>
          <cell r="X1532" t="str">
            <v>IL</v>
          </cell>
        </row>
        <row r="1533">
          <cell r="A1533" t="str">
            <v>400-40-090</v>
          </cell>
          <cell r="R1533">
            <v>0</v>
          </cell>
          <cell r="S1533">
            <v>0</v>
          </cell>
          <cell r="X1533" t="str">
            <v>IL</v>
          </cell>
        </row>
        <row r="1534">
          <cell r="A1534" t="str">
            <v>400-40-090</v>
          </cell>
          <cell r="R1534">
            <v>0</v>
          </cell>
          <cell r="S1534">
            <v>0</v>
          </cell>
          <cell r="X1534" t="str">
            <v>IL</v>
          </cell>
        </row>
        <row r="1535">
          <cell r="A1535" t="str">
            <v>400-40-090</v>
          </cell>
          <cell r="R1535">
            <v>0</v>
          </cell>
          <cell r="S1535">
            <v>0</v>
          </cell>
          <cell r="X1535" t="str">
            <v>IL</v>
          </cell>
        </row>
        <row r="1536">
          <cell r="A1536" t="str">
            <v>400-40-090</v>
          </cell>
          <cell r="R1536">
            <v>0</v>
          </cell>
          <cell r="S1536">
            <v>0</v>
          </cell>
          <cell r="X1536" t="str">
            <v>IL</v>
          </cell>
        </row>
        <row r="1537">
          <cell r="A1537" t="str">
            <v>400-40-090</v>
          </cell>
          <cell r="R1537">
            <v>0</v>
          </cell>
          <cell r="S1537">
            <v>0</v>
          </cell>
          <cell r="X1537" t="str">
            <v>IL</v>
          </cell>
        </row>
        <row r="1538">
          <cell r="A1538" t="str">
            <v>400-40-090</v>
          </cell>
          <cell r="R1538">
            <v>0</v>
          </cell>
          <cell r="S1538">
            <v>0</v>
          </cell>
          <cell r="X1538" t="str">
            <v>IL</v>
          </cell>
        </row>
        <row r="1539">
          <cell r="A1539" t="str">
            <v>400-40-090</v>
          </cell>
          <cell r="R1539">
            <v>0</v>
          </cell>
          <cell r="S1539">
            <v>0</v>
          </cell>
          <cell r="X1539" t="str">
            <v>IL</v>
          </cell>
        </row>
        <row r="1540">
          <cell r="A1540" t="str">
            <v>400-40-090</v>
          </cell>
          <cell r="R1540">
            <v>0</v>
          </cell>
          <cell r="S1540">
            <v>0</v>
          </cell>
          <cell r="X1540" t="str">
            <v>IL</v>
          </cell>
        </row>
        <row r="1541">
          <cell r="A1541" t="str">
            <v>400-40-090</v>
          </cell>
          <cell r="R1541">
            <v>0</v>
          </cell>
          <cell r="S1541">
            <v>0</v>
          </cell>
          <cell r="X1541" t="str">
            <v>COP</v>
          </cell>
        </row>
        <row r="1542">
          <cell r="A1542" t="str">
            <v>400-40-090</v>
          </cell>
          <cell r="R1542">
            <v>0</v>
          </cell>
          <cell r="S1542">
            <v>0</v>
          </cell>
          <cell r="X1542" t="str">
            <v>IL</v>
          </cell>
        </row>
        <row r="1543">
          <cell r="A1543" t="str">
            <v>400-40-100</v>
          </cell>
          <cell r="P1543">
            <v>0</v>
          </cell>
          <cell r="R1543">
            <v>0</v>
          </cell>
          <cell r="S1543">
            <v>0</v>
          </cell>
          <cell r="X1543" t="str">
            <v>IL</v>
          </cell>
        </row>
        <row r="1544">
          <cell r="A1544" t="str">
            <v>400-40-100</v>
          </cell>
          <cell r="P1544">
            <v>2184000</v>
          </cell>
          <cell r="R1544">
            <v>1238400</v>
          </cell>
          <cell r="S1544">
            <v>0</v>
          </cell>
          <cell r="X1544" t="str">
            <v>IL</v>
          </cell>
        </row>
        <row r="1545">
          <cell r="A1545" t="str">
            <v>400-40-100</v>
          </cell>
          <cell r="R1545">
            <v>0</v>
          </cell>
          <cell r="S1545">
            <v>0</v>
          </cell>
          <cell r="X1545" t="str">
            <v>IL</v>
          </cell>
        </row>
        <row r="1546">
          <cell r="A1546" t="str">
            <v>400-40-100</v>
          </cell>
          <cell r="P1546">
            <v>0</v>
          </cell>
          <cell r="R1546">
            <v>0</v>
          </cell>
          <cell r="S1546">
            <v>0</v>
          </cell>
          <cell r="X1546" t="str">
            <v>IL</v>
          </cell>
        </row>
        <row r="1547">
          <cell r="A1547" t="str">
            <v>400-40-100</v>
          </cell>
          <cell r="P1547">
            <v>0</v>
          </cell>
          <cell r="R1547">
            <v>0</v>
          </cell>
          <cell r="S1547">
            <v>0</v>
          </cell>
          <cell r="X1547" t="str">
            <v>IL</v>
          </cell>
        </row>
        <row r="1548">
          <cell r="A1548" t="str">
            <v>400-40-100</v>
          </cell>
          <cell r="P1548">
            <v>0</v>
          </cell>
          <cell r="R1548">
            <v>0</v>
          </cell>
          <cell r="S1548">
            <v>0</v>
          </cell>
          <cell r="X1548" t="str">
            <v>IL</v>
          </cell>
        </row>
        <row r="1549">
          <cell r="A1549" t="str">
            <v>400-40-100</v>
          </cell>
          <cell r="R1549">
            <v>0</v>
          </cell>
          <cell r="S1549">
            <v>0</v>
          </cell>
          <cell r="X1549" t="str">
            <v>IL</v>
          </cell>
        </row>
        <row r="1550">
          <cell r="A1550" t="str">
            <v>400-40-100</v>
          </cell>
          <cell r="R1550">
            <v>0</v>
          </cell>
          <cell r="S1550">
            <v>0</v>
          </cell>
          <cell r="X1550" t="str">
            <v>IL</v>
          </cell>
        </row>
        <row r="1551">
          <cell r="A1551" t="str">
            <v>400-40-100</v>
          </cell>
          <cell r="R1551">
            <v>0</v>
          </cell>
          <cell r="S1551">
            <v>0</v>
          </cell>
          <cell r="X1551" t="str">
            <v>IL</v>
          </cell>
        </row>
        <row r="1552">
          <cell r="A1552" t="str">
            <v>400-40-100</v>
          </cell>
          <cell r="P1552">
            <v>0</v>
          </cell>
          <cell r="R1552">
            <v>0</v>
          </cell>
          <cell r="S1552">
            <v>0</v>
          </cell>
          <cell r="X1552" t="str">
            <v>IL</v>
          </cell>
        </row>
        <row r="1553">
          <cell r="A1553" t="str">
            <v>400-40-100</v>
          </cell>
          <cell r="R1553">
            <v>0</v>
          </cell>
          <cell r="S1553">
            <v>0</v>
          </cell>
          <cell r="X1553" t="str">
            <v>IL</v>
          </cell>
        </row>
        <row r="1554">
          <cell r="A1554" t="str">
            <v>400-40-100</v>
          </cell>
          <cell r="P1554">
            <v>0</v>
          </cell>
          <cell r="R1554">
            <v>0</v>
          </cell>
          <cell r="S1554">
            <v>0</v>
          </cell>
          <cell r="X1554" t="str">
            <v>IL</v>
          </cell>
        </row>
        <row r="1555">
          <cell r="A1555" t="str">
            <v>400-40-100</v>
          </cell>
          <cell r="R1555">
            <v>0</v>
          </cell>
          <cell r="S1555">
            <v>0</v>
          </cell>
          <cell r="X1555" t="str">
            <v>IL</v>
          </cell>
        </row>
        <row r="1556">
          <cell r="A1556" t="str">
            <v>400-40-100</v>
          </cell>
          <cell r="R1556">
            <v>0</v>
          </cell>
          <cell r="S1556">
            <v>0</v>
          </cell>
          <cell r="X1556" t="str">
            <v>IL</v>
          </cell>
        </row>
        <row r="1557">
          <cell r="A1557" t="str">
            <v>400-40-100</v>
          </cell>
          <cell r="R1557">
            <v>0</v>
          </cell>
          <cell r="S1557">
            <v>0</v>
          </cell>
          <cell r="X1557" t="str">
            <v>IL</v>
          </cell>
        </row>
        <row r="1558">
          <cell r="A1558" t="str">
            <v>400-40-100</v>
          </cell>
          <cell r="R1558">
            <v>0</v>
          </cell>
          <cell r="S1558">
            <v>0</v>
          </cell>
          <cell r="X1558" t="str">
            <v>IL</v>
          </cell>
        </row>
        <row r="1559">
          <cell r="A1559" t="str">
            <v>400-40-100</v>
          </cell>
          <cell r="R1559">
            <v>0</v>
          </cell>
          <cell r="S1559">
            <v>0</v>
          </cell>
          <cell r="X1559" t="str">
            <v>IL</v>
          </cell>
        </row>
        <row r="1560">
          <cell r="A1560" t="str">
            <v>400-40-100</v>
          </cell>
          <cell r="R1560">
            <v>0</v>
          </cell>
          <cell r="S1560">
            <v>0</v>
          </cell>
          <cell r="X1560" t="str">
            <v>IL</v>
          </cell>
        </row>
        <row r="1561">
          <cell r="A1561" t="str">
            <v>400-40-100</v>
          </cell>
          <cell r="R1561">
            <v>0</v>
          </cell>
          <cell r="S1561">
            <v>0</v>
          </cell>
          <cell r="X1561" t="str">
            <v>IL</v>
          </cell>
        </row>
        <row r="1562">
          <cell r="A1562" t="str">
            <v>400-40-100</v>
          </cell>
          <cell r="P1562">
            <v>0</v>
          </cell>
          <cell r="R1562">
            <v>0</v>
          </cell>
          <cell r="S1562">
            <v>0</v>
          </cell>
          <cell r="X1562" t="str">
            <v>IL</v>
          </cell>
        </row>
        <row r="1563">
          <cell r="A1563" t="str">
            <v>400-40-100</v>
          </cell>
          <cell r="P1563">
            <v>0</v>
          </cell>
          <cell r="R1563">
            <v>0</v>
          </cell>
          <cell r="S1563">
            <v>0</v>
          </cell>
          <cell r="X1563" t="str">
            <v>IL</v>
          </cell>
        </row>
        <row r="1564">
          <cell r="A1564" t="str">
            <v>400-40-100</v>
          </cell>
          <cell r="P1564">
            <v>0</v>
          </cell>
          <cell r="R1564">
            <v>0</v>
          </cell>
          <cell r="S1564">
            <v>0</v>
          </cell>
          <cell r="X1564" t="str">
            <v>IL</v>
          </cell>
        </row>
        <row r="1565">
          <cell r="A1565" t="str">
            <v>400-40-100</v>
          </cell>
          <cell r="P1565">
            <v>0</v>
          </cell>
          <cell r="R1565">
            <v>0</v>
          </cell>
          <cell r="S1565">
            <v>0</v>
          </cell>
          <cell r="X1565" t="str">
            <v>COP</v>
          </cell>
        </row>
        <row r="1566">
          <cell r="A1566" t="str">
            <v>400-40-100</v>
          </cell>
          <cell r="P1566">
            <v>0</v>
          </cell>
          <cell r="R1566">
            <v>0</v>
          </cell>
          <cell r="S1566">
            <v>0</v>
          </cell>
          <cell r="X1566" t="str">
            <v>IL</v>
          </cell>
        </row>
        <row r="1567">
          <cell r="A1567" t="str">
            <v>400-40-110</v>
          </cell>
          <cell r="P1567">
            <v>0</v>
          </cell>
          <cell r="R1567">
            <v>0</v>
          </cell>
          <cell r="S1567">
            <v>0</v>
          </cell>
          <cell r="X1567" t="str">
            <v>IL</v>
          </cell>
        </row>
        <row r="1568">
          <cell r="A1568" t="str">
            <v>400-40-110</v>
          </cell>
          <cell r="P1568">
            <v>0</v>
          </cell>
          <cell r="R1568">
            <v>0</v>
          </cell>
          <cell r="S1568">
            <v>0</v>
          </cell>
          <cell r="X1568" t="str">
            <v>IL</v>
          </cell>
        </row>
        <row r="1569">
          <cell r="A1569" t="str">
            <v>400-40-110</v>
          </cell>
          <cell r="R1569">
            <v>0</v>
          </cell>
          <cell r="S1569">
            <v>0</v>
          </cell>
          <cell r="X1569" t="str">
            <v>IL</v>
          </cell>
        </row>
        <row r="1570">
          <cell r="A1570" t="str">
            <v>400-40-110</v>
          </cell>
          <cell r="P1570">
            <v>-762124.30273750005</v>
          </cell>
          <cell r="R1570">
            <v>-547082.4</v>
          </cell>
          <cell r="S1570">
            <v>-683852</v>
          </cell>
          <cell r="X1570" t="str">
            <v>IL</v>
          </cell>
        </row>
        <row r="1571">
          <cell r="A1571" t="str">
            <v>400-40-110</v>
          </cell>
          <cell r="R1571">
            <v>0</v>
          </cell>
          <cell r="S1571">
            <v>0</v>
          </cell>
          <cell r="X1571" t="str">
            <v>IL</v>
          </cell>
        </row>
        <row r="1572">
          <cell r="A1572" t="str">
            <v>400-40-110</v>
          </cell>
          <cell r="R1572">
            <v>0</v>
          </cell>
          <cell r="S1572">
            <v>0</v>
          </cell>
          <cell r="X1572" t="str">
            <v>IL</v>
          </cell>
        </row>
        <row r="1573">
          <cell r="A1573" t="str">
            <v>400-40-110</v>
          </cell>
          <cell r="R1573">
            <v>0</v>
          </cell>
          <cell r="S1573">
            <v>0</v>
          </cell>
          <cell r="X1573" t="str">
            <v>IL</v>
          </cell>
        </row>
        <row r="1574">
          <cell r="A1574" t="str">
            <v>400-40-110</v>
          </cell>
          <cell r="R1574">
            <v>0</v>
          </cell>
          <cell r="S1574">
            <v>0</v>
          </cell>
          <cell r="X1574" t="str">
            <v>IL</v>
          </cell>
        </row>
        <row r="1575">
          <cell r="A1575" t="str">
            <v>400-40-110</v>
          </cell>
          <cell r="R1575">
            <v>0</v>
          </cell>
          <cell r="S1575">
            <v>0</v>
          </cell>
          <cell r="X1575" t="str">
            <v>IL</v>
          </cell>
        </row>
        <row r="1576">
          <cell r="A1576" t="str">
            <v>400-40-110</v>
          </cell>
          <cell r="R1576">
            <v>0</v>
          </cell>
          <cell r="S1576">
            <v>0</v>
          </cell>
          <cell r="X1576" t="str">
            <v>IL</v>
          </cell>
        </row>
        <row r="1577">
          <cell r="A1577" t="str">
            <v>400-40-110</v>
          </cell>
          <cell r="R1577">
            <v>0</v>
          </cell>
          <cell r="S1577">
            <v>0</v>
          </cell>
          <cell r="X1577" t="str">
            <v>IL</v>
          </cell>
        </row>
        <row r="1578">
          <cell r="A1578" t="str">
            <v>400-40-110</v>
          </cell>
          <cell r="R1578">
            <v>0</v>
          </cell>
          <cell r="S1578">
            <v>0</v>
          </cell>
          <cell r="X1578" t="str">
            <v>IL</v>
          </cell>
        </row>
        <row r="1579">
          <cell r="A1579" t="str">
            <v>400-40-110</v>
          </cell>
          <cell r="R1579">
            <v>0</v>
          </cell>
          <cell r="S1579">
            <v>0</v>
          </cell>
          <cell r="X1579" t="str">
            <v>IL</v>
          </cell>
        </row>
        <row r="1580">
          <cell r="A1580" t="str">
            <v>400-40-110</v>
          </cell>
          <cell r="R1580">
            <v>0</v>
          </cell>
          <cell r="S1580">
            <v>0</v>
          </cell>
          <cell r="X1580" t="str">
            <v>IL</v>
          </cell>
        </row>
        <row r="1581">
          <cell r="A1581" t="str">
            <v>400-40-110</v>
          </cell>
          <cell r="R1581">
            <v>0</v>
          </cell>
          <cell r="S1581">
            <v>0</v>
          </cell>
          <cell r="X1581" t="str">
            <v>IL</v>
          </cell>
        </row>
        <row r="1582">
          <cell r="A1582" t="str">
            <v>400-40-110</v>
          </cell>
          <cell r="R1582">
            <v>0</v>
          </cell>
          <cell r="S1582">
            <v>0</v>
          </cell>
          <cell r="X1582" t="str">
            <v>IL</v>
          </cell>
        </row>
        <row r="1583">
          <cell r="A1583" t="str">
            <v>400-40-110</v>
          </cell>
          <cell r="R1583">
            <v>0</v>
          </cell>
          <cell r="S1583">
            <v>0</v>
          </cell>
          <cell r="X1583" t="str">
            <v>IL</v>
          </cell>
        </row>
        <row r="1584">
          <cell r="A1584" t="str">
            <v>400-40-110</v>
          </cell>
          <cell r="R1584">
            <v>0</v>
          </cell>
          <cell r="S1584">
            <v>0</v>
          </cell>
          <cell r="X1584" t="str">
            <v>IL</v>
          </cell>
        </row>
        <row r="1585">
          <cell r="A1585" t="str">
            <v>400-40-110</v>
          </cell>
          <cell r="R1585">
            <v>0</v>
          </cell>
          <cell r="S1585">
            <v>0</v>
          </cell>
          <cell r="X1585" t="str">
            <v>IL</v>
          </cell>
        </row>
        <row r="1586">
          <cell r="A1586" t="str">
            <v>400-40-110</v>
          </cell>
          <cell r="R1586">
            <v>0</v>
          </cell>
          <cell r="S1586">
            <v>0</v>
          </cell>
          <cell r="X1586" t="str">
            <v>IL</v>
          </cell>
        </row>
        <row r="1587">
          <cell r="A1587" t="str">
            <v>400-40-110</v>
          </cell>
          <cell r="R1587">
            <v>0</v>
          </cell>
          <cell r="S1587">
            <v>0</v>
          </cell>
          <cell r="X1587" t="str">
            <v>IL</v>
          </cell>
        </row>
        <row r="1588">
          <cell r="A1588" t="str">
            <v>400-40-110</v>
          </cell>
          <cell r="R1588">
            <v>0</v>
          </cell>
          <cell r="S1588">
            <v>0</v>
          </cell>
          <cell r="X1588" t="str">
            <v>COP</v>
          </cell>
        </row>
        <row r="1589">
          <cell r="A1589" t="str">
            <v>400-40-110</v>
          </cell>
          <cell r="R1589">
            <v>0</v>
          </cell>
          <cell r="S1589">
            <v>0</v>
          </cell>
          <cell r="X1589" t="str">
            <v>IL</v>
          </cell>
        </row>
        <row r="1590">
          <cell r="A1590" t="str">
            <v>400-40-130</v>
          </cell>
          <cell r="P1590">
            <v>0</v>
          </cell>
          <cell r="R1590">
            <v>0</v>
          </cell>
          <cell r="S1590">
            <v>0</v>
          </cell>
          <cell r="X1590" t="str">
            <v>IL</v>
          </cell>
        </row>
        <row r="1591">
          <cell r="A1591" t="str">
            <v>400-40-130</v>
          </cell>
          <cell r="P1591">
            <v>0</v>
          </cell>
          <cell r="R1591">
            <v>0</v>
          </cell>
          <cell r="S1591">
            <v>0</v>
          </cell>
          <cell r="X1591" t="str">
            <v>IL</v>
          </cell>
        </row>
        <row r="1592">
          <cell r="A1592" t="str">
            <v>400-40-130</v>
          </cell>
          <cell r="P1592">
            <v>0</v>
          </cell>
          <cell r="R1592">
            <v>0</v>
          </cell>
          <cell r="S1592">
            <v>0</v>
          </cell>
          <cell r="X1592" t="str">
            <v>IL</v>
          </cell>
        </row>
        <row r="1593">
          <cell r="A1593" t="str">
            <v>400-40-130</v>
          </cell>
          <cell r="P1593">
            <v>0</v>
          </cell>
          <cell r="R1593">
            <v>0</v>
          </cell>
          <cell r="S1593">
            <v>0</v>
          </cell>
          <cell r="X1593" t="str">
            <v>IL</v>
          </cell>
        </row>
        <row r="1594">
          <cell r="A1594" t="str">
            <v>400-40-130</v>
          </cell>
          <cell r="P1594">
            <v>0</v>
          </cell>
          <cell r="R1594">
            <v>0</v>
          </cell>
          <cell r="S1594">
            <v>0</v>
          </cell>
          <cell r="X1594" t="str">
            <v>IL</v>
          </cell>
        </row>
        <row r="1595">
          <cell r="A1595" t="str">
            <v>400-40-130</v>
          </cell>
          <cell r="P1595">
            <v>0</v>
          </cell>
          <cell r="R1595">
            <v>0</v>
          </cell>
          <cell r="S1595">
            <v>0</v>
          </cell>
          <cell r="X1595" t="str">
            <v>IL</v>
          </cell>
        </row>
        <row r="1596">
          <cell r="A1596" t="str">
            <v>400-40-130</v>
          </cell>
          <cell r="P1596">
            <v>0</v>
          </cell>
          <cell r="R1596">
            <v>0</v>
          </cell>
          <cell r="S1596">
            <v>0</v>
          </cell>
          <cell r="X1596" t="str">
            <v>IL</v>
          </cell>
        </row>
        <row r="1597">
          <cell r="A1597" t="str">
            <v>400-40-130</v>
          </cell>
          <cell r="P1597">
            <v>0</v>
          </cell>
          <cell r="R1597">
            <v>0</v>
          </cell>
          <cell r="S1597">
            <v>0</v>
          </cell>
          <cell r="X1597" t="str">
            <v>IL</v>
          </cell>
        </row>
        <row r="1598">
          <cell r="A1598" t="str">
            <v>400-40-130</v>
          </cell>
          <cell r="P1598">
            <v>0</v>
          </cell>
          <cell r="R1598">
            <v>0</v>
          </cell>
          <cell r="S1598">
            <v>0</v>
          </cell>
          <cell r="X1598" t="str">
            <v>IL</v>
          </cell>
        </row>
        <row r="1599">
          <cell r="A1599" t="str">
            <v>400-40-130</v>
          </cell>
          <cell r="P1599">
            <v>0</v>
          </cell>
          <cell r="R1599">
            <v>0</v>
          </cell>
          <cell r="S1599">
            <v>0</v>
          </cell>
          <cell r="X1599" t="str">
            <v>IL</v>
          </cell>
        </row>
        <row r="1600">
          <cell r="A1600" t="str">
            <v>400-40-130</v>
          </cell>
          <cell r="P1600">
            <v>0</v>
          </cell>
          <cell r="R1600">
            <v>0</v>
          </cell>
          <cell r="S1600">
            <v>0</v>
          </cell>
          <cell r="X1600" t="str">
            <v>IL</v>
          </cell>
        </row>
        <row r="1601">
          <cell r="A1601" t="str">
            <v>400-40-130</v>
          </cell>
          <cell r="P1601">
            <v>0</v>
          </cell>
          <cell r="R1601">
            <v>0</v>
          </cell>
          <cell r="S1601">
            <v>0</v>
          </cell>
          <cell r="X1601" t="str">
            <v>IL</v>
          </cell>
        </row>
        <row r="1602">
          <cell r="A1602" t="str">
            <v>400-40-130</v>
          </cell>
          <cell r="P1602">
            <v>0</v>
          </cell>
          <cell r="R1602">
            <v>0</v>
          </cell>
          <cell r="S1602">
            <v>0</v>
          </cell>
          <cell r="X1602" t="str">
            <v>IL</v>
          </cell>
        </row>
        <row r="1603">
          <cell r="A1603" t="str">
            <v>400-40-130</v>
          </cell>
          <cell r="P1603">
            <v>0</v>
          </cell>
          <cell r="R1603">
            <v>0</v>
          </cell>
          <cell r="S1603">
            <v>0</v>
          </cell>
          <cell r="X1603" t="str">
            <v>IL</v>
          </cell>
        </row>
        <row r="1604">
          <cell r="A1604" t="str">
            <v>400-40-130</v>
          </cell>
          <cell r="P1604">
            <v>100008</v>
          </cell>
          <cell r="R1604">
            <v>0</v>
          </cell>
          <cell r="S1604">
            <v>0</v>
          </cell>
          <cell r="X1604" t="str">
            <v>IL</v>
          </cell>
        </row>
        <row r="1605">
          <cell r="A1605" t="str">
            <v>400-40-130</v>
          </cell>
          <cell r="P1605">
            <v>0</v>
          </cell>
          <cell r="R1605">
            <v>0</v>
          </cell>
          <cell r="S1605">
            <v>0</v>
          </cell>
          <cell r="X1605" t="str">
            <v>IL</v>
          </cell>
        </row>
        <row r="1606">
          <cell r="A1606" t="str">
            <v>400-40-130</v>
          </cell>
          <cell r="P1606">
            <v>0</v>
          </cell>
          <cell r="R1606">
            <v>0</v>
          </cell>
          <cell r="S1606">
            <v>0</v>
          </cell>
          <cell r="X1606" t="str">
            <v>IL</v>
          </cell>
        </row>
        <row r="1607">
          <cell r="A1607" t="str">
            <v>400-40-130</v>
          </cell>
          <cell r="P1607">
            <v>0</v>
          </cell>
          <cell r="R1607">
            <v>0</v>
          </cell>
          <cell r="S1607">
            <v>0</v>
          </cell>
          <cell r="X1607" t="str">
            <v>IL</v>
          </cell>
        </row>
        <row r="1608">
          <cell r="A1608" t="str">
            <v>400-40-130</v>
          </cell>
          <cell r="P1608">
            <v>0</v>
          </cell>
          <cell r="R1608">
            <v>0</v>
          </cell>
          <cell r="S1608">
            <v>0</v>
          </cell>
          <cell r="X1608" t="str">
            <v>IL</v>
          </cell>
        </row>
        <row r="1609">
          <cell r="A1609" t="str">
            <v>400-40-130</v>
          </cell>
          <cell r="P1609">
            <v>0</v>
          </cell>
          <cell r="R1609">
            <v>0</v>
          </cell>
          <cell r="S1609">
            <v>0</v>
          </cell>
          <cell r="X1609" t="str">
            <v>IL</v>
          </cell>
        </row>
        <row r="1610">
          <cell r="A1610" t="str">
            <v>400-40-130</v>
          </cell>
          <cell r="P1610">
            <v>0</v>
          </cell>
          <cell r="R1610">
            <v>0</v>
          </cell>
          <cell r="S1610">
            <v>0</v>
          </cell>
          <cell r="X1610" t="str">
            <v>IL</v>
          </cell>
        </row>
        <row r="1611">
          <cell r="A1611" t="str">
            <v>400-40-130</v>
          </cell>
          <cell r="P1611">
            <v>0</v>
          </cell>
          <cell r="R1611">
            <v>0</v>
          </cell>
          <cell r="S1611">
            <v>0</v>
          </cell>
          <cell r="X1611" t="str">
            <v>IL</v>
          </cell>
        </row>
        <row r="1612">
          <cell r="A1612" t="str">
            <v>400-40-130</v>
          </cell>
          <cell r="P1612">
            <v>0</v>
          </cell>
          <cell r="R1612">
            <v>0</v>
          </cell>
          <cell r="S1612">
            <v>0</v>
          </cell>
          <cell r="X1612" t="str">
            <v>COP</v>
          </cell>
        </row>
        <row r="1613">
          <cell r="A1613" t="str">
            <v>400-40-130</v>
          </cell>
          <cell r="P1613">
            <v>0</v>
          </cell>
          <cell r="R1613">
            <v>0</v>
          </cell>
          <cell r="S1613">
            <v>0</v>
          </cell>
          <cell r="X1613" t="str">
            <v>IL</v>
          </cell>
        </row>
        <row r="1614">
          <cell r="A1614" t="str">
            <v>500-30-030</v>
          </cell>
          <cell r="P1614">
            <v>0</v>
          </cell>
          <cell r="R1614">
            <v>0</v>
          </cell>
          <cell r="S1614">
            <v>0</v>
          </cell>
          <cell r="X1614" t="str">
            <v>IL</v>
          </cell>
        </row>
        <row r="1615">
          <cell r="A1615" t="str">
            <v>500-30-030</v>
          </cell>
          <cell r="P1615">
            <v>0</v>
          </cell>
          <cell r="R1615">
            <v>0</v>
          </cell>
          <cell r="S1615">
            <v>0</v>
          </cell>
          <cell r="X1615" t="str">
            <v>IL</v>
          </cell>
        </row>
        <row r="1616">
          <cell r="A1616" t="str">
            <v>500-30-030</v>
          </cell>
          <cell r="P1616">
            <v>0</v>
          </cell>
          <cell r="R1616">
            <v>0</v>
          </cell>
          <cell r="S1616">
            <v>0</v>
          </cell>
          <cell r="X1616" t="str">
            <v>IL</v>
          </cell>
        </row>
        <row r="1617">
          <cell r="A1617" t="str">
            <v>500-30-030</v>
          </cell>
          <cell r="P1617">
            <v>0</v>
          </cell>
          <cell r="R1617">
            <v>0</v>
          </cell>
          <cell r="S1617">
            <v>0</v>
          </cell>
          <cell r="X1617" t="str">
            <v>IL</v>
          </cell>
        </row>
        <row r="1618">
          <cell r="A1618" t="str">
            <v>500-30-030</v>
          </cell>
          <cell r="P1618">
            <v>0</v>
          </cell>
          <cell r="R1618">
            <v>0</v>
          </cell>
          <cell r="S1618">
            <v>0</v>
          </cell>
          <cell r="X1618" t="str">
            <v>IL</v>
          </cell>
        </row>
        <row r="1619">
          <cell r="A1619" t="str">
            <v>500-30-030</v>
          </cell>
          <cell r="P1619">
            <v>0</v>
          </cell>
          <cell r="R1619">
            <v>0</v>
          </cell>
          <cell r="S1619">
            <v>0</v>
          </cell>
          <cell r="X1619" t="str">
            <v>IL</v>
          </cell>
        </row>
        <row r="1620">
          <cell r="A1620" t="str">
            <v>500-30-030</v>
          </cell>
          <cell r="P1620">
            <v>0</v>
          </cell>
          <cell r="R1620">
            <v>0</v>
          </cell>
          <cell r="S1620">
            <v>0</v>
          </cell>
          <cell r="X1620" t="str">
            <v>IL</v>
          </cell>
        </row>
        <row r="1621">
          <cell r="A1621" t="str">
            <v>500-30-030</v>
          </cell>
          <cell r="P1621">
            <v>0</v>
          </cell>
          <cell r="R1621">
            <v>0</v>
          </cell>
          <cell r="S1621">
            <v>0</v>
          </cell>
          <cell r="X1621" t="str">
            <v>IL</v>
          </cell>
        </row>
        <row r="1622">
          <cell r="A1622" t="str">
            <v>500-30-030</v>
          </cell>
          <cell r="P1622">
            <v>0</v>
          </cell>
          <cell r="R1622">
            <v>0</v>
          </cell>
          <cell r="S1622">
            <v>0</v>
          </cell>
          <cell r="X1622" t="str">
            <v>IL</v>
          </cell>
        </row>
        <row r="1623">
          <cell r="A1623" t="str">
            <v>500-30-030</v>
          </cell>
          <cell r="P1623">
            <v>0</v>
          </cell>
          <cell r="R1623">
            <v>0</v>
          </cell>
          <cell r="S1623">
            <v>0</v>
          </cell>
          <cell r="X1623" t="str">
            <v>IL</v>
          </cell>
        </row>
        <row r="1624">
          <cell r="A1624" t="str">
            <v>500-30-030</v>
          </cell>
          <cell r="P1624">
            <v>0</v>
          </cell>
          <cell r="R1624">
            <v>0</v>
          </cell>
          <cell r="S1624">
            <v>0</v>
          </cell>
          <cell r="X1624" t="str">
            <v>IL</v>
          </cell>
        </row>
        <row r="1625">
          <cell r="A1625" t="str">
            <v>500-30-030</v>
          </cell>
          <cell r="R1625">
            <v>0</v>
          </cell>
          <cell r="S1625">
            <v>0</v>
          </cell>
          <cell r="X1625" t="str">
            <v>IL</v>
          </cell>
        </row>
        <row r="1626">
          <cell r="A1626" t="str">
            <v>500-30-030</v>
          </cell>
          <cell r="P1626">
            <v>0</v>
          </cell>
          <cell r="R1626">
            <v>0</v>
          </cell>
          <cell r="S1626">
            <v>0</v>
          </cell>
          <cell r="X1626" t="str">
            <v>IL</v>
          </cell>
        </row>
        <row r="1627">
          <cell r="A1627" t="str">
            <v>500-30-030</v>
          </cell>
          <cell r="P1627">
            <v>0</v>
          </cell>
          <cell r="R1627">
            <v>0</v>
          </cell>
          <cell r="S1627">
            <v>0</v>
          </cell>
          <cell r="X1627" t="str">
            <v>IL</v>
          </cell>
        </row>
        <row r="1628">
          <cell r="A1628" t="str">
            <v>500-30-030</v>
          </cell>
          <cell r="P1628">
            <v>0</v>
          </cell>
          <cell r="R1628">
            <v>0</v>
          </cell>
          <cell r="S1628">
            <v>0</v>
          </cell>
          <cell r="X1628" t="str">
            <v>IL</v>
          </cell>
        </row>
        <row r="1629">
          <cell r="A1629" t="str">
            <v>500-30-030</v>
          </cell>
          <cell r="P1629">
            <v>0</v>
          </cell>
          <cell r="R1629">
            <v>0</v>
          </cell>
          <cell r="S1629">
            <v>0</v>
          </cell>
          <cell r="X1629" t="str">
            <v>IL</v>
          </cell>
        </row>
        <row r="1630">
          <cell r="A1630" t="str">
            <v>500-30-030</v>
          </cell>
          <cell r="P1630">
            <v>0</v>
          </cell>
          <cell r="R1630">
            <v>0</v>
          </cell>
          <cell r="S1630">
            <v>0</v>
          </cell>
          <cell r="X1630" t="str">
            <v>IL</v>
          </cell>
        </row>
        <row r="1631">
          <cell r="A1631" t="str">
            <v>500-30-030</v>
          </cell>
          <cell r="P1631">
            <v>0</v>
          </cell>
          <cell r="R1631">
            <v>0</v>
          </cell>
          <cell r="S1631">
            <v>0</v>
          </cell>
          <cell r="X1631" t="str">
            <v>IL</v>
          </cell>
        </row>
        <row r="1632">
          <cell r="A1632" t="str">
            <v>500-30-030</v>
          </cell>
          <cell r="P1632">
            <v>0</v>
          </cell>
          <cell r="R1632">
            <v>0</v>
          </cell>
          <cell r="S1632">
            <v>0</v>
          </cell>
          <cell r="X1632" t="str">
            <v>IL</v>
          </cell>
        </row>
        <row r="1633">
          <cell r="A1633" t="str">
            <v>500-30-030</v>
          </cell>
          <cell r="R1633">
            <v>0</v>
          </cell>
          <cell r="S1633">
            <v>0</v>
          </cell>
          <cell r="X1633" t="str">
            <v>IL</v>
          </cell>
        </row>
        <row r="1634">
          <cell r="A1634" t="str">
            <v>500-30-030</v>
          </cell>
          <cell r="R1634">
            <v>0</v>
          </cell>
          <cell r="S1634">
            <v>0</v>
          </cell>
          <cell r="X1634" t="str">
            <v>IL</v>
          </cell>
        </row>
        <row r="1635">
          <cell r="A1635" t="str">
            <v>500-30-030</v>
          </cell>
          <cell r="R1635">
            <v>0</v>
          </cell>
          <cell r="S1635">
            <v>0</v>
          </cell>
          <cell r="X1635" t="str">
            <v>IL</v>
          </cell>
        </row>
        <row r="1636">
          <cell r="A1636" t="str">
            <v>500-30-030</v>
          </cell>
          <cell r="P1636">
            <v>0</v>
          </cell>
          <cell r="R1636">
            <v>0</v>
          </cell>
          <cell r="S1636">
            <v>0</v>
          </cell>
          <cell r="X1636" t="str">
            <v>COP</v>
          </cell>
        </row>
        <row r="1637">
          <cell r="A1637" t="str">
            <v>500-30-030</v>
          </cell>
          <cell r="P1637">
            <v>0</v>
          </cell>
          <cell r="R1637">
            <v>0</v>
          </cell>
          <cell r="S1637">
            <v>0</v>
          </cell>
          <cell r="X1637" t="str">
            <v>IL</v>
          </cell>
        </row>
        <row r="1638">
          <cell r="A1638" t="str">
            <v>500-30-035</v>
          </cell>
          <cell r="P1638">
            <v>0</v>
          </cell>
          <cell r="R1638">
            <v>0</v>
          </cell>
          <cell r="S1638">
            <v>0</v>
          </cell>
          <cell r="X1638" t="str">
            <v>IL</v>
          </cell>
        </row>
        <row r="1639">
          <cell r="A1639" t="str">
            <v>500-30-035</v>
          </cell>
          <cell r="P1639">
            <v>0</v>
          </cell>
          <cell r="R1639">
            <v>0</v>
          </cell>
          <cell r="S1639">
            <v>0</v>
          </cell>
          <cell r="X1639" t="str">
            <v>IL</v>
          </cell>
        </row>
        <row r="1640">
          <cell r="A1640" t="str">
            <v>500-30-035</v>
          </cell>
          <cell r="P1640">
            <v>0</v>
          </cell>
          <cell r="R1640">
            <v>0</v>
          </cell>
          <cell r="S1640">
            <v>0</v>
          </cell>
          <cell r="X1640" t="str">
            <v>IL</v>
          </cell>
        </row>
        <row r="1641">
          <cell r="A1641" t="str">
            <v>500-30-035</v>
          </cell>
          <cell r="P1641">
            <v>0</v>
          </cell>
          <cell r="R1641">
            <v>0</v>
          </cell>
          <cell r="S1641">
            <v>0</v>
          </cell>
          <cell r="X1641" t="str">
            <v>IL</v>
          </cell>
        </row>
        <row r="1642">
          <cell r="A1642" t="str">
            <v>500-30-035</v>
          </cell>
          <cell r="P1642">
            <v>0</v>
          </cell>
          <cell r="R1642">
            <v>0</v>
          </cell>
          <cell r="S1642">
            <v>0</v>
          </cell>
          <cell r="X1642" t="str">
            <v>IL</v>
          </cell>
        </row>
        <row r="1643">
          <cell r="A1643" t="str">
            <v>500-30-035</v>
          </cell>
          <cell r="P1643">
            <v>0</v>
          </cell>
          <cell r="R1643">
            <v>0</v>
          </cell>
          <cell r="S1643">
            <v>0</v>
          </cell>
          <cell r="X1643" t="str">
            <v>IL</v>
          </cell>
        </row>
        <row r="1644">
          <cell r="A1644" t="str">
            <v>500-30-035</v>
          </cell>
          <cell r="P1644">
            <v>0</v>
          </cell>
          <cell r="R1644">
            <v>0</v>
          </cell>
          <cell r="S1644">
            <v>0</v>
          </cell>
          <cell r="X1644" t="str">
            <v>IL</v>
          </cell>
        </row>
        <row r="1645">
          <cell r="A1645" t="str">
            <v>500-30-035</v>
          </cell>
          <cell r="P1645">
            <v>0</v>
          </cell>
          <cell r="R1645">
            <v>0</v>
          </cell>
          <cell r="S1645">
            <v>0</v>
          </cell>
          <cell r="X1645" t="str">
            <v>IL</v>
          </cell>
        </row>
        <row r="1646">
          <cell r="A1646" t="str">
            <v>500-30-035</v>
          </cell>
          <cell r="P1646">
            <v>0</v>
          </cell>
          <cell r="R1646">
            <v>0</v>
          </cell>
          <cell r="S1646">
            <v>0</v>
          </cell>
          <cell r="X1646" t="str">
            <v>IL</v>
          </cell>
        </row>
        <row r="1647">
          <cell r="A1647" t="str">
            <v>500-30-035</v>
          </cell>
          <cell r="P1647">
            <v>0</v>
          </cell>
          <cell r="R1647">
            <v>0</v>
          </cell>
          <cell r="S1647">
            <v>0</v>
          </cell>
          <cell r="X1647" t="str">
            <v>IL</v>
          </cell>
        </row>
        <row r="1648">
          <cell r="A1648" t="str">
            <v>500-30-035</v>
          </cell>
          <cell r="P1648">
            <v>0</v>
          </cell>
          <cell r="R1648">
            <v>0</v>
          </cell>
          <cell r="S1648">
            <v>0</v>
          </cell>
          <cell r="X1648" t="str">
            <v>IL</v>
          </cell>
        </row>
        <row r="1649">
          <cell r="A1649" t="str">
            <v>500-30-035</v>
          </cell>
          <cell r="R1649">
            <v>0</v>
          </cell>
          <cell r="S1649">
            <v>0</v>
          </cell>
          <cell r="X1649" t="str">
            <v>IL</v>
          </cell>
        </row>
        <row r="1650">
          <cell r="A1650" t="str">
            <v>500-30-035</v>
          </cell>
          <cell r="P1650">
            <v>0</v>
          </cell>
          <cell r="R1650">
            <v>0</v>
          </cell>
          <cell r="S1650">
            <v>0</v>
          </cell>
          <cell r="X1650" t="str">
            <v>IL</v>
          </cell>
        </row>
        <row r="1651">
          <cell r="A1651" t="str">
            <v>500-30-035</v>
          </cell>
          <cell r="P1651">
            <v>0</v>
          </cell>
          <cell r="R1651">
            <v>0</v>
          </cell>
          <cell r="S1651">
            <v>0</v>
          </cell>
          <cell r="X1651" t="str">
            <v>IL</v>
          </cell>
        </row>
        <row r="1652">
          <cell r="A1652" t="str">
            <v>500-30-035</v>
          </cell>
          <cell r="P1652">
            <v>0</v>
          </cell>
          <cell r="R1652">
            <v>0</v>
          </cell>
          <cell r="S1652">
            <v>0</v>
          </cell>
          <cell r="X1652" t="str">
            <v>IL</v>
          </cell>
        </row>
        <row r="1653">
          <cell r="A1653" t="str">
            <v>500-30-035</v>
          </cell>
          <cell r="P1653">
            <v>0</v>
          </cell>
          <cell r="R1653">
            <v>0</v>
          </cell>
          <cell r="S1653">
            <v>0</v>
          </cell>
          <cell r="X1653" t="str">
            <v>IL</v>
          </cell>
        </row>
        <row r="1654">
          <cell r="A1654" t="str">
            <v>500-30-035</v>
          </cell>
          <cell r="P1654">
            <v>0</v>
          </cell>
          <cell r="R1654">
            <v>0</v>
          </cell>
          <cell r="S1654">
            <v>0</v>
          </cell>
          <cell r="X1654" t="str">
            <v>IL</v>
          </cell>
        </row>
        <row r="1655">
          <cell r="A1655" t="str">
            <v>500-30-035</v>
          </cell>
          <cell r="P1655">
            <v>0</v>
          </cell>
          <cell r="R1655">
            <v>0</v>
          </cell>
          <cell r="S1655">
            <v>0</v>
          </cell>
          <cell r="X1655" t="str">
            <v>IL</v>
          </cell>
        </row>
        <row r="1656">
          <cell r="A1656" t="str">
            <v>500-30-035</v>
          </cell>
          <cell r="R1656">
            <v>0</v>
          </cell>
          <cell r="S1656">
            <v>0</v>
          </cell>
          <cell r="X1656" t="str">
            <v>IL</v>
          </cell>
        </row>
        <row r="1657">
          <cell r="A1657" t="str">
            <v>500-30-035</v>
          </cell>
          <cell r="R1657">
            <v>0</v>
          </cell>
          <cell r="S1657">
            <v>0</v>
          </cell>
          <cell r="X1657" t="str">
            <v>IL</v>
          </cell>
        </row>
        <row r="1658">
          <cell r="A1658" t="str">
            <v>500-30-035</v>
          </cell>
          <cell r="R1658">
            <v>0</v>
          </cell>
          <cell r="S1658">
            <v>0</v>
          </cell>
          <cell r="X1658" t="str">
            <v>IL</v>
          </cell>
        </row>
        <row r="1659">
          <cell r="A1659" t="str">
            <v>500-30-035</v>
          </cell>
          <cell r="P1659">
            <v>0</v>
          </cell>
          <cell r="R1659">
            <v>0</v>
          </cell>
          <cell r="S1659">
            <v>0</v>
          </cell>
          <cell r="X1659" t="str">
            <v>COP</v>
          </cell>
        </row>
        <row r="1660">
          <cell r="A1660" t="str">
            <v>500-30-035</v>
          </cell>
          <cell r="P1660">
            <v>0</v>
          </cell>
          <cell r="R1660">
            <v>0</v>
          </cell>
          <cell r="S1660">
            <v>0</v>
          </cell>
          <cell r="X1660" t="str">
            <v>IL</v>
          </cell>
        </row>
        <row r="1661">
          <cell r="A1661" t="str">
            <v>500-30-045</v>
          </cell>
          <cell r="P1661">
            <v>0</v>
          </cell>
          <cell r="R1661">
            <v>0</v>
          </cell>
          <cell r="S1661">
            <v>0</v>
          </cell>
          <cell r="X1661" t="str">
            <v>IL</v>
          </cell>
        </row>
        <row r="1662">
          <cell r="A1662" t="str">
            <v>500-30-045</v>
          </cell>
          <cell r="P1662">
            <v>0</v>
          </cell>
          <cell r="R1662">
            <v>0</v>
          </cell>
          <cell r="S1662">
            <v>0</v>
          </cell>
          <cell r="X1662" t="str">
            <v>IL</v>
          </cell>
        </row>
        <row r="1663">
          <cell r="A1663" t="str">
            <v>500-30-045</v>
          </cell>
          <cell r="P1663">
            <v>0</v>
          </cell>
          <cell r="R1663">
            <v>0</v>
          </cell>
          <cell r="S1663">
            <v>0</v>
          </cell>
          <cell r="X1663" t="str">
            <v>IL</v>
          </cell>
        </row>
        <row r="1664">
          <cell r="A1664" t="str">
            <v>500-30-045</v>
          </cell>
          <cell r="P1664">
            <v>0</v>
          </cell>
          <cell r="R1664">
            <v>0</v>
          </cell>
          <cell r="S1664">
            <v>0</v>
          </cell>
          <cell r="X1664" t="str">
            <v>IL</v>
          </cell>
        </row>
        <row r="1665">
          <cell r="A1665" t="str">
            <v>500-30-045</v>
          </cell>
          <cell r="P1665">
            <v>0</v>
          </cell>
          <cell r="R1665">
            <v>0</v>
          </cell>
          <cell r="S1665">
            <v>0</v>
          </cell>
          <cell r="X1665" t="str">
            <v>IL</v>
          </cell>
        </row>
        <row r="1666">
          <cell r="A1666" t="str">
            <v>500-30-045</v>
          </cell>
          <cell r="P1666">
            <v>0</v>
          </cell>
          <cell r="R1666">
            <v>0</v>
          </cell>
          <cell r="S1666">
            <v>0</v>
          </cell>
          <cell r="X1666" t="str">
            <v>IL</v>
          </cell>
        </row>
        <row r="1667">
          <cell r="A1667" t="str">
            <v>500-30-045</v>
          </cell>
          <cell r="P1667">
            <v>0</v>
          </cell>
          <cell r="R1667">
            <v>0</v>
          </cell>
          <cell r="S1667">
            <v>0</v>
          </cell>
          <cell r="X1667" t="str">
            <v>IL</v>
          </cell>
        </row>
        <row r="1668">
          <cell r="A1668" t="str">
            <v>500-30-045</v>
          </cell>
          <cell r="P1668">
            <v>0</v>
          </cell>
          <cell r="R1668">
            <v>0</v>
          </cell>
          <cell r="S1668">
            <v>0</v>
          </cell>
          <cell r="X1668" t="str">
            <v>IL</v>
          </cell>
        </row>
        <row r="1669">
          <cell r="A1669" t="str">
            <v>500-30-045</v>
          </cell>
          <cell r="P1669">
            <v>0</v>
          </cell>
          <cell r="R1669">
            <v>0</v>
          </cell>
          <cell r="S1669">
            <v>0</v>
          </cell>
          <cell r="X1669" t="str">
            <v>IL</v>
          </cell>
        </row>
        <row r="1670">
          <cell r="A1670" t="str">
            <v>500-30-045</v>
          </cell>
          <cell r="P1670">
            <v>0</v>
          </cell>
          <cell r="R1670">
            <v>0</v>
          </cell>
          <cell r="S1670">
            <v>0</v>
          </cell>
          <cell r="X1670" t="str">
            <v>IL</v>
          </cell>
        </row>
        <row r="1671">
          <cell r="A1671" t="str">
            <v>500-30-045</v>
          </cell>
          <cell r="P1671">
            <v>0</v>
          </cell>
          <cell r="R1671">
            <v>0</v>
          </cell>
          <cell r="S1671">
            <v>0</v>
          </cell>
          <cell r="X1671" t="str">
            <v>IL</v>
          </cell>
        </row>
        <row r="1672">
          <cell r="A1672" t="str">
            <v>500-30-045</v>
          </cell>
          <cell r="R1672">
            <v>0</v>
          </cell>
          <cell r="S1672">
            <v>0</v>
          </cell>
          <cell r="X1672" t="str">
            <v>IL</v>
          </cell>
        </row>
        <row r="1673">
          <cell r="A1673" t="str">
            <v>500-30-045</v>
          </cell>
          <cell r="P1673">
            <v>0</v>
          </cell>
          <cell r="R1673">
            <v>0</v>
          </cell>
          <cell r="S1673">
            <v>0</v>
          </cell>
          <cell r="X1673" t="str">
            <v>IL</v>
          </cell>
        </row>
        <row r="1674">
          <cell r="A1674" t="str">
            <v>500-30-045</v>
          </cell>
          <cell r="P1674">
            <v>0</v>
          </cell>
          <cell r="R1674">
            <v>0</v>
          </cell>
          <cell r="S1674">
            <v>0</v>
          </cell>
          <cell r="X1674" t="str">
            <v>IL</v>
          </cell>
        </row>
        <row r="1675">
          <cell r="A1675" t="str">
            <v>500-30-045</v>
          </cell>
          <cell r="P1675">
            <v>0</v>
          </cell>
          <cell r="R1675">
            <v>0</v>
          </cell>
          <cell r="S1675">
            <v>0</v>
          </cell>
          <cell r="X1675" t="str">
            <v>IL</v>
          </cell>
        </row>
        <row r="1676">
          <cell r="A1676" t="str">
            <v>500-30-045</v>
          </cell>
          <cell r="P1676">
            <v>0</v>
          </cell>
          <cell r="R1676">
            <v>0</v>
          </cell>
          <cell r="S1676">
            <v>0</v>
          </cell>
          <cell r="X1676" t="str">
            <v>IL</v>
          </cell>
        </row>
        <row r="1677">
          <cell r="A1677" t="str">
            <v>500-30-045</v>
          </cell>
          <cell r="P1677">
            <v>0</v>
          </cell>
          <cell r="R1677">
            <v>0</v>
          </cell>
          <cell r="S1677">
            <v>0</v>
          </cell>
          <cell r="X1677" t="str">
            <v>IL</v>
          </cell>
        </row>
        <row r="1678">
          <cell r="A1678" t="str">
            <v>500-30-045</v>
          </cell>
          <cell r="P1678">
            <v>0</v>
          </cell>
          <cell r="R1678">
            <v>0</v>
          </cell>
          <cell r="S1678">
            <v>0</v>
          </cell>
          <cell r="X1678" t="str">
            <v>IL</v>
          </cell>
        </row>
        <row r="1679">
          <cell r="A1679" t="str">
            <v>500-30-045</v>
          </cell>
          <cell r="R1679">
            <v>0</v>
          </cell>
          <cell r="S1679">
            <v>0</v>
          </cell>
          <cell r="X1679" t="str">
            <v>IL</v>
          </cell>
        </row>
        <row r="1680">
          <cell r="A1680" t="str">
            <v>500-30-045</v>
          </cell>
          <cell r="R1680">
            <v>0</v>
          </cell>
          <cell r="S1680">
            <v>0</v>
          </cell>
          <cell r="X1680" t="str">
            <v>IL</v>
          </cell>
        </row>
        <row r="1681">
          <cell r="A1681" t="str">
            <v>500-30-045</v>
          </cell>
          <cell r="R1681">
            <v>0</v>
          </cell>
          <cell r="S1681">
            <v>0</v>
          </cell>
          <cell r="X1681" t="str">
            <v>IL</v>
          </cell>
        </row>
        <row r="1682">
          <cell r="A1682" t="str">
            <v>500-30-045</v>
          </cell>
          <cell r="P1682">
            <v>0</v>
          </cell>
          <cell r="R1682">
            <v>0</v>
          </cell>
          <cell r="S1682">
            <v>0</v>
          </cell>
          <cell r="X1682" t="str">
            <v>COP</v>
          </cell>
        </row>
        <row r="1683">
          <cell r="A1683" t="str">
            <v>500-30-045</v>
          </cell>
          <cell r="P1683">
            <v>0</v>
          </cell>
          <cell r="R1683">
            <v>0</v>
          </cell>
          <cell r="S1683">
            <v>0</v>
          </cell>
          <cell r="X1683" t="str">
            <v>IL</v>
          </cell>
        </row>
        <row r="1684">
          <cell r="A1684" t="str">
            <v>500-30-055</v>
          </cell>
          <cell r="P1684">
            <v>0</v>
          </cell>
          <cell r="R1684">
            <v>0</v>
          </cell>
          <cell r="S1684">
            <v>0</v>
          </cell>
          <cell r="X1684" t="str">
            <v>IL</v>
          </cell>
        </row>
        <row r="1685">
          <cell r="A1685" t="str">
            <v>500-30-055</v>
          </cell>
          <cell r="P1685">
            <v>0</v>
          </cell>
          <cell r="R1685">
            <v>0</v>
          </cell>
          <cell r="S1685">
            <v>0</v>
          </cell>
          <cell r="X1685" t="str">
            <v>IL</v>
          </cell>
        </row>
        <row r="1686">
          <cell r="A1686" t="str">
            <v>500-30-055</v>
          </cell>
          <cell r="P1686">
            <v>0</v>
          </cell>
          <cell r="R1686">
            <v>0</v>
          </cell>
          <cell r="S1686">
            <v>0</v>
          </cell>
          <cell r="X1686" t="str">
            <v>IL</v>
          </cell>
        </row>
        <row r="1687">
          <cell r="A1687" t="str">
            <v>500-30-055</v>
          </cell>
          <cell r="P1687">
            <v>0</v>
          </cell>
          <cell r="R1687">
            <v>0</v>
          </cell>
          <cell r="S1687">
            <v>0</v>
          </cell>
          <cell r="X1687" t="str">
            <v>IL</v>
          </cell>
        </row>
        <row r="1688">
          <cell r="A1688" t="str">
            <v>500-30-055</v>
          </cell>
          <cell r="P1688">
            <v>0</v>
          </cell>
          <cell r="R1688">
            <v>0</v>
          </cell>
          <cell r="S1688">
            <v>0</v>
          </cell>
          <cell r="X1688" t="str">
            <v>IL</v>
          </cell>
        </row>
        <row r="1689">
          <cell r="A1689" t="str">
            <v>500-30-055</v>
          </cell>
          <cell r="P1689">
            <v>0</v>
          </cell>
          <cell r="R1689">
            <v>0</v>
          </cell>
          <cell r="S1689">
            <v>0</v>
          </cell>
          <cell r="X1689" t="str">
            <v>IL</v>
          </cell>
        </row>
        <row r="1690">
          <cell r="A1690" t="str">
            <v>500-30-055</v>
          </cell>
          <cell r="P1690">
            <v>0</v>
          </cell>
          <cell r="R1690">
            <v>0</v>
          </cell>
          <cell r="S1690">
            <v>0</v>
          </cell>
          <cell r="X1690" t="str">
            <v>IL</v>
          </cell>
        </row>
        <row r="1691">
          <cell r="A1691" t="str">
            <v>500-30-055</v>
          </cell>
          <cell r="P1691">
            <v>0</v>
          </cell>
          <cell r="R1691">
            <v>0</v>
          </cell>
          <cell r="S1691">
            <v>0</v>
          </cell>
          <cell r="X1691" t="str">
            <v>IL</v>
          </cell>
        </row>
        <row r="1692">
          <cell r="A1692" t="str">
            <v>500-30-055</v>
          </cell>
          <cell r="P1692">
            <v>0</v>
          </cell>
          <cell r="R1692">
            <v>0</v>
          </cell>
          <cell r="S1692">
            <v>0</v>
          </cell>
          <cell r="X1692" t="str">
            <v>IL</v>
          </cell>
        </row>
        <row r="1693">
          <cell r="A1693" t="str">
            <v>500-30-055</v>
          </cell>
          <cell r="P1693">
            <v>1800000</v>
          </cell>
          <cell r="R1693">
            <v>1800000</v>
          </cell>
          <cell r="S1693">
            <v>0</v>
          </cell>
          <cell r="X1693" t="str">
            <v>IL</v>
          </cell>
        </row>
        <row r="1694">
          <cell r="A1694" t="str">
            <v>500-30-055</v>
          </cell>
          <cell r="P1694">
            <v>2100000</v>
          </cell>
          <cell r="R1694">
            <v>2100000</v>
          </cell>
          <cell r="S1694">
            <v>0</v>
          </cell>
          <cell r="X1694" t="str">
            <v>IL</v>
          </cell>
        </row>
        <row r="1695">
          <cell r="A1695" t="str">
            <v>500-30-055</v>
          </cell>
          <cell r="P1695">
            <v>1800000</v>
          </cell>
          <cell r="R1695">
            <v>1800000</v>
          </cell>
          <cell r="S1695">
            <v>0</v>
          </cell>
          <cell r="X1695" t="str">
            <v>IL</v>
          </cell>
        </row>
        <row r="1696">
          <cell r="A1696" t="str">
            <v>500-30-055</v>
          </cell>
          <cell r="P1696">
            <v>1500000</v>
          </cell>
          <cell r="R1696">
            <v>1500000</v>
          </cell>
          <cell r="S1696">
            <v>0</v>
          </cell>
          <cell r="X1696" t="str">
            <v>IL</v>
          </cell>
        </row>
        <row r="1697">
          <cell r="A1697" t="str">
            <v>500-30-055</v>
          </cell>
          <cell r="P1697">
            <v>1800000</v>
          </cell>
          <cell r="R1697">
            <v>1800000</v>
          </cell>
          <cell r="S1697">
            <v>0</v>
          </cell>
          <cell r="X1697" t="str">
            <v>IL</v>
          </cell>
        </row>
        <row r="1698">
          <cell r="A1698" t="str">
            <v>500-30-055</v>
          </cell>
          <cell r="P1698">
            <v>0</v>
          </cell>
          <cell r="R1698">
            <v>12480</v>
          </cell>
          <cell r="S1698">
            <v>0</v>
          </cell>
          <cell r="X1698" t="str">
            <v>IL</v>
          </cell>
        </row>
        <row r="1699">
          <cell r="A1699" t="str">
            <v>500-30-055</v>
          </cell>
          <cell r="P1699">
            <v>1800000</v>
          </cell>
          <cell r="R1699">
            <v>1800000</v>
          </cell>
          <cell r="S1699">
            <v>0</v>
          </cell>
          <cell r="X1699" t="str">
            <v>IL</v>
          </cell>
        </row>
        <row r="1700">
          <cell r="A1700" t="str">
            <v>500-30-055</v>
          </cell>
          <cell r="P1700">
            <v>1800000</v>
          </cell>
          <cell r="R1700">
            <v>1800000</v>
          </cell>
          <cell r="S1700">
            <v>0</v>
          </cell>
          <cell r="X1700" t="str">
            <v>IL</v>
          </cell>
        </row>
        <row r="1701">
          <cell r="A1701" t="str">
            <v>500-30-055</v>
          </cell>
          <cell r="P1701">
            <v>1800000</v>
          </cell>
          <cell r="R1701">
            <v>1800000</v>
          </cell>
          <cell r="S1701">
            <v>0</v>
          </cell>
          <cell r="X1701" t="str">
            <v>IL</v>
          </cell>
        </row>
        <row r="1702">
          <cell r="A1702" t="str">
            <v>500-30-055</v>
          </cell>
          <cell r="P1702">
            <v>2100000</v>
          </cell>
          <cell r="R1702">
            <v>2100000</v>
          </cell>
          <cell r="S1702">
            <v>0</v>
          </cell>
          <cell r="X1702" t="str">
            <v>IL</v>
          </cell>
        </row>
        <row r="1703">
          <cell r="A1703" t="str">
            <v>500-30-055</v>
          </cell>
          <cell r="P1703">
            <v>1800000</v>
          </cell>
          <cell r="R1703">
            <v>1800000</v>
          </cell>
          <cell r="S1703">
            <v>0</v>
          </cell>
          <cell r="X1703" t="str">
            <v>IL</v>
          </cell>
        </row>
        <row r="1704">
          <cell r="A1704" t="str">
            <v>500-30-055</v>
          </cell>
          <cell r="P1704">
            <v>1800000</v>
          </cell>
          <cell r="R1704">
            <v>1800000</v>
          </cell>
          <cell r="S1704">
            <v>0</v>
          </cell>
          <cell r="X1704" t="str">
            <v>IL</v>
          </cell>
        </row>
        <row r="1705">
          <cell r="A1705" t="str">
            <v>500-30-055</v>
          </cell>
          <cell r="P1705">
            <v>1800000</v>
          </cell>
          <cell r="R1705">
            <v>1800000</v>
          </cell>
          <cell r="S1705">
            <v>0</v>
          </cell>
          <cell r="X1705" t="str">
            <v>IL</v>
          </cell>
        </row>
        <row r="1706">
          <cell r="A1706" t="str">
            <v>500-30-055</v>
          </cell>
          <cell r="P1706">
            <v>0</v>
          </cell>
          <cell r="R1706">
            <v>0</v>
          </cell>
          <cell r="S1706">
            <v>0</v>
          </cell>
          <cell r="X1706" t="str">
            <v>COP</v>
          </cell>
        </row>
        <row r="1707">
          <cell r="A1707" t="str">
            <v>500-30-055</v>
          </cell>
          <cell r="P1707">
            <v>0</v>
          </cell>
          <cell r="R1707">
            <v>0</v>
          </cell>
          <cell r="S1707">
            <v>0</v>
          </cell>
          <cell r="X1707" t="str">
            <v>IL</v>
          </cell>
        </row>
        <row r="1708">
          <cell r="A1708" t="str">
            <v>500-40-010</v>
          </cell>
          <cell r="P1708">
            <v>0</v>
          </cell>
          <cell r="R1708">
            <v>0</v>
          </cell>
          <cell r="S1708">
            <v>0</v>
          </cell>
          <cell r="X1708" t="str">
            <v>IL</v>
          </cell>
        </row>
        <row r="1709">
          <cell r="A1709" t="str">
            <v>500-40-010</v>
          </cell>
          <cell r="P1709">
            <v>0</v>
          </cell>
          <cell r="R1709">
            <v>0</v>
          </cell>
          <cell r="S1709">
            <v>0</v>
          </cell>
          <cell r="X1709" t="str">
            <v>IL</v>
          </cell>
        </row>
        <row r="1710">
          <cell r="A1710" t="str">
            <v>500-40-010</v>
          </cell>
          <cell r="P1710">
            <v>0</v>
          </cell>
          <cell r="R1710">
            <v>0</v>
          </cell>
          <cell r="S1710">
            <v>0</v>
          </cell>
          <cell r="X1710" t="str">
            <v>IL</v>
          </cell>
        </row>
        <row r="1711">
          <cell r="A1711" t="str">
            <v>500-40-010</v>
          </cell>
          <cell r="P1711">
            <v>0</v>
          </cell>
          <cell r="R1711">
            <v>0</v>
          </cell>
          <cell r="S1711">
            <v>0</v>
          </cell>
          <cell r="X1711" t="str">
            <v>IL</v>
          </cell>
        </row>
        <row r="1712">
          <cell r="A1712" t="str">
            <v>500-40-010</v>
          </cell>
          <cell r="P1712">
            <v>0</v>
          </cell>
          <cell r="R1712">
            <v>0</v>
          </cell>
          <cell r="S1712">
            <v>0</v>
          </cell>
          <cell r="X1712" t="str">
            <v>IL</v>
          </cell>
        </row>
        <row r="1713">
          <cell r="A1713" t="str">
            <v>500-40-010</v>
          </cell>
          <cell r="P1713">
            <v>0</v>
          </cell>
          <cell r="R1713">
            <v>0</v>
          </cell>
          <cell r="S1713">
            <v>0</v>
          </cell>
          <cell r="X1713" t="str">
            <v>IL</v>
          </cell>
        </row>
        <row r="1714">
          <cell r="A1714" t="str">
            <v>500-40-010</v>
          </cell>
          <cell r="P1714">
            <v>0</v>
          </cell>
          <cell r="R1714">
            <v>0</v>
          </cell>
          <cell r="S1714">
            <v>0</v>
          </cell>
          <cell r="X1714" t="str">
            <v>IL</v>
          </cell>
        </row>
        <row r="1715">
          <cell r="A1715" t="str">
            <v>500-40-010</v>
          </cell>
          <cell r="P1715">
            <v>0</v>
          </cell>
          <cell r="R1715">
            <v>0</v>
          </cell>
          <cell r="S1715">
            <v>0</v>
          </cell>
          <cell r="X1715" t="str">
            <v>IL</v>
          </cell>
        </row>
        <row r="1716">
          <cell r="A1716" t="str">
            <v>500-40-010</v>
          </cell>
          <cell r="P1716">
            <v>0</v>
          </cell>
          <cell r="R1716">
            <v>0</v>
          </cell>
          <cell r="S1716">
            <v>0</v>
          </cell>
          <cell r="X1716" t="str">
            <v>IL</v>
          </cell>
        </row>
        <row r="1717">
          <cell r="A1717" t="str">
            <v>500-40-010</v>
          </cell>
          <cell r="P1717">
            <v>819000</v>
          </cell>
          <cell r="R1717">
            <v>766531.2</v>
          </cell>
          <cell r="S1717">
            <v>824544</v>
          </cell>
          <cell r="X1717" t="str">
            <v>IL</v>
          </cell>
        </row>
        <row r="1718">
          <cell r="A1718" t="str">
            <v>500-40-010</v>
          </cell>
          <cell r="P1718">
            <v>1696041.6</v>
          </cell>
          <cell r="R1718">
            <v>1541856</v>
          </cell>
          <cell r="S1718">
            <v>1349412</v>
          </cell>
          <cell r="X1718" t="str">
            <v>IL</v>
          </cell>
        </row>
        <row r="1719">
          <cell r="A1719" t="str">
            <v>500-40-010</v>
          </cell>
          <cell r="P1719">
            <v>780000</v>
          </cell>
          <cell r="R1719">
            <v>720000</v>
          </cell>
          <cell r="S1719">
            <v>711984</v>
          </cell>
          <cell r="X1719" t="str">
            <v>IL</v>
          </cell>
        </row>
        <row r="1720">
          <cell r="A1720" t="str">
            <v>500-40-010</v>
          </cell>
          <cell r="P1720">
            <v>970800</v>
          </cell>
          <cell r="R1720">
            <v>699360</v>
          </cell>
          <cell r="S1720">
            <v>1123272</v>
          </cell>
          <cell r="X1720" t="str">
            <v>IL</v>
          </cell>
        </row>
        <row r="1721">
          <cell r="A1721" t="str">
            <v>500-40-010</v>
          </cell>
          <cell r="P1721">
            <v>637608</v>
          </cell>
          <cell r="R1721">
            <v>453496.8</v>
          </cell>
          <cell r="S1721">
            <v>474696</v>
          </cell>
          <cell r="X1721" t="str">
            <v>IL</v>
          </cell>
        </row>
        <row r="1722">
          <cell r="A1722" t="str">
            <v>500-40-010</v>
          </cell>
          <cell r="P1722">
            <v>0</v>
          </cell>
          <cell r="R1722">
            <v>0</v>
          </cell>
          <cell r="S1722">
            <v>0</v>
          </cell>
          <cell r="X1722" t="str">
            <v>IL</v>
          </cell>
        </row>
        <row r="1723">
          <cell r="A1723" t="str">
            <v>500-40-010</v>
          </cell>
          <cell r="P1723">
            <v>718296</v>
          </cell>
          <cell r="R1723">
            <v>427524</v>
          </cell>
          <cell r="S1723">
            <v>458328</v>
          </cell>
          <cell r="X1723" t="str">
            <v>IL</v>
          </cell>
        </row>
        <row r="1724">
          <cell r="A1724" t="str">
            <v>500-40-010</v>
          </cell>
          <cell r="P1724">
            <v>540000</v>
          </cell>
          <cell r="R1724">
            <v>485616</v>
          </cell>
          <cell r="S1724">
            <v>517272</v>
          </cell>
          <cell r="X1724" t="str">
            <v>IL</v>
          </cell>
        </row>
        <row r="1725">
          <cell r="A1725" t="str">
            <v>500-40-010</v>
          </cell>
          <cell r="P1725">
            <v>456000</v>
          </cell>
          <cell r="R1725">
            <v>312566.40000000002</v>
          </cell>
          <cell r="S1725">
            <v>329304</v>
          </cell>
          <cell r="X1725" t="str">
            <v>IL</v>
          </cell>
        </row>
        <row r="1726">
          <cell r="A1726" t="str">
            <v>500-40-010</v>
          </cell>
          <cell r="P1726">
            <v>1402988.4</v>
          </cell>
          <cell r="R1726">
            <v>859190.4</v>
          </cell>
          <cell r="S1726">
            <v>1250592</v>
          </cell>
          <cell r="X1726" t="str">
            <v>IL</v>
          </cell>
        </row>
        <row r="1727">
          <cell r="A1727" t="str">
            <v>500-40-010</v>
          </cell>
          <cell r="P1727">
            <v>1920000</v>
          </cell>
          <cell r="R1727">
            <v>2013300</v>
          </cell>
          <cell r="S1727">
            <v>1148952</v>
          </cell>
          <cell r="X1727" t="str">
            <v>IL</v>
          </cell>
        </row>
        <row r="1728">
          <cell r="A1728" t="str">
            <v>500-40-010</v>
          </cell>
          <cell r="P1728">
            <v>690000</v>
          </cell>
          <cell r="R1728">
            <v>633259.19999999995</v>
          </cell>
          <cell r="S1728">
            <v>476340</v>
          </cell>
          <cell r="X1728" t="str">
            <v>IL</v>
          </cell>
        </row>
        <row r="1729">
          <cell r="A1729" t="str">
            <v>500-40-010</v>
          </cell>
          <cell r="P1729">
            <v>70000</v>
          </cell>
          <cell r="R1729">
            <v>663062.4</v>
          </cell>
          <cell r="S1729">
            <v>711876</v>
          </cell>
          <cell r="X1729" t="str">
            <v>IL</v>
          </cell>
        </row>
        <row r="1730">
          <cell r="A1730" t="str">
            <v>500-40-010</v>
          </cell>
          <cell r="P1730">
            <v>0</v>
          </cell>
          <cell r="R1730">
            <v>0</v>
          </cell>
          <cell r="S1730">
            <v>0</v>
          </cell>
          <cell r="X1730" t="str">
            <v>COP</v>
          </cell>
        </row>
        <row r="1731">
          <cell r="A1731" t="str">
            <v>500-40-010</v>
          </cell>
          <cell r="P1731">
            <v>0</v>
          </cell>
          <cell r="R1731">
            <v>0</v>
          </cell>
          <cell r="S1731">
            <v>0</v>
          </cell>
          <cell r="X1731" t="str">
            <v>IL</v>
          </cell>
        </row>
        <row r="1732">
          <cell r="A1732" t="str">
            <v>500-40-020</v>
          </cell>
          <cell r="P1732">
            <v>0</v>
          </cell>
          <cell r="R1732">
            <v>0</v>
          </cell>
          <cell r="S1732">
            <v>0</v>
          </cell>
          <cell r="X1732" t="str">
            <v>IL</v>
          </cell>
        </row>
        <row r="1733">
          <cell r="A1733" t="str">
            <v>500-40-020</v>
          </cell>
          <cell r="P1733">
            <v>0</v>
          </cell>
          <cell r="R1733">
            <v>0</v>
          </cell>
          <cell r="S1733">
            <v>0</v>
          </cell>
          <cell r="X1733" t="str">
            <v>IL</v>
          </cell>
        </row>
        <row r="1734">
          <cell r="A1734" t="str">
            <v>500-40-020</v>
          </cell>
          <cell r="P1734">
            <v>0</v>
          </cell>
          <cell r="R1734">
            <v>0</v>
          </cell>
          <cell r="S1734">
            <v>0</v>
          </cell>
          <cell r="X1734" t="str">
            <v>IL</v>
          </cell>
        </row>
        <row r="1735">
          <cell r="A1735" t="str">
            <v>500-40-020</v>
          </cell>
          <cell r="P1735">
            <v>0</v>
          </cell>
          <cell r="R1735">
            <v>0</v>
          </cell>
          <cell r="S1735">
            <v>0</v>
          </cell>
          <cell r="X1735" t="str">
            <v>IL</v>
          </cell>
        </row>
        <row r="1736">
          <cell r="A1736" t="str">
            <v>500-40-020</v>
          </cell>
          <cell r="P1736">
            <v>0</v>
          </cell>
          <cell r="R1736">
            <v>0</v>
          </cell>
          <cell r="S1736">
            <v>0</v>
          </cell>
          <cell r="X1736" t="str">
            <v>IL</v>
          </cell>
        </row>
        <row r="1737">
          <cell r="A1737" t="str">
            <v>500-40-020</v>
          </cell>
          <cell r="P1737">
            <v>0</v>
          </cell>
          <cell r="R1737">
            <v>0</v>
          </cell>
          <cell r="S1737">
            <v>0</v>
          </cell>
          <cell r="X1737" t="str">
            <v>IL</v>
          </cell>
        </row>
        <row r="1738">
          <cell r="A1738" t="str">
            <v>500-40-020</v>
          </cell>
          <cell r="P1738">
            <v>0</v>
          </cell>
          <cell r="R1738">
            <v>0</v>
          </cell>
          <cell r="S1738">
            <v>0</v>
          </cell>
          <cell r="X1738" t="str">
            <v>IL</v>
          </cell>
        </row>
        <row r="1739">
          <cell r="A1739" t="str">
            <v>500-40-020</v>
          </cell>
          <cell r="P1739">
            <v>0</v>
          </cell>
          <cell r="R1739">
            <v>0</v>
          </cell>
          <cell r="S1739">
            <v>0</v>
          </cell>
          <cell r="X1739" t="str">
            <v>IL</v>
          </cell>
        </row>
        <row r="1740">
          <cell r="A1740" t="str">
            <v>500-40-020</v>
          </cell>
          <cell r="P1740">
            <v>0</v>
          </cell>
          <cell r="R1740">
            <v>0</v>
          </cell>
          <cell r="S1740">
            <v>0</v>
          </cell>
          <cell r="X1740" t="str">
            <v>IL</v>
          </cell>
        </row>
        <row r="1741">
          <cell r="A1741" t="str">
            <v>500-40-020</v>
          </cell>
          <cell r="P1741">
            <v>70000</v>
          </cell>
          <cell r="R1741">
            <v>119380.8</v>
          </cell>
          <cell r="S1741">
            <v>74495</v>
          </cell>
          <cell r="X1741" t="str">
            <v>IL</v>
          </cell>
        </row>
        <row r="1742">
          <cell r="A1742" t="str">
            <v>500-40-020</v>
          </cell>
          <cell r="P1742">
            <v>181464</v>
          </cell>
          <cell r="R1742">
            <v>156780</v>
          </cell>
          <cell r="S1742">
            <v>107044</v>
          </cell>
          <cell r="X1742" t="str">
            <v>IL</v>
          </cell>
        </row>
        <row r="1743">
          <cell r="A1743" t="str">
            <v>500-40-020</v>
          </cell>
          <cell r="P1743">
            <v>50000</v>
          </cell>
          <cell r="R1743">
            <v>89181.6</v>
          </cell>
          <cell r="S1743">
            <v>62223</v>
          </cell>
          <cell r="X1743" t="str">
            <v>IL</v>
          </cell>
        </row>
        <row r="1744">
          <cell r="A1744" t="str">
            <v>500-40-020</v>
          </cell>
          <cell r="P1744">
            <v>180000</v>
          </cell>
          <cell r="R1744">
            <v>142442.4</v>
          </cell>
          <cell r="S1744">
            <v>223892</v>
          </cell>
          <cell r="X1744" t="str">
            <v>IL</v>
          </cell>
        </row>
        <row r="1745">
          <cell r="A1745" t="str">
            <v>500-40-020</v>
          </cell>
          <cell r="P1745">
            <v>80238</v>
          </cell>
          <cell r="R1745">
            <v>71923.199999999997</v>
          </cell>
          <cell r="S1745">
            <v>57254</v>
          </cell>
          <cell r="X1745" t="str">
            <v>IL</v>
          </cell>
        </row>
        <row r="1746">
          <cell r="A1746" t="str">
            <v>500-40-020</v>
          </cell>
          <cell r="P1746">
            <v>0</v>
          </cell>
          <cell r="R1746">
            <v>0</v>
          </cell>
          <cell r="S1746">
            <v>0</v>
          </cell>
          <cell r="X1746" t="str">
            <v>IL</v>
          </cell>
        </row>
        <row r="1747">
          <cell r="A1747" t="str">
            <v>500-40-020</v>
          </cell>
          <cell r="P1747">
            <v>66000</v>
          </cell>
          <cell r="R1747">
            <v>68616</v>
          </cell>
          <cell r="S1747">
            <v>69416</v>
          </cell>
          <cell r="X1747" t="str">
            <v>IL</v>
          </cell>
        </row>
        <row r="1748">
          <cell r="A1748" t="str">
            <v>500-40-020</v>
          </cell>
          <cell r="P1748">
            <v>70000</v>
          </cell>
          <cell r="R1748">
            <v>135384</v>
          </cell>
          <cell r="S1748">
            <v>155580</v>
          </cell>
          <cell r="X1748" t="str">
            <v>IL</v>
          </cell>
        </row>
        <row r="1749">
          <cell r="A1749" t="str">
            <v>500-40-020</v>
          </cell>
          <cell r="P1749">
            <v>37000</v>
          </cell>
          <cell r="R1749">
            <v>25812</v>
          </cell>
          <cell r="S1749">
            <v>10843</v>
          </cell>
          <cell r="X1749" t="str">
            <v>IL</v>
          </cell>
        </row>
        <row r="1750">
          <cell r="A1750" t="str">
            <v>500-40-020</v>
          </cell>
          <cell r="P1750">
            <v>125992.9</v>
          </cell>
          <cell r="R1750">
            <v>113932.8</v>
          </cell>
          <cell r="S1750">
            <v>76154</v>
          </cell>
          <cell r="X1750" t="str">
            <v>IL</v>
          </cell>
        </row>
        <row r="1751">
          <cell r="A1751" t="str">
            <v>500-40-020</v>
          </cell>
          <cell r="P1751">
            <v>110000</v>
          </cell>
          <cell r="R1751">
            <v>216247.2</v>
          </cell>
          <cell r="S1751">
            <v>233293</v>
          </cell>
          <cell r="X1751" t="str">
            <v>IL</v>
          </cell>
        </row>
        <row r="1752">
          <cell r="A1752" t="str">
            <v>500-40-020</v>
          </cell>
          <cell r="P1752">
            <v>100000</v>
          </cell>
          <cell r="R1752">
            <v>61977.599999999999</v>
          </cell>
          <cell r="S1752">
            <v>44069</v>
          </cell>
          <cell r="X1752" t="str">
            <v>IL</v>
          </cell>
        </row>
        <row r="1753">
          <cell r="A1753" t="str">
            <v>500-40-020</v>
          </cell>
          <cell r="P1753">
            <v>61000</v>
          </cell>
          <cell r="R1753">
            <v>61099.199999999997</v>
          </cell>
          <cell r="S1753">
            <v>55645</v>
          </cell>
          <cell r="X1753" t="str">
            <v>IL</v>
          </cell>
        </row>
        <row r="1754">
          <cell r="A1754" t="str">
            <v>500-40-020</v>
          </cell>
          <cell r="P1754">
            <v>0</v>
          </cell>
          <cell r="R1754">
            <v>0</v>
          </cell>
          <cell r="S1754">
            <v>0</v>
          </cell>
          <cell r="X1754" t="str">
            <v>COP</v>
          </cell>
        </row>
        <row r="1755">
          <cell r="A1755" t="str">
            <v>500-40-020</v>
          </cell>
          <cell r="P1755">
            <v>0</v>
          </cell>
          <cell r="R1755">
            <v>0</v>
          </cell>
          <cell r="S1755">
            <v>0</v>
          </cell>
          <cell r="X1755" t="str">
            <v>IL</v>
          </cell>
        </row>
        <row r="1756">
          <cell r="A1756" t="str">
            <v>500-40-030</v>
          </cell>
          <cell r="P1756">
            <v>0</v>
          </cell>
          <cell r="R1756">
            <v>0</v>
          </cell>
          <cell r="S1756">
            <v>0</v>
          </cell>
          <cell r="X1756" t="str">
            <v>IL</v>
          </cell>
        </row>
        <row r="1757">
          <cell r="A1757" t="str">
            <v>500-40-030</v>
          </cell>
          <cell r="P1757">
            <v>0</v>
          </cell>
          <cell r="R1757">
            <v>0</v>
          </cell>
          <cell r="S1757">
            <v>0</v>
          </cell>
          <cell r="X1757" t="str">
            <v>IL</v>
          </cell>
        </row>
        <row r="1758">
          <cell r="A1758" t="str">
            <v>500-40-030</v>
          </cell>
          <cell r="P1758">
            <v>0</v>
          </cell>
          <cell r="R1758">
            <v>0</v>
          </cell>
          <cell r="S1758">
            <v>0</v>
          </cell>
          <cell r="X1758" t="str">
            <v>IL</v>
          </cell>
        </row>
        <row r="1759">
          <cell r="A1759" t="str">
            <v>500-40-030</v>
          </cell>
          <cell r="P1759">
            <v>0</v>
          </cell>
          <cell r="R1759">
            <v>0</v>
          </cell>
          <cell r="S1759">
            <v>0</v>
          </cell>
          <cell r="X1759" t="str">
            <v>IL</v>
          </cell>
        </row>
        <row r="1760">
          <cell r="A1760" t="str">
            <v>500-40-030</v>
          </cell>
          <cell r="P1760">
            <v>0</v>
          </cell>
          <cell r="R1760">
            <v>0</v>
          </cell>
          <cell r="S1760">
            <v>0</v>
          </cell>
          <cell r="X1760" t="str">
            <v>IL</v>
          </cell>
        </row>
        <row r="1761">
          <cell r="A1761" t="str">
            <v>500-40-030</v>
          </cell>
          <cell r="P1761">
            <v>0</v>
          </cell>
          <cell r="R1761">
            <v>0</v>
          </cell>
          <cell r="S1761">
            <v>0</v>
          </cell>
          <cell r="X1761" t="str">
            <v>IL</v>
          </cell>
        </row>
        <row r="1762">
          <cell r="A1762" t="str">
            <v>500-40-030</v>
          </cell>
          <cell r="P1762">
            <v>0</v>
          </cell>
          <cell r="R1762">
            <v>0</v>
          </cell>
          <cell r="S1762">
            <v>0</v>
          </cell>
          <cell r="X1762" t="str">
            <v>IL</v>
          </cell>
        </row>
        <row r="1763">
          <cell r="A1763" t="str">
            <v>500-40-030</v>
          </cell>
          <cell r="P1763">
            <v>0</v>
          </cell>
          <cell r="R1763">
            <v>0</v>
          </cell>
          <cell r="S1763">
            <v>0</v>
          </cell>
          <cell r="X1763" t="str">
            <v>IL</v>
          </cell>
        </row>
        <row r="1764">
          <cell r="A1764" t="str">
            <v>500-40-030</v>
          </cell>
          <cell r="P1764">
            <v>0</v>
          </cell>
          <cell r="R1764">
            <v>0</v>
          </cell>
          <cell r="S1764">
            <v>0</v>
          </cell>
          <cell r="X1764" t="str">
            <v>IL</v>
          </cell>
        </row>
        <row r="1765">
          <cell r="A1765" t="str">
            <v>500-40-030</v>
          </cell>
          <cell r="P1765">
            <v>15000</v>
          </cell>
          <cell r="R1765">
            <v>0</v>
          </cell>
          <cell r="S1765">
            <v>0</v>
          </cell>
          <cell r="X1765" t="str">
            <v>IL</v>
          </cell>
        </row>
        <row r="1766">
          <cell r="A1766" t="str">
            <v>500-40-030</v>
          </cell>
          <cell r="P1766">
            <v>45600</v>
          </cell>
          <cell r="R1766">
            <v>0</v>
          </cell>
          <cell r="S1766">
            <v>0</v>
          </cell>
          <cell r="X1766" t="str">
            <v>IL</v>
          </cell>
        </row>
        <row r="1767">
          <cell r="A1767" t="str">
            <v>500-40-030</v>
          </cell>
          <cell r="P1767">
            <v>10000</v>
          </cell>
          <cell r="R1767">
            <v>0</v>
          </cell>
          <cell r="S1767">
            <v>0</v>
          </cell>
          <cell r="X1767" t="str">
            <v>IL</v>
          </cell>
        </row>
        <row r="1768">
          <cell r="A1768" t="str">
            <v>500-40-030</v>
          </cell>
          <cell r="P1768">
            <v>38000</v>
          </cell>
          <cell r="R1768">
            <v>0</v>
          </cell>
          <cell r="S1768">
            <v>0</v>
          </cell>
          <cell r="X1768" t="str">
            <v>IL</v>
          </cell>
        </row>
        <row r="1769">
          <cell r="A1769" t="str">
            <v>500-40-030</v>
          </cell>
          <cell r="P1769">
            <v>32000</v>
          </cell>
          <cell r="R1769">
            <v>0</v>
          </cell>
          <cell r="S1769">
            <v>0</v>
          </cell>
          <cell r="X1769" t="str">
            <v>IL</v>
          </cell>
        </row>
        <row r="1770">
          <cell r="A1770" t="str">
            <v>500-40-030</v>
          </cell>
          <cell r="P1770">
            <v>0</v>
          </cell>
          <cell r="R1770">
            <v>0</v>
          </cell>
          <cell r="S1770">
            <v>0</v>
          </cell>
          <cell r="X1770" t="str">
            <v>IL</v>
          </cell>
        </row>
        <row r="1771">
          <cell r="A1771" t="str">
            <v>500-40-030</v>
          </cell>
          <cell r="P1771">
            <v>38000</v>
          </cell>
          <cell r="R1771">
            <v>0</v>
          </cell>
          <cell r="S1771">
            <v>0</v>
          </cell>
          <cell r="X1771" t="str">
            <v>IL</v>
          </cell>
        </row>
        <row r="1772">
          <cell r="A1772" t="str">
            <v>500-40-030</v>
          </cell>
          <cell r="P1772">
            <v>14000</v>
          </cell>
          <cell r="R1772">
            <v>0</v>
          </cell>
          <cell r="S1772">
            <v>0</v>
          </cell>
          <cell r="X1772" t="str">
            <v>IL</v>
          </cell>
        </row>
        <row r="1773">
          <cell r="A1773" t="str">
            <v>500-40-030</v>
          </cell>
          <cell r="P1773">
            <v>32000</v>
          </cell>
          <cell r="R1773">
            <v>0</v>
          </cell>
          <cell r="S1773">
            <v>0</v>
          </cell>
          <cell r="X1773" t="str">
            <v>IL</v>
          </cell>
        </row>
        <row r="1774">
          <cell r="A1774" t="str">
            <v>500-40-030</v>
          </cell>
          <cell r="P1774">
            <v>41800</v>
          </cell>
          <cell r="R1774">
            <v>0</v>
          </cell>
          <cell r="S1774">
            <v>0</v>
          </cell>
          <cell r="X1774" t="str">
            <v>IL</v>
          </cell>
        </row>
        <row r="1775">
          <cell r="A1775" t="str">
            <v>500-40-030</v>
          </cell>
          <cell r="P1775">
            <v>10000</v>
          </cell>
          <cell r="R1775">
            <v>0</v>
          </cell>
          <cell r="S1775">
            <v>0</v>
          </cell>
          <cell r="X1775" t="str">
            <v>IL</v>
          </cell>
        </row>
        <row r="1776">
          <cell r="A1776" t="str">
            <v>500-40-030</v>
          </cell>
          <cell r="P1776">
            <v>15000</v>
          </cell>
          <cell r="R1776">
            <v>0</v>
          </cell>
          <cell r="S1776">
            <v>0</v>
          </cell>
          <cell r="X1776" t="str">
            <v>IL</v>
          </cell>
        </row>
        <row r="1777">
          <cell r="A1777" t="str">
            <v>500-40-030</v>
          </cell>
          <cell r="P1777">
            <v>12000</v>
          </cell>
          <cell r="R1777">
            <v>0</v>
          </cell>
          <cell r="S1777">
            <v>0</v>
          </cell>
          <cell r="X1777" t="str">
            <v>IL</v>
          </cell>
        </row>
        <row r="1778">
          <cell r="A1778" t="str">
            <v>500-40-030</v>
          </cell>
          <cell r="P1778">
            <v>0</v>
          </cell>
          <cell r="R1778">
            <v>0</v>
          </cell>
          <cell r="S1778">
            <v>0</v>
          </cell>
          <cell r="X1778" t="str">
            <v>COP</v>
          </cell>
        </row>
        <row r="1779">
          <cell r="A1779" t="str">
            <v>500-40-030</v>
          </cell>
          <cell r="P1779">
            <v>0</v>
          </cell>
          <cell r="R1779">
            <v>0</v>
          </cell>
          <cell r="S1779">
            <v>0</v>
          </cell>
          <cell r="X1779" t="str">
            <v>IL</v>
          </cell>
        </row>
        <row r="1780">
          <cell r="A1780" t="str">
            <v>500-40-040</v>
          </cell>
          <cell r="P1780">
            <v>0</v>
          </cell>
          <cell r="R1780">
            <v>0</v>
          </cell>
          <cell r="S1780">
            <v>0</v>
          </cell>
          <cell r="X1780" t="str">
            <v>IL</v>
          </cell>
        </row>
        <row r="1781">
          <cell r="A1781" t="str">
            <v>500-40-040</v>
          </cell>
          <cell r="P1781">
            <v>0</v>
          </cell>
          <cell r="R1781">
            <v>0</v>
          </cell>
          <cell r="S1781">
            <v>0</v>
          </cell>
          <cell r="X1781" t="str">
            <v>IL</v>
          </cell>
        </row>
        <row r="1782">
          <cell r="A1782" t="str">
            <v>500-40-040</v>
          </cell>
          <cell r="P1782">
            <v>0</v>
          </cell>
          <cell r="R1782">
            <v>0</v>
          </cell>
          <cell r="S1782">
            <v>0</v>
          </cell>
          <cell r="X1782" t="str">
            <v>IL</v>
          </cell>
        </row>
        <row r="1783">
          <cell r="A1783" t="str">
            <v>500-40-040</v>
          </cell>
          <cell r="P1783">
            <v>0</v>
          </cell>
          <cell r="R1783">
            <v>0</v>
          </cell>
          <cell r="S1783">
            <v>0</v>
          </cell>
          <cell r="X1783" t="str">
            <v>IL</v>
          </cell>
        </row>
        <row r="1784">
          <cell r="A1784" t="str">
            <v>500-40-040</v>
          </cell>
          <cell r="P1784">
            <v>0</v>
          </cell>
          <cell r="R1784">
            <v>0</v>
          </cell>
          <cell r="S1784">
            <v>0</v>
          </cell>
          <cell r="X1784" t="str">
            <v>IL</v>
          </cell>
        </row>
        <row r="1785">
          <cell r="A1785" t="str">
            <v>500-40-040</v>
          </cell>
          <cell r="P1785">
            <v>0</v>
          </cell>
          <cell r="R1785">
            <v>0</v>
          </cell>
          <cell r="S1785">
            <v>0</v>
          </cell>
          <cell r="X1785" t="str">
            <v>IL</v>
          </cell>
        </row>
        <row r="1786">
          <cell r="A1786" t="str">
            <v>500-40-040</v>
          </cell>
          <cell r="P1786">
            <v>0</v>
          </cell>
          <cell r="R1786">
            <v>0</v>
          </cell>
          <cell r="S1786">
            <v>0</v>
          </cell>
          <cell r="X1786" t="str">
            <v>IL</v>
          </cell>
        </row>
        <row r="1787">
          <cell r="A1787" t="str">
            <v>500-40-040</v>
          </cell>
          <cell r="P1787">
            <v>0</v>
          </cell>
          <cell r="R1787">
            <v>0</v>
          </cell>
          <cell r="S1787">
            <v>0</v>
          </cell>
          <cell r="X1787" t="str">
            <v>IL</v>
          </cell>
        </row>
        <row r="1788">
          <cell r="A1788" t="str">
            <v>500-40-040</v>
          </cell>
          <cell r="P1788">
            <v>0</v>
          </cell>
          <cell r="R1788">
            <v>0</v>
          </cell>
          <cell r="S1788">
            <v>0</v>
          </cell>
          <cell r="X1788" t="str">
            <v>IL</v>
          </cell>
        </row>
        <row r="1789">
          <cell r="A1789" t="str">
            <v>500-40-040</v>
          </cell>
          <cell r="P1789">
            <v>88000</v>
          </cell>
          <cell r="R1789">
            <v>53059.199999999997</v>
          </cell>
          <cell r="S1789">
            <v>59172</v>
          </cell>
          <cell r="X1789" t="str">
            <v>IL</v>
          </cell>
        </row>
        <row r="1790">
          <cell r="A1790" t="str">
            <v>500-40-040</v>
          </cell>
          <cell r="P1790">
            <v>112907</v>
          </cell>
          <cell r="R1790">
            <v>187876.8</v>
          </cell>
          <cell r="S1790">
            <v>71105</v>
          </cell>
          <cell r="X1790" t="str">
            <v>IL</v>
          </cell>
        </row>
        <row r="1791">
          <cell r="A1791" t="str">
            <v>500-40-040</v>
          </cell>
          <cell r="P1791">
            <v>80000</v>
          </cell>
          <cell r="R1791">
            <v>62421.599999999999</v>
          </cell>
          <cell r="S1791">
            <v>71105</v>
          </cell>
          <cell r="X1791" t="str">
            <v>IL</v>
          </cell>
        </row>
        <row r="1792">
          <cell r="A1792" t="str">
            <v>500-40-040</v>
          </cell>
          <cell r="P1792">
            <v>90990</v>
          </cell>
          <cell r="R1792">
            <v>77486.399999999994</v>
          </cell>
          <cell r="S1792">
            <v>71105</v>
          </cell>
          <cell r="X1792" t="str">
            <v>IL</v>
          </cell>
        </row>
        <row r="1793">
          <cell r="A1793" t="str">
            <v>500-40-040</v>
          </cell>
          <cell r="P1793">
            <v>171150</v>
          </cell>
          <cell r="R1793">
            <v>62421.599999999999</v>
          </cell>
          <cell r="S1793">
            <v>71105</v>
          </cell>
          <cell r="X1793" t="str">
            <v>IL</v>
          </cell>
        </row>
        <row r="1794">
          <cell r="A1794" t="str">
            <v>500-40-040</v>
          </cell>
          <cell r="P1794">
            <v>0</v>
          </cell>
          <cell r="R1794">
            <v>0</v>
          </cell>
          <cell r="S1794">
            <v>0</v>
          </cell>
          <cell r="X1794" t="str">
            <v>IL</v>
          </cell>
        </row>
        <row r="1795">
          <cell r="A1795" t="str">
            <v>500-40-040</v>
          </cell>
          <cell r="P1795">
            <v>104208</v>
          </cell>
          <cell r="R1795">
            <v>58641.599999999999</v>
          </cell>
          <cell r="S1795">
            <v>71105</v>
          </cell>
          <cell r="X1795" t="str">
            <v>IL</v>
          </cell>
        </row>
        <row r="1796">
          <cell r="A1796" t="str">
            <v>500-40-040</v>
          </cell>
          <cell r="P1796">
            <v>70000</v>
          </cell>
          <cell r="R1796">
            <v>43694.400000000001</v>
          </cell>
          <cell r="S1796">
            <v>46691</v>
          </cell>
          <cell r="X1796" t="str">
            <v>IL</v>
          </cell>
        </row>
        <row r="1797">
          <cell r="A1797" t="str">
            <v>500-40-040</v>
          </cell>
          <cell r="P1797">
            <v>105242</v>
          </cell>
          <cell r="R1797">
            <v>62421.599999999999</v>
          </cell>
          <cell r="S1797">
            <v>71105</v>
          </cell>
          <cell r="X1797" t="str">
            <v>IL</v>
          </cell>
        </row>
        <row r="1798">
          <cell r="A1798" t="str">
            <v>500-40-040</v>
          </cell>
          <cell r="P1798">
            <v>104570</v>
          </cell>
          <cell r="R1798">
            <v>71784</v>
          </cell>
          <cell r="S1798">
            <v>81749</v>
          </cell>
          <cell r="X1798" t="str">
            <v>IL</v>
          </cell>
        </row>
        <row r="1799">
          <cell r="A1799" t="str">
            <v>500-40-040</v>
          </cell>
          <cell r="P1799">
            <v>69000</v>
          </cell>
          <cell r="R1799">
            <v>75357.600000000006</v>
          </cell>
          <cell r="S1799">
            <v>81749</v>
          </cell>
          <cell r="X1799" t="str">
            <v>IL</v>
          </cell>
        </row>
        <row r="1800">
          <cell r="A1800" t="str">
            <v>500-40-040</v>
          </cell>
          <cell r="P1800">
            <v>77000</v>
          </cell>
          <cell r="R1800">
            <v>62421.599999999999</v>
          </cell>
          <cell r="S1800">
            <v>71105</v>
          </cell>
          <cell r="X1800" t="str">
            <v>IL</v>
          </cell>
        </row>
        <row r="1801">
          <cell r="A1801" t="str">
            <v>500-40-040</v>
          </cell>
          <cell r="P1801">
            <v>88000</v>
          </cell>
          <cell r="R1801">
            <v>53059.199999999997</v>
          </cell>
          <cell r="S1801">
            <v>81749</v>
          </cell>
          <cell r="X1801" t="str">
            <v>IL</v>
          </cell>
        </row>
        <row r="1802">
          <cell r="A1802" t="str">
            <v>500-40-040</v>
          </cell>
          <cell r="P1802">
            <v>0</v>
          </cell>
          <cell r="R1802">
            <v>0</v>
          </cell>
          <cell r="S1802">
            <v>0</v>
          </cell>
          <cell r="X1802" t="str">
            <v>COP</v>
          </cell>
        </row>
        <row r="1803">
          <cell r="A1803" t="str">
            <v>500-40-040</v>
          </cell>
          <cell r="P1803">
            <v>0</v>
          </cell>
          <cell r="R1803">
            <v>0</v>
          </cell>
          <cell r="S1803">
            <v>0</v>
          </cell>
          <cell r="X1803" t="str">
            <v>IL</v>
          </cell>
        </row>
        <row r="1804">
          <cell r="A1804" t="str">
            <v>GL code</v>
          </cell>
          <cell r="P1804" t="str">
            <v>Total</v>
          </cell>
          <cell r="R1804">
            <v>39082</v>
          </cell>
          <cell r="S1804">
            <v>39082</v>
          </cell>
          <cell r="X1804" t="str">
            <v>COP</v>
          </cell>
        </row>
        <row r="1805">
          <cell r="A1805" t="str">
            <v>GL code</v>
          </cell>
          <cell r="P1805" t="str">
            <v>Total</v>
          </cell>
          <cell r="R1805">
            <v>39082</v>
          </cell>
          <cell r="S1805">
            <v>39082</v>
          </cell>
          <cell r="X1805" t="str">
            <v>COP</v>
          </cell>
        </row>
        <row r="1806">
          <cell r="A1806" t="str">
            <v>GL code</v>
          </cell>
          <cell r="P1806" t="str">
            <v>Total</v>
          </cell>
          <cell r="R1806">
            <v>39082</v>
          </cell>
          <cell r="S1806">
            <v>39082</v>
          </cell>
          <cell r="X1806" t="str">
            <v>COP</v>
          </cell>
        </row>
        <row r="1807">
          <cell r="A1807" t="str">
            <v>GL code</v>
          </cell>
          <cell r="P1807" t="str">
            <v>Total</v>
          </cell>
          <cell r="R1807">
            <v>39082</v>
          </cell>
          <cell r="S1807">
            <v>39082</v>
          </cell>
          <cell r="X1807" t="str">
            <v>COP</v>
          </cell>
        </row>
        <row r="1808">
          <cell r="A1808" t="str">
            <v>GL code</v>
          </cell>
          <cell r="P1808" t="str">
            <v>Total</v>
          </cell>
          <cell r="R1808">
            <v>39082</v>
          </cell>
          <cell r="S1808">
            <v>39082</v>
          </cell>
          <cell r="X1808" t="str">
            <v>COP</v>
          </cell>
        </row>
        <row r="1809">
          <cell r="A1809" t="str">
            <v>GL code</v>
          </cell>
          <cell r="P1809" t="str">
            <v>Total</v>
          </cell>
          <cell r="R1809">
            <v>39082</v>
          </cell>
          <cell r="S1809">
            <v>39082</v>
          </cell>
          <cell r="X1809" t="str">
            <v>COP</v>
          </cell>
        </row>
        <row r="1810">
          <cell r="A1810" t="str">
            <v>GL code</v>
          </cell>
          <cell r="P1810" t="str">
            <v>Total</v>
          </cell>
          <cell r="R1810">
            <v>39082</v>
          </cell>
          <cell r="S1810">
            <v>39082</v>
          </cell>
          <cell r="X1810" t="str">
            <v>COP</v>
          </cell>
        </row>
        <row r="1811">
          <cell r="A1811" t="str">
            <v>GL code</v>
          </cell>
          <cell r="P1811" t="str">
            <v>Total</v>
          </cell>
          <cell r="R1811">
            <v>39082</v>
          </cell>
          <cell r="S1811">
            <v>39082</v>
          </cell>
          <cell r="X1811" t="str">
            <v>COP</v>
          </cell>
        </row>
        <row r="1812">
          <cell r="A1812" t="str">
            <v>GL code</v>
          </cell>
          <cell r="P1812" t="str">
            <v>Total</v>
          </cell>
          <cell r="R1812">
            <v>39082</v>
          </cell>
          <cell r="S1812">
            <v>39082</v>
          </cell>
          <cell r="X1812" t="str">
            <v>COP</v>
          </cell>
        </row>
        <row r="1813">
          <cell r="A1813" t="str">
            <v>GL code</v>
          </cell>
          <cell r="P1813" t="str">
            <v>Total</v>
          </cell>
          <cell r="R1813">
            <v>39082</v>
          </cell>
          <cell r="S1813">
            <v>39082</v>
          </cell>
          <cell r="X1813" t="str">
            <v>COP</v>
          </cell>
        </row>
        <row r="1814">
          <cell r="A1814" t="str">
            <v>GL code</v>
          </cell>
          <cell r="P1814" t="str">
            <v>Total</v>
          </cell>
          <cell r="R1814">
            <v>39082</v>
          </cell>
          <cell r="S1814">
            <v>39082</v>
          </cell>
          <cell r="X1814" t="str">
            <v>COP</v>
          </cell>
        </row>
        <row r="1815">
          <cell r="A1815" t="str">
            <v>GL code</v>
          </cell>
          <cell r="P1815" t="str">
            <v>Total</v>
          </cell>
          <cell r="R1815">
            <v>39082</v>
          </cell>
          <cell r="S1815">
            <v>39082</v>
          </cell>
          <cell r="X1815" t="str">
            <v>COP</v>
          </cell>
        </row>
        <row r="1816">
          <cell r="A1816" t="str">
            <v>GL code</v>
          </cell>
          <cell r="P1816" t="str">
            <v>Total</v>
          </cell>
          <cell r="R1816">
            <v>39082</v>
          </cell>
          <cell r="S1816">
            <v>39082</v>
          </cell>
          <cell r="X1816" t="str">
            <v>COP</v>
          </cell>
        </row>
        <row r="1817">
          <cell r="A1817" t="str">
            <v>GL code</v>
          </cell>
          <cell r="P1817" t="str">
            <v>Total</v>
          </cell>
          <cell r="R1817">
            <v>39082</v>
          </cell>
          <cell r="S1817">
            <v>39082</v>
          </cell>
          <cell r="X1817" t="str">
            <v>COP</v>
          </cell>
        </row>
        <row r="1818">
          <cell r="A1818" t="str">
            <v>GL code</v>
          </cell>
          <cell r="P1818" t="str">
            <v>Total</v>
          </cell>
          <cell r="R1818">
            <v>39082</v>
          </cell>
          <cell r="S1818">
            <v>39082</v>
          </cell>
          <cell r="X1818" t="str">
            <v>COP</v>
          </cell>
        </row>
        <row r="1819">
          <cell r="A1819" t="str">
            <v>GL code</v>
          </cell>
          <cell r="P1819" t="str">
            <v>Total</v>
          </cell>
          <cell r="R1819">
            <v>39082</v>
          </cell>
          <cell r="S1819">
            <v>39082</v>
          </cell>
          <cell r="X1819" t="str">
            <v>COP</v>
          </cell>
        </row>
        <row r="1820">
          <cell r="A1820" t="str">
            <v>GL code</v>
          </cell>
          <cell r="P1820" t="str">
            <v>Total</v>
          </cell>
          <cell r="R1820">
            <v>39082</v>
          </cell>
          <cell r="S1820">
            <v>39082</v>
          </cell>
          <cell r="X1820" t="str">
            <v>COP</v>
          </cell>
        </row>
        <row r="1821">
          <cell r="A1821" t="str">
            <v>GL code</v>
          </cell>
          <cell r="P1821" t="str">
            <v>Total</v>
          </cell>
          <cell r="R1821">
            <v>39082</v>
          </cell>
          <cell r="S1821">
            <v>39082</v>
          </cell>
          <cell r="X1821" t="str">
            <v>COP</v>
          </cell>
        </row>
        <row r="1822">
          <cell r="A1822" t="str">
            <v>GL code</v>
          </cell>
          <cell r="P1822" t="str">
            <v>Total</v>
          </cell>
          <cell r="R1822">
            <v>39082</v>
          </cell>
          <cell r="S1822">
            <v>39082</v>
          </cell>
          <cell r="X1822" t="str">
            <v>COP</v>
          </cell>
        </row>
        <row r="1823">
          <cell r="A1823" t="str">
            <v>GL code</v>
          </cell>
          <cell r="P1823" t="str">
            <v>Total</v>
          </cell>
          <cell r="R1823">
            <v>39082</v>
          </cell>
          <cell r="S1823">
            <v>39082</v>
          </cell>
          <cell r="X1823" t="str">
            <v>COP</v>
          </cell>
        </row>
        <row r="1824">
          <cell r="A1824" t="str">
            <v>GL code</v>
          </cell>
          <cell r="P1824" t="str">
            <v>Total</v>
          </cell>
          <cell r="R1824">
            <v>39082</v>
          </cell>
          <cell r="S1824">
            <v>39082</v>
          </cell>
          <cell r="X1824" t="str">
            <v>COP</v>
          </cell>
        </row>
        <row r="1825">
          <cell r="A1825" t="str">
            <v>GL code</v>
          </cell>
          <cell r="P1825" t="str">
            <v>Total</v>
          </cell>
          <cell r="R1825">
            <v>39082</v>
          </cell>
          <cell r="S1825">
            <v>39082</v>
          </cell>
          <cell r="X1825" t="str">
            <v>COP</v>
          </cell>
        </row>
        <row r="1826">
          <cell r="A1826" t="str">
            <v>GL code</v>
          </cell>
          <cell r="P1826" t="str">
            <v>Total</v>
          </cell>
          <cell r="R1826">
            <v>39082</v>
          </cell>
          <cell r="S1826">
            <v>39082</v>
          </cell>
          <cell r="X1826" t="str">
            <v>COP</v>
          </cell>
        </row>
        <row r="1827">
          <cell r="X1827" t="str">
            <v>IL</v>
          </cell>
        </row>
        <row r="1828">
          <cell r="P1828">
            <v>26781221.5</v>
          </cell>
          <cell r="R1828">
            <v>24493080</v>
          </cell>
          <cell r="S1828">
            <v>25144928</v>
          </cell>
          <cell r="X1828" t="str">
            <v>COP</v>
          </cell>
        </row>
        <row r="1829">
          <cell r="X1829" t="str">
            <v>COP</v>
          </cell>
        </row>
        <row r="1830">
          <cell r="X1830" t="str">
            <v>COP</v>
          </cell>
        </row>
        <row r="1831">
          <cell r="X1831" t="str">
            <v>COP</v>
          </cell>
        </row>
        <row r="1832">
          <cell r="P1832">
            <v>10560</v>
          </cell>
          <cell r="R1832">
            <v>10560</v>
          </cell>
          <cell r="S1832">
            <v>15840</v>
          </cell>
          <cell r="X1832" t="str">
            <v>COP</v>
          </cell>
        </row>
        <row r="1833">
          <cell r="X1833" t="str">
            <v>COP</v>
          </cell>
        </row>
        <row r="1834">
          <cell r="X1834" t="str">
            <v>COP</v>
          </cell>
        </row>
        <row r="1835">
          <cell r="P1835">
            <v>8052612.7462200001</v>
          </cell>
          <cell r="R1835">
            <v>6318595.2000000002</v>
          </cell>
          <cell r="S1835">
            <v>6512100</v>
          </cell>
          <cell r="X1835" t="str">
            <v>COP</v>
          </cell>
        </row>
        <row r="1836">
          <cell r="X1836" t="str">
            <v>COP</v>
          </cell>
        </row>
        <row r="1837">
          <cell r="P1837">
            <v>34844394.24622</v>
          </cell>
          <cell r="R1837">
            <v>30822235.199999999</v>
          </cell>
          <cell r="S1837">
            <v>31672868</v>
          </cell>
          <cell r="X1837" t="str">
            <v>COP</v>
          </cell>
        </row>
        <row r="1838">
          <cell r="X1838" t="str">
            <v>COP</v>
          </cell>
        </row>
        <row r="1839">
          <cell r="X1839" t="str">
            <v>COP</v>
          </cell>
        </row>
        <row r="1840">
          <cell r="X1840" t="str">
            <v>COP</v>
          </cell>
        </row>
        <row r="1841">
          <cell r="X1841" t="str">
            <v>COP</v>
          </cell>
        </row>
        <row r="1842">
          <cell r="P1842">
            <v>0</v>
          </cell>
          <cell r="R1842">
            <v>0</v>
          </cell>
          <cell r="S1842">
            <v>0</v>
          </cell>
          <cell r="X1842" t="str">
            <v>COP</v>
          </cell>
        </row>
        <row r="1843">
          <cell r="X1843" t="str">
            <v>IL</v>
          </cell>
        </row>
        <row r="1844">
          <cell r="X1844" t="str">
            <v>COP</v>
          </cell>
        </row>
        <row r="1845">
          <cell r="P1845">
            <v>0</v>
          </cell>
          <cell r="R1845">
            <v>0</v>
          </cell>
          <cell r="S1845">
            <v>0</v>
          </cell>
          <cell r="X1845" t="str">
            <v>COP</v>
          </cell>
        </row>
        <row r="1846">
          <cell r="X1846" t="str">
            <v>COP</v>
          </cell>
        </row>
        <row r="1847">
          <cell r="X1847" t="str">
            <v>COP</v>
          </cell>
        </row>
        <row r="1848">
          <cell r="X1848" t="str">
            <v>COP</v>
          </cell>
        </row>
        <row r="1849">
          <cell r="P1849">
            <v>1245057.5327272729</v>
          </cell>
          <cell r="R1849">
            <v>1682.4</v>
          </cell>
          <cell r="S1849">
            <v>47500</v>
          </cell>
          <cell r="X1849" t="str">
            <v>IL</v>
          </cell>
        </row>
        <row r="1850">
          <cell r="X1850" t="str">
            <v>COP</v>
          </cell>
        </row>
        <row r="1851">
          <cell r="X1851" t="str">
            <v>COP</v>
          </cell>
        </row>
        <row r="1852">
          <cell r="X1852" t="str">
            <v>COP</v>
          </cell>
        </row>
        <row r="1853">
          <cell r="P1853">
            <v>0</v>
          </cell>
          <cell r="R1853">
            <v>0</v>
          </cell>
          <cell r="S1853">
            <v>0</v>
          </cell>
          <cell r="X1853" t="str">
            <v>COP</v>
          </cell>
        </row>
        <row r="1854">
          <cell r="X1854" t="str">
            <v>COP</v>
          </cell>
        </row>
        <row r="1855">
          <cell r="X1855" t="str">
            <v>COP</v>
          </cell>
        </row>
        <row r="1856">
          <cell r="X1856" t="str">
            <v>COP</v>
          </cell>
        </row>
        <row r="1857">
          <cell r="X1857" t="str">
            <v>COP</v>
          </cell>
        </row>
        <row r="1858">
          <cell r="P1858">
            <v>0</v>
          </cell>
          <cell r="R1858">
            <v>0</v>
          </cell>
          <cell r="S1858">
            <v>0</v>
          </cell>
          <cell r="X1858" t="str">
            <v>COP</v>
          </cell>
        </row>
        <row r="1859">
          <cell r="X1859" t="str">
            <v>COP</v>
          </cell>
        </row>
        <row r="1860">
          <cell r="R1860">
            <v>0</v>
          </cell>
          <cell r="S1860">
            <v>0</v>
          </cell>
          <cell r="X1860" t="str">
            <v>COP</v>
          </cell>
        </row>
        <row r="1861">
          <cell r="X1861" t="str">
            <v>COP</v>
          </cell>
        </row>
        <row r="1862">
          <cell r="X1862" t="str">
            <v>COP</v>
          </cell>
        </row>
        <row r="1863">
          <cell r="R1863">
            <v>0</v>
          </cell>
          <cell r="S1863">
            <v>0</v>
          </cell>
          <cell r="X1863" t="str">
            <v>COP</v>
          </cell>
        </row>
        <row r="1864">
          <cell r="X1864" t="str">
            <v>COP</v>
          </cell>
        </row>
        <row r="1865">
          <cell r="R1865">
            <v>0</v>
          </cell>
          <cell r="S1865">
            <v>0</v>
          </cell>
          <cell r="X1865" t="str">
            <v>COP</v>
          </cell>
        </row>
        <row r="1866">
          <cell r="X1866" t="str">
            <v>COP</v>
          </cell>
        </row>
        <row r="1867">
          <cell r="X1867" t="str">
            <v>COP</v>
          </cell>
        </row>
        <row r="1868">
          <cell r="X1868" t="str">
            <v>COP</v>
          </cell>
        </row>
        <row r="1869">
          <cell r="P1869">
            <v>0</v>
          </cell>
          <cell r="R1869">
            <v>0</v>
          </cell>
          <cell r="S1869">
            <v>0</v>
          </cell>
          <cell r="X1869" t="str">
            <v>COP</v>
          </cell>
        </row>
        <row r="1870">
          <cell r="P1870">
            <v>0</v>
          </cell>
          <cell r="R1870">
            <v>0</v>
          </cell>
          <cell r="S1870">
            <v>0</v>
          </cell>
          <cell r="X1870" t="str">
            <v>COP</v>
          </cell>
        </row>
        <row r="1871">
          <cell r="X1871" t="str">
            <v>COP</v>
          </cell>
        </row>
        <row r="1872">
          <cell r="P1872">
            <v>0</v>
          </cell>
          <cell r="R1872">
            <v>0</v>
          </cell>
          <cell r="S1872">
            <v>0</v>
          </cell>
          <cell r="X1872" t="str">
            <v>COP</v>
          </cell>
        </row>
        <row r="1873">
          <cell r="X1873" t="str">
            <v>COP</v>
          </cell>
        </row>
        <row r="1874">
          <cell r="X1874" t="str">
            <v>COP</v>
          </cell>
        </row>
        <row r="1875">
          <cell r="X1875" t="str">
            <v>COP</v>
          </cell>
        </row>
        <row r="1876">
          <cell r="R1876">
            <v>0</v>
          </cell>
          <cell r="S1876">
            <v>0</v>
          </cell>
          <cell r="X1876" t="str">
            <v>COP</v>
          </cell>
        </row>
        <row r="1877">
          <cell r="X1877" t="str">
            <v>COP</v>
          </cell>
        </row>
        <row r="1878">
          <cell r="P1878">
            <v>1110000</v>
          </cell>
          <cell r="R1878">
            <v>0</v>
          </cell>
          <cell r="S1878">
            <v>0</v>
          </cell>
          <cell r="X1878" t="str">
            <v>COP</v>
          </cell>
        </row>
        <row r="1879">
          <cell r="X1879" t="str">
            <v>COP</v>
          </cell>
        </row>
        <row r="1880">
          <cell r="P1880">
            <v>9842902.4000000004</v>
          </cell>
          <cell r="R1880">
            <v>7115647.2000000002</v>
          </cell>
          <cell r="S1880">
            <v>7900860</v>
          </cell>
          <cell r="X1880" t="str">
            <v>COP</v>
          </cell>
        </row>
        <row r="1881">
          <cell r="X1881" t="str">
            <v>COP</v>
          </cell>
        </row>
        <row r="1882">
          <cell r="X1882" t="str">
            <v>COP</v>
          </cell>
        </row>
        <row r="1883">
          <cell r="P1883">
            <v>47042354.17894727</v>
          </cell>
          <cell r="R1883">
            <v>37939564.799999997</v>
          </cell>
          <cell r="S1883">
            <v>39621228</v>
          </cell>
          <cell r="X1883" t="str">
            <v>COP</v>
          </cell>
        </row>
        <row r="1884">
          <cell r="X1884" t="str">
            <v>COP</v>
          </cell>
        </row>
        <row r="1885">
          <cell r="R1885">
            <v>0</v>
          </cell>
          <cell r="S1885">
            <v>0</v>
          </cell>
          <cell r="X1885" t="str">
            <v>IL</v>
          </cell>
        </row>
        <row r="1886">
          <cell r="P1886">
            <v>35281765.634210452</v>
          </cell>
          <cell r="R1886">
            <v>27755858.399999995</v>
          </cell>
          <cell r="S1886">
            <v>29437522</v>
          </cell>
          <cell r="X1886" t="str">
            <v>IL</v>
          </cell>
        </row>
        <row r="1887">
          <cell r="X1887" t="str">
            <v>IL</v>
          </cell>
        </row>
        <row r="1888">
          <cell r="R1888">
            <v>27755858.400000002</v>
          </cell>
          <cell r="S1888">
            <v>29437522</v>
          </cell>
          <cell r="X1888" t="str">
            <v>IL</v>
          </cell>
        </row>
        <row r="1889">
          <cell r="P1889" t="str">
            <v>Diff</v>
          </cell>
          <cell r="R1889">
            <v>0</v>
          </cell>
          <cell r="S1889">
            <v>0</v>
          </cell>
          <cell r="X1889" t="str">
            <v>IL</v>
          </cell>
        </row>
        <row r="1890">
          <cell r="X1890" t="str">
            <v>IL</v>
          </cell>
        </row>
        <row r="1891">
          <cell r="X1891" t="str">
            <v>IL</v>
          </cell>
        </row>
        <row r="1892">
          <cell r="X1892" t="str">
            <v>IL</v>
          </cell>
        </row>
        <row r="1893">
          <cell r="X1893" t="str">
            <v>IL</v>
          </cell>
        </row>
        <row r="1894">
          <cell r="X1894" t="str">
            <v>IL</v>
          </cell>
        </row>
        <row r="1895">
          <cell r="X1895" t="str">
            <v>IL</v>
          </cell>
        </row>
        <row r="1896">
          <cell r="X1896" t="str">
            <v>IL</v>
          </cell>
        </row>
        <row r="1897">
          <cell r="X1897" t="str">
            <v>IL</v>
          </cell>
        </row>
        <row r="1898">
          <cell r="X1898" t="str">
            <v>IL</v>
          </cell>
        </row>
        <row r="1899">
          <cell r="X1899" t="str">
            <v>IL</v>
          </cell>
        </row>
        <row r="1900">
          <cell r="X1900" t="str">
            <v>IL</v>
          </cell>
        </row>
        <row r="1901">
          <cell r="X1901" t="str">
            <v>IL</v>
          </cell>
        </row>
        <row r="1902">
          <cell r="X1902" t="str">
            <v>IL</v>
          </cell>
        </row>
        <row r="1903">
          <cell r="X1903" t="str">
            <v>IL</v>
          </cell>
        </row>
        <row r="1904">
          <cell r="X1904" t="str">
            <v>IL</v>
          </cell>
        </row>
        <row r="1905">
          <cell r="X1905" t="str">
            <v>IL</v>
          </cell>
        </row>
        <row r="1906">
          <cell r="X1906" t="str">
            <v>IL</v>
          </cell>
        </row>
        <row r="1907">
          <cell r="X1907" t="str">
            <v>IL</v>
          </cell>
        </row>
        <row r="1908">
          <cell r="X1908" t="str">
            <v>IL</v>
          </cell>
        </row>
        <row r="1909">
          <cell r="X1909" t="str">
            <v>IL</v>
          </cell>
        </row>
        <row r="1910">
          <cell r="X1910" t="str">
            <v>IL</v>
          </cell>
        </row>
        <row r="1911">
          <cell r="X1911" t="str">
            <v>IL</v>
          </cell>
        </row>
        <row r="1912">
          <cell r="R1912" t="str">
            <v>Projected</v>
          </cell>
          <cell r="S1912" t="str">
            <v>Budget</v>
          </cell>
          <cell r="X1912" t="str">
            <v>IL</v>
          </cell>
        </row>
        <row r="1913">
          <cell r="X1913" t="str">
            <v>IL</v>
          </cell>
        </row>
        <row r="1914">
          <cell r="P1914">
            <v>19350516</v>
          </cell>
          <cell r="R1914">
            <v>16532095.200000001</v>
          </cell>
          <cell r="S1914">
            <v>16719301</v>
          </cell>
          <cell r="X1914" t="str">
            <v>COP</v>
          </cell>
        </row>
        <row r="1915">
          <cell r="X1915" t="str">
            <v>COP</v>
          </cell>
        </row>
        <row r="1916">
          <cell r="X1916" t="str">
            <v>COP</v>
          </cell>
        </row>
        <row r="1917">
          <cell r="X1917" t="str">
            <v>COP</v>
          </cell>
        </row>
        <row r="1918">
          <cell r="P1918">
            <v>52800</v>
          </cell>
          <cell r="R1918">
            <v>49920</v>
          </cell>
          <cell r="S1918">
            <v>52800</v>
          </cell>
          <cell r="X1918" t="str">
            <v>COP</v>
          </cell>
        </row>
        <row r="1919">
          <cell r="X1919" t="str">
            <v>COP</v>
          </cell>
        </row>
        <row r="1920">
          <cell r="X1920" t="str">
            <v>COP</v>
          </cell>
        </row>
        <row r="1921">
          <cell r="P1921">
            <v>2859008.78</v>
          </cell>
          <cell r="R1921">
            <v>1843725.6</v>
          </cell>
          <cell r="S1921">
            <v>1956732</v>
          </cell>
          <cell r="X1921" t="str">
            <v>COP</v>
          </cell>
        </row>
        <row r="1922">
          <cell r="X1922" t="str">
            <v>COP</v>
          </cell>
        </row>
        <row r="1923">
          <cell r="P1923">
            <v>22262324.780000001</v>
          </cell>
          <cell r="R1923">
            <v>18425740.800000001</v>
          </cell>
          <cell r="S1923">
            <v>18728833</v>
          </cell>
          <cell r="X1923" t="str">
            <v>COP</v>
          </cell>
        </row>
        <row r="1924">
          <cell r="X1924" t="str">
            <v>COP</v>
          </cell>
        </row>
        <row r="1925">
          <cell r="X1925" t="str">
            <v>COP</v>
          </cell>
        </row>
        <row r="1926">
          <cell r="X1926" t="str">
            <v>COP</v>
          </cell>
        </row>
        <row r="1927">
          <cell r="X1927" t="str">
            <v>COP</v>
          </cell>
        </row>
        <row r="1928">
          <cell r="P1928">
            <v>0</v>
          </cell>
          <cell r="R1928">
            <v>0</v>
          </cell>
          <cell r="S1928">
            <v>0</v>
          </cell>
          <cell r="X1928" t="str">
            <v>COP</v>
          </cell>
        </row>
        <row r="1929">
          <cell r="X1929" t="str">
            <v>IL</v>
          </cell>
        </row>
        <row r="1930">
          <cell r="X1930" t="str">
            <v>COP</v>
          </cell>
        </row>
        <row r="1931">
          <cell r="P1931">
            <v>0</v>
          </cell>
          <cell r="R1931">
            <v>0</v>
          </cell>
          <cell r="S1931">
            <v>0</v>
          </cell>
          <cell r="X1931" t="str">
            <v>COP</v>
          </cell>
        </row>
        <row r="1932">
          <cell r="X1932" t="str">
            <v>COP</v>
          </cell>
        </row>
        <row r="1933">
          <cell r="X1933" t="str">
            <v>COP</v>
          </cell>
        </row>
        <row r="1934">
          <cell r="X1934" t="str">
            <v>COP</v>
          </cell>
        </row>
        <row r="1935">
          <cell r="P1935">
            <v>11168707.922499998</v>
          </cell>
          <cell r="R1935">
            <v>21130360.799999997</v>
          </cell>
          <cell r="S1935">
            <v>19301017</v>
          </cell>
          <cell r="X1935" t="str">
            <v>IL</v>
          </cell>
        </row>
        <row r="1936">
          <cell r="X1936" t="str">
            <v>COP</v>
          </cell>
        </row>
        <row r="1937">
          <cell r="X1937" t="str">
            <v>COP</v>
          </cell>
        </row>
        <row r="1938">
          <cell r="X1938" t="str">
            <v>COP</v>
          </cell>
        </row>
        <row r="1939">
          <cell r="P1939">
            <v>1644000</v>
          </cell>
          <cell r="R1939">
            <v>1826527.2</v>
          </cell>
          <cell r="S1939">
            <v>1600000</v>
          </cell>
          <cell r="X1939" t="str">
            <v>COP</v>
          </cell>
        </row>
        <row r="1940">
          <cell r="X1940" t="str">
            <v>COP</v>
          </cell>
        </row>
        <row r="1941">
          <cell r="X1941" t="str">
            <v>COP</v>
          </cell>
        </row>
        <row r="1942">
          <cell r="X1942" t="str">
            <v>COP</v>
          </cell>
        </row>
        <row r="1943">
          <cell r="X1943" t="str">
            <v>COP</v>
          </cell>
        </row>
        <row r="1944">
          <cell r="P1944">
            <v>70875</v>
          </cell>
          <cell r="R1944">
            <v>0</v>
          </cell>
          <cell r="S1944">
            <v>0</v>
          </cell>
          <cell r="X1944" t="str">
            <v>COP</v>
          </cell>
        </row>
        <row r="1945">
          <cell r="X1945" t="str">
            <v>COP</v>
          </cell>
        </row>
        <row r="1946">
          <cell r="P1946">
            <v>450675.85</v>
          </cell>
          <cell r="R1946">
            <v>1200000</v>
          </cell>
          <cell r="S1946">
            <v>1200000</v>
          </cell>
          <cell r="X1946" t="str">
            <v>COP</v>
          </cell>
        </row>
        <row r="1947">
          <cell r="X1947" t="str">
            <v>COP</v>
          </cell>
        </row>
        <row r="1948">
          <cell r="X1948" t="str">
            <v>COP</v>
          </cell>
        </row>
        <row r="1949">
          <cell r="P1949">
            <v>0</v>
          </cell>
          <cell r="R1949">
            <v>0</v>
          </cell>
          <cell r="S1949">
            <v>0</v>
          </cell>
          <cell r="X1949" t="str">
            <v>COP</v>
          </cell>
        </row>
        <row r="1950">
          <cell r="X1950" t="str">
            <v>COP</v>
          </cell>
        </row>
        <row r="1951">
          <cell r="P1951">
            <v>6031992</v>
          </cell>
          <cell r="R1951">
            <v>6031999.1999999993</v>
          </cell>
          <cell r="S1951">
            <v>6032000</v>
          </cell>
          <cell r="X1951" t="str">
            <v>COP</v>
          </cell>
        </row>
        <row r="1952">
          <cell r="X1952" t="str">
            <v>COP</v>
          </cell>
        </row>
        <row r="1953">
          <cell r="X1953" t="str">
            <v>COP</v>
          </cell>
        </row>
        <row r="1954">
          <cell r="X1954" t="str">
            <v>COP</v>
          </cell>
        </row>
        <row r="1955">
          <cell r="R1955">
            <v>0</v>
          </cell>
          <cell r="S1955">
            <v>0</v>
          </cell>
          <cell r="X1955" t="str">
            <v>COP</v>
          </cell>
        </row>
        <row r="1956">
          <cell r="X1956" t="str">
            <v>COP</v>
          </cell>
        </row>
        <row r="1957">
          <cell r="P1957">
            <v>2484000</v>
          </cell>
          <cell r="R1957">
            <v>1540900.8</v>
          </cell>
          <cell r="S1957">
            <v>302500</v>
          </cell>
          <cell r="X1957" t="str">
            <v>COP</v>
          </cell>
        </row>
        <row r="1958">
          <cell r="X1958" t="str">
            <v>COP</v>
          </cell>
        </row>
        <row r="1959">
          <cell r="X1959" t="str">
            <v>COP</v>
          </cell>
        </row>
        <row r="1960">
          <cell r="R1960">
            <v>0</v>
          </cell>
          <cell r="S1960">
            <v>0</v>
          </cell>
          <cell r="X1960" t="str">
            <v>IL</v>
          </cell>
        </row>
        <row r="1961">
          <cell r="X1961" t="str">
            <v>COP</v>
          </cell>
        </row>
        <row r="1962">
          <cell r="P1962">
            <v>1899996</v>
          </cell>
          <cell r="R1962">
            <v>2297757.6</v>
          </cell>
          <cell r="S1962">
            <v>2297757</v>
          </cell>
          <cell r="X1962" t="str">
            <v>COP</v>
          </cell>
        </row>
        <row r="1963">
          <cell r="X1963" t="str">
            <v>COP</v>
          </cell>
        </row>
        <row r="1964">
          <cell r="P1964">
            <v>10866663.85</v>
          </cell>
          <cell r="R1964">
            <v>11070657.6</v>
          </cell>
          <cell r="S1964">
            <v>9832257</v>
          </cell>
          <cell r="X1964" t="str">
            <v>COP</v>
          </cell>
        </row>
        <row r="1965">
          <cell r="X1965" t="str">
            <v>COP</v>
          </cell>
        </row>
        <row r="1966">
          <cell r="P1966">
            <v>5426279.75</v>
          </cell>
          <cell r="R1966">
            <v>4474701.5999999996</v>
          </cell>
          <cell r="S1966">
            <v>4847239</v>
          </cell>
          <cell r="X1966" t="str">
            <v>COP</v>
          </cell>
        </row>
        <row r="1967">
          <cell r="X1967" t="str">
            <v>COP</v>
          </cell>
        </row>
        <row r="1968">
          <cell r="X1968" t="str">
            <v>COP</v>
          </cell>
        </row>
        <row r="1969">
          <cell r="P1969">
            <v>51367976.302500002</v>
          </cell>
          <cell r="R1969">
            <v>56927988</v>
          </cell>
          <cell r="S1969">
            <v>54309346</v>
          </cell>
          <cell r="X1969" t="str">
            <v>COP</v>
          </cell>
        </row>
        <row r="1970">
          <cell r="X1970" t="str">
            <v>COP</v>
          </cell>
        </row>
        <row r="1971">
          <cell r="P1971">
            <v>0</v>
          </cell>
          <cell r="R1971">
            <v>0</v>
          </cell>
          <cell r="S1971">
            <v>0</v>
          </cell>
          <cell r="X1971" t="str">
            <v>COP</v>
          </cell>
        </row>
        <row r="1972">
          <cell r="P1972">
            <v>0</v>
          </cell>
          <cell r="R1972">
            <v>0</v>
          </cell>
          <cell r="S1972">
            <v>0</v>
          </cell>
          <cell r="X1972" t="str">
            <v>IL</v>
          </cell>
        </row>
        <row r="1973">
          <cell r="P1973">
            <v>41094381.042000003</v>
          </cell>
          <cell r="R1973">
            <v>57473875.200000003</v>
          </cell>
          <cell r="S1973">
            <v>54855235</v>
          </cell>
          <cell r="X1973" t="str">
            <v>IL</v>
          </cell>
        </row>
        <row r="1974">
          <cell r="X1974" t="str">
            <v>IL</v>
          </cell>
        </row>
        <row r="1975">
          <cell r="R1975">
            <v>57473875.199999996</v>
          </cell>
          <cell r="S1975">
            <v>54855235</v>
          </cell>
          <cell r="X1975" t="str">
            <v>IL</v>
          </cell>
        </row>
        <row r="1976">
          <cell r="P1976" t="str">
            <v>Diff</v>
          </cell>
          <cell r="R1976">
            <v>0</v>
          </cell>
          <cell r="S1976">
            <v>0</v>
          </cell>
          <cell r="X1976" t="str">
            <v>IL</v>
          </cell>
        </row>
        <row r="1977">
          <cell r="X1977" t="str">
            <v>IL</v>
          </cell>
        </row>
        <row r="1978">
          <cell r="X1978" t="str">
            <v>IL</v>
          </cell>
        </row>
        <row r="1979">
          <cell r="X1979" t="str">
            <v>IL</v>
          </cell>
        </row>
        <row r="1980">
          <cell r="X1980" t="str">
            <v>IL</v>
          </cell>
        </row>
        <row r="1981">
          <cell r="X1981" t="str">
            <v>IL</v>
          </cell>
        </row>
        <row r="1982">
          <cell r="X1982" t="str">
            <v>IL</v>
          </cell>
        </row>
        <row r="1983">
          <cell r="X1983" t="str">
            <v>IL</v>
          </cell>
        </row>
        <row r="1984">
          <cell r="X1984" t="str">
            <v>IL</v>
          </cell>
        </row>
        <row r="1985">
          <cell r="X1985" t="str">
            <v>IL</v>
          </cell>
        </row>
        <row r="1986">
          <cell r="X1986" t="str">
            <v>IL</v>
          </cell>
        </row>
        <row r="1987">
          <cell r="X1987" t="str">
            <v>IL</v>
          </cell>
        </row>
        <row r="1988">
          <cell r="X1988" t="str">
            <v>IL</v>
          </cell>
        </row>
        <row r="1989">
          <cell r="X1989" t="str">
            <v>IL</v>
          </cell>
        </row>
        <row r="1990">
          <cell r="X1990" t="str">
            <v>IL</v>
          </cell>
        </row>
        <row r="1991">
          <cell r="X1991" t="str">
            <v>IL</v>
          </cell>
        </row>
        <row r="1992">
          <cell r="X1992" t="str">
            <v>IL</v>
          </cell>
        </row>
        <row r="1993">
          <cell r="X1993" t="str">
            <v>IL</v>
          </cell>
        </row>
        <row r="1994">
          <cell r="X1994" t="str">
            <v>IL</v>
          </cell>
        </row>
        <row r="1995">
          <cell r="X1995" t="str">
            <v>IL</v>
          </cell>
        </row>
        <row r="1996">
          <cell r="X1996" t="str">
            <v>IL</v>
          </cell>
        </row>
        <row r="1997">
          <cell r="X1997" t="str">
            <v>IL</v>
          </cell>
        </row>
        <row r="1998">
          <cell r="X1998" t="str">
            <v>IL</v>
          </cell>
        </row>
        <row r="1999">
          <cell r="R1999" t="str">
            <v>Projected</v>
          </cell>
          <cell r="S1999" t="str">
            <v>Budget</v>
          </cell>
          <cell r="X1999" t="str">
            <v>IL</v>
          </cell>
        </row>
        <row r="2000">
          <cell r="X2000" t="str">
            <v>IL</v>
          </cell>
        </row>
        <row r="2001">
          <cell r="P2001">
            <v>2268855</v>
          </cell>
          <cell r="R2001">
            <v>3139202.4</v>
          </cell>
          <cell r="S2001">
            <v>2807322</v>
          </cell>
          <cell r="X2001" t="str">
            <v>COP</v>
          </cell>
        </row>
        <row r="2002">
          <cell r="X2002" t="str">
            <v>COP</v>
          </cell>
        </row>
        <row r="2003">
          <cell r="X2003" t="str">
            <v>COP</v>
          </cell>
        </row>
        <row r="2004">
          <cell r="X2004" t="str">
            <v>COP</v>
          </cell>
        </row>
        <row r="2005">
          <cell r="P2005">
            <v>26400</v>
          </cell>
          <cell r="R2005">
            <v>36960</v>
          </cell>
          <cell r="S2005">
            <v>31680</v>
          </cell>
          <cell r="X2005" t="str">
            <v>COP</v>
          </cell>
        </row>
        <row r="2006">
          <cell r="X2006" t="str">
            <v>COP</v>
          </cell>
        </row>
        <row r="2007">
          <cell r="X2007" t="str">
            <v>COP</v>
          </cell>
        </row>
        <row r="2008">
          <cell r="P2008">
            <v>358268.35499999998</v>
          </cell>
          <cell r="R2008">
            <v>462122.4</v>
          </cell>
          <cell r="S2008">
            <v>353365</v>
          </cell>
          <cell r="X2008" t="str">
            <v>COP</v>
          </cell>
        </row>
        <row r="2009">
          <cell r="X2009" t="str">
            <v>COP</v>
          </cell>
        </row>
        <row r="2010">
          <cell r="P2010">
            <v>2653523.355</v>
          </cell>
          <cell r="R2010">
            <v>3638284.8</v>
          </cell>
          <cell r="S2010">
            <v>3192367</v>
          </cell>
          <cell r="X2010" t="str">
            <v>COP</v>
          </cell>
        </row>
        <row r="2011">
          <cell r="X2011" t="str">
            <v>COP</v>
          </cell>
        </row>
        <row r="2012">
          <cell r="X2012" t="str">
            <v>COP</v>
          </cell>
        </row>
        <row r="2013">
          <cell r="X2013" t="str">
            <v>COP</v>
          </cell>
        </row>
        <row r="2014">
          <cell r="X2014" t="str">
            <v>COP</v>
          </cell>
        </row>
        <row r="2015">
          <cell r="P2015">
            <v>0</v>
          </cell>
          <cell r="R2015">
            <v>0</v>
          </cell>
          <cell r="S2015">
            <v>0</v>
          </cell>
          <cell r="X2015" t="str">
            <v>COP</v>
          </cell>
        </row>
        <row r="2016">
          <cell r="X2016" t="str">
            <v>IL</v>
          </cell>
        </row>
        <row r="2017">
          <cell r="X2017" t="str">
            <v>COP</v>
          </cell>
        </row>
        <row r="2018">
          <cell r="P2018">
            <v>0</v>
          </cell>
          <cell r="R2018">
            <v>0</v>
          </cell>
          <cell r="S2018">
            <v>0</v>
          </cell>
          <cell r="X2018" t="str">
            <v>COP</v>
          </cell>
        </row>
        <row r="2019">
          <cell r="X2019" t="str">
            <v>COP</v>
          </cell>
        </row>
        <row r="2020">
          <cell r="X2020" t="str">
            <v>COP</v>
          </cell>
        </row>
        <row r="2021">
          <cell r="X2021" t="str">
            <v>COP</v>
          </cell>
        </row>
        <row r="2022">
          <cell r="P2022">
            <v>1046781.6</v>
          </cell>
          <cell r="R2022">
            <v>0</v>
          </cell>
          <cell r="S2022">
            <v>73125</v>
          </cell>
          <cell r="X2022" t="str">
            <v>IL</v>
          </cell>
        </row>
        <row r="2023">
          <cell r="X2023" t="str">
            <v>COP</v>
          </cell>
        </row>
        <row r="2024">
          <cell r="X2024" t="str">
            <v>COP</v>
          </cell>
        </row>
        <row r="2025">
          <cell r="X2025" t="str">
            <v>COP</v>
          </cell>
        </row>
        <row r="2026">
          <cell r="P2026">
            <v>0</v>
          </cell>
          <cell r="R2026">
            <v>36720</v>
          </cell>
          <cell r="S2026">
            <v>0</v>
          </cell>
          <cell r="X2026" t="str">
            <v>COP</v>
          </cell>
        </row>
        <row r="2027">
          <cell r="X2027" t="str">
            <v>COP</v>
          </cell>
        </row>
        <row r="2028">
          <cell r="X2028" t="str">
            <v>COP</v>
          </cell>
        </row>
        <row r="2029">
          <cell r="X2029" t="str">
            <v>COP</v>
          </cell>
        </row>
        <row r="2030">
          <cell r="X2030" t="str">
            <v>COP</v>
          </cell>
        </row>
        <row r="2031">
          <cell r="P2031">
            <v>0</v>
          </cell>
          <cell r="R2031">
            <v>0</v>
          </cell>
          <cell r="S2031">
            <v>0</v>
          </cell>
          <cell r="X2031" t="str">
            <v>COP</v>
          </cell>
        </row>
        <row r="2032">
          <cell r="X2032" t="str">
            <v>COP</v>
          </cell>
        </row>
        <row r="2033">
          <cell r="R2033">
            <v>0</v>
          </cell>
          <cell r="S2033">
            <v>0</v>
          </cell>
          <cell r="X2033" t="str">
            <v>COP</v>
          </cell>
        </row>
        <row r="2034">
          <cell r="X2034" t="str">
            <v>COP</v>
          </cell>
        </row>
        <row r="2035">
          <cell r="X2035" t="str">
            <v>COP</v>
          </cell>
        </row>
        <row r="2036">
          <cell r="R2036">
            <v>0</v>
          </cell>
          <cell r="S2036">
            <v>0</v>
          </cell>
          <cell r="X2036" t="str">
            <v>COP</v>
          </cell>
        </row>
        <row r="2037">
          <cell r="X2037" t="str">
            <v>COP</v>
          </cell>
        </row>
        <row r="2038">
          <cell r="R2038">
            <v>0</v>
          </cell>
          <cell r="S2038">
            <v>0</v>
          </cell>
          <cell r="X2038" t="str">
            <v>COP</v>
          </cell>
        </row>
        <row r="2039">
          <cell r="X2039" t="str">
            <v>COP</v>
          </cell>
        </row>
        <row r="2040">
          <cell r="X2040" t="str">
            <v>COP</v>
          </cell>
        </row>
        <row r="2041">
          <cell r="X2041" t="str">
            <v>COP</v>
          </cell>
        </row>
        <row r="2042">
          <cell r="R2042">
            <v>0</v>
          </cell>
          <cell r="S2042">
            <v>0</v>
          </cell>
          <cell r="X2042" t="str">
            <v>COP</v>
          </cell>
        </row>
        <row r="2043">
          <cell r="R2043">
            <v>0</v>
          </cell>
          <cell r="S2043">
            <v>0</v>
          </cell>
          <cell r="X2043" t="str">
            <v>COP</v>
          </cell>
        </row>
        <row r="2044">
          <cell r="X2044" t="str">
            <v>COP</v>
          </cell>
        </row>
        <row r="2045">
          <cell r="R2045">
            <v>0</v>
          </cell>
          <cell r="S2045">
            <v>0</v>
          </cell>
          <cell r="X2045" t="str">
            <v>COP</v>
          </cell>
        </row>
        <row r="2046">
          <cell r="X2046" t="str">
            <v>COP</v>
          </cell>
        </row>
        <row r="2047">
          <cell r="X2047" t="str">
            <v>COP</v>
          </cell>
        </row>
        <row r="2048">
          <cell r="X2048" t="str">
            <v>COP</v>
          </cell>
        </row>
        <row r="2049">
          <cell r="R2049">
            <v>0</v>
          </cell>
          <cell r="S2049">
            <v>0</v>
          </cell>
          <cell r="X2049" t="str">
            <v>COP</v>
          </cell>
        </row>
        <row r="2050">
          <cell r="X2050" t="str">
            <v>COP</v>
          </cell>
        </row>
        <row r="2051">
          <cell r="R2051">
            <v>0</v>
          </cell>
          <cell r="S2051">
            <v>0</v>
          </cell>
          <cell r="X2051" t="str">
            <v>COP</v>
          </cell>
        </row>
        <row r="2052">
          <cell r="X2052" t="str">
            <v>COP</v>
          </cell>
        </row>
        <row r="2053">
          <cell r="P2053">
            <v>3164640.4</v>
          </cell>
          <cell r="R2053">
            <v>3071392.8</v>
          </cell>
          <cell r="S2053">
            <v>3899753</v>
          </cell>
          <cell r="X2053" t="str">
            <v>COP</v>
          </cell>
        </row>
        <row r="2054">
          <cell r="X2054" t="str">
            <v>COP</v>
          </cell>
        </row>
        <row r="2055">
          <cell r="X2055" t="str">
            <v>COP</v>
          </cell>
        </row>
        <row r="2056">
          <cell r="P2056">
            <v>6864945.3549999986</v>
          </cell>
          <cell r="R2056">
            <v>6746397.5999999996</v>
          </cell>
          <cell r="S2056">
            <v>7165245</v>
          </cell>
          <cell r="X2056" t="str">
            <v>COP</v>
          </cell>
        </row>
        <row r="2057">
          <cell r="X2057" t="str">
            <v>COP</v>
          </cell>
        </row>
        <row r="2058">
          <cell r="R2058">
            <v>0</v>
          </cell>
          <cell r="S2058">
            <v>0</v>
          </cell>
          <cell r="X2058" t="str">
            <v>IL</v>
          </cell>
        </row>
        <row r="2059">
          <cell r="R2059">
            <v>6746397.5999999996</v>
          </cell>
          <cell r="S2059">
            <v>7165245</v>
          </cell>
          <cell r="X2059" t="str">
            <v>IL</v>
          </cell>
        </row>
        <row r="2060">
          <cell r="X2060" t="str">
            <v>IL</v>
          </cell>
        </row>
        <row r="2061">
          <cell r="R2061">
            <v>6746397.6000000006</v>
          </cell>
          <cell r="S2061">
            <v>7165245</v>
          </cell>
          <cell r="X2061" t="str">
            <v>IL</v>
          </cell>
        </row>
        <row r="2062">
          <cell r="P2062" t="str">
            <v>Diff</v>
          </cell>
          <cell r="R2062">
            <v>0</v>
          </cell>
          <cell r="S2062">
            <v>0</v>
          </cell>
          <cell r="X2062" t="str">
            <v>IL</v>
          </cell>
        </row>
        <row r="2063">
          <cell r="X2063" t="str">
            <v>IL</v>
          </cell>
        </row>
        <row r="2064">
          <cell r="X2064" t="str">
            <v>IL</v>
          </cell>
        </row>
        <row r="2065">
          <cell r="X2065" t="str">
            <v>IL</v>
          </cell>
        </row>
        <row r="2066">
          <cell r="X2066" t="str">
            <v>IL</v>
          </cell>
        </row>
        <row r="2067">
          <cell r="X2067" t="str">
            <v>IL</v>
          </cell>
        </row>
        <row r="2068">
          <cell r="X2068" t="str">
            <v>IL</v>
          </cell>
        </row>
        <row r="2069">
          <cell r="X2069" t="str">
            <v>IL</v>
          </cell>
        </row>
        <row r="2070">
          <cell r="X2070" t="str">
            <v>IL</v>
          </cell>
        </row>
        <row r="2071">
          <cell r="X2071" t="str">
            <v>IL</v>
          </cell>
        </row>
        <row r="2072">
          <cell r="X2072" t="str">
            <v>IL</v>
          </cell>
        </row>
        <row r="2073">
          <cell r="X2073" t="str">
            <v>IL</v>
          </cell>
        </row>
        <row r="2074">
          <cell r="X2074" t="str">
            <v>IL</v>
          </cell>
        </row>
        <row r="2075">
          <cell r="X2075" t="str">
            <v>IL</v>
          </cell>
        </row>
        <row r="2076">
          <cell r="X2076" t="str">
            <v>IL</v>
          </cell>
        </row>
        <row r="2077">
          <cell r="X2077" t="str">
            <v>IL</v>
          </cell>
        </row>
        <row r="2078">
          <cell r="X2078" t="str">
            <v>IL</v>
          </cell>
        </row>
        <row r="2079">
          <cell r="X2079" t="str">
            <v>IL</v>
          </cell>
        </row>
        <row r="2080">
          <cell r="X2080" t="str">
            <v>IL</v>
          </cell>
        </row>
        <row r="2081">
          <cell r="X2081" t="str">
            <v>IL</v>
          </cell>
        </row>
        <row r="2082">
          <cell r="X2082" t="str">
            <v>IL</v>
          </cell>
        </row>
        <row r="2083">
          <cell r="X2083" t="str">
            <v>IL</v>
          </cell>
        </row>
        <row r="2084">
          <cell r="X2084" t="str">
            <v>IL</v>
          </cell>
        </row>
        <row r="2085">
          <cell r="R2085" t="str">
            <v>Projected</v>
          </cell>
          <cell r="S2085" t="str">
            <v>Budget</v>
          </cell>
          <cell r="X2085" t="str">
            <v>IL</v>
          </cell>
        </row>
        <row r="2086">
          <cell r="X2086" t="str">
            <v>IL</v>
          </cell>
        </row>
        <row r="2087">
          <cell r="P2087">
            <v>8994677.1000000015</v>
          </cell>
          <cell r="R2087">
            <v>6143472</v>
          </cell>
          <cell r="S2087">
            <v>8250272</v>
          </cell>
          <cell r="X2087" t="str">
            <v>COP</v>
          </cell>
        </row>
        <row r="2088">
          <cell r="X2088" t="str">
            <v>COP</v>
          </cell>
        </row>
        <row r="2089">
          <cell r="X2089" t="str">
            <v>COP</v>
          </cell>
        </row>
        <row r="2090">
          <cell r="X2090" t="str">
            <v>COP</v>
          </cell>
        </row>
        <row r="2091">
          <cell r="P2091">
            <v>21120</v>
          </cell>
          <cell r="R2091">
            <v>12960</v>
          </cell>
          <cell r="S2091">
            <v>21120</v>
          </cell>
          <cell r="X2091" t="str">
            <v>COP</v>
          </cell>
        </row>
        <row r="2092">
          <cell r="X2092" t="str">
            <v>COP</v>
          </cell>
        </row>
        <row r="2093">
          <cell r="X2093" t="str">
            <v>COP</v>
          </cell>
        </row>
        <row r="2094">
          <cell r="P2094">
            <v>10193556.324999999</v>
          </cell>
          <cell r="R2094">
            <v>9499130.4000000022</v>
          </cell>
          <cell r="S2094">
            <v>9859643</v>
          </cell>
          <cell r="X2094" t="str">
            <v>COP</v>
          </cell>
        </row>
        <row r="2095">
          <cell r="X2095" t="str">
            <v>COP</v>
          </cell>
        </row>
        <row r="2096">
          <cell r="P2096">
            <v>19209353.425000001</v>
          </cell>
          <cell r="R2096">
            <v>15655562.400000002</v>
          </cell>
          <cell r="S2096">
            <v>18131035</v>
          </cell>
          <cell r="X2096" t="str">
            <v>COP</v>
          </cell>
        </row>
        <row r="2097">
          <cell r="X2097" t="str">
            <v>COP</v>
          </cell>
        </row>
        <row r="2098">
          <cell r="X2098" t="str">
            <v>COP</v>
          </cell>
        </row>
        <row r="2099">
          <cell r="X2099" t="str">
            <v>COP</v>
          </cell>
        </row>
        <row r="2100">
          <cell r="X2100" t="str">
            <v>COP</v>
          </cell>
        </row>
        <row r="2101">
          <cell r="P2101">
            <v>0</v>
          </cell>
          <cell r="R2101">
            <v>0</v>
          </cell>
          <cell r="S2101">
            <v>0</v>
          </cell>
          <cell r="X2101" t="str">
            <v>COP</v>
          </cell>
        </row>
        <row r="2102">
          <cell r="X2102" t="str">
            <v>IL</v>
          </cell>
        </row>
        <row r="2103">
          <cell r="X2103" t="str">
            <v>COP</v>
          </cell>
        </row>
        <row r="2104">
          <cell r="P2104">
            <v>0</v>
          </cell>
          <cell r="R2104">
            <v>0</v>
          </cell>
          <cell r="S2104">
            <v>0</v>
          </cell>
          <cell r="X2104" t="str">
            <v>COP</v>
          </cell>
        </row>
        <row r="2105">
          <cell r="X2105" t="str">
            <v>COP</v>
          </cell>
        </row>
        <row r="2106">
          <cell r="X2106" t="str">
            <v>COP</v>
          </cell>
        </row>
        <row r="2107">
          <cell r="X2107" t="str">
            <v>COP</v>
          </cell>
        </row>
        <row r="2108">
          <cell r="P2108">
            <v>3649141.4762500003</v>
          </cell>
          <cell r="R2108">
            <v>2527142.4</v>
          </cell>
          <cell r="S2108">
            <v>2606179</v>
          </cell>
          <cell r="X2108" t="str">
            <v>IL</v>
          </cell>
        </row>
        <row r="2109">
          <cell r="X2109" t="str">
            <v>COP</v>
          </cell>
        </row>
        <row r="2110">
          <cell r="X2110" t="str">
            <v>COP</v>
          </cell>
        </row>
        <row r="2111">
          <cell r="X2111" t="str">
            <v>COP</v>
          </cell>
        </row>
        <row r="2112">
          <cell r="P2112">
            <v>0</v>
          </cell>
          <cell r="R2112">
            <v>0</v>
          </cell>
          <cell r="S2112">
            <v>0</v>
          </cell>
          <cell r="X2112" t="str">
            <v>COP</v>
          </cell>
        </row>
        <row r="2113">
          <cell r="X2113" t="str">
            <v>COP</v>
          </cell>
        </row>
        <row r="2114">
          <cell r="X2114" t="str">
            <v>COP</v>
          </cell>
        </row>
        <row r="2115">
          <cell r="X2115" t="str">
            <v>COP</v>
          </cell>
        </row>
        <row r="2116">
          <cell r="X2116" t="str">
            <v>COP</v>
          </cell>
        </row>
        <row r="2117">
          <cell r="P2117">
            <v>0</v>
          </cell>
          <cell r="R2117">
            <v>0</v>
          </cell>
          <cell r="S2117">
            <v>0</v>
          </cell>
          <cell r="X2117" t="str">
            <v>COP</v>
          </cell>
        </row>
        <row r="2118">
          <cell r="X2118" t="str">
            <v>COP</v>
          </cell>
        </row>
        <row r="2119">
          <cell r="R2119">
            <v>0</v>
          </cell>
          <cell r="S2119">
            <v>0</v>
          </cell>
          <cell r="X2119" t="str">
            <v>COP</v>
          </cell>
        </row>
        <row r="2120">
          <cell r="X2120" t="str">
            <v>COP</v>
          </cell>
        </row>
        <row r="2121">
          <cell r="X2121" t="str">
            <v>COP</v>
          </cell>
        </row>
        <row r="2122">
          <cell r="P2122">
            <v>0</v>
          </cell>
          <cell r="R2122">
            <v>0</v>
          </cell>
          <cell r="S2122">
            <v>0</v>
          </cell>
          <cell r="X2122" t="str">
            <v>COP</v>
          </cell>
        </row>
        <row r="2123">
          <cell r="X2123" t="str">
            <v>COP</v>
          </cell>
        </row>
        <row r="2124">
          <cell r="R2124">
            <v>0</v>
          </cell>
          <cell r="S2124">
            <v>0</v>
          </cell>
          <cell r="X2124" t="str">
            <v>COP</v>
          </cell>
        </row>
        <row r="2125">
          <cell r="X2125" t="str">
            <v>COP</v>
          </cell>
        </row>
        <row r="2126">
          <cell r="X2126" t="str">
            <v>COP</v>
          </cell>
        </row>
        <row r="2127">
          <cell r="X2127" t="str">
            <v>COP</v>
          </cell>
        </row>
        <row r="2128">
          <cell r="P2128">
            <v>0</v>
          </cell>
          <cell r="R2128">
            <v>0</v>
          </cell>
          <cell r="S2128">
            <v>0</v>
          </cell>
          <cell r="X2128" t="str">
            <v>COP</v>
          </cell>
        </row>
        <row r="2129">
          <cell r="P2129">
            <v>0</v>
          </cell>
          <cell r="R2129">
            <v>0</v>
          </cell>
          <cell r="S2129">
            <v>0</v>
          </cell>
          <cell r="X2129" t="str">
            <v>COP</v>
          </cell>
        </row>
        <row r="2130">
          <cell r="X2130" t="str">
            <v>COP</v>
          </cell>
        </row>
        <row r="2131">
          <cell r="R2131">
            <v>0</v>
          </cell>
          <cell r="S2131">
            <v>0</v>
          </cell>
          <cell r="X2131" t="str">
            <v>COP</v>
          </cell>
        </row>
        <row r="2132">
          <cell r="X2132" t="str">
            <v>COP</v>
          </cell>
        </row>
        <row r="2133">
          <cell r="X2133" t="str">
            <v>COP</v>
          </cell>
        </row>
        <row r="2134">
          <cell r="X2134" t="str">
            <v>COP</v>
          </cell>
        </row>
        <row r="2135">
          <cell r="R2135">
            <v>0</v>
          </cell>
          <cell r="S2135">
            <v>0</v>
          </cell>
          <cell r="X2135" t="str">
            <v>COP</v>
          </cell>
        </row>
        <row r="2136">
          <cell r="X2136" t="str">
            <v>COP</v>
          </cell>
        </row>
        <row r="2137">
          <cell r="R2137">
            <v>0</v>
          </cell>
          <cell r="S2137">
            <v>0</v>
          </cell>
          <cell r="X2137" t="str">
            <v>COP</v>
          </cell>
        </row>
        <row r="2138">
          <cell r="X2138" t="str">
            <v>COP</v>
          </cell>
        </row>
        <row r="2139">
          <cell r="P2139">
            <v>2545648.5233333334</v>
          </cell>
          <cell r="R2139">
            <v>1292244</v>
          </cell>
          <cell r="S2139">
            <v>1558236</v>
          </cell>
          <cell r="X2139" t="str">
            <v>COP</v>
          </cell>
        </row>
        <row r="2140">
          <cell r="X2140" t="str">
            <v>COP</v>
          </cell>
        </row>
        <row r="2141">
          <cell r="X2141" t="str">
            <v>COP</v>
          </cell>
        </row>
        <row r="2142">
          <cell r="P2142">
            <v>25404143.424583334</v>
          </cell>
          <cell r="R2142">
            <v>19474948.800000001</v>
          </cell>
          <cell r="S2142">
            <v>22295450</v>
          </cell>
          <cell r="X2142" t="str">
            <v>COP</v>
          </cell>
        </row>
        <row r="2143">
          <cell r="X2143" t="str">
            <v>COP</v>
          </cell>
        </row>
        <row r="2144">
          <cell r="R2144">
            <v>0</v>
          </cell>
          <cell r="S2144">
            <v>0</v>
          </cell>
          <cell r="X2144" t="str">
            <v>IL</v>
          </cell>
        </row>
        <row r="2145">
          <cell r="P2145">
            <v>22863729.082125001</v>
          </cell>
          <cell r="R2145">
            <v>17195440.800000001</v>
          </cell>
          <cell r="S2145">
            <v>20015943</v>
          </cell>
          <cell r="X2145" t="str">
            <v>IL</v>
          </cell>
        </row>
        <row r="2146">
          <cell r="X2146" t="str">
            <v>IL</v>
          </cell>
        </row>
        <row r="2147">
          <cell r="R2147">
            <v>17195440.799999997</v>
          </cell>
          <cell r="S2147">
            <v>20015943</v>
          </cell>
          <cell r="X2147" t="str">
            <v>IL</v>
          </cell>
        </row>
        <row r="2148">
          <cell r="P2148" t="str">
            <v>Diff</v>
          </cell>
          <cell r="R2148">
            <v>0</v>
          </cell>
          <cell r="S2148">
            <v>0</v>
          </cell>
          <cell r="X2148" t="str">
            <v>IL</v>
          </cell>
        </row>
        <row r="2149">
          <cell r="X2149" t="str">
            <v>IL</v>
          </cell>
        </row>
        <row r="2150">
          <cell r="X2150" t="str">
            <v>IL</v>
          </cell>
        </row>
        <row r="2151">
          <cell r="X2151" t="str">
            <v>IL</v>
          </cell>
        </row>
        <row r="2152">
          <cell r="X2152" t="str">
            <v>IL</v>
          </cell>
        </row>
        <row r="2153">
          <cell r="X2153" t="str">
            <v>IL</v>
          </cell>
        </row>
        <row r="2154">
          <cell r="X2154" t="str">
            <v>IL</v>
          </cell>
        </row>
        <row r="2155">
          <cell r="X2155" t="str">
            <v>IL</v>
          </cell>
        </row>
        <row r="2156">
          <cell r="X2156" t="str">
            <v>IL</v>
          </cell>
        </row>
        <row r="2157">
          <cell r="X2157" t="str">
            <v>IL</v>
          </cell>
        </row>
        <row r="2158">
          <cell r="X2158" t="str">
            <v>IL</v>
          </cell>
        </row>
        <row r="2159">
          <cell r="X2159" t="str">
            <v>IL</v>
          </cell>
        </row>
        <row r="2160">
          <cell r="X2160" t="str">
            <v>IL</v>
          </cell>
        </row>
        <row r="2161">
          <cell r="X2161" t="str">
            <v>IL</v>
          </cell>
        </row>
        <row r="2162">
          <cell r="X2162" t="str">
            <v>IL</v>
          </cell>
        </row>
        <row r="2163">
          <cell r="X2163" t="str">
            <v>IL</v>
          </cell>
        </row>
        <row r="2164">
          <cell r="X2164" t="str">
            <v>IL</v>
          </cell>
        </row>
        <row r="2165">
          <cell r="X2165" t="str">
            <v>IL</v>
          </cell>
        </row>
        <row r="2166">
          <cell r="X2166" t="str">
            <v>IL</v>
          </cell>
        </row>
        <row r="2167">
          <cell r="X2167" t="str">
            <v>IL</v>
          </cell>
        </row>
        <row r="2168">
          <cell r="X2168" t="str">
            <v>IL</v>
          </cell>
        </row>
        <row r="2169">
          <cell r="X2169" t="str">
            <v>IL</v>
          </cell>
        </row>
        <row r="2170">
          <cell r="X2170" t="str">
            <v>IL</v>
          </cell>
        </row>
        <row r="2171">
          <cell r="R2171" t="str">
            <v>Projected</v>
          </cell>
          <cell r="S2171" t="str">
            <v>Budget</v>
          </cell>
          <cell r="X2171" t="str">
            <v>IL</v>
          </cell>
        </row>
        <row r="2172">
          <cell r="X2172" t="str">
            <v>IL</v>
          </cell>
        </row>
        <row r="2173">
          <cell r="P2173">
            <v>11436785.9</v>
          </cell>
          <cell r="R2173">
            <v>8830603.2000000011</v>
          </cell>
          <cell r="S2173">
            <v>8971414</v>
          </cell>
          <cell r="X2173" t="str">
            <v>COP</v>
          </cell>
        </row>
        <row r="2174">
          <cell r="X2174" t="str">
            <v>COP</v>
          </cell>
        </row>
        <row r="2175">
          <cell r="X2175" t="str">
            <v>COP</v>
          </cell>
        </row>
        <row r="2176">
          <cell r="X2176" t="str">
            <v>COP</v>
          </cell>
        </row>
        <row r="2177">
          <cell r="P2177">
            <v>31680</v>
          </cell>
          <cell r="R2177">
            <v>26400</v>
          </cell>
          <cell r="S2177">
            <v>26400</v>
          </cell>
          <cell r="X2177" t="str">
            <v>COP</v>
          </cell>
        </row>
        <row r="2178">
          <cell r="X2178" t="str">
            <v>COP</v>
          </cell>
        </row>
        <row r="2179">
          <cell r="X2179" t="str">
            <v>COP</v>
          </cell>
        </row>
        <row r="2180">
          <cell r="P2180">
            <v>1416874.2775000001</v>
          </cell>
          <cell r="R2180">
            <v>1370673.6</v>
          </cell>
          <cell r="S2180">
            <v>1080814</v>
          </cell>
          <cell r="X2180" t="str">
            <v>COP</v>
          </cell>
        </row>
        <row r="2181">
          <cell r="X2181" t="str">
            <v>COP</v>
          </cell>
        </row>
        <row r="2182">
          <cell r="P2182">
            <v>12885340.1775</v>
          </cell>
          <cell r="R2182">
            <v>10227676.800000001</v>
          </cell>
          <cell r="S2182">
            <v>10078628</v>
          </cell>
          <cell r="X2182" t="str">
            <v>COP</v>
          </cell>
        </row>
        <row r="2183">
          <cell r="X2183" t="str">
            <v>COP</v>
          </cell>
        </row>
        <row r="2184">
          <cell r="X2184" t="str">
            <v>COP</v>
          </cell>
        </row>
        <row r="2185">
          <cell r="X2185" t="str">
            <v>COP</v>
          </cell>
        </row>
        <row r="2186">
          <cell r="X2186" t="str">
            <v>COP</v>
          </cell>
        </row>
        <row r="2187">
          <cell r="P2187">
            <v>0</v>
          </cell>
          <cell r="R2187">
            <v>0</v>
          </cell>
          <cell r="S2187">
            <v>0</v>
          </cell>
          <cell r="X2187" t="str">
            <v>COP</v>
          </cell>
        </row>
        <row r="2188">
          <cell r="X2188" t="str">
            <v>IL</v>
          </cell>
        </row>
        <row r="2189">
          <cell r="X2189" t="str">
            <v>COP</v>
          </cell>
        </row>
        <row r="2190">
          <cell r="P2190">
            <v>0</v>
          </cell>
          <cell r="R2190">
            <v>0</v>
          </cell>
          <cell r="S2190">
            <v>0</v>
          </cell>
          <cell r="X2190" t="str">
            <v>COP</v>
          </cell>
        </row>
        <row r="2191">
          <cell r="X2191" t="str">
            <v>COP</v>
          </cell>
        </row>
        <row r="2192">
          <cell r="X2192" t="str">
            <v>COP</v>
          </cell>
        </row>
        <row r="2193">
          <cell r="X2193" t="str">
            <v>COP</v>
          </cell>
        </row>
        <row r="2194">
          <cell r="P2194">
            <v>11195089.330909088</v>
          </cell>
          <cell r="R2194">
            <v>906684</v>
          </cell>
          <cell r="S2194">
            <v>1704167</v>
          </cell>
          <cell r="X2194" t="str">
            <v>IL</v>
          </cell>
        </row>
        <row r="2195">
          <cell r="X2195" t="str">
            <v>COP</v>
          </cell>
        </row>
        <row r="2196">
          <cell r="X2196" t="str">
            <v>COP</v>
          </cell>
        </row>
        <row r="2197">
          <cell r="X2197" t="str">
            <v>COP</v>
          </cell>
        </row>
        <row r="2198">
          <cell r="P2198">
            <v>0</v>
          </cell>
          <cell r="R2198">
            <v>0</v>
          </cell>
          <cell r="S2198">
            <v>0</v>
          </cell>
          <cell r="X2198" t="str">
            <v>COP</v>
          </cell>
        </row>
        <row r="2199">
          <cell r="X2199" t="str">
            <v>COP</v>
          </cell>
        </row>
        <row r="2200">
          <cell r="X2200" t="str">
            <v>COP</v>
          </cell>
        </row>
        <row r="2201">
          <cell r="X2201" t="str">
            <v>COP</v>
          </cell>
        </row>
        <row r="2202">
          <cell r="X2202" t="str">
            <v>COP</v>
          </cell>
        </row>
        <row r="2203">
          <cell r="P2203">
            <v>0</v>
          </cell>
          <cell r="R2203">
            <v>0</v>
          </cell>
          <cell r="S2203">
            <v>0</v>
          </cell>
          <cell r="X2203" t="str">
            <v>COP</v>
          </cell>
        </row>
        <row r="2204">
          <cell r="X2204" t="str">
            <v>COP</v>
          </cell>
        </row>
        <row r="2205">
          <cell r="R2205">
            <v>0</v>
          </cell>
          <cell r="S2205">
            <v>0</v>
          </cell>
          <cell r="X2205" t="str">
            <v>COP</v>
          </cell>
        </row>
        <row r="2206">
          <cell r="X2206" t="str">
            <v>COP</v>
          </cell>
        </row>
        <row r="2207">
          <cell r="X2207" t="str">
            <v>COP</v>
          </cell>
        </row>
        <row r="2208">
          <cell r="R2208">
            <v>0</v>
          </cell>
          <cell r="S2208">
            <v>0</v>
          </cell>
          <cell r="X2208" t="str">
            <v>COP</v>
          </cell>
        </row>
        <row r="2209">
          <cell r="X2209" t="str">
            <v>COP</v>
          </cell>
        </row>
        <row r="2210">
          <cell r="R2210">
            <v>0</v>
          </cell>
          <cell r="S2210">
            <v>0</v>
          </cell>
          <cell r="X2210" t="str">
            <v>COP</v>
          </cell>
        </row>
        <row r="2211">
          <cell r="X2211" t="str">
            <v>COP</v>
          </cell>
        </row>
        <row r="2212">
          <cell r="X2212" t="str">
            <v>COP</v>
          </cell>
        </row>
        <row r="2213">
          <cell r="X2213" t="str">
            <v>COP</v>
          </cell>
        </row>
        <row r="2214">
          <cell r="P2214">
            <v>0</v>
          </cell>
          <cell r="R2214">
            <v>0</v>
          </cell>
          <cell r="S2214">
            <v>0</v>
          </cell>
          <cell r="X2214" t="str">
            <v>COP</v>
          </cell>
        </row>
        <row r="2215">
          <cell r="P2215">
            <v>0</v>
          </cell>
          <cell r="R2215">
            <v>0</v>
          </cell>
          <cell r="S2215">
            <v>0</v>
          </cell>
          <cell r="X2215" t="str">
            <v>COP</v>
          </cell>
        </row>
        <row r="2216">
          <cell r="X2216" t="str">
            <v>COP</v>
          </cell>
        </row>
        <row r="2217">
          <cell r="R2217">
            <v>0</v>
          </cell>
          <cell r="S2217">
            <v>0</v>
          </cell>
          <cell r="X2217" t="str">
            <v>COP</v>
          </cell>
        </row>
        <row r="2218">
          <cell r="X2218" t="str">
            <v>COP</v>
          </cell>
        </row>
        <row r="2219">
          <cell r="X2219" t="str">
            <v>COP</v>
          </cell>
        </row>
        <row r="2220">
          <cell r="X2220" t="str">
            <v>COP</v>
          </cell>
        </row>
        <row r="2221">
          <cell r="R2221">
            <v>0</v>
          </cell>
          <cell r="S2221">
            <v>0</v>
          </cell>
          <cell r="X2221" t="str">
            <v>COP</v>
          </cell>
        </row>
        <row r="2222">
          <cell r="X2222" t="str">
            <v>COP</v>
          </cell>
        </row>
        <row r="2223">
          <cell r="R2223">
            <v>0</v>
          </cell>
          <cell r="S2223">
            <v>0</v>
          </cell>
          <cell r="X2223" t="str">
            <v>COP</v>
          </cell>
        </row>
        <row r="2224">
          <cell r="X2224" t="str">
            <v>COP</v>
          </cell>
        </row>
        <row r="2225">
          <cell r="P2225">
            <v>7770332.3499999996</v>
          </cell>
          <cell r="R2225">
            <v>5214386.4000000004</v>
          </cell>
          <cell r="S2225">
            <v>5460710</v>
          </cell>
          <cell r="X2225" t="str">
            <v>COP</v>
          </cell>
        </row>
        <row r="2226">
          <cell r="X2226" t="str">
            <v>COP</v>
          </cell>
        </row>
        <row r="2227">
          <cell r="X2227" t="str">
            <v>COP</v>
          </cell>
        </row>
        <row r="2228">
          <cell r="P2228">
            <v>31850761.858409092</v>
          </cell>
          <cell r="R2228">
            <v>16348747.200000001</v>
          </cell>
          <cell r="S2228">
            <v>17243505</v>
          </cell>
          <cell r="X2228" t="str">
            <v>COP</v>
          </cell>
        </row>
        <row r="2229">
          <cell r="X2229" t="str">
            <v>COP</v>
          </cell>
        </row>
        <row r="2230">
          <cell r="R2230">
            <v>0</v>
          </cell>
          <cell r="S2230">
            <v>0</v>
          </cell>
          <cell r="X2230" t="str">
            <v>IL</v>
          </cell>
        </row>
        <row r="2231">
          <cell r="P2231">
            <v>27710162.816815909</v>
          </cell>
          <cell r="R2231">
            <v>15074697.600000001</v>
          </cell>
          <cell r="S2231">
            <v>15832684</v>
          </cell>
          <cell r="X2231" t="str">
            <v>IL</v>
          </cell>
        </row>
        <row r="2232">
          <cell r="X2232" t="str">
            <v>IL</v>
          </cell>
        </row>
        <row r="2233">
          <cell r="R2233">
            <v>14056164</v>
          </cell>
          <cell r="S2233">
            <v>14950921</v>
          </cell>
          <cell r="X2233" t="str">
            <v>IL</v>
          </cell>
        </row>
        <row r="2234">
          <cell r="P2234" t="str">
            <v>Diff</v>
          </cell>
          <cell r="R2234">
            <v>1018533.6</v>
          </cell>
          <cell r="S2234">
            <v>881763</v>
          </cell>
          <cell r="X2234" t="str">
            <v>IL</v>
          </cell>
        </row>
        <row r="2235">
          <cell r="X2235" t="str">
            <v>IL</v>
          </cell>
        </row>
        <row r="2236">
          <cell r="X2236" t="str">
            <v>IL</v>
          </cell>
        </row>
        <row r="2237">
          <cell r="X2237" t="str">
            <v>IL</v>
          </cell>
        </row>
        <row r="2238">
          <cell r="X2238" t="str">
            <v>IL</v>
          </cell>
        </row>
        <row r="2239">
          <cell r="X2239" t="str">
            <v>IL</v>
          </cell>
        </row>
        <row r="2240">
          <cell r="X2240" t="str">
            <v>IL</v>
          </cell>
        </row>
        <row r="2241">
          <cell r="X2241" t="str">
            <v>IL</v>
          </cell>
        </row>
        <row r="2242">
          <cell r="X2242" t="str">
            <v>IL</v>
          </cell>
        </row>
        <row r="2243">
          <cell r="X2243" t="str">
            <v>IL</v>
          </cell>
        </row>
        <row r="2244">
          <cell r="X2244" t="str">
            <v>IL</v>
          </cell>
        </row>
        <row r="2245">
          <cell r="X2245" t="str">
            <v>IL</v>
          </cell>
        </row>
        <row r="2246">
          <cell r="X2246" t="str">
            <v>IL</v>
          </cell>
        </row>
        <row r="2247">
          <cell r="X2247" t="str">
            <v>IL</v>
          </cell>
        </row>
        <row r="2248">
          <cell r="X2248" t="str">
            <v>IL</v>
          </cell>
        </row>
        <row r="2249">
          <cell r="X2249" t="str">
            <v>IL</v>
          </cell>
        </row>
        <row r="2250">
          <cell r="X2250" t="str">
            <v>IL</v>
          </cell>
        </row>
        <row r="2251">
          <cell r="X2251" t="str">
            <v>IL</v>
          </cell>
        </row>
        <row r="2252">
          <cell r="X2252" t="str">
            <v>IL</v>
          </cell>
        </row>
        <row r="2253">
          <cell r="X2253" t="str">
            <v>IL</v>
          </cell>
        </row>
        <row r="2254">
          <cell r="X2254" t="str">
            <v>IL</v>
          </cell>
        </row>
        <row r="2255">
          <cell r="X2255" t="str">
            <v>IL</v>
          </cell>
        </row>
        <row r="2256">
          <cell r="X2256" t="str">
            <v>IL</v>
          </cell>
        </row>
        <row r="2257">
          <cell r="R2257" t="str">
            <v>Projected</v>
          </cell>
          <cell r="S2257" t="str">
            <v>Budget</v>
          </cell>
          <cell r="X2257" t="str">
            <v>IL</v>
          </cell>
        </row>
        <row r="2258">
          <cell r="X2258" t="str">
            <v>IL</v>
          </cell>
        </row>
        <row r="2259">
          <cell r="P2259">
            <v>2986691.9</v>
          </cell>
          <cell r="R2259">
            <v>1917492</v>
          </cell>
          <cell r="S2259">
            <v>2231654</v>
          </cell>
          <cell r="X2259" t="str">
            <v>COP</v>
          </cell>
        </row>
        <row r="2260">
          <cell r="X2260" t="str">
            <v>COP</v>
          </cell>
        </row>
        <row r="2261">
          <cell r="X2261" t="str">
            <v>COP</v>
          </cell>
        </row>
        <row r="2262">
          <cell r="X2262" t="str">
            <v>COP</v>
          </cell>
        </row>
        <row r="2263">
          <cell r="P2263">
            <v>21120</v>
          </cell>
          <cell r="R2263">
            <v>15840</v>
          </cell>
          <cell r="S2263">
            <v>15840</v>
          </cell>
          <cell r="X2263" t="str">
            <v>COP</v>
          </cell>
        </row>
        <row r="2264">
          <cell r="X2264" t="str">
            <v>COP</v>
          </cell>
        </row>
        <row r="2265">
          <cell r="X2265" t="str">
            <v>COP</v>
          </cell>
        </row>
        <row r="2266">
          <cell r="P2266">
            <v>480922.78749999998</v>
          </cell>
          <cell r="R2266">
            <v>246763.2</v>
          </cell>
          <cell r="S2266">
            <v>287067</v>
          </cell>
          <cell r="X2266" t="str">
            <v>COP</v>
          </cell>
        </row>
        <row r="2267">
          <cell r="X2267" t="str">
            <v>COP</v>
          </cell>
        </row>
        <row r="2268">
          <cell r="P2268">
            <v>3488734.6875</v>
          </cell>
          <cell r="R2268">
            <v>2180095.2000000002</v>
          </cell>
          <cell r="S2268">
            <v>2534561</v>
          </cell>
          <cell r="X2268" t="str">
            <v>COP</v>
          </cell>
        </row>
        <row r="2269">
          <cell r="X2269" t="str">
            <v>COP</v>
          </cell>
        </row>
        <row r="2270">
          <cell r="X2270" t="str">
            <v>COP</v>
          </cell>
        </row>
        <row r="2271">
          <cell r="X2271" t="str">
            <v>COP</v>
          </cell>
        </row>
        <row r="2272">
          <cell r="X2272" t="str">
            <v>COP</v>
          </cell>
        </row>
        <row r="2273">
          <cell r="P2273">
            <v>0</v>
          </cell>
          <cell r="R2273">
            <v>0</v>
          </cell>
          <cell r="S2273">
            <v>0</v>
          </cell>
          <cell r="X2273" t="str">
            <v>COP</v>
          </cell>
        </row>
        <row r="2274">
          <cell r="X2274" t="str">
            <v>IL</v>
          </cell>
        </row>
        <row r="2275">
          <cell r="X2275" t="str">
            <v>COP</v>
          </cell>
        </row>
        <row r="2276">
          <cell r="P2276">
            <v>0</v>
          </cell>
          <cell r="R2276">
            <v>0</v>
          </cell>
          <cell r="S2276">
            <v>0</v>
          </cell>
          <cell r="X2276" t="str">
            <v>COP</v>
          </cell>
        </row>
        <row r="2277">
          <cell r="X2277" t="str">
            <v>COP</v>
          </cell>
        </row>
        <row r="2278">
          <cell r="X2278" t="str">
            <v>COP</v>
          </cell>
        </row>
        <row r="2279">
          <cell r="X2279" t="str">
            <v>COP</v>
          </cell>
        </row>
        <row r="2280">
          <cell r="P2280">
            <v>358418.4</v>
          </cell>
          <cell r="R2280">
            <v>0</v>
          </cell>
          <cell r="S2280">
            <v>0</v>
          </cell>
          <cell r="X2280" t="str">
            <v>IL</v>
          </cell>
        </row>
        <row r="2281">
          <cell r="X2281" t="str">
            <v>COP</v>
          </cell>
        </row>
        <row r="2282">
          <cell r="X2282" t="str">
            <v>COP</v>
          </cell>
        </row>
        <row r="2283">
          <cell r="X2283" t="str">
            <v>COP</v>
          </cell>
        </row>
        <row r="2284">
          <cell r="P2284">
            <v>0</v>
          </cell>
          <cell r="R2284">
            <v>0</v>
          </cell>
          <cell r="S2284">
            <v>0</v>
          </cell>
          <cell r="X2284" t="str">
            <v>COP</v>
          </cell>
        </row>
        <row r="2285">
          <cell r="X2285" t="str">
            <v>COP</v>
          </cell>
        </row>
        <row r="2286">
          <cell r="X2286" t="str">
            <v>COP</v>
          </cell>
        </row>
        <row r="2287">
          <cell r="X2287" t="str">
            <v>COP</v>
          </cell>
        </row>
        <row r="2288">
          <cell r="X2288" t="str">
            <v>COP</v>
          </cell>
        </row>
        <row r="2289">
          <cell r="P2289">
            <v>0</v>
          </cell>
          <cell r="R2289">
            <v>0</v>
          </cell>
          <cell r="S2289">
            <v>0</v>
          </cell>
          <cell r="X2289" t="str">
            <v>COP</v>
          </cell>
        </row>
        <row r="2290">
          <cell r="X2290" t="str">
            <v>COP</v>
          </cell>
        </row>
        <row r="2291">
          <cell r="R2291">
            <v>0</v>
          </cell>
          <cell r="S2291">
            <v>0</v>
          </cell>
          <cell r="X2291" t="str">
            <v>COP</v>
          </cell>
        </row>
        <row r="2292">
          <cell r="X2292" t="str">
            <v>COP</v>
          </cell>
        </row>
        <row r="2293">
          <cell r="X2293" t="str">
            <v>COP</v>
          </cell>
        </row>
        <row r="2294">
          <cell r="R2294">
            <v>0</v>
          </cell>
          <cell r="S2294">
            <v>0</v>
          </cell>
          <cell r="X2294" t="str">
            <v>COP</v>
          </cell>
        </row>
        <row r="2295">
          <cell r="X2295" t="str">
            <v>COP</v>
          </cell>
        </row>
        <row r="2296">
          <cell r="R2296">
            <v>0</v>
          </cell>
          <cell r="S2296">
            <v>0</v>
          </cell>
          <cell r="X2296" t="str">
            <v>COP</v>
          </cell>
        </row>
        <row r="2297">
          <cell r="X2297" t="str">
            <v>COP</v>
          </cell>
        </row>
        <row r="2298">
          <cell r="X2298" t="str">
            <v>COP</v>
          </cell>
        </row>
        <row r="2299">
          <cell r="X2299" t="str">
            <v>COP</v>
          </cell>
        </row>
        <row r="2300">
          <cell r="P2300">
            <v>0</v>
          </cell>
          <cell r="R2300">
            <v>0</v>
          </cell>
          <cell r="S2300">
            <v>0</v>
          </cell>
          <cell r="X2300" t="str">
            <v>COP</v>
          </cell>
        </row>
        <row r="2301">
          <cell r="P2301">
            <v>0</v>
          </cell>
          <cell r="R2301">
            <v>0</v>
          </cell>
          <cell r="S2301">
            <v>0</v>
          </cell>
          <cell r="X2301" t="str">
            <v>COP</v>
          </cell>
        </row>
        <row r="2302">
          <cell r="X2302" t="str">
            <v>COP</v>
          </cell>
        </row>
        <row r="2303">
          <cell r="R2303">
            <v>0</v>
          </cell>
          <cell r="S2303">
            <v>0</v>
          </cell>
          <cell r="X2303" t="str">
            <v>COP</v>
          </cell>
        </row>
        <row r="2304">
          <cell r="X2304" t="str">
            <v>COP</v>
          </cell>
        </row>
        <row r="2305">
          <cell r="X2305" t="str">
            <v>COP</v>
          </cell>
        </row>
        <row r="2306">
          <cell r="X2306" t="str">
            <v>COP</v>
          </cell>
        </row>
        <row r="2307">
          <cell r="R2307">
            <v>0</v>
          </cell>
          <cell r="S2307">
            <v>0</v>
          </cell>
          <cell r="X2307" t="str">
            <v>COP</v>
          </cell>
        </row>
        <row r="2308">
          <cell r="X2308" t="str">
            <v>COP</v>
          </cell>
        </row>
        <row r="2309">
          <cell r="R2309">
            <v>0</v>
          </cell>
          <cell r="S2309">
            <v>0</v>
          </cell>
          <cell r="X2309" t="str">
            <v>COP</v>
          </cell>
        </row>
        <row r="2310">
          <cell r="X2310" t="str">
            <v>COP</v>
          </cell>
        </row>
        <row r="2311">
          <cell r="P2311">
            <v>3862285</v>
          </cell>
          <cell r="R2311">
            <v>4175450.4</v>
          </cell>
          <cell r="S2311">
            <v>4560450</v>
          </cell>
          <cell r="X2311" t="str">
            <v>COP</v>
          </cell>
        </row>
        <row r="2312">
          <cell r="X2312" t="str">
            <v>COP</v>
          </cell>
        </row>
        <row r="2313">
          <cell r="X2313" t="str">
            <v>COP</v>
          </cell>
        </row>
        <row r="2314">
          <cell r="P2314">
            <v>7709438.0875000004</v>
          </cell>
          <cell r="R2314">
            <v>6355545.5999999996</v>
          </cell>
          <cell r="S2314">
            <v>7095011</v>
          </cell>
          <cell r="X2314" t="str">
            <v>COP</v>
          </cell>
        </row>
        <row r="2315">
          <cell r="X2315" t="str">
            <v>COP</v>
          </cell>
        </row>
        <row r="2316">
          <cell r="R2316">
            <v>0</v>
          </cell>
          <cell r="S2316">
            <v>0</v>
          </cell>
          <cell r="X2316" t="str">
            <v>IL</v>
          </cell>
        </row>
        <row r="2317">
          <cell r="R2317">
            <v>6355545.5999999996</v>
          </cell>
          <cell r="S2317">
            <v>7095011</v>
          </cell>
          <cell r="X2317" t="str">
            <v>IL</v>
          </cell>
        </row>
        <row r="2318">
          <cell r="X2318" t="str">
            <v>IL</v>
          </cell>
        </row>
        <row r="2319">
          <cell r="R2319">
            <v>6355545.6000000006</v>
          </cell>
          <cell r="S2319">
            <v>7095011</v>
          </cell>
          <cell r="X2319" t="str">
            <v>IL</v>
          </cell>
        </row>
        <row r="2320">
          <cell r="P2320" t="str">
            <v>Diff</v>
          </cell>
          <cell r="R2320">
            <v>0</v>
          </cell>
          <cell r="S2320">
            <v>0</v>
          </cell>
          <cell r="X2320" t="str">
            <v>IL</v>
          </cell>
        </row>
        <row r="2321">
          <cell r="X2321" t="str">
            <v>IL</v>
          </cell>
        </row>
        <row r="2322">
          <cell r="X2322" t="str">
            <v>IL</v>
          </cell>
        </row>
        <row r="2323">
          <cell r="X2323" t="str">
            <v>IL</v>
          </cell>
        </row>
        <row r="2324">
          <cell r="X2324" t="str">
            <v>IL</v>
          </cell>
        </row>
        <row r="2325">
          <cell r="X2325" t="str">
            <v>IL</v>
          </cell>
        </row>
        <row r="2326">
          <cell r="X2326" t="str">
            <v>IL</v>
          </cell>
        </row>
        <row r="2327">
          <cell r="X2327" t="str">
            <v>IL</v>
          </cell>
        </row>
        <row r="2328">
          <cell r="X2328" t="str">
            <v>IL</v>
          </cell>
        </row>
        <row r="2329">
          <cell r="X2329" t="str">
            <v>IL</v>
          </cell>
        </row>
        <row r="2330">
          <cell r="X2330" t="str">
            <v>IL</v>
          </cell>
        </row>
        <row r="2331">
          <cell r="X2331" t="str">
            <v>IL</v>
          </cell>
        </row>
        <row r="2332">
          <cell r="X2332" t="str">
            <v>IL</v>
          </cell>
        </row>
        <row r="2333">
          <cell r="X2333" t="str">
            <v>IL</v>
          </cell>
        </row>
        <row r="2334">
          <cell r="X2334" t="str">
            <v>IL</v>
          </cell>
        </row>
        <row r="2335">
          <cell r="X2335" t="str">
            <v>IL</v>
          </cell>
        </row>
        <row r="2336">
          <cell r="X2336" t="str">
            <v>IL</v>
          </cell>
        </row>
        <row r="2337">
          <cell r="X2337" t="str">
            <v>IL</v>
          </cell>
        </row>
        <row r="2338">
          <cell r="X2338" t="str">
            <v>IL</v>
          </cell>
        </row>
        <row r="2339">
          <cell r="X2339" t="str">
            <v>IL</v>
          </cell>
        </row>
        <row r="2340">
          <cell r="X2340" t="str">
            <v>IL</v>
          </cell>
        </row>
        <row r="2341">
          <cell r="X2341" t="str">
            <v>IL</v>
          </cell>
        </row>
        <row r="2342">
          <cell r="X2342" t="str">
            <v>IL</v>
          </cell>
        </row>
        <row r="2343">
          <cell r="R2343" t="str">
            <v>Projected</v>
          </cell>
          <cell r="S2343" t="str">
            <v>Budget</v>
          </cell>
          <cell r="X2343" t="str">
            <v>IL</v>
          </cell>
        </row>
        <row r="2344">
          <cell r="X2344" t="str">
            <v>IL</v>
          </cell>
        </row>
        <row r="2345">
          <cell r="P2345">
            <v>20597715</v>
          </cell>
          <cell r="R2345">
            <v>18627998.400000002</v>
          </cell>
          <cell r="S2345">
            <v>19850964</v>
          </cell>
          <cell r="X2345" t="str">
            <v>COP</v>
          </cell>
        </row>
        <row r="2346">
          <cell r="X2346" t="str">
            <v>COP</v>
          </cell>
        </row>
        <row r="2347">
          <cell r="X2347" t="str">
            <v>COP</v>
          </cell>
        </row>
        <row r="2348">
          <cell r="X2348" t="str">
            <v>COP</v>
          </cell>
        </row>
        <row r="2349">
          <cell r="P2349">
            <v>79200</v>
          </cell>
          <cell r="R2349">
            <v>70272</v>
          </cell>
          <cell r="S2349">
            <v>73920</v>
          </cell>
          <cell r="X2349" t="str">
            <v>COP</v>
          </cell>
        </row>
        <row r="2350">
          <cell r="X2350" t="str">
            <v>COP</v>
          </cell>
        </row>
        <row r="2351">
          <cell r="X2351" t="str">
            <v>COP</v>
          </cell>
        </row>
        <row r="2352">
          <cell r="P2352">
            <v>2771473.0549999997</v>
          </cell>
          <cell r="R2352">
            <v>2086389.6</v>
          </cell>
          <cell r="S2352">
            <v>2185241</v>
          </cell>
          <cell r="X2352" t="str">
            <v>COP</v>
          </cell>
        </row>
        <row r="2353">
          <cell r="X2353" t="str">
            <v>COP</v>
          </cell>
        </row>
        <row r="2354">
          <cell r="P2354">
            <v>23448388.055</v>
          </cell>
          <cell r="R2354">
            <v>20784660.000000004</v>
          </cell>
          <cell r="S2354">
            <v>22110125</v>
          </cell>
          <cell r="X2354" t="str">
            <v>COP</v>
          </cell>
        </row>
        <row r="2355">
          <cell r="X2355" t="str">
            <v>COP</v>
          </cell>
        </row>
        <row r="2356">
          <cell r="X2356" t="str">
            <v>COP</v>
          </cell>
        </row>
        <row r="2357">
          <cell r="X2357" t="str">
            <v>COP</v>
          </cell>
        </row>
        <row r="2358">
          <cell r="X2358" t="str">
            <v>COP</v>
          </cell>
        </row>
        <row r="2359">
          <cell r="P2359">
            <v>0</v>
          </cell>
          <cell r="R2359">
            <v>0</v>
          </cell>
          <cell r="S2359">
            <v>0</v>
          </cell>
          <cell r="X2359" t="str">
            <v>COP</v>
          </cell>
        </row>
        <row r="2360">
          <cell r="X2360" t="str">
            <v>IL</v>
          </cell>
        </row>
        <row r="2361">
          <cell r="X2361" t="str">
            <v>COP</v>
          </cell>
        </row>
        <row r="2362">
          <cell r="P2362">
            <v>0</v>
          </cell>
          <cell r="R2362">
            <v>0</v>
          </cell>
          <cell r="S2362">
            <v>0</v>
          </cell>
          <cell r="X2362" t="str">
            <v>COP</v>
          </cell>
        </row>
        <row r="2363">
          <cell r="X2363" t="str">
            <v>COP</v>
          </cell>
        </row>
        <row r="2364">
          <cell r="X2364" t="str">
            <v>COP</v>
          </cell>
        </row>
        <row r="2365">
          <cell r="X2365" t="str">
            <v>COP</v>
          </cell>
        </row>
        <row r="2366">
          <cell r="P2366">
            <v>1769581.4475</v>
          </cell>
          <cell r="R2366">
            <v>0</v>
          </cell>
          <cell r="S2366">
            <v>967</v>
          </cell>
          <cell r="X2366" t="str">
            <v>IL</v>
          </cell>
        </row>
        <row r="2367">
          <cell r="X2367" t="str">
            <v>COP</v>
          </cell>
        </row>
        <row r="2368">
          <cell r="X2368" t="str">
            <v>COP</v>
          </cell>
        </row>
        <row r="2369">
          <cell r="X2369" t="str">
            <v>COP</v>
          </cell>
        </row>
        <row r="2370">
          <cell r="P2370">
            <v>0</v>
          </cell>
          <cell r="R2370">
            <v>0</v>
          </cell>
          <cell r="S2370">
            <v>0</v>
          </cell>
          <cell r="X2370" t="str">
            <v>COP</v>
          </cell>
        </row>
        <row r="2371">
          <cell r="X2371" t="str">
            <v>COP</v>
          </cell>
        </row>
        <row r="2372">
          <cell r="X2372" t="str">
            <v>COP</v>
          </cell>
        </row>
        <row r="2373">
          <cell r="X2373" t="str">
            <v>COP</v>
          </cell>
        </row>
        <row r="2374">
          <cell r="X2374" t="str">
            <v>COP</v>
          </cell>
        </row>
        <row r="2375">
          <cell r="P2375">
            <v>0</v>
          </cell>
          <cell r="R2375">
            <v>0</v>
          </cell>
          <cell r="S2375">
            <v>0</v>
          </cell>
          <cell r="X2375" t="str">
            <v>COP</v>
          </cell>
        </row>
        <row r="2376">
          <cell r="X2376" t="str">
            <v>COP</v>
          </cell>
        </row>
        <row r="2377">
          <cell r="P2377">
            <v>0</v>
          </cell>
          <cell r="R2377">
            <v>0</v>
          </cell>
          <cell r="S2377">
            <v>0</v>
          </cell>
          <cell r="X2377" t="str">
            <v>COP</v>
          </cell>
        </row>
        <row r="2378">
          <cell r="X2378" t="str">
            <v>COP</v>
          </cell>
        </row>
        <row r="2379">
          <cell r="X2379" t="str">
            <v>COP</v>
          </cell>
        </row>
        <row r="2380">
          <cell r="R2380">
            <v>0</v>
          </cell>
          <cell r="S2380">
            <v>0</v>
          </cell>
          <cell r="X2380" t="str">
            <v>COP</v>
          </cell>
        </row>
        <row r="2381">
          <cell r="X2381" t="str">
            <v>COP</v>
          </cell>
        </row>
        <row r="2382">
          <cell r="P2382">
            <v>0</v>
          </cell>
          <cell r="R2382">
            <v>0</v>
          </cell>
          <cell r="S2382">
            <v>0</v>
          </cell>
          <cell r="X2382" t="str">
            <v>COP</v>
          </cell>
        </row>
        <row r="2383">
          <cell r="X2383" t="str">
            <v>COP</v>
          </cell>
        </row>
        <row r="2384">
          <cell r="X2384" t="str">
            <v>COP</v>
          </cell>
        </row>
        <row r="2385">
          <cell r="X2385" t="str">
            <v>COP</v>
          </cell>
        </row>
        <row r="2386">
          <cell r="R2386">
            <v>0</v>
          </cell>
          <cell r="S2386">
            <v>0</v>
          </cell>
          <cell r="X2386" t="str">
            <v>COP</v>
          </cell>
        </row>
        <row r="2387">
          <cell r="R2387">
            <v>0</v>
          </cell>
          <cell r="S2387">
            <v>0</v>
          </cell>
          <cell r="X2387" t="str">
            <v>COP</v>
          </cell>
        </row>
        <row r="2388">
          <cell r="X2388" t="str">
            <v>COP</v>
          </cell>
        </row>
        <row r="2389">
          <cell r="P2389">
            <v>0</v>
          </cell>
          <cell r="R2389">
            <v>0</v>
          </cell>
          <cell r="S2389">
            <v>0</v>
          </cell>
          <cell r="X2389" t="str">
            <v>COP</v>
          </cell>
        </row>
        <row r="2390">
          <cell r="X2390" t="str">
            <v>COP</v>
          </cell>
        </row>
        <row r="2391">
          <cell r="X2391" t="str">
            <v>COP</v>
          </cell>
        </row>
        <row r="2392">
          <cell r="X2392" t="str">
            <v>COP</v>
          </cell>
        </row>
        <row r="2393">
          <cell r="R2393">
            <v>0</v>
          </cell>
          <cell r="S2393">
            <v>0</v>
          </cell>
          <cell r="X2393" t="str">
            <v>COP</v>
          </cell>
        </row>
        <row r="2394">
          <cell r="X2394" t="str">
            <v>COP</v>
          </cell>
        </row>
        <row r="2395">
          <cell r="R2395">
            <v>0</v>
          </cell>
          <cell r="S2395">
            <v>0</v>
          </cell>
          <cell r="X2395" t="str">
            <v>COP</v>
          </cell>
        </row>
        <row r="2396">
          <cell r="X2396" t="str">
            <v>COP</v>
          </cell>
        </row>
        <row r="2397">
          <cell r="P2397">
            <v>6594495.7499999991</v>
          </cell>
          <cell r="R2397">
            <v>4973866.4000000004</v>
          </cell>
          <cell r="S2397">
            <v>6853219</v>
          </cell>
          <cell r="X2397" t="str">
            <v>COP</v>
          </cell>
        </row>
        <row r="2398">
          <cell r="X2398" t="str">
            <v>COP</v>
          </cell>
        </row>
        <row r="2399">
          <cell r="X2399" t="str">
            <v>COP</v>
          </cell>
        </row>
        <row r="2400">
          <cell r="P2400">
            <v>31812465.252499998</v>
          </cell>
          <cell r="R2400">
            <v>25758526.400000006</v>
          </cell>
          <cell r="S2400">
            <v>28964311</v>
          </cell>
          <cell r="X2400" t="str">
            <v>COP</v>
          </cell>
        </row>
        <row r="2401">
          <cell r="X2401" t="str">
            <v>COP</v>
          </cell>
        </row>
        <row r="2402">
          <cell r="R2402">
            <v>0</v>
          </cell>
          <cell r="S2402">
            <v>0</v>
          </cell>
          <cell r="X2402" t="str">
            <v>IL</v>
          </cell>
        </row>
        <row r="2403">
          <cell r="R2403">
            <v>25758526.400000006</v>
          </cell>
          <cell r="S2403">
            <v>28964311</v>
          </cell>
          <cell r="X2403" t="str">
            <v>IL</v>
          </cell>
        </row>
        <row r="2404">
          <cell r="X2404" t="str">
            <v>IL</v>
          </cell>
        </row>
        <row r="2405">
          <cell r="R2405">
            <v>25758526.399999995</v>
          </cell>
          <cell r="S2405">
            <v>28964311</v>
          </cell>
          <cell r="X2405" t="str">
            <v>IL</v>
          </cell>
        </row>
        <row r="2406">
          <cell r="P2406" t="str">
            <v>Diff</v>
          </cell>
          <cell r="R2406">
            <v>0</v>
          </cell>
          <cell r="S2406">
            <v>0</v>
          </cell>
          <cell r="X2406" t="str">
            <v>IL</v>
          </cell>
        </row>
        <row r="2407">
          <cell r="X2407" t="str">
            <v>IL</v>
          </cell>
        </row>
        <row r="2408">
          <cell r="X2408" t="str">
            <v>IL</v>
          </cell>
        </row>
        <row r="2409">
          <cell r="X2409" t="str">
            <v>IL</v>
          </cell>
        </row>
        <row r="2410">
          <cell r="X2410" t="str">
            <v>IL</v>
          </cell>
        </row>
        <row r="2411">
          <cell r="X2411" t="str">
            <v>IL</v>
          </cell>
        </row>
        <row r="2412">
          <cell r="X2412" t="str">
            <v>IL</v>
          </cell>
        </row>
        <row r="2413">
          <cell r="X2413" t="str">
            <v>IL</v>
          </cell>
        </row>
        <row r="2414">
          <cell r="X2414" t="str">
            <v>IL</v>
          </cell>
        </row>
        <row r="2415">
          <cell r="X2415" t="str">
            <v>IL</v>
          </cell>
        </row>
        <row r="2416">
          <cell r="X2416" t="str">
            <v>IL</v>
          </cell>
        </row>
        <row r="2417">
          <cell r="X2417" t="str">
            <v>IL</v>
          </cell>
        </row>
        <row r="2418">
          <cell r="X2418" t="str">
            <v>IL</v>
          </cell>
        </row>
        <row r="2419">
          <cell r="X2419" t="str">
            <v>IL</v>
          </cell>
        </row>
        <row r="2420">
          <cell r="X2420" t="str">
            <v>IL</v>
          </cell>
        </row>
        <row r="2421">
          <cell r="X2421" t="str">
            <v>IL</v>
          </cell>
        </row>
        <row r="2422">
          <cell r="X2422" t="str">
            <v>IL</v>
          </cell>
        </row>
        <row r="2423">
          <cell r="X2423" t="str">
            <v>IL</v>
          </cell>
        </row>
        <row r="2424">
          <cell r="X2424" t="str">
            <v>IL</v>
          </cell>
        </row>
        <row r="2425">
          <cell r="X2425" t="str">
            <v>IL</v>
          </cell>
        </row>
        <row r="2426">
          <cell r="X2426" t="str">
            <v>IL</v>
          </cell>
        </row>
        <row r="2427">
          <cell r="X2427" t="str">
            <v>IL</v>
          </cell>
        </row>
        <row r="2428">
          <cell r="X2428" t="str">
            <v>IL</v>
          </cell>
        </row>
        <row r="2429">
          <cell r="R2429" t="str">
            <v>Projected</v>
          </cell>
          <cell r="S2429" t="str">
            <v>Budget</v>
          </cell>
          <cell r="X2429" t="str">
            <v>IL</v>
          </cell>
        </row>
        <row r="2430">
          <cell r="X2430" t="str">
            <v>IL</v>
          </cell>
        </row>
        <row r="2431">
          <cell r="P2431">
            <v>2449489.7999999998</v>
          </cell>
          <cell r="R2431">
            <v>2202456</v>
          </cell>
          <cell r="S2431">
            <v>2277261</v>
          </cell>
          <cell r="X2431" t="str">
            <v>COP</v>
          </cell>
        </row>
        <row r="2432">
          <cell r="X2432" t="str">
            <v>COP</v>
          </cell>
        </row>
        <row r="2433">
          <cell r="X2433" t="str">
            <v>COP</v>
          </cell>
        </row>
        <row r="2434">
          <cell r="X2434" t="str">
            <v>COP</v>
          </cell>
        </row>
        <row r="2435">
          <cell r="P2435">
            <v>10560</v>
          </cell>
          <cell r="R2435">
            <v>10560</v>
          </cell>
          <cell r="S2435">
            <v>0</v>
          </cell>
          <cell r="X2435" t="str">
            <v>COP</v>
          </cell>
        </row>
        <row r="2436">
          <cell r="X2436" t="str">
            <v>COP</v>
          </cell>
        </row>
        <row r="2437">
          <cell r="X2437" t="str">
            <v>COP</v>
          </cell>
        </row>
        <row r="2438">
          <cell r="P2438">
            <v>359646.22499999998</v>
          </cell>
          <cell r="R2438">
            <v>261182.4</v>
          </cell>
          <cell r="S2438">
            <v>284488</v>
          </cell>
          <cell r="X2438" t="str">
            <v>COP</v>
          </cell>
        </row>
        <row r="2439">
          <cell r="X2439" t="str">
            <v>COP</v>
          </cell>
        </row>
        <row r="2440">
          <cell r="P2440">
            <v>2819696.0249999999</v>
          </cell>
          <cell r="R2440">
            <v>2474198.4</v>
          </cell>
          <cell r="S2440">
            <v>2561749</v>
          </cell>
          <cell r="X2440" t="str">
            <v>COP</v>
          </cell>
        </row>
        <row r="2441">
          <cell r="X2441" t="str">
            <v>COP</v>
          </cell>
        </row>
        <row r="2442">
          <cell r="X2442" t="str">
            <v>COP</v>
          </cell>
        </row>
        <row r="2443">
          <cell r="X2443" t="str">
            <v>COP</v>
          </cell>
        </row>
        <row r="2444">
          <cell r="X2444" t="str">
            <v>COP</v>
          </cell>
        </row>
        <row r="2445">
          <cell r="P2445">
            <v>0</v>
          </cell>
          <cell r="R2445">
            <v>0</v>
          </cell>
          <cell r="S2445">
            <v>0</v>
          </cell>
          <cell r="X2445" t="str">
            <v>COP</v>
          </cell>
        </row>
        <row r="2446">
          <cell r="X2446" t="str">
            <v>IL</v>
          </cell>
        </row>
        <row r="2447">
          <cell r="X2447" t="str">
            <v>COP</v>
          </cell>
        </row>
        <row r="2448">
          <cell r="P2448">
            <v>0</v>
          </cell>
          <cell r="R2448">
            <v>0</v>
          </cell>
          <cell r="S2448">
            <v>0</v>
          </cell>
          <cell r="X2448" t="str">
            <v>COP</v>
          </cell>
        </row>
        <row r="2449">
          <cell r="X2449" t="str">
            <v>COP</v>
          </cell>
        </row>
        <row r="2450">
          <cell r="X2450" t="str">
            <v>COP</v>
          </cell>
        </row>
        <row r="2451">
          <cell r="X2451" t="str">
            <v>COP</v>
          </cell>
        </row>
        <row r="2452">
          <cell r="P2452">
            <v>147600</v>
          </cell>
          <cell r="R2452">
            <v>0</v>
          </cell>
          <cell r="S2452">
            <v>0</v>
          </cell>
          <cell r="X2452" t="str">
            <v>IL</v>
          </cell>
        </row>
        <row r="2453">
          <cell r="X2453" t="str">
            <v>COP</v>
          </cell>
        </row>
        <row r="2454">
          <cell r="X2454" t="str">
            <v>COP</v>
          </cell>
        </row>
        <row r="2455">
          <cell r="X2455" t="str">
            <v>COP</v>
          </cell>
        </row>
        <row r="2456">
          <cell r="P2456">
            <v>0</v>
          </cell>
          <cell r="R2456">
            <v>0</v>
          </cell>
          <cell r="S2456">
            <v>0</v>
          </cell>
          <cell r="X2456" t="str">
            <v>COP</v>
          </cell>
        </row>
        <row r="2457">
          <cell r="X2457" t="str">
            <v>COP</v>
          </cell>
        </row>
        <row r="2458">
          <cell r="X2458" t="str">
            <v>COP</v>
          </cell>
        </row>
        <row r="2459">
          <cell r="X2459" t="str">
            <v>COP</v>
          </cell>
        </row>
        <row r="2460">
          <cell r="X2460" t="str">
            <v>COP</v>
          </cell>
        </row>
        <row r="2461">
          <cell r="P2461">
            <v>0</v>
          </cell>
          <cell r="R2461">
            <v>0</v>
          </cell>
          <cell r="S2461">
            <v>0</v>
          </cell>
          <cell r="X2461" t="str">
            <v>COP</v>
          </cell>
        </row>
        <row r="2462">
          <cell r="X2462" t="str">
            <v>COP</v>
          </cell>
        </row>
        <row r="2463">
          <cell r="R2463">
            <v>0</v>
          </cell>
          <cell r="S2463">
            <v>0</v>
          </cell>
          <cell r="X2463" t="str">
            <v>COP</v>
          </cell>
        </row>
        <row r="2464">
          <cell r="X2464" t="str">
            <v>COP</v>
          </cell>
        </row>
        <row r="2465">
          <cell r="X2465" t="str">
            <v>COP</v>
          </cell>
        </row>
        <row r="2466">
          <cell r="R2466">
            <v>0</v>
          </cell>
          <cell r="S2466">
            <v>0</v>
          </cell>
          <cell r="X2466" t="str">
            <v>COP</v>
          </cell>
        </row>
        <row r="2467">
          <cell r="X2467" t="str">
            <v>COP</v>
          </cell>
        </row>
        <row r="2468">
          <cell r="R2468">
            <v>0</v>
          </cell>
          <cell r="S2468">
            <v>0</v>
          </cell>
          <cell r="X2468" t="str">
            <v>COP</v>
          </cell>
        </row>
        <row r="2469">
          <cell r="X2469" t="str">
            <v>COP</v>
          </cell>
        </row>
        <row r="2470">
          <cell r="X2470" t="str">
            <v>COP</v>
          </cell>
        </row>
        <row r="2471">
          <cell r="X2471" t="str">
            <v>COP</v>
          </cell>
        </row>
        <row r="2472">
          <cell r="R2472">
            <v>0</v>
          </cell>
          <cell r="S2472">
            <v>0</v>
          </cell>
          <cell r="X2472" t="str">
            <v>COP</v>
          </cell>
        </row>
        <row r="2473">
          <cell r="R2473">
            <v>0</v>
          </cell>
          <cell r="S2473">
            <v>0</v>
          </cell>
          <cell r="X2473" t="str">
            <v>COP</v>
          </cell>
        </row>
        <row r="2474">
          <cell r="X2474" t="str">
            <v>COP</v>
          </cell>
        </row>
        <row r="2475">
          <cell r="R2475">
            <v>0</v>
          </cell>
          <cell r="S2475">
            <v>0</v>
          </cell>
          <cell r="X2475" t="str">
            <v>COP</v>
          </cell>
        </row>
        <row r="2476">
          <cell r="X2476" t="str">
            <v>COP</v>
          </cell>
        </row>
        <row r="2477">
          <cell r="X2477" t="str">
            <v>COP</v>
          </cell>
        </row>
        <row r="2478">
          <cell r="X2478" t="str">
            <v>COP</v>
          </cell>
        </row>
        <row r="2479">
          <cell r="R2479">
            <v>0</v>
          </cell>
          <cell r="S2479">
            <v>0</v>
          </cell>
          <cell r="X2479" t="str">
            <v>COP</v>
          </cell>
        </row>
        <row r="2480">
          <cell r="X2480" t="str">
            <v>COP</v>
          </cell>
        </row>
        <row r="2481">
          <cell r="R2481">
            <v>0</v>
          </cell>
          <cell r="S2481">
            <v>0</v>
          </cell>
          <cell r="X2481" t="str">
            <v>COP</v>
          </cell>
        </row>
        <row r="2482">
          <cell r="X2482" t="str">
            <v>COP</v>
          </cell>
        </row>
        <row r="2483">
          <cell r="P2483">
            <v>465571.85</v>
          </cell>
          <cell r="R2483">
            <v>262831.2</v>
          </cell>
          <cell r="S2483">
            <v>374385</v>
          </cell>
          <cell r="X2483" t="str">
            <v>COP</v>
          </cell>
        </row>
        <row r="2484">
          <cell r="X2484" t="str">
            <v>COP</v>
          </cell>
        </row>
        <row r="2485">
          <cell r="X2485" t="str">
            <v>COP</v>
          </cell>
        </row>
        <row r="2486">
          <cell r="P2486">
            <v>3432867.875</v>
          </cell>
          <cell r="R2486">
            <v>2737029.6</v>
          </cell>
          <cell r="S2486">
            <v>2936134</v>
          </cell>
          <cell r="X2486" t="str">
            <v>COP</v>
          </cell>
        </row>
        <row r="2487">
          <cell r="X2487" t="str">
            <v>COP</v>
          </cell>
        </row>
        <row r="2488">
          <cell r="R2488">
            <v>0</v>
          </cell>
          <cell r="S2488">
            <v>0</v>
          </cell>
          <cell r="X2488" t="str">
            <v>IL</v>
          </cell>
        </row>
        <row r="2489">
          <cell r="R2489">
            <v>2737029.6</v>
          </cell>
          <cell r="S2489">
            <v>2936134</v>
          </cell>
          <cell r="X2489" t="str">
            <v>IL</v>
          </cell>
        </row>
        <row r="2490">
          <cell r="X2490" t="str">
            <v>IL</v>
          </cell>
        </row>
        <row r="2491">
          <cell r="R2491">
            <v>2737029.6</v>
          </cell>
          <cell r="S2491">
            <v>2936134</v>
          </cell>
          <cell r="X2491" t="str">
            <v>IL</v>
          </cell>
        </row>
        <row r="2492">
          <cell r="P2492" t="str">
            <v>Diff</v>
          </cell>
          <cell r="R2492">
            <v>0</v>
          </cell>
          <cell r="S2492">
            <v>0</v>
          </cell>
          <cell r="X2492" t="str">
            <v>IL</v>
          </cell>
        </row>
        <row r="2493">
          <cell r="X2493" t="str">
            <v>IL</v>
          </cell>
        </row>
        <row r="2494">
          <cell r="X2494" t="str">
            <v>IL</v>
          </cell>
        </row>
        <row r="2495">
          <cell r="X2495" t="str">
            <v>IL</v>
          </cell>
        </row>
        <row r="2496">
          <cell r="X2496" t="str">
            <v>IL</v>
          </cell>
        </row>
        <row r="2497">
          <cell r="X2497" t="str">
            <v>IL</v>
          </cell>
        </row>
        <row r="2498">
          <cell r="X2498" t="str">
            <v>IL</v>
          </cell>
        </row>
        <row r="2499">
          <cell r="X2499" t="str">
            <v>IL</v>
          </cell>
        </row>
        <row r="2500">
          <cell r="X2500" t="str">
            <v>IL</v>
          </cell>
        </row>
        <row r="2501">
          <cell r="X2501" t="str">
            <v>IL</v>
          </cell>
        </row>
        <row r="2502">
          <cell r="X2502" t="str">
            <v>IL</v>
          </cell>
        </row>
        <row r="2503">
          <cell r="X2503" t="str">
            <v>IL</v>
          </cell>
        </row>
        <row r="2504">
          <cell r="X2504" t="str">
            <v>IL</v>
          </cell>
        </row>
        <row r="2505">
          <cell r="X2505" t="str">
            <v>IL</v>
          </cell>
        </row>
        <row r="2506">
          <cell r="X2506" t="str">
            <v>IL</v>
          </cell>
        </row>
        <row r="2507">
          <cell r="X2507" t="str">
            <v>IL</v>
          </cell>
        </row>
        <row r="2508">
          <cell r="X2508" t="str">
            <v>IL</v>
          </cell>
        </row>
        <row r="2509">
          <cell r="X2509" t="str">
            <v>IL</v>
          </cell>
        </row>
        <row r="2510">
          <cell r="X2510" t="str">
            <v>IL</v>
          </cell>
        </row>
        <row r="2511">
          <cell r="X2511" t="str">
            <v>IL</v>
          </cell>
        </row>
        <row r="2512">
          <cell r="X2512" t="str">
            <v>IL</v>
          </cell>
        </row>
        <row r="2513">
          <cell r="X2513" t="str">
            <v>IL</v>
          </cell>
        </row>
        <row r="2514">
          <cell r="X2514" t="str">
            <v>IL</v>
          </cell>
        </row>
        <row r="2515">
          <cell r="R2515" t="str">
            <v>Projected</v>
          </cell>
          <cell r="S2515" t="str">
            <v>Budget</v>
          </cell>
          <cell r="X2515" t="str">
            <v>IL</v>
          </cell>
        </row>
        <row r="2516">
          <cell r="X2516" t="str">
            <v>IL</v>
          </cell>
        </row>
        <row r="2517">
          <cell r="P2517">
            <v>8629640.5999999996</v>
          </cell>
          <cell r="R2517">
            <v>8311552.8000000007</v>
          </cell>
          <cell r="S2517">
            <v>7090882</v>
          </cell>
          <cell r="X2517" t="str">
            <v>COP</v>
          </cell>
        </row>
        <row r="2518">
          <cell r="X2518" t="str">
            <v>COP</v>
          </cell>
        </row>
        <row r="2519">
          <cell r="X2519" t="str">
            <v>COP</v>
          </cell>
        </row>
        <row r="2520">
          <cell r="X2520" t="str">
            <v>COP</v>
          </cell>
        </row>
        <row r="2521">
          <cell r="P2521">
            <v>68640</v>
          </cell>
          <cell r="R2521">
            <v>57600</v>
          </cell>
          <cell r="S2521">
            <v>58080</v>
          </cell>
          <cell r="X2521" t="str">
            <v>COP</v>
          </cell>
        </row>
        <row r="2522">
          <cell r="X2522" t="str">
            <v>COP</v>
          </cell>
        </row>
        <row r="2523">
          <cell r="X2523" t="str">
            <v>COP</v>
          </cell>
        </row>
        <row r="2524">
          <cell r="P2524">
            <v>1386583.4750000001</v>
          </cell>
          <cell r="R2524">
            <v>939105.6</v>
          </cell>
          <cell r="S2524">
            <v>922639</v>
          </cell>
          <cell r="X2524" t="str">
            <v>COP</v>
          </cell>
        </row>
        <row r="2525">
          <cell r="X2525" t="str">
            <v>COP</v>
          </cell>
        </row>
        <row r="2526">
          <cell r="P2526">
            <v>10084864.074999999</v>
          </cell>
          <cell r="R2526">
            <v>9308258.4000000004</v>
          </cell>
          <cell r="S2526">
            <v>8071601</v>
          </cell>
          <cell r="X2526" t="str">
            <v>COP</v>
          </cell>
        </row>
        <row r="2527">
          <cell r="X2527" t="str">
            <v>COP</v>
          </cell>
        </row>
        <row r="2528">
          <cell r="X2528" t="str">
            <v>COP</v>
          </cell>
        </row>
        <row r="2529">
          <cell r="X2529" t="str">
            <v>COP</v>
          </cell>
        </row>
        <row r="2530">
          <cell r="X2530" t="str">
            <v>COP</v>
          </cell>
        </row>
        <row r="2531">
          <cell r="P2531">
            <v>0</v>
          </cell>
          <cell r="R2531">
            <v>0</v>
          </cell>
          <cell r="S2531">
            <v>0</v>
          </cell>
          <cell r="X2531" t="str">
            <v>COP</v>
          </cell>
        </row>
        <row r="2532">
          <cell r="X2532" t="str">
            <v>IL</v>
          </cell>
        </row>
        <row r="2533">
          <cell r="X2533" t="str">
            <v>COP</v>
          </cell>
        </row>
        <row r="2534">
          <cell r="P2534">
            <v>0</v>
          </cell>
          <cell r="R2534">
            <v>0</v>
          </cell>
          <cell r="S2534">
            <v>0</v>
          </cell>
          <cell r="X2534" t="str">
            <v>COP</v>
          </cell>
        </row>
        <row r="2535">
          <cell r="X2535" t="str">
            <v>COP</v>
          </cell>
        </row>
        <row r="2536">
          <cell r="X2536" t="str">
            <v>COP</v>
          </cell>
        </row>
        <row r="2537">
          <cell r="X2537" t="str">
            <v>COP</v>
          </cell>
        </row>
        <row r="2538">
          <cell r="P2538">
            <v>641578</v>
          </cell>
          <cell r="R2538">
            <v>2.4</v>
          </cell>
          <cell r="S2538">
            <v>38750</v>
          </cell>
          <cell r="X2538" t="str">
            <v>IL</v>
          </cell>
        </row>
        <row r="2539">
          <cell r="X2539" t="str">
            <v>COP</v>
          </cell>
        </row>
        <row r="2540">
          <cell r="X2540" t="str">
            <v>COP</v>
          </cell>
        </row>
        <row r="2541">
          <cell r="X2541" t="str">
            <v>COP</v>
          </cell>
        </row>
        <row r="2542">
          <cell r="P2542">
            <v>0</v>
          </cell>
          <cell r="R2542">
            <v>59400</v>
          </cell>
          <cell r="S2542">
            <v>0</v>
          </cell>
          <cell r="X2542" t="str">
            <v>COP</v>
          </cell>
        </row>
        <row r="2543">
          <cell r="X2543" t="str">
            <v>COP</v>
          </cell>
        </row>
        <row r="2544">
          <cell r="X2544" t="str">
            <v>COP</v>
          </cell>
        </row>
        <row r="2545">
          <cell r="X2545" t="str">
            <v>COP</v>
          </cell>
        </row>
        <row r="2546">
          <cell r="X2546" t="str">
            <v>COP</v>
          </cell>
        </row>
        <row r="2547">
          <cell r="P2547">
            <v>0</v>
          </cell>
          <cell r="R2547">
            <v>0</v>
          </cell>
          <cell r="S2547">
            <v>0</v>
          </cell>
          <cell r="X2547" t="str">
            <v>COP</v>
          </cell>
        </row>
        <row r="2548">
          <cell r="X2548" t="str">
            <v>COP</v>
          </cell>
        </row>
        <row r="2549">
          <cell r="R2549">
            <v>0</v>
          </cell>
          <cell r="S2549">
            <v>0</v>
          </cell>
          <cell r="X2549" t="str">
            <v>COP</v>
          </cell>
        </row>
        <row r="2550">
          <cell r="X2550" t="str">
            <v>COP</v>
          </cell>
        </row>
        <row r="2551">
          <cell r="X2551" t="str">
            <v>COP</v>
          </cell>
        </row>
        <row r="2552">
          <cell r="R2552">
            <v>0</v>
          </cell>
          <cell r="S2552">
            <v>0</v>
          </cell>
          <cell r="X2552" t="str">
            <v>COP</v>
          </cell>
        </row>
        <row r="2553">
          <cell r="X2553" t="str">
            <v>COP</v>
          </cell>
        </row>
        <row r="2554">
          <cell r="R2554">
            <v>0</v>
          </cell>
          <cell r="S2554">
            <v>0</v>
          </cell>
          <cell r="X2554" t="str">
            <v>COP</v>
          </cell>
        </row>
        <row r="2555">
          <cell r="X2555" t="str">
            <v>COP</v>
          </cell>
        </row>
        <row r="2556">
          <cell r="X2556" t="str">
            <v>COP</v>
          </cell>
        </row>
        <row r="2557">
          <cell r="X2557" t="str">
            <v>COP</v>
          </cell>
        </row>
        <row r="2558">
          <cell r="R2558">
            <v>0</v>
          </cell>
          <cell r="S2558">
            <v>0</v>
          </cell>
          <cell r="X2558" t="str">
            <v>COP</v>
          </cell>
        </row>
        <row r="2559">
          <cell r="R2559">
            <v>0</v>
          </cell>
          <cell r="S2559">
            <v>0</v>
          </cell>
          <cell r="X2559" t="str">
            <v>COP</v>
          </cell>
        </row>
        <row r="2560">
          <cell r="X2560" t="str">
            <v>COP</v>
          </cell>
        </row>
        <row r="2561">
          <cell r="R2561">
            <v>0</v>
          </cell>
          <cell r="S2561">
            <v>0</v>
          </cell>
          <cell r="X2561" t="str">
            <v>COP</v>
          </cell>
        </row>
        <row r="2562">
          <cell r="X2562" t="str">
            <v>COP</v>
          </cell>
        </row>
        <row r="2563">
          <cell r="X2563" t="str">
            <v>COP</v>
          </cell>
        </row>
        <row r="2564">
          <cell r="X2564" t="str">
            <v>COP</v>
          </cell>
        </row>
        <row r="2565">
          <cell r="R2565">
            <v>0</v>
          </cell>
          <cell r="S2565">
            <v>0</v>
          </cell>
          <cell r="X2565" t="str">
            <v>COP</v>
          </cell>
        </row>
        <row r="2566">
          <cell r="X2566" t="str">
            <v>COP</v>
          </cell>
        </row>
        <row r="2567">
          <cell r="R2567">
            <v>0</v>
          </cell>
          <cell r="S2567">
            <v>0</v>
          </cell>
          <cell r="X2567" t="str">
            <v>COP</v>
          </cell>
        </row>
        <row r="2568">
          <cell r="X2568" t="str">
            <v>COP</v>
          </cell>
        </row>
        <row r="2569">
          <cell r="P2569">
            <v>2747429.05</v>
          </cell>
          <cell r="R2569">
            <v>2522980.7999999998</v>
          </cell>
          <cell r="S2569">
            <v>1586956</v>
          </cell>
          <cell r="X2569" t="str">
            <v>COP</v>
          </cell>
        </row>
        <row r="2570">
          <cell r="X2570" t="str">
            <v>COP</v>
          </cell>
        </row>
        <row r="2571">
          <cell r="X2571" t="str">
            <v>COP</v>
          </cell>
        </row>
        <row r="2572">
          <cell r="P2572">
            <v>13473871.125</v>
          </cell>
          <cell r="R2572">
            <v>11890641.6</v>
          </cell>
          <cell r="S2572">
            <v>9697307</v>
          </cell>
          <cell r="X2572" t="str">
            <v>COP</v>
          </cell>
        </row>
        <row r="2573">
          <cell r="X2573" t="str">
            <v>COP</v>
          </cell>
        </row>
        <row r="2574">
          <cell r="R2574">
            <v>0</v>
          </cell>
          <cell r="S2574">
            <v>0</v>
          </cell>
          <cell r="X2574" t="str">
            <v>IL</v>
          </cell>
        </row>
        <row r="2575">
          <cell r="R2575">
            <v>11890641.6</v>
          </cell>
          <cell r="S2575">
            <v>9697307</v>
          </cell>
          <cell r="X2575" t="str">
            <v>IL</v>
          </cell>
        </row>
        <row r="2576">
          <cell r="X2576" t="str">
            <v>IL</v>
          </cell>
        </row>
        <row r="2577">
          <cell r="R2577">
            <v>11890641.600000001</v>
          </cell>
          <cell r="S2577">
            <v>9697307</v>
          </cell>
          <cell r="X2577" t="str">
            <v>IL</v>
          </cell>
        </row>
        <row r="2578">
          <cell r="P2578" t="str">
            <v>Diff</v>
          </cell>
          <cell r="R2578">
            <v>0</v>
          </cell>
          <cell r="S2578">
            <v>0</v>
          </cell>
          <cell r="X2578" t="str">
            <v>IL</v>
          </cell>
        </row>
        <row r="2579">
          <cell r="X2579" t="str">
            <v>IL</v>
          </cell>
        </row>
        <row r="2580">
          <cell r="X2580" t="str">
            <v>IL</v>
          </cell>
        </row>
        <row r="2581">
          <cell r="X2581" t="str">
            <v>IL</v>
          </cell>
        </row>
        <row r="2582">
          <cell r="X2582" t="str">
            <v>IL</v>
          </cell>
        </row>
        <row r="2583">
          <cell r="X2583" t="str">
            <v>IL</v>
          </cell>
        </row>
        <row r="2584">
          <cell r="X2584" t="str">
            <v>IL</v>
          </cell>
        </row>
        <row r="2585">
          <cell r="X2585" t="str">
            <v>IL</v>
          </cell>
        </row>
        <row r="2586">
          <cell r="X2586" t="str">
            <v>IL</v>
          </cell>
        </row>
        <row r="2587">
          <cell r="X2587" t="str">
            <v>IL</v>
          </cell>
        </row>
        <row r="2588">
          <cell r="X2588" t="str">
            <v>IL</v>
          </cell>
        </row>
        <row r="2589">
          <cell r="X2589" t="str">
            <v>IL</v>
          </cell>
        </row>
        <row r="2590">
          <cell r="X2590" t="str">
            <v>IL</v>
          </cell>
        </row>
        <row r="2591">
          <cell r="X2591" t="str">
            <v>IL</v>
          </cell>
        </row>
        <row r="2592">
          <cell r="X2592" t="str">
            <v>IL</v>
          </cell>
        </row>
        <row r="2593">
          <cell r="X2593" t="str">
            <v>IL</v>
          </cell>
        </row>
        <row r="2594">
          <cell r="X2594" t="str">
            <v>IL</v>
          </cell>
        </row>
        <row r="2595">
          <cell r="X2595" t="str">
            <v>IL</v>
          </cell>
        </row>
        <row r="2596">
          <cell r="X2596" t="str">
            <v>IL</v>
          </cell>
        </row>
        <row r="2597">
          <cell r="X2597" t="str">
            <v>IL</v>
          </cell>
        </row>
        <row r="2598">
          <cell r="X2598" t="str">
            <v>IL</v>
          </cell>
        </row>
        <row r="2599">
          <cell r="X2599" t="str">
            <v>IL</v>
          </cell>
        </row>
        <row r="2600">
          <cell r="X2600" t="str">
            <v>IL</v>
          </cell>
        </row>
        <row r="2601">
          <cell r="R2601" t="str">
            <v>Projected</v>
          </cell>
          <cell r="S2601" t="str">
            <v>Budget</v>
          </cell>
          <cell r="X2601" t="str">
            <v>IL</v>
          </cell>
        </row>
        <row r="2602">
          <cell r="X2602" t="str">
            <v>IL</v>
          </cell>
        </row>
        <row r="2603">
          <cell r="P2603">
            <v>767066.4</v>
          </cell>
          <cell r="R2603">
            <v>684028.8</v>
          </cell>
          <cell r="S2603">
            <v>723348</v>
          </cell>
          <cell r="X2603" t="str">
            <v>COP</v>
          </cell>
        </row>
        <row r="2604">
          <cell r="X2604" t="str">
            <v>COP</v>
          </cell>
        </row>
        <row r="2605">
          <cell r="X2605" t="str">
            <v>COP</v>
          </cell>
        </row>
        <row r="2606">
          <cell r="X2606" t="str">
            <v>COP</v>
          </cell>
        </row>
        <row r="2607">
          <cell r="P2607">
            <v>5280</v>
          </cell>
          <cell r="R2607">
            <v>5280</v>
          </cell>
          <cell r="S2607">
            <v>5280</v>
          </cell>
          <cell r="X2607" t="str">
            <v>COP</v>
          </cell>
        </row>
        <row r="2608">
          <cell r="X2608" t="str">
            <v>COP</v>
          </cell>
        </row>
        <row r="2609">
          <cell r="X2609" t="str">
            <v>COP</v>
          </cell>
        </row>
        <row r="2610">
          <cell r="P2610">
            <v>131606.70000000001</v>
          </cell>
          <cell r="R2610">
            <v>91982.399999999994</v>
          </cell>
          <cell r="S2610">
            <v>104457</v>
          </cell>
          <cell r="X2610" t="str">
            <v>COP</v>
          </cell>
        </row>
        <row r="2611">
          <cell r="X2611" t="str">
            <v>COP</v>
          </cell>
        </row>
        <row r="2612">
          <cell r="P2612">
            <v>903953.1</v>
          </cell>
          <cell r="R2612">
            <v>781291.2</v>
          </cell>
          <cell r="S2612">
            <v>833085</v>
          </cell>
          <cell r="X2612" t="str">
            <v>COP</v>
          </cell>
        </row>
        <row r="2613">
          <cell r="X2613" t="str">
            <v>COP</v>
          </cell>
        </row>
        <row r="2614">
          <cell r="X2614" t="str">
            <v>COP</v>
          </cell>
        </row>
        <row r="2615">
          <cell r="X2615" t="str">
            <v>COP</v>
          </cell>
        </row>
        <row r="2616">
          <cell r="X2616" t="str">
            <v>COP</v>
          </cell>
        </row>
        <row r="2617">
          <cell r="P2617">
            <v>0</v>
          </cell>
          <cell r="R2617">
            <v>0</v>
          </cell>
          <cell r="S2617">
            <v>0</v>
          </cell>
          <cell r="X2617" t="str">
            <v>COP</v>
          </cell>
        </row>
        <row r="2618">
          <cell r="X2618" t="str">
            <v>IL</v>
          </cell>
        </row>
        <row r="2619">
          <cell r="X2619" t="str">
            <v>COP</v>
          </cell>
        </row>
        <row r="2620">
          <cell r="P2620">
            <v>0</v>
          </cell>
          <cell r="R2620">
            <v>0</v>
          </cell>
          <cell r="S2620">
            <v>0</v>
          </cell>
          <cell r="X2620" t="str">
            <v>COP</v>
          </cell>
        </row>
        <row r="2621">
          <cell r="X2621" t="str">
            <v>COP</v>
          </cell>
        </row>
        <row r="2622">
          <cell r="X2622" t="str">
            <v>COP</v>
          </cell>
        </row>
        <row r="2623">
          <cell r="X2623" t="str">
            <v>COP</v>
          </cell>
        </row>
        <row r="2624">
          <cell r="P2624">
            <v>1391981.125</v>
          </cell>
          <cell r="R2624">
            <v>1269278.3999999999</v>
          </cell>
          <cell r="S2624">
            <v>1255360</v>
          </cell>
          <cell r="X2624" t="str">
            <v>IL</v>
          </cell>
        </row>
        <row r="2625">
          <cell r="X2625" t="str">
            <v>COP</v>
          </cell>
        </row>
        <row r="2626">
          <cell r="X2626" t="str">
            <v>COP</v>
          </cell>
        </row>
        <row r="2627">
          <cell r="X2627" t="str">
            <v>COP</v>
          </cell>
        </row>
        <row r="2628">
          <cell r="P2628">
            <v>0</v>
          </cell>
          <cell r="R2628">
            <v>0</v>
          </cell>
          <cell r="S2628">
            <v>0</v>
          </cell>
          <cell r="X2628" t="str">
            <v>COP</v>
          </cell>
        </row>
        <row r="2629">
          <cell r="X2629" t="str">
            <v>COP</v>
          </cell>
        </row>
        <row r="2630">
          <cell r="X2630" t="str">
            <v>COP</v>
          </cell>
        </row>
        <row r="2631">
          <cell r="X2631" t="str">
            <v>COP</v>
          </cell>
        </row>
        <row r="2632">
          <cell r="X2632" t="str">
            <v>COP</v>
          </cell>
        </row>
        <row r="2633">
          <cell r="R2633">
            <v>0</v>
          </cell>
          <cell r="S2633">
            <v>0</v>
          </cell>
          <cell r="X2633" t="str">
            <v>COP</v>
          </cell>
        </row>
        <row r="2634">
          <cell r="X2634" t="str">
            <v>COP</v>
          </cell>
        </row>
        <row r="2635">
          <cell r="R2635">
            <v>0</v>
          </cell>
          <cell r="S2635">
            <v>0</v>
          </cell>
          <cell r="X2635" t="str">
            <v>COP</v>
          </cell>
        </row>
        <row r="2636">
          <cell r="X2636" t="str">
            <v>COP</v>
          </cell>
        </row>
        <row r="2637">
          <cell r="X2637" t="str">
            <v>COP</v>
          </cell>
        </row>
        <row r="2638">
          <cell r="R2638">
            <v>0</v>
          </cell>
          <cell r="S2638">
            <v>0</v>
          </cell>
          <cell r="X2638" t="str">
            <v>COP</v>
          </cell>
        </row>
        <row r="2639">
          <cell r="X2639" t="str">
            <v>COP</v>
          </cell>
        </row>
        <row r="2640">
          <cell r="R2640">
            <v>0</v>
          </cell>
          <cell r="S2640">
            <v>0</v>
          </cell>
          <cell r="X2640" t="str">
            <v>COP</v>
          </cell>
        </row>
        <row r="2641">
          <cell r="X2641" t="str">
            <v>COP</v>
          </cell>
        </row>
        <row r="2642">
          <cell r="X2642" t="str">
            <v>COP</v>
          </cell>
        </row>
        <row r="2643">
          <cell r="X2643" t="str">
            <v>COP</v>
          </cell>
        </row>
        <row r="2644">
          <cell r="R2644">
            <v>0</v>
          </cell>
          <cell r="S2644">
            <v>0</v>
          </cell>
          <cell r="X2644" t="str">
            <v>COP</v>
          </cell>
        </row>
        <row r="2645">
          <cell r="R2645">
            <v>0</v>
          </cell>
          <cell r="S2645">
            <v>0</v>
          </cell>
          <cell r="X2645" t="str">
            <v>COP</v>
          </cell>
        </row>
        <row r="2646">
          <cell r="X2646" t="str">
            <v>COP</v>
          </cell>
        </row>
        <row r="2647">
          <cell r="R2647">
            <v>0</v>
          </cell>
          <cell r="S2647">
            <v>0</v>
          </cell>
          <cell r="X2647" t="str">
            <v>COP</v>
          </cell>
        </row>
        <row r="2648">
          <cell r="X2648" t="str">
            <v>COP</v>
          </cell>
        </row>
        <row r="2649">
          <cell r="X2649" t="str">
            <v>COP</v>
          </cell>
        </row>
        <row r="2650">
          <cell r="X2650" t="str">
            <v>COP</v>
          </cell>
        </row>
        <row r="2651">
          <cell r="R2651">
            <v>0</v>
          </cell>
          <cell r="S2651">
            <v>0</v>
          </cell>
          <cell r="X2651" t="str">
            <v>COP</v>
          </cell>
        </row>
        <row r="2652">
          <cell r="X2652" t="str">
            <v>COP</v>
          </cell>
        </row>
        <row r="2653">
          <cell r="R2653">
            <v>0</v>
          </cell>
          <cell r="S2653">
            <v>0</v>
          </cell>
          <cell r="X2653" t="str">
            <v>COP</v>
          </cell>
        </row>
        <row r="2654">
          <cell r="X2654" t="str">
            <v>COP</v>
          </cell>
        </row>
        <row r="2655">
          <cell r="P2655">
            <v>3409085</v>
          </cell>
          <cell r="R2655">
            <v>3079418.4</v>
          </cell>
          <cell r="S2655">
            <v>1322941</v>
          </cell>
          <cell r="X2655" t="str">
            <v>COP</v>
          </cell>
        </row>
        <row r="2656">
          <cell r="X2656" t="str">
            <v>COP</v>
          </cell>
        </row>
        <row r="2657">
          <cell r="X2657" t="str">
            <v>COP</v>
          </cell>
        </row>
        <row r="2658">
          <cell r="P2658">
            <v>5705019.2249999996</v>
          </cell>
          <cell r="R2658">
            <v>5129988</v>
          </cell>
          <cell r="S2658">
            <v>3411386</v>
          </cell>
          <cell r="X2658" t="str">
            <v>COP</v>
          </cell>
        </row>
        <row r="2659">
          <cell r="X2659" t="str">
            <v>COP</v>
          </cell>
        </row>
        <row r="2660">
          <cell r="R2660">
            <v>0</v>
          </cell>
          <cell r="S2660">
            <v>0</v>
          </cell>
          <cell r="X2660" t="str">
            <v>IL</v>
          </cell>
        </row>
        <row r="2661">
          <cell r="R2661">
            <v>5129988</v>
          </cell>
          <cell r="S2661">
            <v>3411386</v>
          </cell>
          <cell r="X2661" t="str">
            <v>IL</v>
          </cell>
        </row>
        <row r="2662">
          <cell r="X2662" t="str">
            <v>IL</v>
          </cell>
        </row>
        <row r="2663">
          <cell r="R2663">
            <v>3329988</v>
          </cell>
          <cell r="S2663">
            <v>3411386</v>
          </cell>
          <cell r="X2663" t="str">
            <v>IL</v>
          </cell>
        </row>
        <row r="2664">
          <cell r="P2664" t="str">
            <v>Diff</v>
          </cell>
          <cell r="R2664">
            <v>1800000</v>
          </cell>
          <cell r="S2664">
            <v>0</v>
          </cell>
          <cell r="X2664" t="str">
            <v>IL</v>
          </cell>
        </row>
        <row r="2665">
          <cell r="X2665" t="str">
            <v>IL</v>
          </cell>
        </row>
        <row r="2666">
          <cell r="X2666" t="str">
            <v>IL</v>
          </cell>
        </row>
        <row r="2667">
          <cell r="X2667" t="str">
            <v>IL</v>
          </cell>
        </row>
        <row r="2668">
          <cell r="X2668" t="str">
            <v>IL</v>
          </cell>
        </row>
        <row r="2669">
          <cell r="X2669" t="str">
            <v>IL</v>
          </cell>
        </row>
        <row r="2670">
          <cell r="X2670" t="str">
            <v>IL</v>
          </cell>
        </row>
        <row r="2671">
          <cell r="X2671" t="str">
            <v>IL</v>
          </cell>
        </row>
        <row r="2672">
          <cell r="X2672" t="str">
            <v>IL</v>
          </cell>
        </row>
        <row r="2673">
          <cell r="X2673" t="str">
            <v>IL</v>
          </cell>
        </row>
        <row r="2674">
          <cell r="X2674" t="str">
            <v>IL</v>
          </cell>
        </row>
        <row r="2675">
          <cell r="X2675" t="str">
            <v>IL</v>
          </cell>
        </row>
        <row r="2676">
          <cell r="X2676" t="str">
            <v>IL</v>
          </cell>
        </row>
        <row r="2677">
          <cell r="X2677" t="str">
            <v>IL</v>
          </cell>
        </row>
        <row r="2678">
          <cell r="X2678" t="str">
            <v>IL</v>
          </cell>
        </row>
        <row r="2679">
          <cell r="X2679" t="str">
            <v>IL</v>
          </cell>
        </row>
        <row r="2680">
          <cell r="X2680" t="str">
            <v>IL</v>
          </cell>
        </row>
        <row r="2681">
          <cell r="X2681" t="str">
            <v>IL</v>
          </cell>
        </row>
        <row r="2682">
          <cell r="X2682" t="str">
            <v>IL</v>
          </cell>
        </row>
        <row r="2683">
          <cell r="X2683" t="str">
            <v>IL</v>
          </cell>
        </row>
        <row r="2684">
          <cell r="X2684" t="str">
            <v>IL</v>
          </cell>
        </row>
        <row r="2685">
          <cell r="X2685" t="str">
            <v>IL</v>
          </cell>
        </row>
        <row r="2686">
          <cell r="X2686" t="str">
            <v>IL</v>
          </cell>
        </row>
        <row r="2687">
          <cell r="R2687" t="str">
            <v>Projected</v>
          </cell>
          <cell r="S2687" t="str">
            <v>Budget</v>
          </cell>
          <cell r="X2687" t="str">
            <v>IL</v>
          </cell>
        </row>
        <row r="2688">
          <cell r="X2688" t="str">
            <v>IL</v>
          </cell>
        </row>
        <row r="2689">
          <cell r="P2689">
            <v>593106</v>
          </cell>
          <cell r="R2689">
            <v>529152</v>
          </cell>
          <cell r="S2689">
            <v>547104</v>
          </cell>
          <cell r="X2689" t="str">
            <v>COP</v>
          </cell>
        </row>
        <row r="2690">
          <cell r="X2690" t="str">
            <v>COP</v>
          </cell>
        </row>
        <row r="2691">
          <cell r="X2691" t="str">
            <v>COP</v>
          </cell>
        </row>
        <row r="2692">
          <cell r="X2692" t="str">
            <v>COP</v>
          </cell>
        </row>
        <row r="2693">
          <cell r="P2693">
            <v>5280</v>
          </cell>
          <cell r="R2693">
            <v>5280</v>
          </cell>
          <cell r="S2693">
            <v>5280</v>
          </cell>
          <cell r="X2693" t="str">
            <v>COP</v>
          </cell>
        </row>
        <row r="2694">
          <cell r="X2694" t="str">
            <v>COP</v>
          </cell>
        </row>
        <row r="2695">
          <cell r="X2695" t="str">
            <v>COP</v>
          </cell>
        </row>
        <row r="2696">
          <cell r="P2696">
            <v>96558.15</v>
          </cell>
          <cell r="R2696">
            <v>68572.800000000003</v>
          </cell>
          <cell r="S2696">
            <v>74050</v>
          </cell>
          <cell r="X2696" t="str">
            <v>COP</v>
          </cell>
        </row>
        <row r="2697">
          <cell r="X2697" t="str">
            <v>COP</v>
          </cell>
        </row>
        <row r="2698">
          <cell r="P2698">
            <v>694944.15</v>
          </cell>
          <cell r="R2698">
            <v>603004.80000000005</v>
          </cell>
          <cell r="S2698">
            <v>626434</v>
          </cell>
          <cell r="X2698" t="str">
            <v>COP</v>
          </cell>
        </row>
        <row r="2699">
          <cell r="X2699" t="str">
            <v>COP</v>
          </cell>
        </row>
        <row r="2700">
          <cell r="X2700" t="str">
            <v>COP</v>
          </cell>
        </row>
        <row r="2701">
          <cell r="X2701" t="str">
            <v>COP</v>
          </cell>
        </row>
        <row r="2702">
          <cell r="X2702" t="str">
            <v>COP</v>
          </cell>
        </row>
        <row r="2703">
          <cell r="P2703">
            <v>0</v>
          </cell>
          <cell r="R2703">
            <v>0</v>
          </cell>
          <cell r="S2703">
            <v>0</v>
          </cell>
          <cell r="X2703" t="str">
            <v>COP</v>
          </cell>
        </row>
        <row r="2704">
          <cell r="X2704" t="str">
            <v>IL</v>
          </cell>
        </row>
        <row r="2705">
          <cell r="X2705" t="str">
            <v>COP</v>
          </cell>
        </row>
        <row r="2706">
          <cell r="P2706">
            <v>0</v>
          </cell>
          <cell r="R2706">
            <v>0</v>
          </cell>
          <cell r="S2706">
            <v>0</v>
          </cell>
          <cell r="X2706" t="str">
            <v>COP</v>
          </cell>
        </row>
        <row r="2707">
          <cell r="X2707" t="str">
            <v>COP</v>
          </cell>
        </row>
        <row r="2708">
          <cell r="X2708" t="str">
            <v>COP</v>
          </cell>
        </row>
        <row r="2709">
          <cell r="X2709" t="str">
            <v>COP</v>
          </cell>
        </row>
        <row r="2710">
          <cell r="P2710">
            <v>751819.45</v>
          </cell>
          <cell r="R2710">
            <v>638647.19999999995</v>
          </cell>
          <cell r="S2710">
            <v>737184</v>
          </cell>
          <cell r="X2710" t="str">
            <v>IL</v>
          </cell>
        </row>
        <row r="2711">
          <cell r="X2711" t="str">
            <v>COP</v>
          </cell>
        </row>
        <row r="2712">
          <cell r="X2712" t="str">
            <v>COP</v>
          </cell>
        </row>
        <row r="2713">
          <cell r="X2713" t="str">
            <v>COP</v>
          </cell>
        </row>
        <row r="2714">
          <cell r="P2714">
            <v>24000</v>
          </cell>
          <cell r="R2714">
            <v>24000</v>
          </cell>
          <cell r="S2714">
            <v>30000</v>
          </cell>
          <cell r="X2714" t="str">
            <v>COP</v>
          </cell>
        </row>
        <row r="2715">
          <cell r="X2715" t="str">
            <v>COP</v>
          </cell>
        </row>
        <row r="2716">
          <cell r="X2716" t="str">
            <v>COP</v>
          </cell>
        </row>
        <row r="2717">
          <cell r="X2717" t="str">
            <v>COP</v>
          </cell>
        </row>
        <row r="2718">
          <cell r="X2718" t="str">
            <v>COP</v>
          </cell>
        </row>
        <row r="2719">
          <cell r="P2719">
            <v>0</v>
          </cell>
          <cell r="R2719">
            <v>0</v>
          </cell>
          <cell r="S2719">
            <v>0</v>
          </cell>
          <cell r="X2719" t="str">
            <v>COP</v>
          </cell>
        </row>
        <row r="2720">
          <cell r="X2720" t="str">
            <v>COP</v>
          </cell>
        </row>
        <row r="2721">
          <cell r="R2721">
            <v>0</v>
          </cell>
          <cell r="S2721">
            <v>0</v>
          </cell>
          <cell r="X2721" t="str">
            <v>COP</v>
          </cell>
        </row>
        <row r="2722">
          <cell r="X2722" t="str">
            <v>COP</v>
          </cell>
        </row>
        <row r="2723">
          <cell r="X2723" t="str">
            <v>COP</v>
          </cell>
        </row>
        <row r="2724">
          <cell r="R2724">
            <v>0</v>
          </cell>
          <cell r="S2724">
            <v>0</v>
          </cell>
          <cell r="X2724" t="str">
            <v>COP</v>
          </cell>
        </row>
        <row r="2725">
          <cell r="X2725" t="str">
            <v>COP</v>
          </cell>
        </row>
        <row r="2726">
          <cell r="R2726">
            <v>0</v>
          </cell>
          <cell r="S2726">
            <v>0</v>
          </cell>
          <cell r="X2726" t="str">
            <v>COP</v>
          </cell>
        </row>
        <row r="2727">
          <cell r="X2727" t="str">
            <v>COP</v>
          </cell>
        </row>
        <row r="2728">
          <cell r="X2728" t="str">
            <v>COP</v>
          </cell>
        </row>
        <row r="2729">
          <cell r="X2729" t="str">
            <v>COP</v>
          </cell>
        </row>
        <row r="2730">
          <cell r="R2730">
            <v>0</v>
          </cell>
          <cell r="S2730">
            <v>0</v>
          </cell>
          <cell r="X2730" t="str">
            <v>COP</v>
          </cell>
        </row>
        <row r="2731">
          <cell r="R2731">
            <v>0</v>
          </cell>
          <cell r="S2731">
            <v>0</v>
          </cell>
          <cell r="X2731" t="str">
            <v>COP</v>
          </cell>
        </row>
        <row r="2732">
          <cell r="X2732" t="str">
            <v>COP</v>
          </cell>
        </row>
        <row r="2733">
          <cell r="R2733">
            <v>0</v>
          </cell>
          <cell r="S2733">
            <v>0</v>
          </cell>
          <cell r="X2733" t="str">
            <v>COP</v>
          </cell>
        </row>
        <row r="2734">
          <cell r="X2734" t="str">
            <v>COP</v>
          </cell>
        </row>
        <row r="2735">
          <cell r="X2735" t="str">
            <v>COP</v>
          </cell>
        </row>
        <row r="2736">
          <cell r="X2736" t="str">
            <v>COP</v>
          </cell>
        </row>
        <row r="2737">
          <cell r="R2737">
            <v>0</v>
          </cell>
          <cell r="S2737">
            <v>0</v>
          </cell>
          <cell r="X2737" t="str">
            <v>COP</v>
          </cell>
        </row>
        <row r="2738">
          <cell r="X2738" t="str">
            <v>COP</v>
          </cell>
        </row>
        <row r="2739">
          <cell r="R2739">
            <v>0</v>
          </cell>
          <cell r="S2739">
            <v>0</v>
          </cell>
          <cell r="X2739" t="str">
            <v>COP</v>
          </cell>
        </row>
        <row r="2740">
          <cell r="X2740" t="str">
            <v>COP</v>
          </cell>
        </row>
        <row r="2741">
          <cell r="P2741">
            <v>5378699.25</v>
          </cell>
          <cell r="R2741">
            <v>4865856</v>
          </cell>
          <cell r="S2741">
            <v>2194655</v>
          </cell>
          <cell r="X2741" t="str">
            <v>COP</v>
          </cell>
        </row>
        <row r="2742">
          <cell r="X2742" t="str">
            <v>COP</v>
          </cell>
        </row>
        <row r="2743">
          <cell r="X2743" t="str">
            <v>COP</v>
          </cell>
        </row>
        <row r="2744">
          <cell r="P2744">
            <v>6849462.8500000006</v>
          </cell>
          <cell r="R2744">
            <v>6131508</v>
          </cell>
          <cell r="S2744">
            <v>3588273</v>
          </cell>
          <cell r="X2744" t="str">
            <v>COP</v>
          </cell>
        </row>
        <row r="2745">
          <cell r="X2745" t="str">
            <v>COP</v>
          </cell>
        </row>
        <row r="2746">
          <cell r="R2746">
            <v>0</v>
          </cell>
          <cell r="S2746">
            <v>0</v>
          </cell>
          <cell r="X2746" t="str">
            <v>IL</v>
          </cell>
        </row>
        <row r="2747">
          <cell r="P2747">
            <v>6849462.8500000006</v>
          </cell>
          <cell r="R2747">
            <v>6131508</v>
          </cell>
          <cell r="S2747">
            <v>3588273</v>
          </cell>
          <cell r="X2747" t="str">
            <v>IL</v>
          </cell>
        </row>
        <row r="2748">
          <cell r="X2748" t="str">
            <v>IL</v>
          </cell>
        </row>
        <row r="2749">
          <cell r="R2749">
            <v>4031508</v>
          </cell>
          <cell r="S2749">
            <v>3588273</v>
          </cell>
          <cell r="X2749" t="str">
            <v>IL</v>
          </cell>
        </row>
        <row r="2750">
          <cell r="P2750" t="str">
            <v>Diff</v>
          </cell>
          <cell r="R2750">
            <v>2100000</v>
          </cell>
          <cell r="S2750">
            <v>0</v>
          </cell>
          <cell r="X2750" t="str">
            <v>IL</v>
          </cell>
        </row>
        <row r="2751">
          <cell r="X2751" t="str">
            <v>IL</v>
          </cell>
        </row>
        <row r="2752">
          <cell r="X2752" t="str">
            <v>IL</v>
          </cell>
        </row>
        <row r="2753">
          <cell r="X2753" t="str">
            <v>IL</v>
          </cell>
        </row>
        <row r="2754">
          <cell r="X2754" t="str">
            <v>IL</v>
          </cell>
        </row>
        <row r="2755">
          <cell r="X2755" t="str">
            <v>IL</v>
          </cell>
        </row>
        <row r="2756">
          <cell r="X2756" t="str">
            <v>IL</v>
          </cell>
        </row>
        <row r="2757">
          <cell r="X2757" t="str">
            <v>IL</v>
          </cell>
        </row>
        <row r="2758">
          <cell r="X2758" t="str">
            <v>IL</v>
          </cell>
        </row>
        <row r="2759">
          <cell r="X2759" t="str">
            <v>IL</v>
          </cell>
        </row>
        <row r="2760">
          <cell r="X2760" t="str">
            <v>IL</v>
          </cell>
        </row>
        <row r="2761">
          <cell r="X2761" t="str">
            <v>IL</v>
          </cell>
        </row>
        <row r="2762">
          <cell r="X2762" t="str">
            <v>IL</v>
          </cell>
        </row>
        <row r="2763">
          <cell r="X2763" t="str">
            <v>IL</v>
          </cell>
        </row>
        <row r="2764">
          <cell r="X2764" t="str">
            <v>IL</v>
          </cell>
        </row>
        <row r="2765">
          <cell r="X2765" t="str">
            <v>IL</v>
          </cell>
        </row>
        <row r="2766">
          <cell r="X2766" t="str">
            <v>IL</v>
          </cell>
        </row>
        <row r="2767">
          <cell r="X2767" t="str">
            <v>IL</v>
          </cell>
        </row>
        <row r="2768">
          <cell r="X2768" t="str">
            <v>IL</v>
          </cell>
        </row>
        <row r="2769">
          <cell r="X2769" t="str">
            <v>IL</v>
          </cell>
        </row>
        <row r="2770">
          <cell r="X2770" t="str">
            <v>IL</v>
          </cell>
        </row>
        <row r="2771">
          <cell r="X2771" t="str">
            <v>IL</v>
          </cell>
        </row>
        <row r="2772">
          <cell r="X2772" t="str">
            <v>IL</v>
          </cell>
        </row>
        <row r="2773">
          <cell r="R2773" t="str">
            <v>Projected</v>
          </cell>
          <cell r="S2773" t="str">
            <v>Budget</v>
          </cell>
          <cell r="X2773" t="str">
            <v>IL</v>
          </cell>
        </row>
        <row r="2774">
          <cell r="X2774" t="str">
            <v>IL</v>
          </cell>
        </row>
        <row r="2775">
          <cell r="P2775">
            <v>504143.7</v>
          </cell>
          <cell r="R2775">
            <v>459830.4</v>
          </cell>
          <cell r="S2775">
            <v>464501</v>
          </cell>
          <cell r="X2775" t="str">
            <v>COP</v>
          </cell>
        </row>
        <row r="2776">
          <cell r="X2776" t="str">
            <v>COP</v>
          </cell>
        </row>
        <row r="2777">
          <cell r="X2777" t="str">
            <v>COP</v>
          </cell>
        </row>
        <row r="2778">
          <cell r="X2778" t="str">
            <v>COP</v>
          </cell>
        </row>
        <row r="2779">
          <cell r="P2779">
            <v>5280</v>
          </cell>
          <cell r="R2779">
            <v>5280</v>
          </cell>
          <cell r="S2779">
            <v>5280</v>
          </cell>
          <cell r="X2779" t="str">
            <v>COP</v>
          </cell>
        </row>
        <row r="2780">
          <cell r="X2780" t="str">
            <v>COP</v>
          </cell>
        </row>
        <row r="2781">
          <cell r="X2781" t="str">
            <v>COP</v>
          </cell>
        </row>
        <row r="2782">
          <cell r="P2782">
            <v>77915.362499999974</v>
          </cell>
          <cell r="R2782">
            <v>55108.800000000003</v>
          </cell>
          <cell r="S2782">
            <v>58962</v>
          </cell>
          <cell r="X2782" t="str">
            <v>COP</v>
          </cell>
        </row>
        <row r="2783">
          <cell r="X2783" t="str">
            <v>COP</v>
          </cell>
        </row>
        <row r="2784">
          <cell r="P2784">
            <v>587339.06249999988</v>
          </cell>
          <cell r="R2784">
            <v>520219.2</v>
          </cell>
          <cell r="S2784">
            <v>528743</v>
          </cell>
          <cell r="X2784" t="str">
            <v>COP</v>
          </cell>
        </row>
        <row r="2785">
          <cell r="X2785" t="str">
            <v>COP</v>
          </cell>
        </row>
        <row r="2786">
          <cell r="X2786" t="str">
            <v>COP</v>
          </cell>
        </row>
        <row r="2787">
          <cell r="X2787" t="str">
            <v>COP</v>
          </cell>
        </row>
        <row r="2788">
          <cell r="X2788" t="str">
            <v>COP</v>
          </cell>
        </row>
        <row r="2789">
          <cell r="P2789">
            <v>0</v>
          </cell>
          <cell r="R2789">
            <v>0</v>
          </cell>
          <cell r="S2789">
            <v>0</v>
          </cell>
          <cell r="X2789" t="str">
            <v>COP</v>
          </cell>
        </row>
        <row r="2790">
          <cell r="X2790" t="str">
            <v>IL</v>
          </cell>
        </row>
        <row r="2791">
          <cell r="X2791" t="str">
            <v>COP</v>
          </cell>
        </row>
        <row r="2792">
          <cell r="P2792">
            <v>0</v>
          </cell>
          <cell r="R2792">
            <v>0</v>
          </cell>
          <cell r="S2792">
            <v>0</v>
          </cell>
          <cell r="X2792" t="str">
            <v>COP</v>
          </cell>
        </row>
        <row r="2793">
          <cell r="X2793" t="str">
            <v>COP</v>
          </cell>
        </row>
        <row r="2794">
          <cell r="X2794" t="str">
            <v>COP</v>
          </cell>
        </row>
        <row r="2795">
          <cell r="X2795" t="str">
            <v>COP</v>
          </cell>
        </row>
        <row r="2796">
          <cell r="P2796">
            <v>911431</v>
          </cell>
          <cell r="R2796">
            <v>459312</v>
          </cell>
          <cell r="S2796">
            <v>466200</v>
          </cell>
          <cell r="X2796" t="str">
            <v>IL</v>
          </cell>
        </row>
        <row r="2797">
          <cell r="X2797" t="str">
            <v>COP</v>
          </cell>
        </row>
        <row r="2798">
          <cell r="X2798" t="str">
            <v>COP</v>
          </cell>
        </row>
        <row r="2799">
          <cell r="X2799" t="str">
            <v>COP</v>
          </cell>
        </row>
        <row r="2800">
          <cell r="P2800">
            <v>0</v>
          </cell>
          <cell r="R2800">
            <v>960</v>
          </cell>
          <cell r="S2800">
            <v>14400</v>
          </cell>
          <cell r="X2800" t="str">
            <v>COP</v>
          </cell>
        </row>
        <row r="2801">
          <cell r="X2801" t="str">
            <v>COP</v>
          </cell>
        </row>
        <row r="2802">
          <cell r="X2802" t="str">
            <v>COP</v>
          </cell>
        </row>
        <row r="2803">
          <cell r="X2803" t="str">
            <v>COP</v>
          </cell>
        </row>
        <row r="2804">
          <cell r="X2804" t="str">
            <v>COP</v>
          </cell>
        </row>
        <row r="2805">
          <cell r="P2805">
            <v>0</v>
          </cell>
          <cell r="R2805">
            <v>0</v>
          </cell>
          <cell r="S2805">
            <v>0</v>
          </cell>
          <cell r="X2805" t="str">
            <v>COP</v>
          </cell>
        </row>
        <row r="2806">
          <cell r="X2806" t="str">
            <v>COP</v>
          </cell>
        </row>
        <row r="2807">
          <cell r="R2807">
            <v>0</v>
          </cell>
          <cell r="S2807">
            <v>0</v>
          </cell>
          <cell r="X2807" t="str">
            <v>COP</v>
          </cell>
        </row>
        <row r="2808">
          <cell r="X2808" t="str">
            <v>COP</v>
          </cell>
        </row>
        <row r="2809">
          <cell r="X2809" t="str">
            <v>COP</v>
          </cell>
        </row>
        <row r="2810">
          <cell r="P2810">
            <v>0</v>
          </cell>
          <cell r="R2810">
            <v>0</v>
          </cell>
          <cell r="S2810">
            <v>0</v>
          </cell>
          <cell r="X2810" t="str">
            <v>COP</v>
          </cell>
        </row>
        <row r="2811">
          <cell r="X2811" t="str">
            <v>COP</v>
          </cell>
        </row>
        <row r="2812">
          <cell r="R2812">
            <v>0</v>
          </cell>
          <cell r="S2812">
            <v>0</v>
          </cell>
          <cell r="X2812" t="str">
            <v>COP</v>
          </cell>
        </row>
        <row r="2813">
          <cell r="X2813" t="str">
            <v>COP</v>
          </cell>
        </row>
        <row r="2814">
          <cell r="X2814" t="str">
            <v>COP</v>
          </cell>
        </row>
        <row r="2815">
          <cell r="X2815" t="str">
            <v>COP</v>
          </cell>
        </row>
        <row r="2816">
          <cell r="P2816">
            <v>0</v>
          </cell>
          <cell r="R2816">
            <v>0</v>
          </cell>
          <cell r="S2816">
            <v>0</v>
          </cell>
          <cell r="X2816" t="str">
            <v>COP</v>
          </cell>
        </row>
        <row r="2817">
          <cell r="R2817">
            <v>0</v>
          </cell>
          <cell r="S2817">
            <v>0</v>
          </cell>
          <cell r="X2817" t="str">
            <v>COP</v>
          </cell>
        </row>
        <row r="2818">
          <cell r="X2818" t="str">
            <v>COP</v>
          </cell>
        </row>
        <row r="2819">
          <cell r="R2819">
            <v>0</v>
          </cell>
          <cell r="S2819">
            <v>0</v>
          </cell>
          <cell r="X2819" t="str">
            <v>COP</v>
          </cell>
        </row>
        <row r="2820">
          <cell r="X2820" t="str">
            <v>COP</v>
          </cell>
        </row>
        <row r="2821">
          <cell r="X2821" t="str">
            <v>COP</v>
          </cell>
        </row>
        <row r="2822">
          <cell r="X2822" t="str">
            <v>COP</v>
          </cell>
        </row>
        <row r="2823">
          <cell r="R2823">
            <v>0</v>
          </cell>
          <cell r="S2823">
            <v>0</v>
          </cell>
          <cell r="X2823" t="str">
            <v>COP</v>
          </cell>
        </row>
        <row r="2824">
          <cell r="X2824" t="str">
            <v>COP</v>
          </cell>
        </row>
        <row r="2825">
          <cell r="R2825">
            <v>0</v>
          </cell>
          <cell r="S2825">
            <v>0</v>
          </cell>
          <cell r="X2825" t="str">
            <v>COP</v>
          </cell>
        </row>
        <row r="2826">
          <cell r="X2826" t="str">
            <v>COP</v>
          </cell>
        </row>
        <row r="2827">
          <cell r="P2827">
            <v>3791654</v>
          </cell>
          <cell r="R2827">
            <v>3326712</v>
          </cell>
          <cell r="S2827">
            <v>1340044</v>
          </cell>
          <cell r="X2827" t="str">
            <v>COP</v>
          </cell>
        </row>
        <row r="2828">
          <cell r="X2828" t="str">
            <v>COP</v>
          </cell>
        </row>
        <row r="2829">
          <cell r="X2829" t="str">
            <v>COP</v>
          </cell>
        </row>
        <row r="2830">
          <cell r="P2830">
            <v>5290424.0625</v>
          </cell>
          <cell r="R2830">
            <v>4307203.2</v>
          </cell>
          <cell r="S2830">
            <v>2349387</v>
          </cell>
          <cell r="X2830" t="str">
            <v>COP</v>
          </cell>
        </row>
        <row r="2831">
          <cell r="X2831" t="str">
            <v>COP</v>
          </cell>
        </row>
        <row r="2832">
          <cell r="R2832">
            <v>0</v>
          </cell>
          <cell r="S2832">
            <v>0</v>
          </cell>
          <cell r="X2832" t="str">
            <v>IL</v>
          </cell>
        </row>
        <row r="2833">
          <cell r="P2833">
            <v>5290424.0625</v>
          </cell>
          <cell r="R2833">
            <v>4307203.2</v>
          </cell>
          <cell r="S2833">
            <v>2349387</v>
          </cell>
          <cell r="X2833" t="str">
            <v>IL</v>
          </cell>
        </row>
        <row r="2834">
          <cell r="X2834" t="str">
            <v>IL</v>
          </cell>
        </row>
        <row r="2835">
          <cell r="R2835">
            <v>2507203.2000000002</v>
          </cell>
          <cell r="S2835">
            <v>2349387</v>
          </cell>
          <cell r="X2835" t="str">
            <v>IL</v>
          </cell>
        </row>
        <row r="2836">
          <cell r="P2836" t="str">
            <v>Diff</v>
          </cell>
          <cell r="R2836">
            <v>1800000</v>
          </cell>
          <cell r="S2836">
            <v>0</v>
          </cell>
          <cell r="X2836" t="str">
            <v>IL</v>
          </cell>
        </row>
        <row r="2837">
          <cell r="X2837" t="str">
            <v>IL</v>
          </cell>
        </row>
        <row r="2838">
          <cell r="X2838" t="str">
            <v>IL</v>
          </cell>
        </row>
        <row r="2839">
          <cell r="X2839" t="str">
            <v>IL</v>
          </cell>
        </row>
        <row r="2840">
          <cell r="X2840" t="str">
            <v>IL</v>
          </cell>
        </row>
        <row r="2841">
          <cell r="X2841" t="str">
            <v>IL</v>
          </cell>
        </row>
        <row r="2842">
          <cell r="X2842" t="str">
            <v>IL</v>
          </cell>
        </row>
        <row r="2843">
          <cell r="X2843" t="str">
            <v>IL</v>
          </cell>
        </row>
        <row r="2844">
          <cell r="X2844" t="str">
            <v>IL</v>
          </cell>
        </row>
        <row r="2845">
          <cell r="X2845" t="str">
            <v>IL</v>
          </cell>
        </row>
        <row r="2846">
          <cell r="X2846" t="str">
            <v>IL</v>
          </cell>
        </row>
        <row r="2847">
          <cell r="X2847" t="str">
            <v>IL</v>
          </cell>
        </row>
        <row r="2848">
          <cell r="X2848" t="str">
            <v>IL</v>
          </cell>
        </row>
        <row r="2849">
          <cell r="X2849" t="str">
            <v>IL</v>
          </cell>
        </row>
        <row r="2850">
          <cell r="X2850" t="str">
            <v>IL</v>
          </cell>
        </row>
        <row r="2851">
          <cell r="X2851" t="str">
            <v>IL</v>
          </cell>
        </row>
        <row r="2852">
          <cell r="X2852" t="str">
            <v>IL</v>
          </cell>
        </row>
        <row r="2853">
          <cell r="X2853" t="str">
            <v>IL</v>
          </cell>
        </row>
        <row r="2854">
          <cell r="X2854" t="str">
            <v>IL</v>
          </cell>
        </row>
        <row r="2855">
          <cell r="X2855" t="str">
            <v>IL</v>
          </cell>
        </row>
        <row r="2856">
          <cell r="X2856" t="str">
            <v>IL</v>
          </cell>
        </row>
        <row r="2857">
          <cell r="X2857" t="str">
            <v>IL</v>
          </cell>
        </row>
        <row r="2858">
          <cell r="X2858" t="str">
            <v>IL</v>
          </cell>
        </row>
        <row r="2859">
          <cell r="R2859" t="str">
            <v>Projected</v>
          </cell>
          <cell r="S2859" t="str">
            <v>Budget</v>
          </cell>
          <cell r="X2859" t="str">
            <v>IL</v>
          </cell>
        </row>
        <row r="2860">
          <cell r="X2860" t="str">
            <v>IL</v>
          </cell>
        </row>
        <row r="2861">
          <cell r="P2861">
            <v>482033.1</v>
          </cell>
          <cell r="R2861">
            <v>433675.2</v>
          </cell>
          <cell r="S2861">
            <v>451670</v>
          </cell>
          <cell r="X2861" t="str">
            <v>COP</v>
          </cell>
        </row>
        <row r="2862">
          <cell r="X2862" t="str">
            <v>COP</v>
          </cell>
        </row>
        <row r="2863">
          <cell r="X2863" t="str">
            <v>COP</v>
          </cell>
        </row>
        <row r="2864">
          <cell r="X2864" t="str">
            <v>COP</v>
          </cell>
        </row>
        <row r="2865">
          <cell r="P2865">
            <v>5280</v>
          </cell>
          <cell r="R2865">
            <v>5280</v>
          </cell>
          <cell r="S2865">
            <v>5280</v>
          </cell>
          <cell r="X2865" t="str">
            <v>COP</v>
          </cell>
        </row>
        <row r="2866">
          <cell r="X2866" t="str">
            <v>COP</v>
          </cell>
        </row>
        <row r="2867">
          <cell r="X2867" t="str">
            <v>COP</v>
          </cell>
        </row>
        <row r="2868">
          <cell r="P2868">
            <v>82276.124999999971</v>
          </cell>
          <cell r="R2868">
            <v>59613.599999999999</v>
          </cell>
          <cell r="S2868">
            <v>64796</v>
          </cell>
          <cell r="X2868" t="str">
            <v>COP</v>
          </cell>
        </row>
        <row r="2869">
          <cell r="X2869" t="str">
            <v>COP</v>
          </cell>
        </row>
        <row r="2870">
          <cell r="P2870">
            <v>569589.22500000009</v>
          </cell>
          <cell r="R2870">
            <v>498568.8</v>
          </cell>
          <cell r="S2870">
            <v>521746</v>
          </cell>
          <cell r="X2870" t="str">
            <v>COP</v>
          </cell>
        </row>
        <row r="2871">
          <cell r="X2871" t="str">
            <v>COP</v>
          </cell>
        </row>
        <row r="2872">
          <cell r="X2872" t="str">
            <v>COP</v>
          </cell>
        </row>
        <row r="2873">
          <cell r="X2873" t="str">
            <v>COP</v>
          </cell>
        </row>
        <row r="2874">
          <cell r="X2874" t="str">
            <v>COP</v>
          </cell>
        </row>
        <row r="2875">
          <cell r="P2875">
            <v>0</v>
          </cell>
          <cell r="R2875">
            <v>0</v>
          </cell>
          <cell r="S2875">
            <v>0</v>
          </cell>
          <cell r="X2875" t="str">
            <v>COP</v>
          </cell>
        </row>
        <row r="2876">
          <cell r="X2876" t="str">
            <v>IL</v>
          </cell>
        </row>
        <row r="2877">
          <cell r="X2877" t="str">
            <v>COP</v>
          </cell>
        </row>
        <row r="2878">
          <cell r="P2878">
            <v>0</v>
          </cell>
          <cell r="R2878">
            <v>0</v>
          </cell>
          <cell r="S2878">
            <v>0</v>
          </cell>
          <cell r="X2878" t="str">
            <v>COP</v>
          </cell>
        </row>
        <row r="2879">
          <cell r="X2879" t="str">
            <v>COP</v>
          </cell>
        </row>
        <row r="2880">
          <cell r="X2880" t="str">
            <v>COP</v>
          </cell>
        </row>
        <row r="2881">
          <cell r="X2881" t="str">
            <v>COP</v>
          </cell>
        </row>
        <row r="2882">
          <cell r="P2882">
            <v>306128.46875</v>
          </cell>
          <cell r="R2882">
            <v>335484</v>
          </cell>
          <cell r="S2882">
            <v>433500</v>
          </cell>
          <cell r="X2882" t="str">
            <v>IL</v>
          </cell>
        </row>
        <row r="2883">
          <cell r="X2883" t="str">
            <v>COP</v>
          </cell>
        </row>
        <row r="2884">
          <cell r="X2884" t="str">
            <v>COP</v>
          </cell>
        </row>
        <row r="2885">
          <cell r="X2885" t="str">
            <v>COP</v>
          </cell>
        </row>
        <row r="2886">
          <cell r="P2886">
            <v>24000</v>
          </cell>
          <cell r="R2886">
            <v>480</v>
          </cell>
          <cell r="S2886">
            <v>12000</v>
          </cell>
          <cell r="X2886" t="str">
            <v>COP</v>
          </cell>
        </row>
        <row r="2887">
          <cell r="X2887" t="str">
            <v>COP</v>
          </cell>
        </row>
        <row r="2888">
          <cell r="X2888" t="str">
            <v>COP</v>
          </cell>
        </row>
        <row r="2889">
          <cell r="X2889" t="str">
            <v>COP</v>
          </cell>
        </row>
        <row r="2890">
          <cell r="X2890" t="str">
            <v>COP</v>
          </cell>
        </row>
        <row r="2891">
          <cell r="P2891">
            <v>0</v>
          </cell>
          <cell r="R2891">
            <v>0</v>
          </cell>
          <cell r="S2891">
            <v>0</v>
          </cell>
          <cell r="X2891" t="str">
            <v>COP</v>
          </cell>
        </row>
        <row r="2892">
          <cell r="X2892" t="str">
            <v>COP</v>
          </cell>
        </row>
        <row r="2893">
          <cell r="R2893">
            <v>0</v>
          </cell>
          <cell r="S2893">
            <v>0</v>
          </cell>
          <cell r="X2893" t="str">
            <v>COP</v>
          </cell>
        </row>
        <row r="2894">
          <cell r="X2894" t="str">
            <v>COP</v>
          </cell>
        </row>
        <row r="2895">
          <cell r="X2895" t="str">
            <v>COP</v>
          </cell>
        </row>
        <row r="2896">
          <cell r="R2896">
            <v>0</v>
          </cell>
          <cell r="S2896">
            <v>0</v>
          </cell>
          <cell r="X2896" t="str">
            <v>COP</v>
          </cell>
        </row>
        <row r="2897">
          <cell r="X2897" t="str">
            <v>COP</v>
          </cell>
        </row>
        <row r="2898">
          <cell r="R2898">
            <v>0</v>
          </cell>
          <cell r="S2898">
            <v>0</v>
          </cell>
          <cell r="X2898" t="str">
            <v>COP</v>
          </cell>
        </row>
        <row r="2899">
          <cell r="X2899" t="str">
            <v>COP</v>
          </cell>
        </row>
        <row r="2900">
          <cell r="X2900" t="str">
            <v>COP</v>
          </cell>
        </row>
        <row r="2901">
          <cell r="X2901" t="str">
            <v>COP</v>
          </cell>
        </row>
        <row r="2902">
          <cell r="R2902">
            <v>0</v>
          </cell>
          <cell r="S2902">
            <v>0</v>
          </cell>
          <cell r="X2902" t="str">
            <v>COP</v>
          </cell>
        </row>
        <row r="2903">
          <cell r="R2903">
            <v>0</v>
          </cell>
          <cell r="S2903">
            <v>0</v>
          </cell>
          <cell r="X2903" t="str">
            <v>COP</v>
          </cell>
        </row>
        <row r="2904">
          <cell r="X2904" t="str">
            <v>COP</v>
          </cell>
        </row>
        <row r="2905">
          <cell r="R2905">
            <v>0</v>
          </cell>
          <cell r="S2905">
            <v>0</v>
          </cell>
          <cell r="X2905" t="str">
            <v>COP</v>
          </cell>
        </row>
        <row r="2906">
          <cell r="X2906" t="str">
            <v>COP</v>
          </cell>
        </row>
        <row r="2907">
          <cell r="X2907" t="str">
            <v>COP</v>
          </cell>
        </row>
        <row r="2908">
          <cell r="X2908" t="str">
            <v>COP</v>
          </cell>
        </row>
        <row r="2909">
          <cell r="R2909">
            <v>0</v>
          </cell>
          <cell r="S2909">
            <v>0</v>
          </cell>
          <cell r="X2909" t="str">
            <v>COP</v>
          </cell>
        </row>
        <row r="2910">
          <cell r="X2910" t="str">
            <v>COP</v>
          </cell>
        </row>
        <row r="2911">
          <cell r="P2911">
            <v>60000</v>
          </cell>
          <cell r="R2911">
            <v>0</v>
          </cell>
          <cell r="S2911">
            <v>0</v>
          </cell>
          <cell r="X2911" t="str">
            <v>COP</v>
          </cell>
        </row>
        <row r="2912">
          <cell r="X2912" t="str">
            <v>COP</v>
          </cell>
        </row>
        <row r="2913">
          <cell r="P2913">
            <v>4187819.65</v>
          </cell>
          <cell r="R2913">
            <v>3053076</v>
          </cell>
          <cell r="S2913">
            <v>2080787</v>
          </cell>
          <cell r="X2913" t="str">
            <v>COP</v>
          </cell>
        </row>
        <row r="2914">
          <cell r="X2914" t="str">
            <v>COP</v>
          </cell>
        </row>
        <row r="2915">
          <cell r="X2915" t="str">
            <v>COP</v>
          </cell>
        </row>
        <row r="2916">
          <cell r="P2916">
            <v>5147537.34375</v>
          </cell>
          <cell r="R2916">
            <v>3887608.8</v>
          </cell>
          <cell r="S2916">
            <v>3048033</v>
          </cell>
          <cell r="X2916" t="str">
            <v>COP</v>
          </cell>
        </row>
        <row r="2917">
          <cell r="X2917" t="str">
            <v>COP</v>
          </cell>
        </row>
        <row r="2918">
          <cell r="R2918">
            <v>0</v>
          </cell>
          <cell r="S2918">
            <v>0</v>
          </cell>
          <cell r="X2918" t="str">
            <v>IL</v>
          </cell>
        </row>
        <row r="2919">
          <cell r="R2919">
            <v>3887608.8</v>
          </cell>
          <cell r="S2919">
            <v>3048033</v>
          </cell>
          <cell r="X2919" t="str">
            <v>IL</v>
          </cell>
        </row>
        <row r="2920">
          <cell r="X2920" t="str">
            <v>IL</v>
          </cell>
        </row>
        <row r="2921">
          <cell r="R2921">
            <v>2387608.7999999998</v>
          </cell>
          <cell r="S2921">
            <v>3048033</v>
          </cell>
          <cell r="X2921" t="str">
            <v>IL</v>
          </cell>
        </row>
        <row r="2922">
          <cell r="P2922" t="str">
            <v>Diff</v>
          </cell>
          <cell r="R2922">
            <v>1500000</v>
          </cell>
          <cell r="S2922">
            <v>0</v>
          </cell>
          <cell r="X2922" t="str">
            <v>IL</v>
          </cell>
        </row>
        <row r="2923">
          <cell r="X2923" t="str">
            <v>IL</v>
          </cell>
        </row>
        <row r="2924">
          <cell r="X2924" t="str">
            <v>IL</v>
          </cell>
        </row>
        <row r="2925">
          <cell r="X2925" t="str">
            <v>IL</v>
          </cell>
        </row>
        <row r="2926">
          <cell r="X2926" t="str">
            <v>IL</v>
          </cell>
        </row>
        <row r="2927">
          <cell r="X2927" t="str">
            <v>IL</v>
          </cell>
        </row>
        <row r="2928">
          <cell r="X2928" t="str">
            <v>IL</v>
          </cell>
        </row>
        <row r="2929">
          <cell r="X2929" t="str">
            <v>IL</v>
          </cell>
        </row>
        <row r="2930">
          <cell r="X2930" t="str">
            <v>IL</v>
          </cell>
        </row>
        <row r="2931">
          <cell r="X2931" t="str">
            <v>IL</v>
          </cell>
        </row>
        <row r="2932">
          <cell r="X2932" t="str">
            <v>IL</v>
          </cell>
        </row>
        <row r="2933">
          <cell r="X2933" t="str">
            <v>IL</v>
          </cell>
        </row>
        <row r="2934">
          <cell r="X2934" t="str">
            <v>IL</v>
          </cell>
        </row>
        <row r="2935">
          <cell r="X2935" t="str">
            <v>IL</v>
          </cell>
        </row>
        <row r="2936">
          <cell r="X2936" t="str">
            <v>IL</v>
          </cell>
        </row>
        <row r="2937">
          <cell r="X2937" t="str">
            <v>IL</v>
          </cell>
        </row>
        <row r="2938">
          <cell r="X2938" t="str">
            <v>IL</v>
          </cell>
        </row>
        <row r="2939">
          <cell r="X2939" t="str">
            <v>IL</v>
          </cell>
        </row>
        <row r="2940">
          <cell r="X2940" t="str">
            <v>IL</v>
          </cell>
        </row>
        <row r="2941">
          <cell r="X2941" t="str">
            <v>IL</v>
          </cell>
        </row>
        <row r="2942">
          <cell r="X2942" t="str">
            <v>IL</v>
          </cell>
        </row>
        <row r="2943">
          <cell r="X2943" t="str">
            <v>IL</v>
          </cell>
        </row>
        <row r="2944">
          <cell r="X2944" t="str">
            <v>IL</v>
          </cell>
        </row>
        <row r="2945">
          <cell r="R2945" t="str">
            <v>Projected</v>
          </cell>
          <cell r="S2945" t="str">
            <v>Budget</v>
          </cell>
          <cell r="X2945" t="str">
            <v>IL</v>
          </cell>
        </row>
        <row r="2946">
          <cell r="X2946" t="str">
            <v>IL</v>
          </cell>
        </row>
        <row r="2947">
          <cell r="P2947">
            <v>418294.2</v>
          </cell>
          <cell r="R2947">
            <v>392726.4</v>
          </cell>
          <cell r="S2947">
            <v>395093</v>
          </cell>
          <cell r="X2947" t="str">
            <v>COP</v>
          </cell>
        </row>
        <row r="2948">
          <cell r="X2948" t="str">
            <v>COP</v>
          </cell>
        </row>
        <row r="2949">
          <cell r="X2949" t="str">
            <v>COP</v>
          </cell>
        </row>
        <row r="2950">
          <cell r="X2950" t="str">
            <v>COP</v>
          </cell>
        </row>
        <row r="2951">
          <cell r="P2951">
            <v>5280</v>
          </cell>
          <cell r="R2951">
            <v>5280</v>
          </cell>
          <cell r="S2951">
            <v>5280</v>
          </cell>
          <cell r="X2951" t="str">
            <v>COP</v>
          </cell>
        </row>
        <row r="2952">
          <cell r="X2952" t="str">
            <v>COP</v>
          </cell>
        </row>
        <row r="2953">
          <cell r="X2953" t="str">
            <v>COP</v>
          </cell>
        </row>
        <row r="2954">
          <cell r="P2954">
            <v>83046.875</v>
          </cell>
          <cell r="R2954">
            <v>44690.400000000001</v>
          </cell>
          <cell r="S2954">
            <v>47749</v>
          </cell>
          <cell r="X2954" t="str">
            <v>COP</v>
          </cell>
        </row>
        <row r="2955">
          <cell r="X2955" t="str">
            <v>COP</v>
          </cell>
        </row>
        <row r="2956">
          <cell r="P2956">
            <v>506621.07499999995</v>
          </cell>
          <cell r="R2956">
            <v>442696.8</v>
          </cell>
          <cell r="S2956">
            <v>448122</v>
          </cell>
          <cell r="X2956" t="str">
            <v>COP</v>
          </cell>
        </row>
        <row r="2957">
          <cell r="X2957" t="str">
            <v>COP</v>
          </cell>
        </row>
        <row r="2958">
          <cell r="X2958" t="str">
            <v>COP</v>
          </cell>
        </row>
        <row r="2959">
          <cell r="X2959" t="str">
            <v>COP</v>
          </cell>
        </row>
        <row r="2960">
          <cell r="X2960" t="str">
            <v>COP</v>
          </cell>
        </row>
        <row r="2961">
          <cell r="P2961">
            <v>0</v>
          </cell>
          <cell r="R2961">
            <v>0</v>
          </cell>
          <cell r="S2961">
            <v>0</v>
          </cell>
          <cell r="X2961" t="str">
            <v>COP</v>
          </cell>
        </row>
        <row r="2962">
          <cell r="X2962" t="str">
            <v>IL</v>
          </cell>
        </row>
        <row r="2963">
          <cell r="X2963" t="str">
            <v>COP</v>
          </cell>
        </row>
        <row r="2964">
          <cell r="P2964">
            <v>0</v>
          </cell>
          <cell r="R2964">
            <v>0</v>
          </cell>
          <cell r="S2964">
            <v>0</v>
          </cell>
          <cell r="X2964" t="str">
            <v>COP</v>
          </cell>
        </row>
        <row r="2965">
          <cell r="X2965" t="str">
            <v>COP</v>
          </cell>
        </row>
        <row r="2966">
          <cell r="X2966" t="str">
            <v>COP</v>
          </cell>
        </row>
        <row r="2967">
          <cell r="X2967" t="str">
            <v>COP</v>
          </cell>
        </row>
        <row r="2968">
          <cell r="P2968">
            <v>917310.75624999998</v>
          </cell>
          <cell r="R2968">
            <v>599068.80000000005</v>
          </cell>
          <cell r="S2968">
            <v>686390</v>
          </cell>
          <cell r="X2968" t="str">
            <v>IL</v>
          </cell>
        </row>
        <row r="2969">
          <cell r="X2969" t="str">
            <v>COP</v>
          </cell>
        </row>
        <row r="2970">
          <cell r="X2970" t="str">
            <v>COP</v>
          </cell>
        </row>
        <row r="2971">
          <cell r="X2971" t="str">
            <v>COP</v>
          </cell>
        </row>
        <row r="2972">
          <cell r="P2972">
            <v>24000</v>
          </cell>
          <cell r="R2972">
            <v>240</v>
          </cell>
          <cell r="S2972">
            <v>6000</v>
          </cell>
          <cell r="X2972" t="str">
            <v>COP</v>
          </cell>
        </row>
        <row r="2973">
          <cell r="X2973" t="str">
            <v>COP</v>
          </cell>
        </row>
        <row r="2974">
          <cell r="X2974" t="str">
            <v>COP</v>
          </cell>
        </row>
        <row r="2975">
          <cell r="X2975" t="str">
            <v>COP</v>
          </cell>
        </row>
        <row r="2976">
          <cell r="X2976" t="str">
            <v>COP</v>
          </cell>
        </row>
        <row r="2977">
          <cell r="P2977">
            <v>0</v>
          </cell>
          <cell r="R2977">
            <v>0</v>
          </cell>
          <cell r="S2977">
            <v>0</v>
          </cell>
          <cell r="X2977" t="str">
            <v>COP</v>
          </cell>
        </row>
        <row r="2978">
          <cell r="X2978" t="str">
            <v>COP</v>
          </cell>
        </row>
        <row r="2979">
          <cell r="R2979">
            <v>0</v>
          </cell>
          <cell r="S2979">
            <v>0</v>
          </cell>
          <cell r="X2979" t="str">
            <v>COP</v>
          </cell>
        </row>
        <row r="2980">
          <cell r="X2980" t="str">
            <v>COP</v>
          </cell>
        </row>
        <row r="2981">
          <cell r="X2981" t="str">
            <v>COP</v>
          </cell>
        </row>
        <row r="2982">
          <cell r="P2982">
            <v>0</v>
          </cell>
          <cell r="R2982">
            <v>0</v>
          </cell>
          <cell r="S2982">
            <v>0</v>
          </cell>
          <cell r="X2982" t="str">
            <v>COP</v>
          </cell>
        </row>
        <row r="2983">
          <cell r="X2983" t="str">
            <v>COP</v>
          </cell>
        </row>
        <row r="2984">
          <cell r="R2984">
            <v>0</v>
          </cell>
          <cell r="S2984">
            <v>0</v>
          </cell>
          <cell r="X2984" t="str">
            <v>COP</v>
          </cell>
        </row>
        <row r="2985">
          <cell r="X2985" t="str">
            <v>COP</v>
          </cell>
        </row>
        <row r="2986">
          <cell r="X2986" t="str">
            <v>COP</v>
          </cell>
        </row>
        <row r="2987">
          <cell r="X2987" t="str">
            <v>COP</v>
          </cell>
        </row>
        <row r="2988">
          <cell r="R2988">
            <v>0</v>
          </cell>
          <cell r="S2988">
            <v>0</v>
          </cell>
          <cell r="X2988" t="str">
            <v>COP</v>
          </cell>
        </row>
        <row r="2989">
          <cell r="R2989">
            <v>0</v>
          </cell>
          <cell r="S2989">
            <v>0</v>
          </cell>
          <cell r="X2989" t="str">
            <v>COP</v>
          </cell>
        </row>
        <row r="2990">
          <cell r="X2990" t="str">
            <v>COP</v>
          </cell>
        </row>
        <row r="2991">
          <cell r="R2991">
            <v>0</v>
          </cell>
          <cell r="S2991">
            <v>0</v>
          </cell>
          <cell r="X2991" t="str">
            <v>COP</v>
          </cell>
        </row>
        <row r="2992">
          <cell r="X2992" t="str">
            <v>COP</v>
          </cell>
        </row>
        <row r="2993">
          <cell r="X2993" t="str">
            <v>COP</v>
          </cell>
        </row>
        <row r="2994">
          <cell r="X2994" t="str">
            <v>COP</v>
          </cell>
        </row>
        <row r="2995">
          <cell r="R2995">
            <v>0</v>
          </cell>
          <cell r="S2995">
            <v>0</v>
          </cell>
          <cell r="X2995" t="str">
            <v>COP</v>
          </cell>
        </row>
        <row r="2996">
          <cell r="X2996" t="str">
            <v>COP</v>
          </cell>
        </row>
        <row r="2997">
          <cell r="R2997">
            <v>0</v>
          </cell>
          <cell r="S2997">
            <v>0</v>
          </cell>
          <cell r="X2997" t="str">
            <v>COP</v>
          </cell>
        </row>
        <row r="2998">
          <cell r="X2998" t="str">
            <v>COP</v>
          </cell>
        </row>
        <row r="2999">
          <cell r="P2999">
            <v>4195527.8</v>
          </cell>
          <cell r="R2999">
            <v>3003129.6</v>
          </cell>
          <cell r="S2999">
            <v>1234320</v>
          </cell>
          <cell r="X2999" t="str">
            <v>COP</v>
          </cell>
        </row>
        <row r="3000">
          <cell r="X3000" t="str">
            <v>COP</v>
          </cell>
        </row>
        <row r="3001">
          <cell r="X3001" t="str">
            <v>COP</v>
          </cell>
        </row>
        <row r="3002">
          <cell r="P3002">
            <v>5643459.6312499996</v>
          </cell>
          <cell r="R3002">
            <v>4045135.2</v>
          </cell>
          <cell r="S3002">
            <v>2374832</v>
          </cell>
          <cell r="X3002" t="str">
            <v>COP</v>
          </cell>
        </row>
        <row r="3003">
          <cell r="X3003" t="str">
            <v>COP</v>
          </cell>
        </row>
        <row r="3004">
          <cell r="R3004">
            <v>0</v>
          </cell>
          <cell r="S3004">
            <v>0</v>
          </cell>
          <cell r="X3004" t="str">
            <v>IL</v>
          </cell>
        </row>
        <row r="3005">
          <cell r="R3005">
            <v>4045135.2</v>
          </cell>
          <cell r="S3005">
            <v>2374832</v>
          </cell>
          <cell r="X3005" t="str">
            <v>IL</v>
          </cell>
        </row>
        <row r="3006">
          <cell r="X3006" t="str">
            <v>IL</v>
          </cell>
        </row>
        <row r="3007">
          <cell r="R3007">
            <v>2245135.2000000002</v>
          </cell>
          <cell r="S3007">
            <v>2374832</v>
          </cell>
          <cell r="X3007" t="str">
            <v>IL</v>
          </cell>
        </row>
        <row r="3008">
          <cell r="P3008" t="str">
            <v>Diff</v>
          </cell>
          <cell r="R3008">
            <v>1800000</v>
          </cell>
          <cell r="S3008">
            <v>0</v>
          </cell>
          <cell r="X3008" t="str">
            <v>IL</v>
          </cell>
        </row>
        <row r="3009">
          <cell r="X3009" t="str">
            <v>IL</v>
          </cell>
        </row>
        <row r="3010">
          <cell r="X3010" t="str">
            <v>IL</v>
          </cell>
        </row>
        <row r="3011">
          <cell r="X3011" t="str">
            <v>IL</v>
          </cell>
        </row>
        <row r="3012">
          <cell r="X3012" t="str">
            <v>IL</v>
          </cell>
        </row>
        <row r="3013">
          <cell r="X3013" t="str">
            <v>IL</v>
          </cell>
        </row>
        <row r="3014">
          <cell r="X3014" t="str">
            <v>IL</v>
          </cell>
        </row>
        <row r="3015">
          <cell r="X3015" t="str">
            <v>IL</v>
          </cell>
        </row>
        <row r="3016">
          <cell r="X3016" t="str">
            <v>IL</v>
          </cell>
        </row>
        <row r="3017">
          <cell r="X3017" t="str">
            <v>IL</v>
          </cell>
        </row>
        <row r="3018">
          <cell r="X3018" t="str">
            <v>IL</v>
          </cell>
        </row>
        <row r="3019">
          <cell r="X3019" t="str">
            <v>IL</v>
          </cell>
        </row>
        <row r="3020">
          <cell r="X3020" t="str">
            <v>IL</v>
          </cell>
        </row>
        <row r="3021">
          <cell r="X3021" t="str">
            <v>IL</v>
          </cell>
        </row>
        <row r="3022">
          <cell r="X3022" t="str">
            <v>IL</v>
          </cell>
        </row>
        <row r="3023">
          <cell r="X3023" t="str">
            <v>IL</v>
          </cell>
        </row>
        <row r="3024">
          <cell r="X3024" t="str">
            <v>IL</v>
          </cell>
        </row>
        <row r="3025">
          <cell r="X3025" t="str">
            <v>IL</v>
          </cell>
        </row>
        <row r="3026">
          <cell r="X3026" t="str">
            <v>IL</v>
          </cell>
        </row>
        <row r="3027">
          <cell r="X3027" t="str">
            <v>IL</v>
          </cell>
        </row>
        <row r="3028">
          <cell r="X3028" t="str">
            <v>IL</v>
          </cell>
        </row>
        <row r="3029">
          <cell r="X3029" t="str">
            <v>IL</v>
          </cell>
        </row>
        <row r="3030">
          <cell r="X3030" t="str">
            <v>IL</v>
          </cell>
        </row>
        <row r="3031">
          <cell r="R3031" t="str">
            <v>Projected</v>
          </cell>
          <cell r="S3031" t="str">
            <v>Budget</v>
          </cell>
          <cell r="X3031" t="str">
            <v>IL</v>
          </cell>
        </row>
        <row r="3032">
          <cell r="X3032" t="str">
            <v>IL</v>
          </cell>
        </row>
        <row r="3033">
          <cell r="P3033">
            <v>8111217</v>
          </cell>
          <cell r="R3033">
            <v>20232252</v>
          </cell>
          <cell r="S3033">
            <v>18371007</v>
          </cell>
          <cell r="X3033" t="str">
            <v>COP</v>
          </cell>
        </row>
        <row r="3034">
          <cell r="X3034" t="str">
            <v>COP</v>
          </cell>
        </row>
        <row r="3035">
          <cell r="X3035" t="str">
            <v>COP</v>
          </cell>
        </row>
        <row r="3036">
          <cell r="X3036" t="str">
            <v>COP</v>
          </cell>
        </row>
        <row r="3037">
          <cell r="P3037">
            <v>26400</v>
          </cell>
          <cell r="R3037">
            <v>31680</v>
          </cell>
          <cell r="S3037">
            <v>26400</v>
          </cell>
          <cell r="X3037" t="str">
            <v>COP</v>
          </cell>
        </row>
        <row r="3038">
          <cell r="X3038" t="str">
            <v>COP</v>
          </cell>
        </row>
        <row r="3039">
          <cell r="X3039" t="str">
            <v>COP</v>
          </cell>
        </row>
        <row r="3040">
          <cell r="P3040">
            <v>300216.57070312498</v>
          </cell>
          <cell r="R3040">
            <v>3902162.4</v>
          </cell>
          <cell r="S3040">
            <v>3653089</v>
          </cell>
          <cell r="X3040" t="str">
            <v>COP</v>
          </cell>
        </row>
        <row r="3041">
          <cell r="X3041" t="str">
            <v>COP</v>
          </cell>
        </row>
        <row r="3042">
          <cell r="P3042">
            <v>8437833.5707031246</v>
          </cell>
          <cell r="R3042">
            <v>24166094.399999999</v>
          </cell>
          <cell r="S3042">
            <v>22050496</v>
          </cell>
          <cell r="X3042" t="str">
            <v>COP</v>
          </cell>
        </row>
        <row r="3043">
          <cell r="X3043" t="str">
            <v>COP</v>
          </cell>
        </row>
        <row r="3044">
          <cell r="X3044" t="str">
            <v>COP</v>
          </cell>
        </row>
        <row r="3045">
          <cell r="X3045" t="str">
            <v>COP</v>
          </cell>
        </row>
        <row r="3046">
          <cell r="X3046" t="str">
            <v>COP</v>
          </cell>
        </row>
        <row r="3047">
          <cell r="P3047">
            <v>0</v>
          </cell>
          <cell r="R3047">
            <v>0</v>
          </cell>
          <cell r="S3047">
            <v>0</v>
          </cell>
          <cell r="X3047" t="str">
            <v>COP</v>
          </cell>
        </row>
        <row r="3048">
          <cell r="X3048" t="str">
            <v>IL</v>
          </cell>
        </row>
        <row r="3049">
          <cell r="X3049" t="str">
            <v>COP</v>
          </cell>
        </row>
        <row r="3050">
          <cell r="P3050">
            <v>0</v>
          </cell>
          <cell r="R3050">
            <v>0</v>
          </cell>
          <cell r="S3050">
            <v>0</v>
          </cell>
          <cell r="X3050" t="str">
            <v>COP</v>
          </cell>
        </row>
        <row r="3051">
          <cell r="X3051" t="str">
            <v>COP</v>
          </cell>
        </row>
        <row r="3052">
          <cell r="X3052" t="str">
            <v>COP</v>
          </cell>
        </row>
        <row r="3053">
          <cell r="X3053" t="str">
            <v>COP</v>
          </cell>
        </row>
        <row r="3054">
          <cell r="P3054">
            <v>1472741.4750000006</v>
          </cell>
          <cell r="R3054">
            <v>901958.4</v>
          </cell>
          <cell r="S3054">
            <v>849900</v>
          </cell>
          <cell r="X3054" t="str">
            <v>IL</v>
          </cell>
        </row>
        <row r="3055">
          <cell r="X3055" t="str">
            <v>COP</v>
          </cell>
        </row>
        <row r="3056">
          <cell r="X3056" t="str">
            <v>COP</v>
          </cell>
        </row>
        <row r="3057">
          <cell r="X3057" t="str">
            <v>COP</v>
          </cell>
        </row>
        <row r="3058">
          <cell r="P3058">
            <v>0</v>
          </cell>
          <cell r="R3058">
            <v>523800</v>
          </cell>
          <cell r="S3058">
            <v>72000</v>
          </cell>
          <cell r="X3058" t="str">
            <v>COP</v>
          </cell>
        </row>
        <row r="3059">
          <cell r="X3059" t="str">
            <v>COP</v>
          </cell>
        </row>
        <row r="3060">
          <cell r="X3060" t="str">
            <v>COP</v>
          </cell>
        </row>
        <row r="3061">
          <cell r="X3061" t="str">
            <v>COP</v>
          </cell>
        </row>
        <row r="3062">
          <cell r="X3062" t="str">
            <v>COP</v>
          </cell>
        </row>
        <row r="3063">
          <cell r="P3063">
            <v>0</v>
          </cell>
          <cell r="R3063">
            <v>0</v>
          </cell>
          <cell r="S3063">
            <v>0</v>
          </cell>
          <cell r="X3063" t="str">
            <v>COP</v>
          </cell>
        </row>
        <row r="3064">
          <cell r="X3064" t="str">
            <v>COP</v>
          </cell>
        </row>
        <row r="3065">
          <cell r="R3065">
            <v>0</v>
          </cell>
          <cell r="S3065">
            <v>0</v>
          </cell>
          <cell r="X3065" t="str">
            <v>COP</v>
          </cell>
        </row>
        <row r="3066">
          <cell r="X3066" t="str">
            <v>COP</v>
          </cell>
        </row>
        <row r="3067">
          <cell r="X3067" t="str">
            <v>COP</v>
          </cell>
        </row>
        <row r="3068">
          <cell r="R3068">
            <v>0</v>
          </cell>
          <cell r="S3068">
            <v>0</v>
          </cell>
          <cell r="X3068" t="str">
            <v>COP</v>
          </cell>
        </row>
        <row r="3069">
          <cell r="X3069" t="str">
            <v>COP</v>
          </cell>
        </row>
        <row r="3070">
          <cell r="R3070">
            <v>0</v>
          </cell>
          <cell r="S3070">
            <v>0</v>
          </cell>
          <cell r="X3070" t="str">
            <v>COP</v>
          </cell>
        </row>
        <row r="3071">
          <cell r="X3071" t="str">
            <v>COP</v>
          </cell>
        </row>
        <row r="3072">
          <cell r="X3072" t="str">
            <v>COP</v>
          </cell>
        </row>
        <row r="3073">
          <cell r="X3073" t="str">
            <v>COP</v>
          </cell>
        </row>
        <row r="3074">
          <cell r="R3074">
            <v>0</v>
          </cell>
          <cell r="S3074">
            <v>0</v>
          </cell>
          <cell r="X3074" t="str">
            <v>COP</v>
          </cell>
        </row>
        <row r="3075">
          <cell r="R3075">
            <v>0</v>
          </cell>
          <cell r="S3075">
            <v>0</v>
          </cell>
          <cell r="X3075" t="str">
            <v>COP</v>
          </cell>
        </row>
        <row r="3076">
          <cell r="X3076" t="str">
            <v>COP</v>
          </cell>
        </row>
        <row r="3077">
          <cell r="R3077">
            <v>0</v>
          </cell>
          <cell r="S3077">
            <v>0</v>
          </cell>
          <cell r="X3077" t="str">
            <v>COP</v>
          </cell>
        </row>
        <row r="3078">
          <cell r="X3078" t="str">
            <v>COP</v>
          </cell>
        </row>
        <row r="3079">
          <cell r="X3079" t="str">
            <v>COP</v>
          </cell>
        </row>
        <row r="3080">
          <cell r="X3080" t="str">
            <v>COP</v>
          </cell>
        </row>
        <row r="3081">
          <cell r="R3081">
            <v>0</v>
          </cell>
          <cell r="S3081">
            <v>0</v>
          </cell>
          <cell r="X3081" t="str">
            <v>COP</v>
          </cell>
        </row>
        <row r="3082">
          <cell r="X3082" t="str">
            <v>COP</v>
          </cell>
        </row>
        <row r="3083">
          <cell r="R3083">
            <v>0</v>
          </cell>
          <cell r="S3083">
            <v>0</v>
          </cell>
          <cell r="X3083" t="str">
            <v>COP</v>
          </cell>
        </row>
        <row r="3084">
          <cell r="X3084" t="str">
            <v>COP</v>
          </cell>
        </row>
        <row r="3085">
          <cell r="P3085">
            <v>13044686.87142857</v>
          </cell>
          <cell r="R3085">
            <v>14413795.200000001</v>
          </cell>
          <cell r="S3085">
            <v>12240429</v>
          </cell>
          <cell r="X3085" t="str">
            <v>COP</v>
          </cell>
        </row>
        <row r="3086">
          <cell r="X3086" t="str">
            <v>COP</v>
          </cell>
        </row>
        <row r="3087">
          <cell r="X3087" t="str">
            <v>COP</v>
          </cell>
        </row>
        <row r="3088">
          <cell r="P3088">
            <v>22955261.917131692</v>
          </cell>
          <cell r="R3088">
            <v>40005648</v>
          </cell>
          <cell r="S3088">
            <v>35212825</v>
          </cell>
          <cell r="X3088" t="str">
            <v>COP</v>
          </cell>
        </row>
        <row r="3089">
          <cell r="X3089" t="str">
            <v>COP</v>
          </cell>
        </row>
        <row r="3090">
          <cell r="R3090">
            <v>0</v>
          </cell>
          <cell r="S3090">
            <v>0</v>
          </cell>
          <cell r="X3090" t="str">
            <v>IL</v>
          </cell>
        </row>
        <row r="3091">
          <cell r="R3091">
            <v>40005648</v>
          </cell>
          <cell r="S3091">
            <v>35212825</v>
          </cell>
          <cell r="X3091" t="str">
            <v>IL</v>
          </cell>
        </row>
        <row r="3092">
          <cell r="X3092" t="str">
            <v>IL</v>
          </cell>
        </row>
        <row r="3093">
          <cell r="R3093">
            <v>40005648</v>
          </cell>
          <cell r="S3093">
            <v>35212825</v>
          </cell>
          <cell r="X3093" t="str">
            <v>IL</v>
          </cell>
        </row>
        <row r="3094">
          <cell r="P3094" t="str">
            <v>Diff</v>
          </cell>
          <cell r="R3094">
            <v>0</v>
          </cell>
          <cell r="S3094">
            <v>0</v>
          </cell>
          <cell r="X3094" t="str">
            <v>IL</v>
          </cell>
        </row>
        <row r="3095">
          <cell r="X3095" t="str">
            <v>IL</v>
          </cell>
        </row>
        <row r="3096">
          <cell r="X3096" t="str">
            <v>IL</v>
          </cell>
        </row>
        <row r="3097">
          <cell r="X3097" t="str">
            <v>IL</v>
          </cell>
        </row>
        <row r="3098">
          <cell r="X3098" t="str">
            <v>IL</v>
          </cell>
        </row>
        <row r="3099">
          <cell r="X3099" t="str">
            <v>IL</v>
          </cell>
        </row>
        <row r="3100">
          <cell r="X3100" t="str">
            <v>IL</v>
          </cell>
        </row>
        <row r="3101">
          <cell r="X3101" t="str">
            <v>IL</v>
          </cell>
        </row>
        <row r="3102">
          <cell r="X3102" t="str">
            <v>IL</v>
          </cell>
        </row>
        <row r="3103">
          <cell r="X3103" t="str">
            <v>IL</v>
          </cell>
        </row>
        <row r="3104">
          <cell r="X3104" t="str">
            <v>IL</v>
          </cell>
        </row>
        <row r="3105">
          <cell r="X3105" t="str">
            <v>IL</v>
          </cell>
        </row>
        <row r="3106">
          <cell r="X3106" t="str">
            <v>IL</v>
          </cell>
        </row>
        <row r="3107">
          <cell r="X3107" t="str">
            <v>IL</v>
          </cell>
        </row>
        <row r="3108">
          <cell r="X3108" t="str">
            <v>IL</v>
          </cell>
        </row>
        <row r="3109">
          <cell r="X3109" t="str">
            <v>IL</v>
          </cell>
        </row>
        <row r="3110">
          <cell r="X3110" t="str">
            <v>IL</v>
          </cell>
        </row>
        <row r="3111">
          <cell r="X3111" t="str">
            <v>IL</v>
          </cell>
        </row>
        <row r="3112">
          <cell r="X3112" t="str">
            <v>IL</v>
          </cell>
        </row>
        <row r="3113">
          <cell r="X3113" t="str">
            <v>IL</v>
          </cell>
        </row>
        <row r="3114">
          <cell r="X3114" t="str">
            <v>IL</v>
          </cell>
        </row>
        <row r="3115">
          <cell r="X3115" t="str">
            <v>IL</v>
          </cell>
        </row>
        <row r="3116">
          <cell r="X3116" t="str">
            <v>IL</v>
          </cell>
        </row>
        <row r="3117">
          <cell r="X3117" t="str">
            <v>IL</v>
          </cell>
        </row>
        <row r="3118">
          <cell r="X3118" t="str">
            <v>IL</v>
          </cell>
        </row>
        <row r="3119">
          <cell r="R3119" t="str">
            <v>Projected</v>
          </cell>
          <cell r="S3119" t="str">
            <v>Budget</v>
          </cell>
          <cell r="X3119" t="str">
            <v>IL</v>
          </cell>
        </row>
        <row r="3120">
          <cell r="X3120" t="str">
            <v>IL</v>
          </cell>
        </row>
        <row r="3121">
          <cell r="P3121">
            <v>346209</v>
          </cell>
          <cell r="R3121">
            <v>324528</v>
          </cell>
          <cell r="S3121">
            <v>320256</v>
          </cell>
          <cell r="X3121" t="str">
            <v>COP</v>
          </cell>
        </row>
        <row r="3122">
          <cell r="X3122" t="str">
            <v>COP</v>
          </cell>
        </row>
        <row r="3123">
          <cell r="X3123" t="str">
            <v>COP</v>
          </cell>
        </row>
        <row r="3124">
          <cell r="X3124" t="str">
            <v>COP</v>
          </cell>
        </row>
        <row r="3125">
          <cell r="P3125">
            <v>5280</v>
          </cell>
          <cell r="R3125">
            <v>5280</v>
          </cell>
          <cell r="S3125">
            <v>5280</v>
          </cell>
          <cell r="X3125" t="str">
            <v>COP</v>
          </cell>
        </row>
        <row r="3126">
          <cell r="X3126" t="str">
            <v>COP</v>
          </cell>
        </row>
        <row r="3127">
          <cell r="X3127" t="str">
            <v>COP</v>
          </cell>
        </row>
        <row r="3128">
          <cell r="P3128">
            <v>49731.424999999988</v>
          </cell>
          <cell r="R3128">
            <v>35001.599999999999</v>
          </cell>
          <cell r="S3128">
            <v>48957</v>
          </cell>
          <cell r="X3128" t="str">
            <v>COP</v>
          </cell>
        </row>
        <row r="3129">
          <cell r="X3129" t="str">
            <v>COP</v>
          </cell>
        </row>
        <row r="3130">
          <cell r="P3130">
            <v>401220.42499999999</v>
          </cell>
          <cell r="R3130">
            <v>364809.6</v>
          </cell>
          <cell r="S3130">
            <v>374493</v>
          </cell>
          <cell r="X3130" t="str">
            <v>COP</v>
          </cell>
        </row>
        <row r="3131">
          <cell r="X3131" t="str">
            <v>COP</v>
          </cell>
        </row>
        <row r="3132">
          <cell r="X3132" t="str">
            <v>COP</v>
          </cell>
        </row>
        <row r="3133">
          <cell r="X3133" t="str">
            <v>COP</v>
          </cell>
        </row>
        <row r="3134">
          <cell r="X3134" t="str">
            <v>COP</v>
          </cell>
        </row>
        <row r="3135">
          <cell r="P3135">
            <v>0</v>
          </cell>
          <cell r="R3135">
            <v>0</v>
          </cell>
          <cell r="S3135">
            <v>0</v>
          </cell>
          <cell r="X3135" t="str">
            <v>COP</v>
          </cell>
        </row>
        <row r="3136">
          <cell r="X3136" t="str">
            <v>IL</v>
          </cell>
        </row>
        <row r="3137">
          <cell r="X3137" t="str">
            <v>COP</v>
          </cell>
        </row>
        <row r="3138">
          <cell r="P3138">
            <v>0</v>
          </cell>
          <cell r="R3138">
            <v>0</v>
          </cell>
          <cell r="S3138">
            <v>0</v>
          </cell>
          <cell r="X3138" t="str">
            <v>COP</v>
          </cell>
        </row>
        <row r="3139">
          <cell r="X3139" t="str">
            <v>COP</v>
          </cell>
        </row>
        <row r="3140">
          <cell r="X3140" t="str">
            <v>COP</v>
          </cell>
        </row>
        <row r="3141">
          <cell r="X3141" t="str">
            <v>COP</v>
          </cell>
        </row>
        <row r="3142">
          <cell r="P3142">
            <v>683270</v>
          </cell>
          <cell r="R3142">
            <v>433192.8</v>
          </cell>
          <cell r="S3142">
            <v>488645</v>
          </cell>
          <cell r="X3142" t="str">
            <v>IL</v>
          </cell>
        </row>
        <row r="3143">
          <cell r="X3143" t="str">
            <v>COP</v>
          </cell>
        </row>
        <row r="3144">
          <cell r="X3144" t="str">
            <v>COP</v>
          </cell>
        </row>
        <row r="3145">
          <cell r="X3145" t="str">
            <v>COP</v>
          </cell>
        </row>
        <row r="3146">
          <cell r="P3146">
            <v>24000</v>
          </cell>
          <cell r="R3146">
            <v>0</v>
          </cell>
          <cell r="S3146">
            <v>0</v>
          </cell>
          <cell r="X3146" t="str">
            <v>COP</v>
          </cell>
        </row>
        <row r="3147">
          <cell r="X3147" t="str">
            <v>COP</v>
          </cell>
        </row>
        <row r="3148">
          <cell r="X3148" t="str">
            <v>COP</v>
          </cell>
        </row>
        <row r="3149">
          <cell r="X3149" t="str">
            <v>COP</v>
          </cell>
        </row>
        <row r="3150">
          <cell r="X3150" t="str">
            <v>COP</v>
          </cell>
        </row>
        <row r="3151">
          <cell r="P3151">
            <v>0</v>
          </cell>
          <cell r="R3151">
            <v>0</v>
          </cell>
          <cell r="S3151">
            <v>0</v>
          </cell>
          <cell r="X3151" t="str">
            <v>COP</v>
          </cell>
        </row>
        <row r="3152">
          <cell r="X3152" t="str">
            <v>COP</v>
          </cell>
        </row>
        <row r="3153">
          <cell r="R3153">
            <v>0</v>
          </cell>
          <cell r="S3153">
            <v>0</v>
          </cell>
          <cell r="X3153" t="str">
            <v>COP</v>
          </cell>
        </row>
        <row r="3154">
          <cell r="X3154" t="str">
            <v>COP</v>
          </cell>
        </row>
        <row r="3155">
          <cell r="X3155" t="str">
            <v>COP</v>
          </cell>
        </row>
        <row r="3156">
          <cell r="R3156">
            <v>0</v>
          </cell>
          <cell r="S3156">
            <v>0</v>
          </cell>
          <cell r="X3156" t="str">
            <v>COP</v>
          </cell>
        </row>
        <row r="3157">
          <cell r="X3157" t="str">
            <v>COP</v>
          </cell>
        </row>
        <row r="3158">
          <cell r="R3158">
            <v>0</v>
          </cell>
          <cell r="S3158">
            <v>0</v>
          </cell>
          <cell r="X3158" t="str">
            <v>COP</v>
          </cell>
        </row>
        <row r="3159">
          <cell r="X3159" t="str">
            <v>COP</v>
          </cell>
        </row>
        <row r="3160">
          <cell r="X3160" t="str">
            <v>COP</v>
          </cell>
        </row>
        <row r="3161">
          <cell r="X3161" t="str">
            <v>COP</v>
          </cell>
        </row>
        <row r="3162">
          <cell r="R3162">
            <v>0</v>
          </cell>
          <cell r="S3162">
            <v>0</v>
          </cell>
          <cell r="X3162" t="str">
            <v>COP</v>
          </cell>
        </row>
        <row r="3163">
          <cell r="R3163">
            <v>0</v>
          </cell>
          <cell r="S3163">
            <v>0</v>
          </cell>
          <cell r="X3163" t="str">
            <v>COP</v>
          </cell>
        </row>
        <row r="3164">
          <cell r="X3164" t="str">
            <v>COP</v>
          </cell>
        </row>
        <row r="3165">
          <cell r="R3165">
            <v>0</v>
          </cell>
          <cell r="S3165">
            <v>0</v>
          </cell>
          <cell r="X3165" t="str">
            <v>COP</v>
          </cell>
        </row>
        <row r="3166">
          <cell r="X3166" t="str">
            <v>COP</v>
          </cell>
        </row>
        <row r="3167">
          <cell r="X3167" t="str">
            <v>COP</v>
          </cell>
        </row>
        <row r="3168">
          <cell r="X3168" t="str">
            <v>COP</v>
          </cell>
        </row>
        <row r="3169">
          <cell r="R3169">
            <v>0</v>
          </cell>
          <cell r="S3169">
            <v>0</v>
          </cell>
          <cell r="X3169" t="str">
            <v>COP</v>
          </cell>
        </row>
        <row r="3170">
          <cell r="X3170" t="str">
            <v>COP</v>
          </cell>
        </row>
        <row r="3171">
          <cell r="R3171">
            <v>0</v>
          </cell>
          <cell r="S3171">
            <v>0</v>
          </cell>
          <cell r="X3171" t="str">
            <v>COP</v>
          </cell>
        </row>
        <row r="3172">
          <cell r="X3172" t="str">
            <v>COP</v>
          </cell>
        </row>
        <row r="3173">
          <cell r="P3173">
            <v>3957397.6</v>
          </cell>
          <cell r="R3173">
            <v>2934036</v>
          </cell>
          <cell r="S3173">
            <v>1102034</v>
          </cell>
          <cell r="X3173" t="str">
            <v>COP</v>
          </cell>
        </row>
        <row r="3174">
          <cell r="X3174" t="str">
            <v>COP</v>
          </cell>
        </row>
        <row r="3175">
          <cell r="X3175" t="str">
            <v>COP</v>
          </cell>
        </row>
        <row r="3176">
          <cell r="P3176">
            <v>5065888.0249999994</v>
          </cell>
          <cell r="R3176">
            <v>3732038.4</v>
          </cell>
          <cell r="S3176">
            <v>1965172</v>
          </cell>
          <cell r="X3176" t="str">
            <v>COP</v>
          </cell>
        </row>
        <row r="3177">
          <cell r="X3177" t="str">
            <v>COP</v>
          </cell>
        </row>
        <row r="3178">
          <cell r="R3178">
            <v>0</v>
          </cell>
          <cell r="S3178">
            <v>0</v>
          </cell>
          <cell r="X3178" t="str">
            <v>IL</v>
          </cell>
        </row>
        <row r="3179">
          <cell r="R3179">
            <v>3732038.4</v>
          </cell>
          <cell r="S3179">
            <v>1965172</v>
          </cell>
          <cell r="X3179" t="str">
            <v>IL</v>
          </cell>
        </row>
        <row r="3180">
          <cell r="X3180" t="str">
            <v>IL</v>
          </cell>
        </row>
        <row r="3181">
          <cell r="R3181">
            <v>1932038.4</v>
          </cell>
          <cell r="S3181">
            <v>1965172</v>
          </cell>
          <cell r="X3181" t="str">
            <v>IL</v>
          </cell>
        </row>
        <row r="3182">
          <cell r="P3182" t="str">
            <v>Diff</v>
          </cell>
          <cell r="R3182">
            <v>1800000</v>
          </cell>
          <cell r="S3182">
            <v>0</v>
          </cell>
          <cell r="X3182" t="str">
            <v>IL</v>
          </cell>
        </row>
        <row r="3183">
          <cell r="X3183" t="str">
            <v>IL</v>
          </cell>
        </row>
        <row r="3184">
          <cell r="X3184" t="str">
            <v>IL</v>
          </cell>
        </row>
        <row r="3185">
          <cell r="X3185" t="str">
            <v>IL</v>
          </cell>
        </row>
        <row r="3186">
          <cell r="X3186" t="str">
            <v>IL</v>
          </cell>
        </row>
        <row r="3187">
          <cell r="X3187" t="str">
            <v>IL</v>
          </cell>
        </row>
        <row r="3188">
          <cell r="X3188" t="str">
            <v>IL</v>
          </cell>
        </row>
        <row r="3189">
          <cell r="X3189" t="str">
            <v>IL</v>
          </cell>
        </row>
        <row r="3190">
          <cell r="X3190" t="str">
            <v>IL</v>
          </cell>
        </row>
        <row r="3191">
          <cell r="X3191" t="str">
            <v>IL</v>
          </cell>
        </row>
        <row r="3192">
          <cell r="X3192" t="str">
            <v>IL</v>
          </cell>
        </row>
        <row r="3193">
          <cell r="X3193" t="str">
            <v>IL</v>
          </cell>
        </row>
        <row r="3194">
          <cell r="X3194" t="str">
            <v>IL</v>
          </cell>
        </row>
        <row r="3195">
          <cell r="X3195" t="str">
            <v>IL</v>
          </cell>
        </row>
        <row r="3196">
          <cell r="X3196" t="str">
            <v>IL</v>
          </cell>
        </row>
        <row r="3197">
          <cell r="X3197" t="str">
            <v>IL</v>
          </cell>
        </row>
        <row r="3198">
          <cell r="X3198" t="str">
            <v>IL</v>
          </cell>
        </row>
        <row r="3199">
          <cell r="X3199" t="str">
            <v>IL</v>
          </cell>
        </row>
        <row r="3200">
          <cell r="X3200" t="str">
            <v>IL</v>
          </cell>
        </row>
        <row r="3201">
          <cell r="X3201" t="str">
            <v>IL</v>
          </cell>
        </row>
        <row r="3202">
          <cell r="X3202" t="str">
            <v>IL</v>
          </cell>
        </row>
        <row r="3203">
          <cell r="X3203" t="str">
            <v>IL</v>
          </cell>
        </row>
        <row r="3204">
          <cell r="X3204" t="str">
            <v>IL</v>
          </cell>
        </row>
        <row r="3205">
          <cell r="R3205" t="str">
            <v>Projected</v>
          </cell>
          <cell r="S3205" t="str">
            <v>Budget</v>
          </cell>
          <cell r="X3205" t="str">
            <v>IL</v>
          </cell>
        </row>
        <row r="3206">
          <cell r="X3206" t="str">
            <v>IL</v>
          </cell>
        </row>
        <row r="3207">
          <cell r="P3207">
            <v>446790.3</v>
          </cell>
          <cell r="R3207">
            <v>407745.6</v>
          </cell>
          <cell r="S3207">
            <v>418882</v>
          </cell>
          <cell r="X3207" t="str">
            <v>COP</v>
          </cell>
        </row>
        <row r="3208">
          <cell r="X3208" t="str">
            <v>COP</v>
          </cell>
        </row>
        <row r="3209">
          <cell r="X3209" t="str">
            <v>COP</v>
          </cell>
        </row>
        <row r="3210">
          <cell r="X3210" t="str">
            <v>COP</v>
          </cell>
        </row>
        <row r="3211">
          <cell r="P3211">
            <v>5280</v>
          </cell>
          <cell r="R3211">
            <v>5280</v>
          </cell>
          <cell r="S3211">
            <v>3360</v>
          </cell>
          <cell r="X3211" t="str">
            <v>COP</v>
          </cell>
        </row>
        <row r="3212">
          <cell r="X3212" t="str">
            <v>COP</v>
          </cell>
        </row>
        <row r="3213">
          <cell r="X3213" t="str">
            <v>COP</v>
          </cell>
        </row>
        <row r="3214">
          <cell r="P3214">
            <v>144023.88750000001</v>
          </cell>
          <cell r="R3214">
            <v>61204.800000000003</v>
          </cell>
          <cell r="S3214">
            <v>66769</v>
          </cell>
          <cell r="X3214" t="str">
            <v>COP</v>
          </cell>
        </row>
        <row r="3215">
          <cell r="X3215" t="str">
            <v>COP</v>
          </cell>
        </row>
        <row r="3216">
          <cell r="P3216">
            <v>596094.18750000012</v>
          </cell>
          <cell r="R3216">
            <v>474230.4</v>
          </cell>
          <cell r="S3216">
            <v>489011</v>
          </cell>
          <cell r="X3216" t="str">
            <v>COP</v>
          </cell>
        </row>
        <row r="3217">
          <cell r="X3217" t="str">
            <v>COP</v>
          </cell>
        </row>
        <row r="3218">
          <cell r="X3218" t="str">
            <v>COP</v>
          </cell>
        </row>
        <row r="3219">
          <cell r="X3219" t="str">
            <v>COP</v>
          </cell>
        </row>
        <row r="3220">
          <cell r="X3220" t="str">
            <v>COP</v>
          </cell>
        </row>
        <row r="3221">
          <cell r="P3221">
            <v>0</v>
          </cell>
          <cell r="R3221">
            <v>0</v>
          </cell>
          <cell r="S3221">
            <v>0</v>
          </cell>
          <cell r="X3221" t="str">
            <v>COP</v>
          </cell>
        </row>
        <row r="3222">
          <cell r="X3222" t="str">
            <v>IL</v>
          </cell>
        </row>
        <row r="3223">
          <cell r="X3223" t="str">
            <v>COP</v>
          </cell>
        </row>
        <row r="3224">
          <cell r="P3224">
            <v>0</v>
          </cell>
          <cell r="R3224">
            <v>0</v>
          </cell>
          <cell r="S3224">
            <v>0</v>
          </cell>
          <cell r="X3224" t="str">
            <v>COP</v>
          </cell>
        </row>
        <row r="3225">
          <cell r="X3225" t="str">
            <v>COP</v>
          </cell>
        </row>
        <row r="3226">
          <cell r="X3226" t="str">
            <v>COP</v>
          </cell>
        </row>
        <row r="3227">
          <cell r="X3227" t="str">
            <v>COP</v>
          </cell>
        </row>
        <row r="3228">
          <cell r="P3228">
            <v>852017.08333333326</v>
          </cell>
          <cell r="R3228">
            <v>484953.59999999998</v>
          </cell>
          <cell r="S3228">
            <v>503876</v>
          </cell>
          <cell r="X3228" t="str">
            <v>IL</v>
          </cell>
        </row>
        <row r="3229">
          <cell r="X3229" t="str">
            <v>COP</v>
          </cell>
        </row>
        <row r="3230">
          <cell r="X3230" t="str">
            <v>COP</v>
          </cell>
        </row>
        <row r="3231">
          <cell r="X3231" t="str">
            <v>COP</v>
          </cell>
        </row>
        <row r="3232">
          <cell r="P3232">
            <v>24000</v>
          </cell>
          <cell r="R3232">
            <v>0</v>
          </cell>
          <cell r="S3232">
            <v>0</v>
          </cell>
          <cell r="X3232" t="str">
            <v>COP</v>
          </cell>
        </row>
        <row r="3233">
          <cell r="X3233" t="str">
            <v>COP</v>
          </cell>
        </row>
        <row r="3234">
          <cell r="X3234" t="str">
            <v>COP</v>
          </cell>
        </row>
        <row r="3235">
          <cell r="X3235" t="str">
            <v>COP</v>
          </cell>
        </row>
        <row r="3236">
          <cell r="X3236" t="str">
            <v>COP</v>
          </cell>
        </row>
        <row r="3237">
          <cell r="P3237">
            <v>0</v>
          </cell>
          <cell r="R3237">
            <v>0</v>
          </cell>
          <cell r="S3237">
            <v>0</v>
          </cell>
          <cell r="X3237" t="str">
            <v>COP</v>
          </cell>
        </row>
        <row r="3238">
          <cell r="X3238" t="str">
            <v>COP</v>
          </cell>
        </row>
        <row r="3239">
          <cell r="R3239">
            <v>0</v>
          </cell>
          <cell r="S3239">
            <v>0</v>
          </cell>
          <cell r="X3239" t="str">
            <v>COP</v>
          </cell>
        </row>
        <row r="3240">
          <cell r="X3240" t="str">
            <v>COP</v>
          </cell>
        </row>
        <row r="3241">
          <cell r="X3241" t="str">
            <v>COP</v>
          </cell>
        </row>
        <row r="3242">
          <cell r="R3242">
            <v>0</v>
          </cell>
          <cell r="S3242">
            <v>0</v>
          </cell>
          <cell r="X3242" t="str">
            <v>COP</v>
          </cell>
        </row>
        <row r="3243">
          <cell r="X3243" t="str">
            <v>COP</v>
          </cell>
        </row>
        <row r="3244">
          <cell r="R3244">
            <v>0</v>
          </cell>
          <cell r="S3244">
            <v>0</v>
          </cell>
          <cell r="X3244" t="str">
            <v>COP</v>
          </cell>
        </row>
        <row r="3245">
          <cell r="X3245" t="str">
            <v>COP</v>
          </cell>
        </row>
        <row r="3246">
          <cell r="X3246" t="str">
            <v>COP</v>
          </cell>
        </row>
        <row r="3247">
          <cell r="X3247" t="str">
            <v>COP</v>
          </cell>
        </row>
        <row r="3248">
          <cell r="R3248">
            <v>0</v>
          </cell>
          <cell r="S3248">
            <v>0</v>
          </cell>
          <cell r="X3248" t="str">
            <v>COP</v>
          </cell>
        </row>
        <row r="3249">
          <cell r="R3249">
            <v>0</v>
          </cell>
          <cell r="S3249">
            <v>0</v>
          </cell>
          <cell r="X3249" t="str">
            <v>COP</v>
          </cell>
        </row>
        <row r="3250">
          <cell r="X3250" t="str">
            <v>COP</v>
          </cell>
        </row>
        <row r="3251">
          <cell r="R3251">
            <v>0</v>
          </cell>
          <cell r="S3251">
            <v>0</v>
          </cell>
          <cell r="X3251" t="str">
            <v>COP</v>
          </cell>
        </row>
        <row r="3252">
          <cell r="X3252" t="str">
            <v>COP</v>
          </cell>
        </row>
        <row r="3253">
          <cell r="X3253" t="str">
            <v>COP</v>
          </cell>
        </row>
        <row r="3254">
          <cell r="X3254" t="str">
            <v>COP</v>
          </cell>
        </row>
        <row r="3255">
          <cell r="R3255">
            <v>0</v>
          </cell>
          <cell r="S3255">
            <v>0</v>
          </cell>
          <cell r="X3255" t="str">
            <v>COP</v>
          </cell>
        </row>
        <row r="3256">
          <cell r="X3256" t="str">
            <v>COP</v>
          </cell>
        </row>
        <row r="3257">
          <cell r="R3257">
            <v>0</v>
          </cell>
          <cell r="S3257">
            <v>0</v>
          </cell>
          <cell r="X3257" t="str">
            <v>COP</v>
          </cell>
        </row>
        <row r="3258">
          <cell r="X3258" t="str">
            <v>COP</v>
          </cell>
        </row>
        <row r="3259">
          <cell r="P3259">
            <v>3680709</v>
          </cell>
          <cell r="R3259">
            <v>3062460</v>
          </cell>
          <cell r="S3259">
            <v>1196445</v>
          </cell>
          <cell r="X3259" t="str">
            <v>COP</v>
          </cell>
        </row>
        <row r="3260">
          <cell r="X3260" t="str">
            <v>COP</v>
          </cell>
        </row>
        <row r="3261">
          <cell r="X3261" t="str">
            <v>COP</v>
          </cell>
        </row>
        <row r="3262">
          <cell r="P3262">
            <v>5152820.270833333</v>
          </cell>
          <cell r="R3262">
            <v>4021644</v>
          </cell>
          <cell r="S3262">
            <v>2189332</v>
          </cell>
          <cell r="X3262" t="str">
            <v>COP</v>
          </cell>
        </row>
        <row r="3263">
          <cell r="X3263" t="str">
            <v>COP</v>
          </cell>
        </row>
        <row r="3264">
          <cell r="R3264">
            <v>0</v>
          </cell>
          <cell r="S3264">
            <v>0</v>
          </cell>
          <cell r="X3264" t="str">
            <v>IL</v>
          </cell>
        </row>
        <row r="3265">
          <cell r="R3265">
            <v>4021644</v>
          </cell>
          <cell r="S3265">
            <v>2189332</v>
          </cell>
          <cell r="X3265" t="str">
            <v>IL</v>
          </cell>
        </row>
        <row r="3266">
          <cell r="X3266" t="str">
            <v>IL</v>
          </cell>
        </row>
        <row r="3267">
          <cell r="R3267">
            <v>2221644</v>
          </cell>
          <cell r="S3267">
            <v>2189332</v>
          </cell>
          <cell r="X3267" t="str">
            <v>IL</v>
          </cell>
        </row>
        <row r="3268">
          <cell r="P3268" t="str">
            <v>Diff</v>
          </cell>
          <cell r="R3268">
            <v>1800000</v>
          </cell>
          <cell r="S3268">
            <v>0</v>
          </cell>
          <cell r="X3268" t="str">
            <v>IL</v>
          </cell>
        </row>
        <row r="3269">
          <cell r="X3269" t="str">
            <v>IL</v>
          </cell>
        </row>
        <row r="3270">
          <cell r="X3270" t="str">
            <v>IL</v>
          </cell>
        </row>
        <row r="3271">
          <cell r="X3271" t="str">
            <v>IL</v>
          </cell>
        </row>
        <row r="3272">
          <cell r="X3272" t="str">
            <v>IL</v>
          </cell>
        </row>
        <row r="3273">
          <cell r="X3273" t="str">
            <v>IL</v>
          </cell>
        </row>
        <row r="3274">
          <cell r="X3274" t="str">
            <v>IL</v>
          </cell>
        </row>
        <row r="3275">
          <cell r="X3275" t="str">
            <v>IL</v>
          </cell>
        </row>
        <row r="3276">
          <cell r="X3276" t="str">
            <v>IL</v>
          </cell>
        </row>
        <row r="3277">
          <cell r="X3277" t="str">
            <v>IL</v>
          </cell>
        </row>
        <row r="3278">
          <cell r="X3278" t="str">
            <v>IL</v>
          </cell>
        </row>
        <row r="3279">
          <cell r="X3279" t="str">
            <v>IL</v>
          </cell>
        </row>
        <row r="3280">
          <cell r="X3280" t="str">
            <v>IL</v>
          </cell>
        </row>
        <row r="3281">
          <cell r="X3281" t="str">
            <v>IL</v>
          </cell>
        </row>
        <row r="3282">
          <cell r="X3282" t="str">
            <v>IL</v>
          </cell>
        </row>
        <row r="3283">
          <cell r="X3283" t="str">
            <v>IL</v>
          </cell>
        </row>
        <row r="3284">
          <cell r="X3284" t="str">
            <v>IL</v>
          </cell>
        </row>
        <row r="3285">
          <cell r="X3285" t="str">
            <v>IL</v>
          </cell>
        </row>
        <row r="3286">
          <cell r="X3286" t="str">
            <v>IL</v>
          </cell>
        </row>
        <row r="3287">
          <cell r="X3287" t="str">
            <v>IL</v>
          </cell>
        </row>
        <row r="3288">
          <cell r="X3288" t="str">
            <v>IL</v>
          </cell>
        </row>
        <row r="3289">
          <cell r="X3289" t="str">
            <v>IL</v>
          </cell>
        </row>
        <row r="3290">
          <cell r="X3290" t="str">
            <v>IL</v>
          </cell>
        </row>
        <row r="3291">
          <cell r="R3291" t="str">
            <v>Projected</v>
          </cell>
          <cell r="S3291" t="str">
            <v>Budget</v>
          </cell>
          <cell r="X3291" t="str">
            <v>IL</v>
          </cell>
        </row>
        <row r="3292">
          <cell r="X3292" t="str">
            <v>IL</v>
          </cell>
        </row>
        <row r="3293">
          <cell r="P3293">
            <v>351652.8</v>
          </cell>
          <cell r="R3293">
            <v>312153.59999999998</v>
          </cell>
          <cell r="S3293">
            <v>320256</v>
          </cell>
          <cell r="X3293" t="str">
            <v>COP</v>
          </cell>
        </row>
        <row r="3294">
          <cell r="X3294" t="str">
            <v>COP</v>
          </cell>
        </row>
        <row r="3295">
          <cell r="X3295" t="str">
            <v>COP</v>
          </cell>
        </row>
        <row r="3296">
          <cell r="X3296" t="str">
            <v>COP</v>
          </cell>
        </row>
        <row r="3297">
          <cell r="P3297">
            <v>5280</v>
          </cell>
          <cell r="R3297">
            <v>5280</v>
          </cell>
          <cell r="S3297">
            <v>5280</v>
          </cell>
          <cell r="X3297" t="str">
            <v>COP</v>
          </cell>
        </row>
        <row r="3298">
          <cell r="X3298" t="str">
            <v>COP</v>
          </cell>
        </row>
        <row r="3299">
          <cell r="X3299" t="str">
            <v>COP</v>
          </cell>
        </row>
        <row r="3300">
          <cell r="P3300">
            <v>50659.199999999997</v>
          </cell>
          <cell r="R3300">
            <v>35152.800000000003</v>
          </cell>
          <cell r="S3300">
            <v>37390</v>
          </cell>
          <cell r="X3300" t="str">
            <v>COP</v>
          </cell>
        </row>
        <row r="3301">
          <cell r="X3301" t="str">
            <v>COP</v>
          </cell>
        </row>
        <row r="3302">
          <cell r="P3302">
            <v>407592</v>
          </cell>
          <cell r="R3302">
            <v>352586.4</v>
          </cell>
          <cell r="S3302">
            <v>362926</v>
          </cell>
          <cell r="X3302" t="str">
            <v>COP</v>
          </cell>
        </row>
        <row r="3303">
          <cell r="X3303" t="str">
            <v>COP</v>
          </cell>
        </row>
        <row r="3304">
          <cell r="X3304" t="str">
            <v>COP</v>
          </cell>
        </row>
        <row r="3305">
          <cell r="X3305" t="str">
            <v>COP</v>
          </cell>
        </row>
        <row r="3306">
          <cell r="X3306" t="str">
            <v>COP</v>
          </cell>
        </row>
        <row r="3307">
          <cell r="P3307">
            <v>0</v>
          </cell>
          <cell r="R3307">
            <v>0</v>
          </cell>
          <cell r="S3307">
            <v>0</v>
          </cell>
          <cell r="X3307" t="str">
            <v>COP</v>
          </cell>
        </row>
        <row r="3308">
          <cell r="X3308" t="str">
            <v>IL</v>
          </cell>
        </row>
        <row r="3309">
          <cell r="X3309" t="str">
            <v>COP</v>
          </cell>
        </row>
        <row r="3310">
          <cell r="P3310">
            <v>0</v>
          </cell>
          <cell r="R3310">
            <v>0</v>
          </cell>
          <cell r="S3310">
            <v>0</v>
          </cell>
          <cell r="X3310" t="str">
            <v>COP</v>
          </cell>
        </row>
        <row r="3311">
          <cell r="X3311" t="str">
            <v>COP</v>
          </cell>
        </row>
        <row r="3312">
          <cell r="X3312" t="str">
            <v>COP</v>
          </cell>
        </row>
        <row r="3313">
          <cell r="X3313" t="str">
            <v>COP</v>
          </cell>
        </row>
        <row r="3314">
          <cell r="P3314">
            <v>1665428.6625000001</v>
          </cell>
          <cell r="R3314">
            <v>1375975.2</v>
          </cell>
          <cell r="S3314">
            <v>1212000</v>
          </cell>
          <cell r="X3314" t="str">
            <v>IL</v>
          </cell>
        </row>
        <row r="3315">
          <cell r="X3315" t="str">
            <v>COP</v>
          </cell>
        </row>
        <row r="3316">
          <cell r="X3316" t="str">
            <v>COP</v>
          </cell>
        </row>
        <row r="3317">
          <cell r="X3317" t="str">
            <v>COP</v>
          </cell>
        </row>
        <row r="3318">
          <cell r="P3318">
            <v>24000</v>
          </cell>
          <cell r="R3318">
            <v>0</v>
          </cell>
          <cell r="S3318">
            <v>0</v>
          </cell>
          <cell r="X3318" t="str">
            <v>COP</v>
          </cell>
        </row>
        <row r="3319">
          <cell r="X3319" t="str">
            <v>COP</v>
          </cell>
        </row>
        <row r="3320">
          <cell r="X3320" t="str">
            <v>COP</v>
          </cell>
        </row>
        <row r="3321">
          <cell r="X3321" t="str">
            <v>COP</v>
          </cell>
        </row>
        <row r="3322">
          <cell r="X3322" t="str">
            <v>COP</v>
          </cell>
        </row>
        <row r="3323">
          <cell r="P3323">
            <v>0</v>
          </cell>
          <cell r="R3323">
            <v>0</v>
          </cell>
          <cell r="S3323">
            <v>0</v>
          </cell>
          <cell r="X3323" t="str">
            <v>COP</v>
          </cell>
        </row>
        <row r="3324">
          <cell r="X3324" t="str">
            <v>COP</v>
          </cell>
        </row>
        <row r="3325">
          <cell r="R3325">
            <v>0</v>
          </cell>
          <cell r="S3325">
            <v>0</v>
          </cell>
          <cell r="X3325" t="str">
            <v>COP</v>
          </cell>
        </row>
        <row r="3326">
          <cell r="X3326" t="str">
            <v>COP</v>
          </cell>
        </row>
        <row r="3327">
          <cell r="X3327" t="str">
            <v>COP</v>
          </cell>
        </row>
        <row r="3328">
          <cell r="R3328">
            <v>0</v>
          </cell>
          <cell r="S3328">
            <v>0</v>
          </cell>
          <cell r="X3328" t="str">
            <v>COP</v>
          </cell>
        </row>
        <row r="3329">
          <cell r="X3329" t="str">
            <v>COP</v>
          </cell>
        </row>
        <row r="3330">
          <cell r="R3330">
            <v>0</v>
          </cell>
          <cell r="S3330">
            <v>0</v>
          </cell>
          <cell r="X3330" t="str">
            <v>COP</v>
          </cell>
        </row>
        <row r="3331">
          <cell r="X3331" t="str">
            <v>COP</v>
          </cell>
        </row>
        <row r="3332">
          <cell r="X3332" t="str">
            <v>COP</v>
          </cell>
        </row>
        <row r="3333">
          <cell r="X3333" t="str">
            <v>COP</v>
          </cell>
        </row>
        <row r="3334">
          <cell r="R3334">
            <v>0</v>
          </cell>
          <cell r="S3334">
            <v>0</v>
          </cell>
          <cell r="X3334" t="str">
            <v>COP</v>
          </cell>
        </row>
        <row r="3335">
          <cell r="R3335">
            <v>0</v>
          </cell>
          <cell r="S3335">
            <v>0</v>
          </cell>
          <cell r="X3335" t="str">
            <v>COP</v>
          </cell>
        </row>
        <row r="3336">
          <cell r="X3336" t="str">
            <v>COP</v>
          </cell>
        </row>
        <row r="3337">
          <cell r="R3337">
            <v>0</v>
          </cell>
          <cell r="S3337">
            <v>0</v>
          </cell>
          <cell r="X3337" t="str">
            <v>COP</v>
          </cell>
        </row>
        <row r="3338">
          <cell r="X3338" t="str">
            <v>COP</v>
          </cell>
        </row>
        <row r="3339">
          <cell r="X3339" t="str">
            <v>COP</v>
          </cell>
        </row>
        <row r="3340">
          <cell r="X3340" t="str">
            <v>COP</v>
          </cell>
        </row>
        <row r="3341">
          <cell r="R3341">
            <v>0</v>
          </cell>
          <cell r="S3341">
            <v>0</v>
          </cell>
          <cell r="X3341" t="str">
            <v>COP</v>
          </cell>
        </row>
        <row r="3342">
          <cell r="X3342" t="str">
            <v>COP</v>
          </cell>
        </row>
        <row r="3343">
          <cell r="R3343">
            <v>0</v>
          </cell>
          <cell r="S3343">
            <v>0</v>
          </cell>
          <cell r="X3343" t="str">
            <v>COP</v>
          </cell>
        </row>
        <row r="3344">
          <cell r="X3344" t="str">
            <v>COP</v>
          </cell>
        </row>
        <row r="3345">
          <cell r="P3345">
            <v>3700703.8</v>
          </cell>
          <cell r="R3345">
            <v>2970952.8</v>
          </cell>
          <cell r="S3345">
            <v>1071856</v>
          </cell>
          <cell r="X3345" t="str">
            <v>COP</v>
          </cell>
        </row>
        <row r="3346">
          <cell r="X3346" t="str">
            <v>COP</v>
          </cell>
        </row>
        <row r="3347">
          <cell r="X3347" t="str">
            <v>COP</v>
          </cell>
        </row>
        <row r="3348">
          <cell r="P3348">
            <v>5797724.4625000004</v>
          </cell>
          <cell r="R3348">
            <v>4699514.4000000004</v>
          </cell>
          <cell r="S3348">
            <v>2646782</v>
          </cell>
          <cell r="X3348" t="str">
            <v>COP</v>
          </cell>
        </row>
        <row r="3349">
          <cell r="X3349" t="str">
            <v>COP</v>
          </cell>
        </row>
        <row r="3350">
          <cell r="R3350">
            <v>0</v>
          </cell>
          <cell r="S3350">
            <v>0</v>
          </cell>
          <cell r="X3350" t="str">
            <v>IL</v>
          </cell>
        </row>
        <row r="3351">
          <cell r="R3351">
            <v>4699514.4000000004</v>
          </cell>
          <cell r="S3351">
            <v>2646782</v>
          </cell>
          <cell r="X3351" t="str">
            <v>IL</v>
          </cell>
        </row>
        <row r="3352">
          <cell r="X3352" t="str">
            <v>IL</v>
          </cell>
        </row>
        <row r="3353">
          <cell r="R3353">
            <v>2899514.4</v>
          </cell>
          <cell r="S3353">
            <v>2646782</v>
          </cell>
          <cell r="X3353" t="str">
            <v>IL</v>
          </cell>
        </row>
        <row r="3354">
          <cell r="P3354" t="str">
            <v>Diff</v>
          </cell>
          <cell r="R3354">
            <v>1800000</v>
          </cell>
          <cell r="S3354">
            <v>0</v>
          </cell>
          <cell r="X3354" t="str">
            <v>IL</v>
          </cell>
        </row>
        <row r="3355">
          <cell r="X3355" t="str">
            <v>IL</v>
          </cell>
        </row>
        <row r="3356">
          <cell r="X3356" t="str">
            <v>IL</v>
          </cell>
        </row>
        <row r="3357">
          <cell r="X3357" t="str">
            <v>IL</v>
          </cell>
        </row>
        <row r="3358">
          <cell r="X3358" t="str">
            <v>IL</v>
          </cell>
        </row>
        <row r="3359">
          <cell r="X3359" t="str">
            <v>IL</v>
          </cell>
        </row>
        <row r="3360">
          <cell r="X3360" t="str">
            <v>IL</v>
          </cell>
        </row>
        <row r="3361">
          <cell r="X3361" t="str">
            <v>IL</v>
          </cell>
        </row>
        <row r="3362">
          <cell r="X3362" t="str">
            <v>IL</v>
          </cell>
        </row>
        <row r="3363">
          <cell r="X3363" t="str">
            <v>IL</v>
          </cell>
        </row>
        <row r="3364">
          <cell r="X3364" t="str">
            <v>IL</v>
          </cell>
        </row>
        <row r="3365">
          <cell r="X3365" t="str">
            <v>IL</v>
          </cell>
        </row>
        <row r="3366">
          <cell r="X3366" t="str">
            <v>IL</v>
          </cell>
        </row>
        <row r="3367">
          <cell r="X3367" t="str">
            <v>IL</v>
          </cell>
        </row>
        <row r="3368">
          <cell r="X3368" t="str">
            <v>IL</v>
          </cell>
        </row>
        <row r="3369">
          <cell r="X3369" t="str">
            <v>IL</v>
          </cell>
        </row>
        <row r="3370">
          <cell r="X3370" t="str">
            <v>IL</v>
          </cell>
        </row>
        <row r="3371">
          <cell r="X3371" t="str">
            <v>IL</v>
          </cell>
        </row>
        <row r="3372">
          <cell r="X3372" t="str">
            <v>IL</v>
          </cell>
        </row>
        <row r="3373">
          <cell r="X3373" t="str">
            <v>IL</v>
          </cell>
        </row>
        <row r="3374">
          <cell r="X3374" t="str">
            <v>IL</v>
          </cell>
        </row>
        <row r="3375">
          <cell r="X3375" t="str">
            <v>IL</v>
          </cell>
        </row>
        <row r="3376">
          <cell r="X3376" t="str">
            <v>IL</v>
          </cell>
        </row>
        <row r="3377">
          <cell r="R3377" t="str">
            <v>Projected</v>
          </cell>
          <cell r="S3377" t="str">
            <v>Budget</v>
          </cell>
          <cell r="X3377" t="str">
            <v>IL</v>
          </cell>
        </row>
        <row r="3378">
          <cell r="X3378" t="str">
            <v>IL</v>
          </cell>
        </row>
        <row r="3379">
          <cell r="P3379">
            <v>312162</v>
          </cell>
          <cell r="R3379">
            <v>311904</v>
          </cell>
          <cell r="S3379">
            <v>301008</v>
          </cell>
          <cell r="X3379" t="str">
            <v>COP</v>
          </cell>
        </row>
        <row r="3380">
          <cell r="X3380" t="str">
            <v>COP</v>
          </cell>
        </row>
        <row r="3381">
          <cell r="X3381" t="str">
            <v>COP</v>
          </cell>
        </row>
        <row r="3382">
          <cell r="X3382" t="str">
            <v>COP</v>
          </cell>
        </row>
        <row r="3383">
          <cell r="P3383">
            <v>5280</v>
          </cell>
          <cell r="R3383">
            <v>5280</v>
          </cell>
          <cell r="S3383">
            <v>0</v>
          </cell>
          <cell r="X3383" t="str">
            <v>COP</v>
          </cell>
        </row>
        <row r="3384">
          <cell r="X3384" t="str">
            <v>COP</v>
          </cell>
        </row>
        <row r="3385">
          <cell r="X3385" t="str">
            <v>COP</v>
          </cell>
        </row>
        <row r="3386">
          <cell r="P3386">
            <v>46724.25</v>
          </cell>
          <cell r="R3386">
            <v>33410.400000000001</v>
          </cell>
          <cell r="S3386">
            <v>35335</v>
          </cell>
          <cell r="X3386" t="str">
            <v>COP</v>
          </cell>
        </row>
        <row r="3387">
          <cell r="X3387" t="str">
            <v>COP</v>
          </cell>
        </row>
        <row r="3388">
          <cell r="P3388">
            <v>364166.25</v>
          </cell>
          <cell r="R3388">
            <v>350594.4</v>
          </cell>
          <cell r="S3388">
            <v>336343</v>
          </cell>
          <cell r="X3388" t="str">
            <v>COP</v>
          </cell>
        </row>
        <row r="3389">
          <cell r="X3389" t="str">
            <v>COP</v>
          </cell>
        </row>
        <row r="3390">
          <cell r="X3390" t="str">
            <v>COP</v>
          </cell>
        </row>
        <row r="3391">
          <cell r="X3391" t="str">
            <v>COP</v>
          </cell>
        </row>
        <row r="3392">
          <cell r="X3392" t="str">
            <v>COP</v>
          </cell>
        </row>
        <row r="3393">
          <cell r="P3393">
            <v>0</v>
          </cell>
          <cell r="R3393">
            <v>0</v>
          </cell>
          <cell r="S3393">
            <v>0</v>
          </cell>
          <cell r="X3393" t="str">
            <v>COP</v>
          </cell>
        </row>
        <row r="3394">
          <cell r="X3394" t="str">
            <v>IL</v>
          </cell>
        </row>
        <row r="3395">
          <cell r="X3395" t="str">
            <v>COP</v>
          </cell>
        </row>
        <row r="3396">
          <cell r="P3396">
            <v>0</v>
          </cell>
          <cell r="R3396">
            <v>0</v>
          </cell>
          <cell r="S3396">
            <v>0</v>
          </cell>
          <cell r="X3396" t="str">
            <v>COP</v>
          </cell>
        </row>
        <row r="3397">
          <cell r="X3397" t="str">
            <v>COP</v>
          </cell>
        </row>
        <row r="3398">
          <cell r="X3398" t="str">
            <v>COP</v>
          </cell>
        </row>
        <row r="3399">
          <cell r="X3399" t="str">
            <v>COP</v>
          </cell>
        </row>
        <row r="3400">
          <cell r="P3400">
            <v>752442.59090909094</v>
          </cell>
          <cell r="R3400">
            <v>458282.4</v>
          </cell>
          <cell r="S3400">
            <v>554808</v>
          </cell>
          <cell r="X3400" t="str">
            <v>IL</v>
          </cell>
        </row>
        <row r="3401">
          <cell r="X3401" t="str">
            <v>COP</v>
          </cell>
        </row>
        <row r="3402">
          <cell r="X3402" t="str">
            <v>COP</v>
          </cell>
        </row>
        <row r="3403">
          <cell r="X3403" t="str">
            <v>COP</v>
          </cell>
        </row>
        <row r="3404">
          <cell r="P3404">
            <v>24000</v>
          </cell>
          <cell r="R3404">
            <v>0</v>
          </cell>
          <cell r="S3404">
            <v>0</v>
          </cell>
          <cell r="X3404" t="str">
            <v>COP</v>
          </cell>
        </row>
        <row r="3405">
          <cell r="X3405" t="str">
            <v>COP</v>
          </cell>
        </row>
        <row r="3406">
          <cell r="X3406" t="str">
            <v>COP</v>
          </cell>
        </row>
        <row r="3407">
          <cell r="X3407" t="str">
            <v>COP</v>
          </cell>
        </row>
        <row r="3408">
          <cell r="X3408" t="str">
            <v>COP</v>
          </cell>
        </row>
        <row r="3409">
          <cell r="P3409">
            <v>0</v>
          </cell>
          <cell r="R3409">
            <v>0</v>
          </cell>
          <cell r="S3409">
            <v>0</v>
          </cell>
          <cell r="X3409" t="str">
            <v>COP</v>
          </cell>
        </row>
        <row r="3410">
          <cell r="X3410" t="str">
            <v>COP</v>
          </cell>
        </row>
        <row r="3411">
          <cell r="R3411">
            <v>0</v>
          </cell>
          <cell r="S3411">
            <v>0</v>
          </cell>
          <cell r="X3411" t="str">
            <v>COP</v>
          </cell>
        </row>
        <row r="3412">
          <cell r="X3412" t="str">
            <v>COP</v>
          </cell>
        </row>
        <row r="3413">
          <cell r="X3413" t="str">
            <v>COP</v>
          </cell>
        </row>
        <row r="3414">
          <cell r="R3414">
            <v>0</v>
          </cell>
          <cell r="S3414">
            <v>0</v>
          </cell>
          <cell r="X3414" t="str">
            <v>COP</v>
          </cell>
        </row>
        <row r="3415">
          <cell r="X3415" t="str">
            <v>COP</v>
          </cell>
        </row>
        <row r="3416">
          <cell r="R3416">
            <v>0</v>
          </cell>
          <cell r="S3416">
            <v>0</v>
          </cell>
          <cell r="X3416" t="str">
            <v>COP</v>
          </cell>
        </row>
        <row r="3417">
          <cell r="X3417" t="str">
            <v>COP</v>
          </cell>
        </row>
        <row r="3418">
          <cell r="X3418" t="str">
            <v>COP</v>
          </cell>
        </row>
        <row r="3419">
          <cell r="X3419" t="str">
            <v>COP</v>
          </cell>
        </row>
        <row r="3420">
          <cell r="R3420">
            <v>0</v>
          </cell>
          <cell r="S3420">
            <v>0</v>
          </cell>
          <cell r="X3420" t="str">
            <v>COP</v>
          </cell>
        </row>
        <row r="3421">
          <cell r="R3421">
            <v>0</v>
          </cell>
          <cell r="S3421">
            <v>0</v>
          </cell>
          <cell r="X3421" t="str">
            <v>COP</v>
          </cell>
        </row>
        <row r="3422">
          <cell r="X3422" t="str">
            <v>COP</v>
          </cell>
        </row>
        <row r="3423">
          <cell r="R3423">
            <v>0</v>
          </cell>
          <cell r="S3423">
            <v>0</v>
          </cell>
          <cell r="X3423" t="str">
            <v>COP</v>
          </cell>
        </row>
        <row r="3424">
          <cell r="X3424" t="str">
            <v>COP</v>
          </cell>
        </row>
        <row r="3425">
          <cell r="X3425" t="str">
            <v>COP</v>
          </cell>
        </row>
        <row r="3426">
          <cell r="X3426" t="str">
            <v>COP</v>
          </cell>
        </row>
        <row r="3427">
          <cell r="R3427">
            <v>0</v>
          </cell>
          <cell r="S3427">
            <v>0</v>
          </cell>
          <cell r="X3427" t="str">
            <v>COP</v>
          </cell>
        </row>
        <row r="3428">
          <cell r="X3428" t="str">
            <v>COP</v>
          </cell>
        </row>
        <row r="3429">
          <cell r="R3429">
            <v>0</v>
          </cell>
          <cell r="S3429">
            <v>0</v>
          </cell>
          <cell r="X3429" t="str">
            <v>COP</v>
          </cell>
        </row>
        <row r="3430">
          <cell r="X3430" t="str">
            <v>COP</v>
          </cell>
        </row>
        <row r="3431">
          <cell r="P3431">
            <v>5206811.9000000004</v>
          </cell>
          <cell r="R3431">
            <v>3759844.8</v>
          </cell>
          <cell r="S3431">
            <v>2037749</v>
          </cell>
          <cell r="X3431" t="str">
            <v>COP</v>
          </cell>
        </row>
        <row r="3432">
          <cell r="X3432" t="str">
            <v>COP</v>
          </cell>
        </row>
        <row r="3433">
          <cell r="X3433" t="str">
            <v>COP</v>
          </cell>
        </row>
        <row r="3434">
          <cell r="P3434">
            <v>6347420.7409090912</v>
          </cell>
          <cell r="R3434">
            <v>4568721.5999999996</v>
          </cell>
          <cell r="S3434">
            <v>2928900</v>
          </cell>
          <cell r="X3434" t="str">
            <v>COP</v>
          </cell>
        </row>
        <row r="3435">
          <cell r="X3435" t="str">
            <v>COP</v>
          </cell>
        </row>
        <row r="3436">
          <cell r="R3436">
            <v>0</v>
          </cell>
          <cell r="S3436">
            <v>0</v>
          </cell>
          <cell r="X3436" t="str">
            <v>IL</v>
          </cell>
        </row>
        <row r="3437">
          <cell r="R3437">
            <v>4568721.5999999996</v>
          </cell>
          <cell r="S3437">
            <v>2928900</v>
          </cell>
          <cell r="X3437" t="str">
            <v>IL</v>
          </cell>
        </row>
        <row r="3438">
          <cell r="X3438" t="str">
            <v>IL</v>
          </cell>
        </row>
        <row r="3439">
          <cell r="R3439">
            <v>2468721.6</v>
          </cell>
          <cell r="S3439">
            <v>2928900</v>
          </cell>
          <cell r="X3439" t="str">
            <v>IL</v>
          </cell>
        </row>
        <row r="3440">
          <cell r="P3440" t="str">
            <v>Diff</v>
          </cell>
          <cell r="R3440">
            <v>2100000</v>
          </cell>
          <cell r="S3440">
            <v>0</v>
          </cell>
          <cell r="X3440" t="str">
            <v>IL</v>
          </cell>
        </row>
        <row r="3441">
          <cell r="X3441" t="str">
            <v>IL</v>
          </cell>
        </row>
        <row r="3442">
          <cell r="X3442" t="str">
            <v>IL</v>
          </cell>
        </row>
        <row r="3443">
          <cell r="X3443" t="str">
            <v>IL</v>
          </cell>
        </row>
        <row r="3444">
          <cell r="X3444" t="str">
            <v>IL</v>
          </cell>
        </row>
        <row r="3445">
          <cell r="X3445" t="str">
            <v>IL</v>
          </cell>
        </row>
        <row r="3446">
          <cell r="X3446" t="str">
            <v>IL</v>
          </cell>
        </row>
        <row r="3447">
          <cell r="X3447" t="str">
            <v>IL</v>
          </cell>
        </row>
        <row r="3448">
          <cell r="X3448" t="str">
            <v>IL</v>
          </cell>
        </row>
        <row r="3449">
          <cell r="X3449" t="str">
            <v>IL</v>
          </cell>
        </row>
        <row r="3450">
          <cell r="X3450" t="str">
            <v>IL</v>
          </cell>
        </row>
        <row r="3451">
          <cell r="X3451" t="str">
            <v>IL</v>
          </cell>
        </row>
        <row r="3452">
          <cell r="X3452" t="str">
            <v>IL</v>
          </cell>
        </row>
        <row r="3453">
          <cell r="X3453" t="str">
            <v>IL</v>
          </cell>
        </row>
        <row r="3454">
          <cell r="X3454" t="str">
            <v>IL</v>
          </cell>
        </row>
        <row r="3455">
          <cell r="X3455" t="str">
            <v>IL</v>
          </cell>
        </row>
        <row r="3456">
          <cell r="X3456" t="str">
            <v>IL</v>
          </cell>
        </row>
        <row r="3457">
          <cell r="X3457" t="str">
            <v>IL</v>
          </cell>
        </row>
        <row r="3458">
          <cell r="X3458" t="str">
            <v>IL</v>
          </cell>
        </row>
        <row r="3459">
          <cell r="X3459" t="str">
            <v>IL</v>
          </cell>
        </row>
        <row r="3460">
          <cell r="X3460" t="str">
            <v>IL</v>
          </cell>
        </row>
        <row r="3461">
          <cell r="X3461" t="str">
            <v>IL</v>
          </cell>
        </row>
        <row r="3462">
          <cell r="X3462" t="str">
            <v>IL</v>
          </cell>
        </row>
        <row r="3463">
          <cell r="R3463" t="str">
            <v>Projected</v>
          </cell>
          <cell r="S3463" t="str">
            <v>Budget</v>
          </cell>
          <cell r="X3463" t="str">
            <v>IL</v>
          </cell>
        </row>
        <row r="3464">
          <cell r="X3464" t="str">
            <v>IL</v>
          </cell>
        </row>
        <row r="3465">
          <cell r="P3465">
            <v>351652.8</v>
          </cell>
          <cell r="R3465">
            <v>312153.59999999998</v>
          </cell>
          <cell r="S3465">
            <v>332335</v>
          </cell>
          <cell r="X3465" t="str">
            <v>COP</v>
          </cell>
        </row>
        <row r="3466">
          <cell r="X3466" t="str">
            <v>COP</v>
          </cell>
        </row>
        <row r="3467">
          <cell r="X3467" t="str">
            <v>COP</v>
          </cell>
        </row>
        <row r="3468">
          <cell r="X3468" t="str">
            <v>COP</v>
          </cell>
        </row>
        <row r="3469">
          <cell r="P3469">
            <v>5280</v>
          </cell>
          <cell r="R3469">
            <v>5280</v>
          </cell>
          <cell r="S3469">
            <v>5280</v>
          </cell>
          <cell r="X3469" t="str">
            <v>COP</v>
          </cell>
        </row>
        <row r="3470">
          <cell r="X3470" t="str">
            <v>COP</v>
          </cell>
        </row>
        <row r="3471">
          <cell r="X3471" t="str">
            <v>COP</v>
          </cell>
        </row>
        <row r="3472">
          <cell r="P3472">
            <v>50114.7</v>
          </cell>
          <cell r="R3472">
            <v>35152.800000000003</v>
          </cell>
          <cell r="S3472">
            <v>38991</v>
          </cell>
          <cell r="X3472" t="str">
            <v>COP</v>
          </cell>
        </row>
        <row r="3473">
          <cell r="X3473" t="str">
            <v>COP</v>
          </cell>
        </row>
        <row r="3474">
          <cell r="P3474">
            <v>407047.5</v>
          </cell>
          <cell r="R3474">
            <v>352586.4</v>
          </cell>
          <cell r="S3474">
            <v>376606</v>
          </cell>
          <cell r="X3474" t="str">
            <v>COP</v>
          </cell>
        </row>
        <row r="3475">
          <cell r="X3475" t="str">
            <v>COP</v>
          </cell>
        </row>
        <row r="3476">
          <cell r="X3476" t="str">
            <v>COP</v>
          </cell>
        </row>
        <row r="3477">
          <cell r="X3477" t="str">
            <v>COP</v>
          </cell>
        </row>
        <row r="3478">
          <cell r="X3478" t="str">
            <v>COP</v>
          </cell>
        </row>
        <row r="3479">
          <cell r="P3479">
            <v>0</v>
          </cell>
          <cell r="R3479">
            <v>0</v>
          </cell>
          <cell r="S3479">
            <v>0</v>
          </cell>
          <cell r="X3479" t="str">
            <v>COP</v>
          </cell>
        </row>
        <row r="3480">
          <cell r="X3480" t="str">
            <v>IL</v>
          </cell>
        </row>
        <row r="3481">
          <cell r="X3481" t="str">
            <v>COP</v>
          </cell>
        </row>
        <row r="3482">
          <cell r="P3482">
            <v>0</v>
          </cell>
          <cell r="R3482">
            <v>0</v>
          </cell>
          <cell r="S3482">
            <v>0</v>
          </cell>
          <cell r="X3482" t="str">
            <v>COP</v>
          </cell>
        </row>
        <row r="3483">
          <cell r="X3483" t="str">
            <v>COP</v>
          </cell>
        </row>
        <row r="3484">
          <cell r="X3484" t="str">
            <v>COP</v>
          </cell>
        </row>
        <row r="3485">
          <cell r="X3485" t="str">
            <v>COP</v>
          </cell>
        </row>
        <row r="3486">
          <cell r="P3486">
            <v>778567.79374999995</v>
          </cell>
          <cell r="R3486">
            <v>373219.2</v>
          </cell>
          <cell r="S3486">
            <v>397264</v>
          </cell>
          <cell r="X3486" t="str">
            <v>IL</v>
          </cell>
        </row>
        <row r="3487">
          <cell r="X3487" t="str">
            <v>COP</v>
          </cell>
        </row>
        <row r="3488">
          <cell r="X3488" t="str">
            <v>COP</v>
          </cell>
        </row>
        <row r="3489">
          <cell r="X3489" t="str">
            <v>COP</v>
          </cell>
        </row>
        <row r="3490">
          <cell r="P3490">
            <v>36000</v>
          </cell>
          <cell r="R3490">
            <v>0</v>
          </cell>
          <cell r="S3490">
            <v>0</v>
          </cell>
          <cell r="X3490" t="str">
            <v>COP</v>
          </cell>
        </row>
        <row r="3491">
          <cell r="X3491" t="str">
            <v>COP</v>
          </cell>
        </row>
        <row r="3492">
          <cell r="X3492" t="str">
            <v>COP</v>
          </cell>
        </row>
        <row r="3493">
          <cell r="X3493" t="str">
            <v>COP</v>
          </cell>
        </row>
        <row r="3494">
          <cell r="X3494" t="str">
            <v>COP</v>
          </cell>
        </row>
        <row r="3495">
          <cell r="P3495">
            <v>0</v>
          </cell>
          <cell r="R3495">
            <v>0</v>
          </cell>
          <cell r="S3495">
            <v>0</v>
          </cell>
          <cell r="X3495" t="str">
            <v>COP</v>
          </cell>
        </row>
        <row r="3496">
          <cell r="X3496" t="str">
            <v>COP</v>
          </cell>
        </row>
        <row r="3497">
          <cell r="R3497">
            <v>0</v>
          </cell>
          <cell r="S3497">
            <v>0</v>
          </cell>
          <cell r="X3497" t="str">
            <v>COP</v>
          </cell>
        </row>
        <row r="3498">
          <cell r="X3498" t="str">
            <v>COP</v>
          </cell>
        </row>
        <row r="3499">
          <cell r="X3499" t="str">
            <v>COP</v>
          </cell>
        </row>
        <row r="3500">
          <cell r="P3500">
            <v>0</v>
          </cell>
          <cell r="R3500">
            <v>0</v>
          </cell>
          <cell r="S3500">
            <v>0</v>
          </cell>
          <cell r="X3500" t="str">
            <v>COP</v>
          </cell>
        </row>
        <row r="3501">
          <cell r="X3501" t="str">
            <v>COP</v>
          </cell>
        </row>
        <row r="3502">
          <cell r="R3502">
            <v>0</v>
          </cell>
          <cell r="S3502">
            <v>0</v>
          </cell>
          <cell r="X3502" t="str">
            <v>COP</v>
          </cell>
        </row>
        <row r="3503">
          <cell r="X3503" t="str">
            <v>COP</v>
          </cell>
        </row>
        <row r="3504">
          <cell r="X3504" t="str">
            <v>COP</v>
          </cell>
        </row>
        <row r="3505">
          <cell r="X3505" t="str">
            <v>COP</v>
          </cell>
        </row>
        <row r="3506">
          <cell r="P3506">
            <v>0</v>
          </cell>
          <cell r="R3506">
            <v>0</v>
          </cell>
          <cell r="S3506">
            <v>0</v>
          </cell>
          <cell r="X3506" t="str">
            <v>COP</v>
          </cell>
        </row>
        <row r="3507">
          <cell r="P3507">
            <v>0</v>
          </cell>
          <cell r="R3507">
            <v>0</v>
          </cell>
          <cell r="S3507">
            <v>0</v>
          </cell>
          <cell r="X3507" t="str">
            <v>COP</v>
          </cell>
        </row>
        <row r="3508">
          <cell r="X3508" t="str">
            <v>COP</v>
          </cell>
        </row>
        <row r="3509">
          <cell r="R3509">
            <v>0</v>
          </cell>
          <cell r="S3509">
            <v>0</v>
          </cell>
          <cell r="X3509" t="str">
            <v>COP</v>
          </cell>
        </row>
        <row r="3510">
          <cell r="X3510" t="str">
            <v>COP</v>
          </cell>
        </row>
        <row r="3511">
          <cell r="X3511" t="str">
            <v>COP</v>
          </cell>
        </row>
        <row r="3512">
          <cell r="X3512" t="str">
            <v>COP</v>
          </cell>
        </row>
        <row r="3513">
          <cell r="R3513">
            <v>0</v>
          </cell>
          <cell r="S3513">
            <v>0</v>
          </cell>
          <cell r="X3513" t="str">
            <v>COP</v>
          </cell>
        </row>
        <row r="3514">
          <cell r="X3514" t="str">
            <v>COP</v>
          </cell>
        </row>
        <row r="3515">
          <cell r="R3515">
            <v>0</v>
          </cell>
          <cell r="S3515">
            <v>0</v>
          </cell>
          <cell r="X3515" t="str">
            <v>COP</v>
          </cell>
        </row>
        <row r="3516">
          <cell r="X3516" t="str">
            <v>COP</v>
          </cell>
        </row>
        <row r="3517">
          <cell r="P3517">
            <v>5090997</v>
          </cell>
          <cell r="R3517">
            <v>4738437.5999999996</v>
          </cell>
          <cell r="S3517">
            <v>2010120</v>
          </cell>
          <cell r="X3517" t="str">
            <v>COP</v>
          </cell>
        </row>
        <row r="3518">
          <cell r="X3518" t="str">
            <v>COP</v>
          </cell>
        </row>
        <row r="3519">
          <cell r="X3519" t="str">
            <v>COP</v>
          </cell>
        </row>
        <row r="3520">
          <cell r="P3520">
            <v>6312612.2937500002</v>
          </cell>
          <cell r="R3520">
            <v>5464243.2000000002</v>
          </cell>
          <cell r="S3520">
            <v>2783990</v>
          </cell>
          <cell r="X3520" t="str">
            <v>COP</v>
          </cell>
        </row>
        <row r="3521">
          <cell r="X3521" t="str">
            <v>COP</v>
          </cell>
        </row>
        <row r="3522">
          <cell r="R3522">
            <v>0</v>
          </cell>
          <cell r="S3522">
            <v>0</v>
          </cell>
          <cell r="X3522" t="str">
            <v>IL</v>
          </cell>
        </row>
        <row r="3523">
          <cell r="R3523">
            <v>5464243.2000000002</v>
          </cell>
          <cell r="S3523">
            <v>2783990</v>
          </cell>
          <cell r="X3523" t="str">
            <v>IL</v>
          </cell>
        </row>
        <row r="3524">
          <cell r="X3524" t="str">
            <v>IL</v>
          </cell>
        </row>
        <row r="3525">
          <cell r="R3525">
            <v>3664243.2</v>
          </cell>
          <cell r="S3525">
            <v>2783990</v>
          </cell>
          <cell r="X3525" t="str">
            <v>IL</v>
          </cell>
        </row>
        <row r="3526">
          <cell r="P3526" t="str">
            <v>Diff</v>
          </cell>
          <cell r="R3526">
            <v>1800000</v>
          </cell>
          <cell r="S3526">
            <v>0</v>
          </cell>
          <cell r="X3526" t="str">
            <v>IL</v>
          </cell>
        </row>
        <row r="3527">
          <cell r="X3527" t="str">
            <v>IL</v>
          </cell>
        </row>
        <row r="3528">
          <cell r="X3528" t="str">
            <v>IL</v>
          </cell>
        </row>
        <row r="3529">
          <cell r="X3529" t="str">
            <v>IL</v>
          </cell>
        </row>
        <row r="3530">
          <cell r="X3530" t="str">
            <v>IL</v>
          </cell>
        </row>
        <row r="3531">
          <cell r="X3531" t="str">
            <v>IL</v>
          </cell>
        </row>
        <row r="3532">
          <cell r="X3532" t="str">
            <v>IL</v>
          </cell>
        </row>
        <row r="3533">
          <cell r="X3533" t="str">
            <v>IL</v>
          </cell>
        </row>
        <row r="3534">
          <cell r="X3534" t="str">
            <v>IL</v>
          </cell>
        </row>
        <row r="3535">
          <cell r="X3535" t="str">
            <v>IL</v>
          </cell>
        </row>
        <row r="3536">
          <cell r="X3536" t="str">
            <v>IL</v>
          </cell>
        </row>
        <row r="3537">
          <cell r="X3537" t="str">
            <v>IL</v>
          </cell>
        </row>
        <row r="3538">
          <cell r="X3538" t="str">
            <v>IL</v>
          </cell>
        </row>
        <row r="3539">
          <cell r="X3539" t="str">
            <v>IL</v>
          </cell>
        </row>
        <row r="3540">
          <cell r="X3540" t="str">
            <v>IL</v>
          </cell>
        </row>
        <row r="3541">
          <cell r="X3541" t="str">
            <v>IL</v>
          </cell>
        </row>
        <row r="3542">
          <cell r="X3542" t="str">
            <v>IL</v>
          </cell>
        </row>
        <row r="3543">
          <cell r="X3543" t="str">
            <v>IL</v>
          </cell>
        </row>
        <row r="3544">
          <cell r="X3544" t="str">
            <v>IL</v>
          </cell>
        </row>
        <row r="3545">
          <cell r="X3545" t="str">
            <v>IL</v>
          </cell>
        </row>
        <row r="3546">
          <cell r="X3546" t="str">
            <v>IL</v>
          </cell>
        </row>
        <row r="3547">
          <cell r="X3547" t="str">
            <v>IL</v>
          </cell>
        </row>
        <row r="3548">
          <cell r="X3548" t="str">
            <v>IL</v>
          </cell>
        </row>
        <row r="3549">
          <cell r="R3549" t="str">
            <v>Projected</v>
          </cell>
          <cell r="S3549" t="str">
            <v>Budget</v>
          </cell>
          <cell r="X3549" t="str">
            <v>IL</v>
          </cell>
        </row>
        <row r="3550">
          <cell r="X3550" t="str">
            <v>IL</v>
          </cell>
        </row>
        <row r="3551">
          <cell r="P3551">
            <v>324649.2</v>
          </cell>
          <cell r="R3551">
            <v>289286.40000000002</v>
          </cell>
          <cell r="S3551">
            <v>299213</v>
          </cell>
          <cell r="X3551" t="str">
            <v>COP</v>
          </cell>
        </row>
        <row r="3552">
          <cell r="X3552" t="str">
            <v>COP</v>
          </cell>
        </row>
        <row r="3553">
          <cell r="X3553" t="str">
            <v>COP</v>
          </cell>
        </row>
        <row r="3554">
          <cell r="X3554" t="str">
            <v>COP</v>
          </cell>
        </row>
        <row r="3555">
          <cell r="P3555">
            <v>5280</v>
          </cell>
          <cell r="R3555">
            <v>5280</v>
          </cell>
          <cell r="S3555">
            <v>5280</v>
          </cell>
          <cell r="X3555" t="str">
            <v>COP</v>
          </cell>
        </row>
        <row r="3556">
          <cell r="X3556" t="str">
            <v>COP</v>
          </cell>
        </row>
        <row r="3557">
          <cell r="X3557" t="str">
            <v>COP</v>
          </cell>
        </row>
        <row r="3558">
          <cell r="P3558">
            <v>48568.95</v>
          </cell>
          <cell r="R3558">
            <v>34322.400000000001</v>
          </cell>
          <cell r="S3558">
            <v>36571</v>
          </cell>
          <cell r="X3558" t="str">
            <v>COP</v>
          </cell>
        </row>
        <row r="3559">
          <cell r="X3559" t="str">
            <v>COP</v>
          </cell>
        </row>
        <row r="3560">
          <cell r="P3560">
            <v>378498.15</v>
          </cell>
          <cell r="R3560">
            <v>328888.8</v>
          </cell>
          <cell r="S3560">
            <v>341064</v>
          </cell>
          <cell r="X3560" t="str">
            <v>COP</v>
          </cell>
        </row>
        <row r="3561">
          <cell r="X3561" t="str">
            <v>COP</v>
          </cell>
        </row>
        <row r="3562">
          <cell r="X3562" t="str">
            <v>COP</v>
          </cell>
        </row>
        <row r="3563">
          <cell r="X3563" t="str">
            <v>COP</v>
          </cell>
        </row>
        <row r="3564">
          <cell r="X3564" t="str">
            <v>COP</v>
          </cell>
        </row>
        <row r="3565">
          <cell r="P3565">
            <v>0</v>
          </cell>
          <cell r="R3565">
            <v>0</v>
          </cell>
          <cell r="S3565">
            <v>0</v>
          </cell>
          <cell r="X3565" t="str">
            <v>COP</v>
          </cell>
        </row>
        <row r="3566">
          <cell r="X3566" t="str">
            <v>IL</v>
          </cell>
        </row>
        <row r="3567">
          <cell r="X3567" t="str">
            <v>COP</v>
          </cell>
        </row>
        <row r="3568">
          <cell r="P3568">
            <v>0</v>
          </cell>
          <cell r="R3568">
            <v>0</v>
          </cell>
          <cell r="S3568">
            <v>0</v>
          </cell>
          <cell r="X3568" t="str">
            <v>COP</v>
          </cell>
        </row>
        <row r="3569">
          <cell r="X3569" t="str">
            <v>COP</v>
          </cell>
        </row>
        <row r="3570">
          <cell r="X3570" t="str">
            <v>COP</v>
          </cell>
        </row>
        <row r="3571">
          <cell r="X3571" t="str">
            <v>COP</v>
          </cell>
        </row>
        <row r="3572">
          <cell r="P3572">
            <v>964980.32500000007</v>
          </cell>
          <cell r="R3572">
            <v>397012.8</v>
          </cell>
          <cell r="S3572">
            <v>489900</v>
          </cell>
          <cell r="X3572" t="str">
            <v>IL</v>
          </cell>
        </row>
        <row r="3573">
          <cell r="X3573" t="str">
            <v>COP</v>
          </cell>
        </row>
        <row r="3574">
          <cell r="X3574" t="str">
            <v>COP</v>
          </cell>
        </row>
        <row r="3575">
          <cell r="X3575" t="str">
            <v>COP</v>
          </cell>
        </row>
        <row r="3576">
          <cell r="P3576">
            <v>24000</v>
          </cell>
          <cell r="R3576">
            <v>0</v>
          </cell>
          <cell r="S3576">
            <v>0</v>
          </cell>
          <cell r="X3576" t="str">
            <v>COP</v>
          </cell>
        </row>
        <row r="3577">
          <cell r="X3577" t="str">
            <v>COP</v>
          </cell>
        </row>
        <row r="3578">
          <cell r="X3578" t="str">
            <v>COP</v>
          </cell>
        </row>
        <row r="3579">
          <cell r="X3579" t="str">
            <v>COP</v>
          </cell>
        </row>
        <row r="3580">
          <cell r="X3580" t="str">
            <v>COP</v>
          </cell>
        </row>
        <row r="3581">
          <cell r="P3581">
            <v>0</v>
          </cell>
          <cell r="R3581">
            <v>0</v>
          </cell>
          <cell r="S3581">
            <v>0</v>
          </cell>
          <cell r="X3581" t="str">
            <v>COP</v>
          </cell>
        </row>
        <row r="3582">
          <cell r="X3582" t="str">
            <v>COP</v>
          </cell>
        </row>
        <row r="3583">
          <cell r="R3583">
            <v>0</v>
          </cell>
          <cell r="S3583">
            <v>0</v>
          </cell>
          <cell r="X3583" t="str">
            <v>COP</v>
          </cell>
        </row>
        <row r="3584">
          <cell r="X3584" t="str">
            <v>COP</v>
          </cell>
        </row>
        <row r="3585">
          <cell r="X3585" t="str">
            <v>COP</v>
          </cell>
        </row>
        <row r="3586">
          <cell r="P3586">
            <v>0</v>
          </cell>
          <cell r="R3586">
            <v>0</v>
          </cell>
          <cell r="S3586">
            <v>0</v>
          </cell>
          <cell r="X3586" t="str">
            <v>COP</v>
          </cell>
        </row>
        <row r="3587">
          <cell r="X3587" t="str">
            <v>COP</v>
          </cell>
        </row>
        <row r="3588">
          <cell r="R3588">
            <v>0</v>
          </cell>
          <cell r="S3588">
            <v>0</v>
          </cell>
          <cell r="X3588" t="str">
            <v>COP</v>
          </cell>
        </row>
        <row r="3589">
          <cell r="X3589" t="str">
            <v>COP</v>
          </cell>
        </row>
        <row r="3590">
          <cell r="X3590" t="str">
            <v>COP</v>
          </cell>
        </row>
        <row r="3591">
          <cell r="X3591" t="str">
            <v>COP</v>
          </cell>
        </row>
        <row r="3592">
          <cell r="P3592">
            <v>0</v>
          </cell>
          <cell r="R3592">
            <v>0</v>
          </cell>
          <cell r="S3592">
            <v>0</v>
          </cell>
          <cell r="X3592" t="str">
            <v>COP</v>
          </cell>
        </row>
        <row r="3593">
          <cell r="P3593">
            <v>0</v>
          </cell>
          <cell r="R3593">
            <v>0</v>
          </cell>
          <cell r="S3593">
            <v>0</v>
          </cell>
          <cell r="X3593" t="str">
            <v>COP</v>
          </cell>
        </row>
        <row r="3594">
          <cell r="X3594" t="str">
            <v>COP</v>
          </cell>
        </row>
        <row r="3595">
          <cell r="R3595">
            <v>0</v>
          </cell>
          <cell r="S3595">
            <v>0</v>
          </cell>
          <cell r="X3595" t="str">
            <v>COP</v>
          </cell>
        </row>
        <row r="3596">
          <cell r="X3596" t="str">
            <v>COP</v>
          </cell>
        </row>
        <row r="3597">
          <cell r="X3597" t="str">
            <v>COP</v>
          </cell>
        </row>
        <row r="3598">
          <cell r="P3598">
            <v>0</v>
          </cell>
          <cell r="X3598" t="str">
            <v>COP</v>
          </cell>
        </row>
        <row r="3599">
          <cell r="R3599">
            <v>0</v>
          </cell>
          <cell r="S3599">
            <v>0</v>
          </cell>
          <cell r="X3599" t="str">
            <v>COP</v>
          </cell>
        </row>
        <row r="3600">
          <cell r="X3600" t="str">
            <v>COP</v>
          </cell>
        </row>
        <row r="3601">
          <cell r="R3601">
            <v>0</v>
          </cell>
          <cell r="S3601">
            <v>0</v>
          </cell>
          <cell r="X3601" t="str">
            <v>COP</v>
          </cell>
        </row>
        <row r="3602">
          <cell r="X3602" t="str">
            <v>COP</v>
          </cell>
        </row>
        <row r="3603">
          <cell r="P3603">
            <v>4058810</v>
          </cell>
          <cell r="R3603">
            <v>3182349.6</v>
          </cell>
          <cell r="S3603">
            <v>1062706</v>
          </cell>
          <cell r="X3603" t="str">
            <v>COP</v>
          </cell>
        </row>
        <row r="3604">
          <cell r="X3604" t="str">
            <v>COP</v>
          </cell>
        </row>
        <row r="3605">
          <cell r="X3605" t="str">
            <v>COP</v>
          </cell>
        </row>
        <row r="3606">
          <cell r="P3606">
            <v>5426288.4750000006</v>
          </cell>
          <cell r="R3606">
            <v>3908251.2</v>
          </cell>
          <cell r="S3606">
            <v>1893670</v>
          </cell>
          <cell r="X3606" t="str">
            <v>COP</v>
          </cell>
        </row>
        <row r="3607">
          <cell r="X3607" t="str">
            <v>COP</v>
          </cell>
        </row>
        <row r="3608">
          <cell r="R3608">
            <v>0</v>
          </cell>
          <cell r="S3608">
            <v>0</v>
          </cell>
          <cell r="X3608" t="str">
            <v>IL</v>
          </cell>
        </row>
        <row r="3609">
          <cell r="R3609">
            <v>3908251.2</v>
          </cell>
          <cell r="S3609">
            <v>1893670</v>
          </cell>
          <cell r="X3609" t="str">
            <v>IL</v>
          </cell>
        </row>
        <row r="3610">
          <cell r="X3610" t="str">
            <v>IL</v>
          </cell>
        </row>
        <row r="3611">
          <cell r="R3611">
            <v>2108251.2000000002</v>
          </cell>
          <cell r="S3611">
            <v>1893670</v>
          </cell>
          <cell r="X3611" t="str">
            <v>IL</v>
          </cell>
        </row>
        <row r="3612">
          <cell r="P3612" t="str">
            <v>Diff</v>
          </cell>
          <cell r="R3612">
            <v>1800000</v>
          </cell>
          <cell r="S3612">
            <v>0</v>
          </cell>
          <cell r="X3612" t="str">
            <v>IL</v>
          </cell>
        </row>
        <row r="3613">
          <cell r="X3613" t="str">
            <v>IL</v>
          </cell>
        </row>
        <row r="3614">
          <cell r="X3614" t="str">
            <v>IL</v>
          </cell>
        </row>
        <row r="3615">
          <cell r="X3615" t="str">
            <v>IL</v>
          </cell>
        </row>
        <row r="3616">
          <cell r="X3616" t="str">
            <v>IL</v>
          </cell>
        </row>
        <row r="3617">
          <cell r="X3617" t="str">
            <v>IL</v>
          </cell>
        </row>
        <row r="3618">
          <cell r="X3618" t="str">
            <v>IL</v>
          </cell>
        </row>
        <row r="3619">
          <cell r="X3619" t="str">
            <v>IL</v>
          </cell>
        </row>
        <row r="3620">
          <cell r="X3620" t="str">
            <v>IL</v>
          </cell>
        </row>
        <row r="3621">
          <cell r="X3621" t="str">
            <v>IL</v>
          </cell>
        </row>
        <row r="3622">
          <cell r="X3622" t="str">
            <v>IL</v>
          </cell>
        </row>
        <row r="3623">
          <cell r="X3623" t="str">
            <v>IL</v>
          </cell>
        </row>
        <row r="3624">
          <cell r="X3624" t="str">
            <v>IL</v>
          </cell>
        </row>
        <row r="3625">
          <cell r="X3625" t="str">
            <v>IL</v>
          </cell>
        </row>
        <row r="3626">
          <cell r="X3626" t="str">
            <v>IL</v>
          </cell>
        </row>
        <row r="3627">
          <cell r="X3627" t="str">
            <v>IL</v>
          </cell>
        </row>
        <row r="3628">
          <cell r="X3628" t="str">
            <v>IL</v>
          </cell>
        </row>
        <row r="3629">
          <cell r="X3629" t="str">
            <v>IL</v>
          </cell>
        </row>
        <row r="3630">
          <cell r="X3630" t="str">
            <v>IL</v>
          </cell>
        </row>
        <row r="3631">
          <cell r="X3631" t="str">
            <v>IL</v>
          </cell>
        </row>
        <row r="3632">
          <cell r="X3632" t="str">
            <v>IL</v>
          </cell>
        </row>
        <row r="3633">
          <cell r="X3633" t="str">
            <v>IL</v>
          </cell>
        </row>
        <row r="3634">
          <cell r="X3634" t="str">
            <v>IL</v>
          </cell>
        </row>
        <row r="3635">
          <cell r="R3635" t="str">
            <v>Projected</v>
          </cell>
          <cell r="S3635" t="str">
            <v>Budget</v>
          </cell>
          <cell r="X3635" t="str">
            <v>IL</v>
          </cell>
        </row>
        <row r="3636">
          <cell r="X3636" t="str">
            <v>IL</v>
          </cell>
        </row>
        <row r="3637">
          <cell r="P3637">
            <v>0</v>
          </cell>
          <cell r="R3637">
            <v>336460.79999999999</v>
          </cell>
          <cell r="S3637">
            <v>347602</v>
          </cell>
          <cell r="X3637" t="str">
            <v>COP</v>
          </cell>
        </row>
        <row r="3638">
          <cell r="X3638" t="str">
            <v>COP</v>
          </cell>
        </row>
        <row r="3639">
          <cell r="X3639" t="str">
            <v>COP</v>
          </cell>
        </row>
        <row r="3640">
          <cell r="X3640" t="str">
            <v>COP</v>
          </cell>
        </row>
        <row r="3641">
          <cell r="P3641">
            <v>0</v>
          </cell>
          <cell r="R3641">
            <v>2400</v>
          </cell>
          <cell r="S3641">
            <v>2400</v>
          </cell>
          <cell r="X3641" t="str">
            <v>COP</v>
          </cell>
        </row>
        <row r="3642">
          <cell r="X3642" t="str">
            <v>COP</v>
          </cell>
        </row>
        <row r="3643">
          <cell r="X3643" t="str">
            <v>COP</v>
          </cell>
        </row>
        <row r="3644">
          <cell r="P3644">
            <v>0</v>
          </cell>
          <cell r="R3644">
            <v>39230.400000000001</v>
          </cell>
          <cell r="S3644">
            <v>41758</v>
          </cell>
          <cell r="X3644" t="str">
            <v>COP</v>
          </cell>
        </row>
        <row r="3645">
          <cell r="X3645" t="str">
            <v>COP</v>
          </cell>
        </row>
        <row r="3646">
          <cell r="P3646">
            <v>0</v>
          </cell>
          <cell r="R3646">
            <v>378091.2</v>
          </cell>
          <cell r="S3646">
            <v>391760</v>
          </cell>
          <cell r="X3646" t="str">
            <v>COP</v>
          </cell>
        </row>
        <row r="3647">
          <cell r="X3647" t="str">
            <v>COP</v>
          </cell>
        </row>
        <row r="3648">
          <cell r="X3648" t="str">
            <v>COP</v>
          </cell>
        </row>
        <row r="3649">
          <cell r="X3649" t="str">
            <v>COP</v>
          </cell>
        </row>
        <row r="3650">
          <cell r="X3650" t="str">
            <v>COP</v>
          </cell>
        </row>
        <row r="3651">
          <cell r="P3651">
            <v>0</v>
          </cell>
          <cell r="R3651">
            <v>0</v>
          </cell>
          <cell r="S3651">
            <v>0</v>
          </cell>
          <cell r="X3651" t="str">
            <v>COP</v>
          </cell>
        </row>
        <row r="3652">
          <cell r="X3652" t="str">
            <v>IL</v>
          </cell>
        </row>
        <row r="3653">
          <cell r="X3653" t="str">
            <v>COP</v>
          </cell>
        </row>
        <row r="3654">
          <cell r="P3654">
            <v>0</v>
          </cell>
          <cell r="R3654">
            <v>0</v>
          </cell>
          <cell r="S3654">
            <v>0</v>
          </cell>
          <cell r="X3654" t="str">
            <v>COP</v>
          </cell>
        </row>
        <row r="3655">
          <cell r="X3655" t="str">
            <v>COP</v>
          </cell>
        </row>
        <row r="3656">
          <cell r="X3656" t="str">
            <v>COP</v>
          </cell>
        </row>
        <row r="3657">
          <cell r="X3657" t="str">
            <v>COP</v>
          </cell>
        </row>
        <row r="3658">
          <cell r="P3658">
            <v>1329434.6512499999</v>
          </cell>
          <cell r="R3658">
            <v>1145397.6000000001</v>
          </cell>
          <cell r="S3658">
            <v>1547417</v>
          </cell>
          <cell r="X3658" t="str">
            <v>IL</v>
          </cell>
        </row>
        <row r="3659">
          <cell r="X3659" t="str">
            <v>COP</v>
          </cell>
        </row>
        <row r="3660">
          <cell r="X3660" t="str">
            <v>COP</v>
          </cell>
        </row>
        <row r="3661">
          <cell r="X3661" t="str">
            <v>COP</v>
          </cell>
        </row>
        <row r="3662">
          <cell r="P3662">
            <v>12000</v>
          </cell>
          <cell r="R3662">
            <v>0</v>
          </cell>
          <cell r="S3662">
            <v>0</v>
          </cell>
          <cell r="X3662" t="str">
            <v>COP</v>
          </cell>
        </row>
        <row r="3663">
          <cell r="X3663" t="str">
            <v>COP</v>
          </cell>
        </row>
        <row r="3664">
          <cell r="X3664" t="str">
            <v>COP</v>
          </cell>
        </row>
        <row r="3665">
          <cell r="X3665" t="str">
            <v>COP</v>
          </cell>
        </row>
        <row r="3666">
          <cell r="X3666" t="str">
            <v>COP</v>
          </cell>
        </row>
        <row r="3667">
          <cell r="P3667">
            <v>0</v>
          </cell>
          <cell r="R3667">
            <v>0</v>
          </cell>
          <cell r="S3667">
            <v>0</v>
          </cell>
          <cell r="X3667" t="str">
            <v>COP</v>
          </cell>
        </row>
        <row r="3668">
          <cell r="X3668" t="str">
            <v>COP</v>
          </cell>
        </row>
        <row r="3669">
          <cell r="R3669">
            <v>0</v>
          </cell>
          <cell r="S3669">
            <v>0</v>
          </cell>
          <cell r="X3669" t="str">
            <v>COP</v>
          </cell>
        </row>
        <row r="3670">
          <cell r="X3670" t="str">
            <v>COP</v>
          </cell>
        </row>
        <row r="3671">
          <cell r="X3671" t="str">
            <v>COP</v>
          </cell>
        </row>
        <row r="3672">
          <cell r="P3672">
            <v>0</v>
          </cell>
          <cell r="R3672">
            <v>0</v>
          </cell>
          <cell r="S3672">
            <v>0</v>
          </cell>
          <cell r="X3672" t="str">
            <v>COP</v>
          </cell>
        </row>
        <row r="3673">
          <cell r="X3673" t="str">
            <v>COP</v>
          </cell>
        </row>
        <row r="3674">
          <cell r="R3674">
            <v>0</v>
          </cell>
          <cell r="S3674">
            <v>0</v>
          </cell>
          <cell r="X3674" t="str">
            <v>COP</v>
          </cell>
        </row>
        <row r="3675">
          <cell r="X3675" t="str">
            <v>COP</v>
          </cell>
        </row>
        <row r="3676">
          <cell r="X3676" t="str">
            <v>COP</v>
          </cell>
        </row>
        <row r="3677">
          <cell r="X3677" t="str">
            <v>COP</v>
          </cell>
        </row>
        <row r="3678">
          <cell r="P3678">
            <v>0</v>
          </cell>
          <cell r="R3678">
            <v>0</v>
          </cell>
          <cell r="S3678">
            <v>0</v>
          </cell>
          <cell r="X3678" t="str">
            <v>COP</v>
          </cell>
        </row>
        <row r="3679">
          <cell r="R3679">
            <v>0</v>
          </cell>
          <cell r="S3679">
            <v>0</v>
          </cell>
          <cell r="X3679" t="str">
            <v>COP</v>
          </cell>
        </row>
        <row r="3680">
          <cell r="X3680" t="str">
            <v>COP</v>
          </cell>
        </row>
        <row r="3681">
          <cell r="R3681">
            <v>0</v>
          </cell>
          <cell r="S3681">
            <v>0</v>
          </cell>
          <cell r="X3681" t="str">
            <v>COP</v>
          </cell>
        </row>
        <row r="3682">
          <cell r="X3682" t="str">
            <v>COP</v>
          </cell>
        </row>
        <row r="3683">
          <cell r="X3683" t="str">
            <v>COP</v>
          </cell>
        </row>
        <row r="3684">
          <cell r="X3684" t="str">
            <v>COP</v>
          </cell>
        </row>
        <row r="3685">
          <cell r="R3685">
            <v>0</v>
          </cell>
          <cell r="S3685">
            <v>0</v>
          </cell>
          <cell r="X3685" t="str">
            <v>COP</v>
          </cell>
        </row>
        <row r="3686">
          <cell r="X3686" t="str">
            <v>COP</v>
          </cell>
        </row>
        <row r="3687">
          <cell r="R3687">
            <v>0</v>
          </cell>
          <cell r="S3687">
            <v>0</v>
          </cell>
          <cell r="X3687" t="str">
            <v>COP</v>
          </cell>
        </row>
        <row r="3688">
          <cell r="X3688" t="str">
            <v>COP</v>
          </cell>
        </row>
        <row r="3689">
          <cell r="P3689">
            <v>3089576</v>
          </cell>
          <cell r="R3689">
            <v>3231007.2</v>
          </cell>
          <cell r="S3689">
            <v>1406664</v>
          </cell>
          <cell r="X3689" t="str">
            <v>COP</v>
          </cell>
        </row>
        <row r="3690">
          <cell r="X3690" t="str">
            <v>COP</v>
          </cell>
        </row>
        <row r="3691">
          <cell r="X3691" t="str">
            <v>COP</v>
          </cell>
        </row>
        <row r="3692">
          <cell r="P3692">
            <v>4431010.6512500001</v>
          </cell>
          <cell r="R3692">
            <v>4754496</v>
          </cell>
          <cell r="S3692">
            <v>3345841</v>
          </cell>
          <cell r="X3692" t="str">
            <v>COP</v>
          </cell>
        </row>
        <row r="3693">
          <cell r="X3693" t="str">
            <v>COP</v>
          </cell>
        </row>
        <row r="3694">
          <cell r="R3694">
            <v>0</v>
          </cell>
          <cell r="S3694">
            <v>0</v>
          </cell>
          <cell r="X3694" t="str">
            <v>IL</v>
          </cell>
        </row>
        <row r="3695">
          <cell r="R3695">
            <v>4754496</v>
          </cell>
          <cell r="S3695">
            <v>3345841</v>
          </cell>
          <cell r="X3695" t="str">
            <v>IL</v>
          </cell>
        </row>
        <row r="3696">
          <cell r="X3696" t="str">
            <v>IL</v>
          </cell>
        </row>
        <row r="3697">
          <cell r="R3697">
            <v>2954496</v>
          </cell>
          <cell r="S3697">
            <v>3345841</v>
          </cell>
          <cell r="X3697" t="str">
            <v>IL</v>
          </cell>
        </row>
        <row r="3698">
          <cell r="P3698" t="str">
            <v>Diff</v>
          </cell>
          <cell r="R3698">
            <v>1800000</v>
          </cell>
          <cell r="S3698">
            <v>0</v>
          </cell>
          <cell r="X3698" t="str">
            <v>IL</v>
          </cell>
        </row>
        <row r="3699">
          <cell r="X3699" t="str">
            <v>IL</v>
          </cell>
        </row>
        <row r="3700">
          <cell r="X3700" t="str">
            <v>IL</v>
          </cell>
        </row>
        <row r="3701">
          <cell r="X3701" t="str">
            <v>IL</v>
          </cell>
        </row>
        <row r="3702">
          <cell r="X3702" t="str">
            <v>IL</v>
          </cell>
        </row>
        <row r="3703">
          <cell r="X3703" t="str">
            <v>IL</v>
          </cell>
        </row>
        <row r="3704">
          <cell r="X3704" t="str">
            <v>IL</v>
          </cell>
        </row>
        <row r="3705">
          <cell r="X3705" t="str">
            <v>IL</v>
          </cell>
        </row>
        <row r="3706">
          <cell r="X3706" t="str">
            <v>IL</v>
          </cell>
        </row>
        <row r="3707">
          <cell r="X3707" t="str">
            <v>IL</v>
          </cell>
        </row>
        <row r="3708">
          <cell r="X3708" t="str">
            <v>IL</v>
          </cell>
        </row>
        <row r="3709">
          <cell r="X3709" t="str">
            <v>IL</v>
          </cell>
        </row>
        <row r="3710">
          <cell r="X3710" t="str">
            <v>IL</v>
          </cell>
        </row>
        <row r="3711">
          <cell r="X3711" t="str">
            <v>IL</v>
          </cell>
        </row>
        <row r="3712">
          <cell r="X3712" t="str">
            <v>IL</v>
          </cell>
        </row>
        <row r="3713">
          <cell r="X3713" t="str">
            <v>IL</v>
          </cell>
        </row>
        <row r="3714">
          <cell r="X3714" t="str">
            <v>IL</v>
          </cell>
        </row>
        <row r="3715">
          <cell r="X3715" t="str">
            <v>IL</v>
          </cell>
        </row>
        <row r="3716">
          <cell r="X3716" t="str">
            <v>IL</v>
          </cell>
        </row>
        <row r="3717">
          <cell r="X3717" t="str">
            <v>IL</v>
          </cell>
        </row>
        <row r="3718">
          <cell r="X3718" t="str">
            <v>IL</v>
          </cell>
        </row>
        <row r="3719">
          <cell r="X3719" t="str">
            <v>IL</v>
          </cell>
        </row>
        <row r="3720">
          <cell r="X3720" t="str">
            <v>IL</v>
          </cell>
        </row>
        <row r="3721">
          <cell r="R3721" t="str">
            <v>Projected</v>
          </cell>
          <cell r="S3721" t="str">
            <v>Budget</v>
          </cell>
          <cell r="X3721" t="str">
            <v>IL</v>
          </cell>
        </row>
        <row r="3722">
          <cell r="X3722" t="str">
            <v>IL</v>
          </cell>
        </row>
        <row r="3723">
          <cell r="P3723">
            <v>7972913.6999999983</v>
          </cell>
          <cell r="R3723">
            <v>7642936.8000000007</v>
          </cell>
          <cell r="S3723">
            <v>8703091</v>
          </cell>
          <cell r="X3723" t="str">
            <v>COP</v>
          </cell>
        </row>
        <row r="3724">
          <cell r="X3724" t="str">
            <v>COP</v>
          </cell>
        </row>
        <row r="3725">
          <cell r="X3725" t="str">
            <v>COP</v>
          </cell>
        </row>
        <row r="3726">
          <cell r="X3726" t="str">
            <v>COP</v>
          </cell>
        </row>
        <row r="3727">
          <cell r="P3727">
            <v>36960</v>
          </cell>
          <cell r="R3727">
            <v>34848</v>
          </cell>
          <cell r="S3727">
            <v>36960</v>
          </cell>
          <cell r="X3727" t="str">
            <v>COP</v>
          </cell>
        </row>
        <row r="3728">
          <cell r="X3728" t="str">
            <v>COP</v>
          </cell>
        </row>
        <row r="3729">
          <cell r="X3729" t="str">
            <v>COP</v>
          </cell>
        </row>
        <row r="3730">
          <cell r="P3730">
            <v>355537.23749999999</v>
          </cell>
          <cell r="R3730">
            <v>978100.8</v>
          </cell>
          <cell r="S3730">
            <v>1104313</v>
          </cell>
          <cell r="X3730" t="str">
            <v>COP</v>
          </cell>
        </row>
        <row r="3731">
          <cell r="X3731" t="str">
            <v>COP</v>
          </cell>
        </row>
        <row r="3732">
          <cell r="P3732">
            <v>8365410.9374999981</v>
          </cell>
          <cell r="R3732">
            <v>8655885.6000000015</v>
          </cell>
          <cell r="S3732">
            <v>9844364</v>
          </cell>
          <cell r="X3732" t="str">
            <v>COP</v>
          </cell>
        </row>
        <row r="3733">
          <cell r="X3733" t="str">
            <v>COP</v>
          </cell>
        </row>
        <row r="3734">
          <cell r="X3734" t="str">
            <v>COP</v>
          </cell>
        </row>
        <row r="3735">
          <cell r="X3735" t="str">
            <v>COP</v>
          </cell>
        </row>
        <row r="3736">
          <cell r="X3736" t="str">
            <v>COP</v>
          </cell>
        </row>
        <row r="3737">
          <cell r="P3737">
            <v>0</v>
          </cell>
          <cell r="R3737">
            <v>0</v>
          </cell>
          <cell r="S3737">
            <v>0</v>
          </cell>
          <cell r="X3737" t="str">
            <v>COP</v>
          </cell>
        </row>
        <row r="3738">
          <cell r="X3738" t="str">
            <v>IL</v>
          </cell>
        </row>
        <row r="3739">
          <cell r="X3739" t="str">
            <v>COP</v>
          </cell>
        </row>
        <row r="3740">
          <cell r="P3740">
            <v>0</v>
          </cell>
          <cell r="R3740">
            <v>0</v>
          </cell>
          <cell r="S3740">
            <v>0</v>
          </cell>
          <cell r="X3740" t="str">
            <v>COP</v>
          </cell>
        </row>
        <row r="3741">
          <cell r="X3741" t="str">
            <v>COP</v>
          </cell>
        </row>
        <row r="3742">
          <cell r="X3742" t="str">
            <v>COP</v>
          </cell>
        </row>
        <row r="3743">
          <cell r="X3743" t="str">
            <v>COP</v>
          </cell>
        </row>
        <row r="3744">
          <cell r="P3744">
            <v>927016</v>
          </cell>
          <cell r="R3744">
            <v>719152.8</v>
          </cell>
          <cell r="S3744">
            <v>661800</v>
          </cell>
          <cell r="X3744" t="str">
            <v>IL</v>
          </cell>
        </row>
        <row r="3745">
          <cell r="X3745" t="str">
            <v>COP</v>
          </cell>
        </row>
        <row r="3746">
          <cell r="X3746" t="str">
            <v>COP</v>
          </cell>
        </row>
        <row r="3747">
          <cell r="X3747" t="str">
            <v>COP</v>
          </cell>
        </row>
        <row r="3748">
          <cell r="P3748">
            <v>72000</v>
          </cell>
          <cell r="R3748">
            <v>62973.599999999999</v>
          </cell>
          <cell r="S3748">
            <v>300000</v>
          </cell>
          <cell r="X3748" t="str">
            <v>COP</v>
          </cell>
        </row>
        <row r="3749">
          <cell r="X3749" t="str">
            <v>COP</v>
          </cell>
        </row>
        <row r="3750">
          <cell r="X3750" t="str">
            <v>COP</v>
          </cell>
        </row>
        <row r="3751">
          <cell r="X3751" t="str">
            <v>COP</v>
          </cell>
        </row>
        <row r="3752">
          <cell r="X3752" t="str">
            <v>COP</v>
          </cell>
        </row>
        <row r="3753">
          <cell r="P3753">
            <v>0</v>
          </cell>
          <cell r="R3753">
            <v>0</v>
          </cell>
          <cell r="S3753">
            <v>0</v>
          </cell>
          <cell r="X3753" t="str">
            <v>COP</v>
          </cell>
        </row>
        <row r="3754">
          <cell r="X3754" t="str">
            <v>COP</v>
          </cell>
        </row>
        <row r="3755">
          <cell r="R3755">
            <v>0</v>
          </cell>
          <cell r="S3755">
            <v>0</v>
          </cell>
          <cell r="X3755" t="str">
            <v>COP</v>
          </cell>
        </row>
        <row r="3756">
          <cell r="X3756" t="str">
            <v>COP</v>
          </cell>
        </row>
        <row r="3757">
          <cell r="X3757" t="str">
            <v>COP</v>
          </cell>
        </row>
        <row r="3758">
          <cell r="R3758">
            <v>0</v>
          </cell>
          <cell r="S3758">
            <v>0</v>
          </cell>
          <cell r="X3758" t="str">
            <v>COP</v>
          </cell>
        </row>
        <row r="3759">
          <cell r="X3759" t="str">
            <v>COP</v>
          </cell>
        </row>
        <row r="3760">
          <cell r="R3760">
            <v>0</v>
          </cell>
          <cell r="S3760">
            <v>0</v>
          </cell>
          <cell r="X3760" t="str">
            <v>COP</v>
          </cell>
        </row>
        <row r="3761">
          <cell r="X3761" t="str">
            <v>COP</v>
          </cell>
        </row>
        <row r="3762">
          <cell r="X3762" t="str">
            <v>COP</v>
          </cell>
        </row>
        <row r="3763">
          <cell r="X3763" t="str">
            <v>COP</v>
          </cell>
        </row>
        <row r="3764">
          <cell r="P3764">
            <v>0</v>
          </cell>
          <cell r="R3764">
            <v>0</v>
          </cell>
          <cell r="S3764">
            <v>0</v>
          </cell>
          <cell r="X3764" t="str">
            <v>COP</v>
          </cell>
        </row>
        <row r="3765">
          <cell r="P3765">
            <v>0</v>
          </cell>
          <cell r="R3765">
            <v>0</v>
          </cell>
          <cell r="S3765">
            <v>0</v>
          </cell>
          <cell r="X3765" t="str">
            <v>COP</v>
          </cell>
        </row>
        <row r="3766">
          <cell r="X3766" t="str">
            <v>COP</v>
          </cell>
        </row>
        <row r="3767">
          <cell r="R3767">
            <v>0</v>
          </cell>
          <cell r="S3767">
            <v>0</v>
          </cell>
          <cell r="X3767" t="str">
            <v>COP</v>
          </cell>
        </row>
        <row r="3768">
          <cell r="X3768" t="str">
            <v>COP</v>
          </cell>
        </row>
        <row r="3769">
          <cell r="X3769" t="str">
            <v>COP</v>
          </cell>
        </row>
        <row r="3770">
          <cell r="X3770" t="str">
            <v>COP</v>
          </cell>
        </row>
        <row r="3771">
          <cell r="R3771">
            <v>0</v>
          </cell>
          <cell r="S3771">
            <v>0</v>
          </cell>
          <cell r="X3771" t="str">
            <v>COP</v>
          </cell>
        </row>
        <row r="3772">
          <cell r="X3772" t="str">
            <v>COP</v>
          </cell>
        </row>
        <row r="3773">
          <cell r="R3773">
            <v>0</v>
          </cell>
          <cell r="S3773">
            <v>0</v>
          </cell>
          <cell r="X3773" t="str">
            <v>COP</v>
          </cell>
        </row>
        <row r="3774">
          <cell r="X3774" t="str">
            <v>COP</v>
          </cell>
        </row>
        <row r="3775">
          <cell r="P3775">
            <v>2048182.35</v>
          </cell>
          <cell r="R3775">
            <v>1810245.6</v>
          </cell>
          <cell r="S3775">
            <v>1315955</v>
          </cell>
          <cell r="X3775" t="str">
            <v>COP</v>
          </cell>
        </row>
        <row r="3776">
          <cell r="X3776" t="str">
            <v>COP</v>
          </cell>
        </row>
        <row r="3777">
          <cell r="X3777" t="str">
            <v>COP</v>
          </cell>
        </row>
        <row r="3778">
          <cell r="P3778">
            <v>11412609.287499998</v>
          </cell>
          <cell r="R3778">
            <v>11248257.600000001</v>
          </cell>
          <cell r="S3778">
            <v>12122119</v>
          </cell>
          <cell r="X3778" t="str">
            <v>COP</v>
          </cell>
        </row>
        <row r="3779">
          <cell r="X3779" t="str">
            <v>COP</v>
          </cell>
        </row>
        <row r="3780">
          <cell r="R3780">
            <v>0</v>
          </cell>
          <cell r="S3780">
            <v>0</v>
          </cell>
          <cell r="X3780" t="str">
            <v>IL</v>
          </cell>
        </row>
        <row r="3781">
          <cell r="P3781">
            <v>30476996.741933011</v>
          </cell>
          <cell r="R3781">
            <v>31713688.800000004</v>
          </cell>
          <cell r="S3781">
            <v>32587550</v>
          </cell>
          <cell r="X3781" t="str">
            <v>IL</v>
          </cell>
        </row>
        <row r="3782">
          <cell r="X3782" t="str">
            <v>IL</v>
          </cell>
        </row>
        <row r="3783">
          <cell r="R3783">
            <v>31713688.799999997</v>
          </cell>
          <cell r="S3783">
            <v>32587550</v>
          </cell>
          <cell r="X3783" t="str">
            <v>IL</v>
          </cell>
        </row>
        <row r="3784">
          <cell r="P3784" t="str">
            <v>Diff</v>
          </cell>
          <cell r="R3784">
            <v>0</v>
          </cell>
          <cell r="S3784">
            <v>0</v>
          </cell>
          <cell r="X3784" t="str">
            <v>IL</v>
          </cell>
        </row>
        <row r="3785">
          <cell r="X3785" t="str">
            <v>IL</v>
          </cell>
        </row>
        <row r="3786">
          <cell r="X3786" t="str">
            <v>IL</v>
          </cell>
        </row>
        <row r="3787">
          <cell r="X3787" t="str">
            <v>IL</v>
          </cell>
        </row>
        <row r="3788">
          <cell r="X3788" t="str">
            <v>IL</v>
          </cell>
        </row>
        <row r="3789">
          <cell r="X3789" t="str">
            <v>IL</v>
          </cell>
        </row>
        <row r="3790">
          <cell r="X3790" t="str">
            <v>IL</v>
          </cell>
        </row>
        <row r="3791">
          <cell r="X3791" t="str">
            <v>IL</v>
          </cell>
        </row>
        <row r="3792">
          <cell r="X3792" t="str">
            <v>IL</v>
          </cell>
        </row>
        <row r="3793">
          <cell r="X3793" t="str">
            <v>IL</v>
          </cell>
        </row>
        <row r="3794">
          <cell r="X3794" t="str">
            <v>IL</v>
          </cell>
        </row>
        <row r="3795">
          <cell r="X3795" t="str">
            <v>IL</v>
          </cell>
        </row>
        <row r="3796">
          <cell r="X3796" t="str">
            <v>IL</v>
          </cell>
        </row>
        <row r="3797">
          <cell r="X3797" t="str">
            <v>IL</v>
          </cell>
        </row>
        <row r="3798">
          <cell r="X3798" t="str">
            <v>IL</v>
          </cell>
        </row>
        <row r="3799">
          <cell r="X3799" t="str">
            <v>IL</v>
          </cell>
        </row>
        <row r="3800">
          <cell r="X3800" t="str">
            <v>IL</v>
          </cell>
        </row>
        <row r="3801">
          <cell r="X3801" t="str">
            <v>IL</v>
          </cell>
        </row>
        <row r="3802">
          <cell r="X3802" t="str">
            <v>IL</v>
          </cell>
        </row>
        <row r="3803">
          <cell r="X3803" t="str">
            <v>IL</v>
          </cell>
        </row>
        <row r="3804">
          <cell r="X3804" t="str">
            <v>IL</v>
          </cell>
        </row>
        <row r="3805">
          <cell r="X3805" t="str">
            <v>IL</v>
          </cell>
        </row>
        <row r="3806">
          <cell r="X3806" t="str">
            <v>IL</v>
          </cell>
        </row>
        <row r="3807">
          <cell r="R3807" t="str">
            <v>Projected</v>
          </cell>
          <cell r="S3807" t="str">
            <v>Budget</v>
          </cell>
          <cell r="X3807" t="str">
            <v>IL</v>
          </cell>
        </row>
        <row r="3808">
          <cell r="X3808" t="str">
            <v>IL</v>
          </cell>
        </row>
        <row r="3809">
          <cell r="P3809">
            <v>3712640.1</v>
          </cell>
          <cell r="R3809">
            <v>3425752.8</v>
          </cell>
          <cell r="S3809">
            <v>3169854</v>
          </cell>
          <cell r="X3809" t="str">
            <v>COP</v>
          </cell>
        </row>
        <row r="3810">
          <cell r="X3810" t="str">
            <v>COP</v>
          </cell>
        </row>
        <row r="3811">
          <cell r="X3811" t="str">
            <v>COP</v>
          </cell>
        </row>
        <row r="3812">
          <cell r="X3812" t="str">
            <v>COP</v>
          </cell>
        </row>
        <row r="3813">
          <cell r="P3813">
            <v>26400</v>
          </cell>
          <cell r="R3813">
            <v>26400</v>
          </cell>
          <cell r="S3813">
            <v>26400</v>
          </cell>
          <cell r="X3813" t="str">
            <v>COP</v>
          </cell>
        </row>
        <row r="3814">
          <cell r="X3814" t="str">
            <v>COP</v>
          </cell>
        </row>
        <row r="3815">
          <cell r="X3815" t="str">
            <v>COP</v>
          </cell>
        </row>
        <row r="3816">
          <cell r="P3816">
            <v>564559.01249999995</v>
          </cell>
          <cell r="R3816">
            <v>335911.2</v>
          </cell>
          <cell r="S3816">
            <v>335647</v>
          </cell>
          <cell r="X3816" t="str">
            <v>COP</v>
          </cell>
        </row>
        <row r="3817">
          <cell r="X3817" t="str">
            <v>COP</v>
          </cell>
        </row>
        <row r="3818">
          <cell r="P3818">
            <v>4303599.1124999998</v>
          </cell>
          <cell r="R3818">
            <v>3788064</v>
          </cell>
          <cell r="S3818">
            <v>3531901</v>
          </cell>
          <cell r="X3818" t="str">
            <v>COP</v>
          </cell>
        </row>
        <row r="3819">
          <cell r="X3819" t="str">
            <v>COP</v>
          </cell>
        </row>
        <row r="3820">
          <cell r="X3820" t="str">
            <v>COP</v>
          </cell>
        </row>
        <row r="3821">
          <cell r="X3821" t="str">
            <v>COP</v>
          </cell>
        </row>
        <row r="3822">
          <cell r="X3822" t="str">
            <v>COP</v>
          </cell>
        </row>
        <row r="3823">
          <cell r="P3823">
            <v>0</v>
          </cell>
          <cell r="R3823">
            <v>0</v>
          </cell>
          <cell r="S3823">
            <v>0</v>
          </cell>
          <cell r="X3823" t="str">
            <v>COP</v>
          </cell>
        </row>
        <row r="3824">
          <cell r="X3824" t="str">
            <v>IL</v>
          </cell>
        </row>
        <row r="3825">
          <cell r="X3825" t="str">
            <v>COP</v>
          </cell>
        </row>
        <row r="3826">
          <cell r="P3826">
            <v>0</v>
          </cell>
          <cell r="R3826">
            <v>0</v>
          </cell>
          <cell r="S3826">
            <v>0</v>
          </cell>
          <cell r="X3826" t="str">
            <v>COP</v>
          </cell>
        </row>
        <row r="3827">
          <cell r="X3827" t="str">
            <v>COP</v>
          </cell>
        </row>
        <row r="3828">
          <cell r="X3828" t="str">
            <v>COP</v>
          </cell>
        </row>
        <row r="3829">
          <cell r="X3829" t="str">
            <v>COP</v>
          </cell>
        </row>
        <row r="3830">
          <cell r="P3830">
            <v>3836425.6634469698</v>
          </cell>
          <cell r="R3830">
            <v>425798.40000000002</v>
          </cell>
          <cell r="S3830">
            <v>4375</v>
          </cell>
          <cell r="X3830" t="str">
            <v>IL</v>
          </cell>
        </row>
        <row r="3831">
          <cell r="X3831" t="str">
            <v>COP</v>
          </cell>
        </row>
        <row r="3832">
          <cell r="X3832" t="str">
            <v>COP</v>
          </cell>
        </row>
        <row r="3833">
          <cell r="X3833" t="str">
            <v>COP</v>
          </cell>
        </row>
        <row r="3834">
          <cell r="P3834">
            <v>0</v>
          </cell>
          <cell r="R3834">
            <v>0</v>
          </cell>
          <cell r="S3834">
            <v>0</v>
          </cell>
          <cell r="X3834" t="str">
            <v>COP</v>
          </cell>
        </row>
        <row r="3835">
          <cell r="X3835" t="str">
            <v>COP</v>
          </cell>
        </row>
        <row r="3836">
          <cell r="X3836" t="str">
            <v>COP</v>
          </cell>
        </row>
        <row r="3837">
          <cell r="X3837" t="str">
            <v>COP</v>
          </cell>
        </row>
        <row r="3838">
          <cell r="X3838" t="str">
            <v>COP</v>
          </cell>
        </row>
        <row r="3839">
          <cell r="P3839">
            <v>0</v>
          </cell>
          <cell r="R3839">
            <v>0</v>
          </cell>
          <cell r="S3839">
            <v>0</v>
          </cell>
          <cell r="X3839" t="str">
            <v>COP</v>
          </cell>
        </row>
        <row r="3840">
          <cell r="X3840" t="str">
            <v>COP</v>
          </cell>
        </row>
        <row r="3841">
          <cell r="P3841">
            <v>0</v>
          </cell>
          <cell r="R3841">
            <v>0</v>
          </cell>
          <cell r="S3841">
            <v>0</v>
          </cell>
          <cell r="X3841" t="str">
            <v>COP</v>
          </cell>
        </row>
        <row r="3842">
          <cell r="X3842" t="str">
            <v>COP</v>
          </cell>
        </row>
        <row r="3843">
          <cell r="X3843" t="str">
            <v>COP</v>
          </cell>
        </row>
        <row r="3844">
          <cell r="P3844">
            <v>0</v>
          </cell>
          <cell r="R3844">
            <v>0</v>
          </cell>
          <cell r="S3844">
            <v>0</v>
          </cell>
          <cell r="X3844" t="str">
            <v>COP</v>
          </cell>
        </row>
        <row r="3845">
          <cell r="X3845" t="str">
            <v>COP</v>
          </cell>
        </row>
        <row r="3846">
          <cell r="P3846">
            <v>0</v>
          </cell>
          <cell r="R3846">
            <v>0</v>
          </cell>
          <cell r="S3846">
            <v>0</v>
          </cell>
          <cell r="X3846" t="str">
            <v>COP</v>
          </cell>
        </row>
        <row r="3847">
          <cell r="X3847" t="str">
            <v>COP</v>
          </cell>
        </row>
        <row r="3848">
          <cell r="X3848" t="str">
            <v>COP</v>
          </cell>
        </row>
        <row r="3849">
          <cell r="X3849" t="str">
            <v>COP</v>
          </cell>
        </row>
        <row r="3850">
          <cell r="P3850">
            <v>0</v>
          </cell>
          <cell r="R3850">
            <v>0</v>
          </cell>
          <cell r="S3850">
            <v>0</v>
          </cell>
          <cell r="X3850" t="str">
            <v>COP</v>
          </cell>
        </row>
        <row r="3851">
          <cell r="P3851">
            <v>0</v>
          </cell>
          <cell r="R3851">
            <v>0</v>
          </cell>
          <cell r="S3851">
            <v>0</v>
          </cell>
          <cell r="X3851" t="str">
            <v>COP</v>
          </cell>
        </row>
        <row r="3852">
          <cell r="X3852" t="str">
            <v>COP</v>
          </cell>
        </row>
        <row r="3853">
          <cell r="R3853">
            <v>0</v>
          </cell>
          <cell r="S3853">
            <v>0</v>
          </cell>
          <cell r="X3853" t="str">
            <v>COP</v>
          </cell>
        </row>
        <row r="3854">
          <cell r="X3854" t="str">
            <v>COP</v>
          </cell>
        </row>
        <row r="3855">
          <cell r="X3855" t="str">
            <v>COP</v>
          </cell>
        </row>
        <row r="3856">
          <cell r="X3856" t="str">
            <v>COP</v>
          </cell>
        </row>
        <row r="3857">
          <cell r="P3857">
            <v>0</v>
          </cell>
          <cell r="R3857">
            <v>0</v>
          </cell>
          <cell r="S3857">
            <v>0</v>
          </cell>
          <cell r="X3857" t="str">
            <v>COP</v>
          </cell>
        </row>
        <row r="3858">
          <cell r="X3858" t="str">
            <v>COP</v>
          </cell>
        </row>
        <row r="3859">
          <cell r="P3859">
            <v>0</v>
          </cell>
          <cell r="R3859">
            <v>0</v>
          </cell>
          <cell r="S3859">
            <v>0</v>
          </cell>
          <cell r="X3859" t="str">
            <v>COP</v>
          </cell>
        </row>
        <row r="3860">
          <cell r="X3860" t="str">
            <v>COP</v>
          </cell>
        </row>
        <row r="3861">
          <cell r="P3861">
            <v>2163299</v>
          </cell>
          <cell r="R3861">
            <v>1018876.8</v>
          </cell>
          <cell r="S3861">
            <v>1075896</v>
          </cell>
          <cell r="X3861" t="str">
            <v>COP</v>
          </cell>
        </row>
        <row r="3862">
          <cell r="X3862" t="str">
            <v>COP</v>
          </cell>
        </row>
        <row r="3863">
          <cell r="X3863" t="str">
            <v>COP</v>
          </cell>
        </row>
        <row r="3864">
          <cell r="P3864">
            <v>10303323.775946971</v>
          </cell>
          <cell r="R3864">
            <v>5232739.2</v>
          </cell>
          <cell r="S3864">
            <v>4612172</v>
          </cell>
          <cell r="X3864" t="str">
            <v>COP</v>
          </cell>
        </row>
        <row r="3865">
          <cell r="X3865" t="str">
            <v>COP</v>
          </cell>
        </row>
        <row r="3866">
          <cell r="R3866">
            <v>0</v>
          </cell>
          <cell r="S3866">
            <v>0</v>
          </cell>
          <cell r="X3866" t="str">
            <v>IL</v>
          </cell>
        </row>
        <row r="3867">
          <cell r="P3867">
            <v>10303323.775946971</v>
          </cell>
          <cell r="R3867">
            <v>5232739.2</v>
          </cell>
          <cell r="S3867">
            <v>4612172</v>
          </cell>
          <cell r="X3867" t="str">
            <v>IL</v>
          </cell>
        </row>
        <row r="3868">
          <cell r="X3868" t="str">
            <v>IL</v>
          </cell>
        </row>
        <row r="3869">
          <cell r="R3869">
            <v>5232739.2</v>
          </cell>
          <cell r="S3869">
            <v>4612172</v>
          </cell>
          <cell r="X3869" t="str">
            <v>IL</v>
          </cell>
        </row>
        <row r="3870">
          <cell r="P3870" t="str">
            <v>Diff</v>
          </cell>
          <cell r="R3870">
            <v>0</v>
          </cell>
          <cell r="S3870">
            <v>0</v>
          </cell>
          <cell r="X3870" t="str">
            <v>IL</v>
          </cell>
        </row>
        <row r="3871">
          <cell r="X3871" t="str">
            <v>IL</v>
          </cell>
        </row>
        <row r="3872">
          <cell r="X3872" t="str">
            <v>IL</v>
          </cell>
        </row>
        <row r="3873">
          <cell r="X3873" t="str">
            <v>IL</v>
          </cell>
        </row>
        <row r="3874">
          <cell r="X3874" t="str">
            <v>IL</v>
          </cell>
        </row>
        <row r="3875">
          <cell r="X3875" t="str">
            <v>IL</v>
          </cell>
        </row>
        <row r="3876">
          <cell r="X3876" t="str">
            <v>IL</v>
          </cell>
        </row>
        <row r="3877">
          <cell r="X3877" t="str">
            <v>IL</v>
          </cell>
        </row>
        <row r="3878">
          <cell r="X3878" t="str">
            <v>IL</v>
          </cell>
        </row>
        <row r="3879">
          <cell r="X3879" t="str">
            <v>IL</v>
          </cell>
        </row>
        <row r="3880">
          <cell r="X3880" t="str">
            <v>IL</v>
          </cell>
        </row>
        <row r="3881">
          <cell r="X3881" t="str">
            <v>IL</v>
          </cell>
        </row>
        <row r="3882">
          <cell r="X3882" t="str">
            <v>IL</v>
          </cell>
        </row>
        <row r="3883">
          <cell r="X3883" t="str">
            <v>IL</v>
          </cell>
        </row>
        <row r="3884">
          <cell r="X3884" t="str">
            <v>IL</v>
          </cell>
        </row>
        <row r="3885">
          <cell r="X3885" t="str">
            <v>IL</v>
          </cell>
        </row>
        <row r="3886">
          <cell r="X3886" t="str">
            <v>IL</v>
          </cell>
        </row>
        <row r="3887">
          <cell r="X3887" t="str">
            <v>IL</v>
          </cell>
        </row>
        <row r="3888">
          <cell r="X3888" t="str">
            <v>IL</v>
          </cell>
        </row>
        <row r="3889">
          <cell r="X3889" t="str">
            <v>IL</v>
          </cell>
        </row>
        <row r="3890">
          <cell r="X3890" t="str">
            <v>IL</v>
          </cell>
        </row>
        <row r="3891">
          <cell r="X3891" t="str">
            <v>IL</v>
          </cell>
        </row>
        <row r="3892">
          <cell r="X3892" t="str">
            <v>IL</v>
          </cell>
        </row>
        <row r="3893">
          <cell r="X3893" t="str">
            <v>IL</v>
          </cell>
        </row>
        <row r="3894">
          <cell r="X3894" t="str">
            <v>IL</v>
          </cell>
        </row>
        <row r="3895">
          <cell r="X3895" t="str">
            <v>IL</v>
          </cell>
        </row>
        <row r="3896">
          <cell r="X3896" t="str">
            <v>IL</v>
          </cell>
        </row>
        <row r="3897">
          <cell r="X3897" t="str">
            <v>IL</v>
          </cell>
        </row>
        <row r="3898">
          <cell r="X3898" t="str">
            <v>IL</v>
          </cell>
        </row>
        <row r="3899">
          <cell r="X3899" t="str">
            <v>IL</v>
          </cell>
        </row>
        <row r="3900">
          <cell r="X3900" t="str">
            <v>IL</v>
          </cell>
        </row>
        <row r="3901">
          <cell r="X3901" t="str">
            <v>IL</v>
          </cell>
        </row>
        <row r="3902">
          <cell r="X3902" t="str">
            <v>IL</v>
          </cell>
        </row>
        <row r="3903">
          <cell r="X3903" t="str">
            <v>IL</v>
          </cell>
        </row>
        <row r="3904">
          <cell r="X3904" t="str">
            <v>IL</v>
          </cell>
        </row>
        <row r="3905">
          <cell r="X3905" t="str">
            <v>IL</v>
          </cell>
        </row>
        <row r="3906">
          <cell r="X3906" t="str">
            <v>IL</v>
          </cell>
        </row>
        <row r="3907">
          <cell r="X3907" t="str">
            <v>IL</v>
          </cell>
        </row>
        <row r="3908">
          <cell r="X3908" t="str">
            <v>IL</v>
          </cell>
        </row>
        <row r="3909">
          <cell r="X3909" t="str">
            <v>IL</v>
          </cell>
        </row>
        <row r="3910">
          <cell r="X3910" t="str">
            <v>IL</v>
          </cell>
        </row>
        <row r="3911">
          <cell r="X3911" t="str">
            <v>IL</v>
          </cell>
        </row>
        <row r="3912">
          <cell r="X3912" t="str">
            <v>IL</v>
          </cell>
        </row>
        <row r="3913">
          <cell r="X3913" t="str">
            <v>IL</v>
          </cell>
        </row>
        <row r="3914">
          <cell r="X3914" t="str">
            <v>IL</v>
          </cell>
        </row>
        <row r="3915">
          <cell r="X3915" t="str">
            <v>IL</v>
          </cell>
        </row>
        <row r="3916">
          <cell r="X3916" t="str">
            <v>IL</v>
          </cell>
        </row>
        <row r="3917">
          <cell r="X3917" t="str">
            <v>IL</v>
          </cell>
        </row>
        <row r="3918">
          <cell r="X3918" t="str">
            <v>IL</v>
          </cell>
        </row>
        <row r="3919">
          <cell r="X3919" t="str">
            <v>IL</v>
          </cell>
        </row>
        <row r="3920">
          <cell r="X3920" t="str">
            <v>IL</v>
          </cell>
        </row>
        <row r="3921">
          <cell r="X3921" t="str">
            <v>IL</v>
          </cell>
        </row>
        <row r="3922">
          <cell r="X3922" t="str">
            <v>IL</v>
          </cell>
        </row>
        <row r="3923">
          <cell r="X3923" t="str">
            <v>IL</v>
          </cell>
        </row>
        <row r="3924">
          <cell r="X3924" t="str">
            <v>IL</v>
          </cell>
        </row>
        <row r="3925">
          <cell r="X3925" t="str">
            <v>IL</v>
          </cell>
        </row>
        <row r="3926">
          <cell r="X3926" t="str">
            <v>IL</v>
          </cell>
        </row>
        <row r="3927">
          <cell r="X3927" t="str">
            <v>IL</v>
          </cell>
        </row>
        <row r="3928">
          <cell r="X3928" t="str">
            <v>IL</v>
          </cell>
        </row>
        <row r="3929">
          <cell r="X3929" t="str">
            <v>IL</v>
          </cell>
        </row>
        <row r="3930">
          <cell r="X3930" t="str">
            <v>IL</v>
          </cell>
        </row>
        <row r="3931">
          <cell r="X3931" t="str">
            <v>IL</v>
          </cell>
        </row>
        <row r="3932">
          <cell r="X3932" t="str">
            <v>IL</v>
          </cell>
        </row>
        <row r="3933">
          <cell r="X3933" t="str">
            <v>IL</v>
          </cell>
        </row>
        <row r="3934">
          <cell r="X3934" t="str">
            <v>IL</v>
          </cell>
        </row>
        <row r="3935">
          <cell r="X3935" t="str">
            <v>IL</v>
          </cell>
        </row>
        <row r="3936">
          <cell r="X3936" t="str">
            <v>IL</v>
          </cell>
        </row>
        <row r="3937">
          <cell r="X3937" t="str">
            <v>IL</v>
          </cell>
        </row>
        <row r="3938">
          <cell r="X3938" t="str">
            <v>IL</v>
          </cell>
        </row>
        <row r="3939">
          <cell r="X3939" t="str">
            <v>IL</v>
          </cell>
        </row>
        <row r="3940">
          <cell r="X3940" t="str">
            <v>IL</v>
          </cell>
        </row>
        <row r="3941">
          <cell r="X3941" t="str">
            <v>IL</v>
          </cell>
        </row>
        <row r="3942">
          <cell r="X3942" t="str">
            <v>IL</v>
          </cell>
        </row>
        <row r="3943">
          <cell r="X3943" t="str">
            <v>IL</v>
          </cell>
        </row>
        <row r="3944">
          <cell r="X3944" t="str">
            <v>IL</v>
          </cell>
        </row>
        <row r="3945">
          <cell r="X3945" t="str">
            <v>IL</v>
          </cell>
        </row>
        <row r="3946">
          <cell r="X3946" t="str">
            <v>IL</v>
          </cell>
        </row>
        <row r="3947">
          <cell r="X3947" t="str">
            <v>IL</v>
          </cell>
        </row>
        <row r="3948">
          <cell r="X3948" t="str">
            <v>IL</v>
          </cell>
        </row>
        <row r="3949">
          <cell r="X3949" t="str">
            <v>IL</v>
          </cell>
        </row>
        <row r="3950">
          <cell r="X3950" t="str">
            <v>IL</v>
          </cell>
        </row>
        <row r="3951">
          <cell r="X3951" t="str">
            <v>IL</v>
          </cell>
        </row>
        <row r="3952">
          <cell r="X3952" t="str">
            <v>IL</v>
          </cell>
        </row>
        <row r="3953">
          <cell r="X3953" t="str">
            <v>IL</v>
          </cell>
        </row>
        <row r="3954">
          <cell r="X3954" t="str">
            <v>IL</v>
          </cell>
        </row>
        <row r="3955">
          <cell r="X3955" t="str">
            <v>IL</v>
          </cell>
        </row>
        <row r="3956">
          <cell r="X3956" t="str">
            <v>IL</v>
          </cell>
        </row>
        <row r="3957">
          <cell r="X3957" t="str">
            <v>IL</v>
          </cell>
        </row>
        <row r="3958">
          <cell r="X3958" t="str">
            <v>IL</v>
          </cell>
        </row>
        <row r="3959">
          <cell r="X3959" t="str">
            <v>IL</v>
          </cell>
        </row>
        <row r="3960">
          <cell r="X3960" t="str">
            <v>IL</v>
          </cell>
        </row>
        <row r="3961">
          <cell r="X3961" t="str">
            <v>IL</v>
          </cell>
        </row>
        <row r="3962">
          <cell r="X3962" t="str">
            <v>IL</v>
          </cell>
        </row>
        <row r="3963">
          <cell r="X3963" t="str">
            <v>IL</v>
          </cell>
        </row>
        <row r="3964">
          <cell r="X3964" t="str">
            <v>IL</v>
          </cell>
        </row>
        <row r="3965">
          <cell r="X3965" t="str">
            <v>IL</v>
          </cell>
        </row>
        <row r="3966">
          <cell r="X3966" t="str">
            <v>IL</v>
          </cell>
        </row>
        <row r="3967">
          <cell r="X3967" t="str">
            <v>IL</v>
          </cell>
        </row>
        <row r="3968">
          <cell r="X3968" t="str">
            <v>IL</v>
          </cell>
        </row>
        <row r="3969">
          <cell r="X3969" t="str">
            <v>IL</v>
          </cell>
        </row>
        <row r="3970">
          <cell r="X3970" t="str">
            <v>IL</v>
          </cell>
        </row>
        <row r="3971">
          <cell r="X3971" t="str">
            <v>IL</v>
          </cell>
        </row>
        <row r="3972">
          <cell r="X3972" t="str">
            <v>IL</v>
          </cell>
        </row>
        <row r="3973">
          <cell r="X3973" t="str">
            <v>IL</v>
          </cell>
        </row>
        <row r="3974">
          <cell r="X3974" t="str">
            <v>IL</v>
          </cell>
        </row>
        <row r="3975">
          <cell r="X3975" t="str">
            <v>IL</v>
          </cell>
        </row>
        <row r="3976">
          <cell r="X3976" t="str">
            <v>IL</v>
          </cell>
        </row>
        <row r="3977">
          <cell r="X3977" t="str">
            <v>IL</v>
          </cell>
        </row>
        <row r="3978">
          <cell r="X3978" t="str">
            <v>IL</v>
          </cell>
        </row>
        <row r="3979">
          <cell r="X3979" t="str">
            <v>IL</v>
          </cell>
        </row>
        <row r="3980">
          <cell r="X3980" t="str">
            <v>IL</v>
          </cell>
        </row>
        <row r="3981">
          <cell r="X3981" t="str">
            <v>IL</v>
          </cell>
        </row>
        <row r="3982">
          <cell r="X3982" t="str">
            <v>IL</v>
          </cell>
        </row>
        <row r="3983">
          <cell r="X3983" t="str">
            <v>IL</v>
          </cell>
        </row>
        <row r="3984">
          <cell r="X3984" t="str">
            <v>IL</v>
          </cell>
        </row>
        <row r="3985">
          <cell r="X3985" t="str">
            <v>IL</v>
          </cell>
        </row>
        <row r="3986">
          <cell r="X3986" t="str">
            <v>IL</v>
          </cell>
        </row>
        <row r="3987">
          <cell r="X3987" t="str">
            <v>IL</v>
          </cell>
        </row>
        <row r="3988">
          <cell r="X3988" t="str">
            <v>IL</v>
          </cell>
        </row>
        <row r="3989">
          <cell r="X3989" t="str">
            <v>IL</v>
          </cell>
        </row>
        <row r="3990">
          <cell r="X3990" t="str">
            <v>IL</v>
          </cell>
        </row>
        <row r="3991">
          <cell r="X3991" t="str">
            <v>IL</v>
          </cell>
        </row>
        <row r="3992">
          <cell r="X3992" t="str">
            <v>IL</v>
          </cell>
        </row>
        <row r="3993">
          <cell r="X3993" t="str">
            <v>IL</v>
          </cell>
        </row>
        <row r="3994">
          <cell r="X3994" t="str">
            <v>IL</v>
          </cell>
        </row>
        <row r="3995">
          <cell r="X3995" t="str">
            <v>IL</v>
          </cell>
        </row>
        <row r="3996">
          <cell r="X3996" t="str">
            <v>IL</v>
          </cell>
        </row>
        <row r="3997">
          <cell r="X3997" t="str">
            <v>IL</v>
          </cell>
        </row>
        <row r="3998">
          <cell r="X3998" t="str">
            <v>IL</v>
          </cell>
        </row>
        <row r="3999">
          <cell r="X3999" t="str">
            <v>IL</v>
          </cell>
        </row>
        <row r="4000">
          <cell r="X4000" t="str">
            <v>IL</v>
          </cell>
        </row>
        <row r="4001">
          <cell r="X4001" t="str">
            <v>IL</v>
          </cell>
        </row>
        <row r="4002">
          <cell r="X4002" t="str">
            <v>IL</v>
          </cell>
        </row>
        <row r="4003">
          <cell r="X4003" t="str">
            <v>IL</v>
          </cell>
        </row>
        <row r="4004">
          <cell r="X4004" t="str">
            <v>IL</v>
          </cell>
        </row>
        <row r="4005">
          <cell r="X4005" t="str">
            <v>IL</v>
          </cell>
        </row>
        <row r="4006">
          <cell r="X4006" t="str">
            <v>IL</v>
          </cell>
        </row>
        <row r="4007">
          <cell r="X4007" t="str">
            <v>IL</v>
          </cell>
        </row>
        <row r="4008">
          <cell r="X4008" t="str">
            <v>IL</v>
          </cell>
        </row>
        <row r="4009">
          <cell r="X4009" t="str">
            <v>IL</v>
          </cell>
        </row>
        <row r="4010">
          <cell r="X4010" t="str">
            <v>IL</v>
          </cell>
        </row>
        <row r="4011">
          <cell r="X4011" t="str">
            <v>IL</v>
          </cell>
        </row>
        <row r="4012">
          <cell r="X4012" t="str">
            <v>IL</v>
          </cell>
        </row>
        <row r="4013">
          <cell r="X4013" t="str">
            <v>IL</v>
          </cell>
        </row>
        <row r="4014">
          <cell r="X4014" t="str">
            <v>IL</v>
          </cell>
        </row>
        <row r="4015">
          <cell r="X4015" t="str">
            <v>IL</v>
          </cell>
        </row>
        <row r="4016">
          <cell r="X4016" t="str">
            <v>IL</v>
          </cell>
        </row>
        <row r="4017">
          <cell r="X4017" t="str">
            <v>IL</v>
          </cell>
        </row>
        <row r="4018">
          <cell r="X4018" t="str">
            <v>IL</v>
          </cell>
        </row>
        <row r="4019">
          <cell r="X4019" t="str">
            <v>IL</v>
          </cell>
        </row>
        <row r="4020">
          <cell r="X4020" t="str">
            <v>IL</v>
          </cell>
        </row>
        <row r="4021">
          <cell r="X4021" t="str">
            <v>IL</v>
          </cell>
        </row>
        <row r="4022">
          <cell r="X4022" t="str">
            <v>IL</v>
          </cell>
        </row>
        <row r="4023">
          <cell r="X4023" t="str">
            <v>IL</v>
          </cell>
        </row>
        <row r="4024">
          <cell r="X4024" t="str">
            <v>IL</v>
          </cell>
        </row>
        <row r="4025">
          <cell r="X4025" t="str">
            <v>IL</v>
          </cell>
        </row>
        <row r="4026">
          <cell r="X4026" t="str">
            <v>IL</v>
          </cell>
        </row>
        <row r="4027">
          <cell r="X4027" t="str">
            <v>IL</v>
          </cell>
        </row>
        <row r="4028">
          <cell r="X4028" t="str">
            <v>IL</v>
          </cell>
        </row>
        <row r="4029">
          <cell r="X4029" t="str">
            <v>IL</v>
          </cell>
        </row>
        <row r="4030">
          <cell r="X4030" t="str">
            <v>IL</v>
          </cell>
        </row>
        <row r="4031">
          <cell r="X4031" t="str">
            <v>IL</v>
          </cell>
        </row>
        <row r="4032">
          <cell r="X4032" t="str">
            <v>IL</v>
          </cell>
        </row>
        <row r="4033">
          <cell r="X4033" t="str">
            <v>IL</v>
          </cell>
        </row>
        <row r="4034">
          <cell r="X4034" t="str">
            <v>IL</v>
          </cell>
        </row>
        <row r="4035">
          <cell r="X4035" t="str">
            <v>IL</v>
          </cell>
        </row>
        <row r="4036">
          <cell r="X4036" t="str">
            <v>IL</v>
          </cell>
        </row>
        <row r="4037">
          <cell r="X4037" t="str">
            <v>IL</v>
          </cell>
        </row>
        <row r="4038">
          <cell r="X4038" t="str">
            <v>IL</v>
          </cell>
        </row>
        <row r="4039">
          <cell r="X4039" t="str">
            <v>IL</v>
          </cell>
        </row>
        <row r="4040">
          <cell r="X4040" t="str">
            <v>IL</v>
          </cell>
        </row>
        <row r="4041">
          <cell r="X4041" t="str">
            <v>IL</v>
          </cell>
        </row>
        <row r="4042">
          <cell r="X4042" t="str">
            <v>IL</v>
          </cell>
        </row>
        <row r="4043">
          <cell r="X4043" t="str">
            <v>IL</v>
          </cell>
        </row>
        <row r="4044">
          <cell r="X4044" t="str">
            <v>IL</v>
          </cell>
        </row>
        <row r="4045">
          <cell r="X4045" t="str">
            <v>IL</v>
          </cell>
        </row>
        <row r="4046">
          <cell r="X4046" t="str">
            <v>IL</v>
          </cell>
        </row>
        <row r="4047">
          <cell r="X4047" t="str">
            <v>IL</v>
          </cell>
        </row>
        <row r="4048">
          <cell r="X4048" t="str">
            <v>IL</v>
          </cell>
        </row>
        <row r="4049">
          <cell r="X4049" t="str">
            <v>IL</v>
          </cell>
        </row>
        <row r="4050">
          <cell r="X4050" t="str">
            <v>IL</v>
          </cell>
        </row>
        <row r="4051">
          <cell r="X4051" t="str">
            <v>IL</v>
          </cell>
        </row>
        <row r="4052">
          <cell r="X4052" t="str">
            <v>IL</v>
          </cell>
        </row>
        <row r="4053">
          <cell r="X4053" t="str">
            <v>IL</v>
          </cell>
        </row>
        <row r="4054">
          <cell r="X4054" t="str">
            <v>IL</v>
          </cell>
        </row>
        <row r="4055">
          <cell r="X4055" t="str">
            <v>IL</v>
          </cell>
        </row>
        <row r="4056">
          <cell r="X4056" t="str">
            <v>IL</v>
          </cell>
        </row>
        <row r="4057">
          <cell r="X4057" t="str">
            <v>IL</v>
          </cell>
        </row>
        <row r="4058">
          <cell r="X4058" t="str">
            <v>IL</v>
          </cell>
        </row>
        <row r="4059">
          <cell r="X4059" t="str">
            <v>IL</v>
          </cell>
        </row>
        <row r="4060">
          <cell r="X4060" t="str">
            <v>IL</v>
          </cell>
        </row>
        <row r="4061">
          <cell r="X4061" t="str">
            <v>IL</v>
          </cell>
        </row>
        <row r="4062">
          <cell r="X4062" t="str">
            <v>IL</v>
          </cell>
        </row>
        <row r="4063">
          <cell r="X4063" t="str">
            <v>IL</v>
          </cell>
        </row>
        <row r="4064">
          <cell r="X4064" t="str">
            <v>IL</v>
          </cell>
        </row>
        <row r="4065">
          <cell r="X4065" t="str">
            <v>IL</v>
          </cell>
        </row>
        <row r="4066">
          <cell r="X4066" t="str">
            <v>IL</v>
          </cell>
        </row>
        <row r="4067">
          <cell r="X4067" t="str">
            <v>IL</v>
          </cell>
        </row>
        <row r="4068">
          <cell r="X4068" t="str">
            <v>IL</v>
          </cell>
        </row>
        <row r="4069">
          <cell r="X4069" t="str">
            <v>IL</v>
          </cell>
        </row>
        <row r="4070">
          <cell r="X4070" t="str">
            <v>IL</v>
          </cell>
        </row>
        <row r="4071">
          <cell r="X4071" t="str">
            <v>IL</v>
          </cell>
        </row>
        <row r="4072">
          <cell r="X4072" t="str">
            <v>IL</v>
          </cell>
        </row>
        <row r="4073">
          <cell r="X4073" t="str">
            <v>IL</v>
          </cell>
        </row>
        <row r="4074">
          <cell r="X4074" t="str">
            <v>IL</v>
          </cell>
        </row>
        <row r="4075">
          <cell r="X4075" t="str">
            <v>IL</v>
          </cell>
        </row>
        <row r="4076">
          <cell r="X4076" t="str">
            <v>IL</v>
          </cell>
        </row>
        <row r="4077">
          <cell r="X4077" t="str">
            <v>IL</v>
          </cell>
        </row>
        <row r="4078">
          <cell r="X4078" t="str">
            <v>IL</v>
          </cell>
        </row>
        <row r="4079">
          <cell r="X4079" t="str">
            <v>IL</v>
          </cell>
        </row>
        <row r="4080">
          <cell r="X4080" t="str">
            <v>IL</v>
          </cell>
        </row>
        <row r="4081">
          <cell r="X4081" t="str">
            <v>IL</v>
          </cell>
        </row>
        <row r="4082">
          <cell r="X4082" t="str">
            <v>IL</v>
          </cell>
        </row>
        <row r="4083">
          <cell r="X4083" t="str">
            <v>IL</v>
          </cell>
        </row>
        <row r="4084">
          <cell r="X4084" t="str">
            <v>IL</v>
          </cell>
        </row>
        <row r="4085">
          <cell r="X4085" t="str">
            <v>IL</v>
          </cell>
        </row>
        <row r="4086">
          <cell r="X4086" t="str">
            <v>IL</v>
          </cell>
        </row>
        <row r="4087">
          <cell r="X4087" t="str">
            <v>IL</v>
          </cell>
        </row>
        <row r="4088">
          <cell r="X4088" t="str">
            <v>IL</v>
          </cell>
        </row>
        <row r="4089">
          <cell r="X4089" t="str">
            <v>IL</v>
          </cell>
        </row>
        <row r="4090">
          <cell r="X4090" t="str">
            <v>IL</v>
          </cell>
        </row>
        <row r="4091">
          <cell r="X4091" t="str">
            <v>IL</v>
          </cell>
        </row>
        <row r="4092">
          <cell r="X4092" t="str">
            <v>IL</v>
          </cell>
        </row>
        <row r="4093">
          <cell r="X4093" t="str">
            <v>IL</v>
          </cell>
        </row>
        <row r="4094">
          <cell r="X4094" t="str">
            <v>IL</v>
          </cell>
        </row>
        <row r="4095">
          <cell r="X4095" t="str">
            <v>IL</v>
          </cell>
        </row>
        <row r="4096">
          <cell r="X4096" t="str">
            <v>IL</v>
          </cell>
        </row>
        <row r="4097">
          <cell r="X4097" t="str">
            <v>IL</v>
          </cell>
        </row>
        <row r="4098">
          <cell r="X4098" t="str">
            <v>IL</v>
          </cell>
        </row>
        <row r="4099">
          <cell r="X4099" t="str">
            <v>IL</v>
          </cell>
        </row>
        <row r="4100">
          <cell r="X4100" t="str">
            <v>IL</v>
          </cell>
        </row>
        <row r="4101">
          <cell r="X4101" t="str">
            <v>IL</v>
          </cell>
        </row>
        <row r="4102">
          <cell r="X4102" t="str">
            <v>IL</v>
          </cell>
        </row>
        <row r="4103">
          <cell r="X4103" t="str">
            <v>IL</v>
          </cell>
        </row>
        <row r="4104">
          <cell r="X4104" t="str">
            <v>IL</v>
          </cell>
        </row>
        <row r="4105">
          <cell r="X4105" t="str">
            <v>IL</v>
          </cell>
        </row>
        <row r="4106">
          <cell r="X4106" t="str">
            <v>IL</v>
          </cell>
        </row>
        <row r="4107">
          <cell r="X4107" t="str">
            <v>IL</v>
          </cell>
        </row>
        <row r="4108">
          <cell r="X4108" t="str">
            <v>IL</v>
          </cell>
        </row>
        <row r="4109">
          <cell r="X4109" t="str">
            <v>IL</v>
          </cell>
        </row>
        <row r="4110">
          <cell r="X4110" t="str">
            <v>IL</v>
          </cell>
        </row>
        <row r="4111">
          <cell r="X4111" t="str">
            <v>IL</v>
          </cell>
        </row>
        <row r="4112">
          <cell r="X4112" t="str">
            <v>IL</v>
          </cell>
        </row>
        <row r="4113">
          <cell r="X4113" t="str">
            <v>IL</v>
          </cell>
        </row>
        <row r="4114">
          <cell r="X4114" t="str">
            <v>IL</v>
          </cell>
        </row>
        <row r="4115">
          <cell r="X4115" t="str">
            <v>IL</v>
          </cell>
        </row>
        <row r="4116">
          <cell r="X4116" t="str">
            <v>IL</v>
          </cell>
        </row>
        <row r="4117">
          <cell r="X4117" t="str">
            <v>IL</v>
          </cell>
        </row>
        <row r="4118">
          <cell r="X4118" t="str">
            <v>IL</v>
          </cell>
        </row>
        <row r="4119">
          <cell r="X4119" t="str">
            <v>IL</v>
          </cell>
        </row>
        <row r="4120">
          <cell r="X4120" t="str">
            <v>IL</v>
          </cell>
        </row>
        <row r="4121">
          <cell r="X4121" t="str">
            <v>IL</v>
          </cell>
        </row>
        <row r="4122">
          <cell r="X4122" t="str">
            <v>IL</v>
          </cell>
        </row>
        <row r="4123">
          <cell r="X4123" t="str">
            <v>IL</v>
          </cell>
        </row>
        <row r="4124">
          <cell r="X4124" t="str">
            <v>IL</v>
          </cell>
        </row>
        <row r="4125">
          <cell r="X4125" t="str">
            <v>IL</v>
          </cell>
        </row>
        <row r="4126">
          <cell r="X4126" t="str">
            <v>IL</v>
          </cell>
        </row>
        <row r="4127">
          <cell r="X4127" t="str">
            <v>IL</v>
          </cell>
        </row>
        <row r="4128">
          <cell r="X4128" t="str">
            <v>IL</v>
          </cell>
        </row>
        <row r="4129">
          <cell r="X4129" t="str">
            <v>IL</v>
          </cell>
        </row>
        <row r="4130">
          <cell r="X4130" t="str">
            <v>IL</v>
          </cell>
        </row>
        <row r="4131">
          <cell r="X4131" t="str">
            <v>IL</v>
          </cell>
        </row>
        <row r="4132">
          <cell r="X4132" t="str">
            <v>IL</v>
          </cell>
        </row>
        <row r="4133">
          <cell r="X4133" t="str">
            <v>IL</v>
          </cell>
        </row>
        <row r="4134">
          <cell r="X4134" t="str">
            <v>IL</v>
          </cell>
        </row>
        <row r="4135">
          <cell r="X4135" t="str">
            <v>IL</v>
          </cell>
        </row>
        <row r="4136">
          <cell r="X4136" t="str">
            <v>IL</v>
          </cell>
        </row>
        <row r="4137">
          <cell r="X4137" t="str">
            <v>IL</v>
          </cell>
        </row>
        <row r="4138">
          <cell r="X4138" t="str">
            <v>IL</v>
          </cell>
        </row>
        <row r="4139">
          <cell r="X4139" t="str">
            <v>IL</v>
          </cell>
        </row>
        <row r="4140">
          <cell r="X4140" t="str">
            <v>IL</v>
          </cell>
        </row>
        <row r="4141">
          <cell r="X4141" t="str">
            <v>IL</v>
          </cell>
        </row>
        <row r="4142">
          <cell r="X4142" t="str">
            <v>IL</v>
          </cell>
        </row>
        <row r="4143">
          <cell r="X4143" t="str">
            <v>IL</v>
          </cell>
        </row>
        <row r="4144">
          <cell r="X4144" t="str">
            <v>IL</v>
          </cell>
        </row>
        <row r="4145">
          <cell r="X4145" t="str">
            <v>IL</v>
          </cell>
        </row>
        <row r="4146">
          <cell r="X4146" t="str">
            <v>IL</v>
          </cell>
        </row>
        <row r="4147">
          <cell r="X4147" t="str">
            <v>IL</v>
          </cell>
        </row>
        <row r="4148">
          <cell r="X4148" t="str">
            <v>IL</v>
          </cell>
        </row>
        <row r="4149">
          <cell r="X4149" t="str">
            <v>IL</v>
          </cell>
        </row>
        <row r="4150">
          <cell r="X4150" t="str">
            <v>IL</v>
          </cell>
        </row>
        <row r="4151">
          <cell r="X4151" t="str">
            <v>IL</v>
          </cell>
        </row>
        <row r="4152">
          <cell r="X4152" t="str">
            <v>IL</v>
          </cell>
        </row>
        <row r="4153">
          <cell r="X4153" t="str">
            <v>IL</v>
          </cell>
        </row>
        <row r="4154">
          <cell r="X4154" t="str">
            <v>IL</v>
          </cell>
        </row>
        <row r="4155">
          <cell r="X4155" t="str">
            <v>IL</v>
          </cell>
        </row>
        <row r="4156">
          <cell r="X4156" t="str">
            <v>IL</v>
          </cell>
        </row>
        <row r="4157">
          <cell r="X4157" t="str">
            <v>IL</v>
          </cell>
        </row>
        <row r="4158">
          <cell r="X4158" t="str">
            <v>IL</v>
          </cell>
        </row>
        <row r="4159">
          <cell r="X4159" t="str">
            <v>IL</v>
          </cell>
        </row>
        <row r="4160">
          <cell r="X4160" t="str">
            <v>IL</v>
          </cell>
        </row>
        <row r="4161">
          <cell r="X4161" t="str">
            <v>IL</v>
          </cell>
        </row>
        <row r="4162">
          <cell r="X4162" t="str">
            <v>IL</v>
          </cell>
        </row>
        <row r="4163">
          <cell r="X4163" t="str">
            <v>IL</v>
          </cell>
        </row>
        <row r="4164">
          <cell r="X4164" t="str">
            <v>IL</v>
          </cell>
        </row>
        <row r="4165">
          <cell r="X4165" t="str">
            <v>IL</v>
          </cell>
        </row>
        <row r="4166">
          <cell r="X4166" t="str">
            <v>IL</v>
          </cell>
        </row>
        <row r="4167">
          <cell r="X4167" t="str">
            <v>IL</v>
          </cell>
        </row>
        <row r="4168">
          <cell r="X4168" t="str">
            <v>IL</v>
          </cell>
        </row>
        <row r="4169">
          <cell r="X4169" t="str">
            <v>IL</v>
          </cell>
        </row>
        <row r="4170">
          <cell r="X4170" t="str">
            <v>IL</v>
          </cell>
        </row>
        <row r="4171">
          <cell r="X4171" t="str">
            <v>IL</v>
          </cell>
        </row>
        <row r="4172">
          <cell r="X4172" t="str">
            <v>IL</v>
          </cell>
        </row>
        <row r="4173">
          <cell r="X4173" t="str">
            <v>IL</v>
          </cell>
        </row>
        <row r="4174">
          <cell r="X4174" t="str">
            <v>IL</v>
          </cell>
        </row>
        <row r="4175">
          <cell r="X4175" t="str">
            <v>IL</v>
          </cell>
        </row>
        <row r="4176">
          <cell r="X4176" t="str">
            <v>IL</v>
          </cell>
        </row>
        <row r="4177">
          <cell r="X4177" t="str">
            <v>IL</v>
          </cell>
        </row>
        <row r="4178">
          <cell r="X4178" t="str">
            <v>IL</v>
          </cell>
        </row>
        <row r="4179">
          <cell r="X4179" t="str">
            <v>IL</v>
          </cell>
        </row>
        <row r="4180">
          <cell r="X4180" t="str">
            <v>IL</v>
          </cell>
        </row>
        <row r="4181">
          <cell r="X4181" t="str">
            <v>IL</v>
          </cell>
        </row>
        <row r="4182">
          <cell r="X4182" t="str">
            <v>IL</v>
          </cell>
        </row>
        <row r="4183">
          <cell r="X4183" t="str">
            <v>IL</v>
          </cell>
        </row>
        <row r="4184">
          <cell r="X4184" t="str">
            <v>IL</v>
          </cell>
        </row>
        <row r="4185">
          <cell r="X4185" t="str">
            <v>IL</v>
          </cell>
        </row>
        <row r="4186">
          <cell r="X4186" t="str">
            <v>IL</v>
          </cell>
        </row>
        <row r="4187">
          <cell r="X4187" t="str">
            <v>IL</v>
          </cell>
        </row>
        <row r="4188">
          <cell r="X4188" t="str">
            <v>IL</v>
          </cell>
        </row>
        <row r="4189">
          <cell r="X4189" t="str">
            <v>IL</v>
          </cell>
        </row>
        <row r="4190">
          <cell r="X4190" t="str">
            <v>IL</v>
          </cell>
        </row>
        <row r="4191">
          <cell r="X4191" t="str">
            <v>IL</v>
          </cell>
        </row>
        <row r="4192">
          <cell r="X4192" t="str">
            <v>IL</v>
          </cell>
        </row>
        <row r="4193">
          <cell r="X4193" t="str">
            <v>IL</v>
          </cell>
        </row>
        <row r="4194">
          <cell r="X4194" t="str">
            <v>IL</v>
          </cell>
        </row>
        <row r="4195">
          <cell r="X4195" t="str">
            <v>IL</v>
          </cell>
        </row>
        <row r="4196">
          <cell r="X4196" t="str">
            <v>IL</v>
          </cell>
        </row>
        <row r="4197">
          <cell r="X4197" t="str">
            <v>IL</v>
          </cell>
        </row>
        <row r="4198">
          <cell r="X4198" t="str">
            <v>IL</v>
          </cell>
        </row>
        <row r="4199">
          <cell r="X4199" t="str">
            <v>IL</v>
          </cell>
        </row>
        <row r="4200">
          <cell r="X4200" t="str">
            <v>IL</v>
          </cell>
        </row>
        <row r="4201">
          <cell r="X4201" t="str">
            <v>IL</v>
          </cell>
        </row>
        <row r="4202">
          <cell r="X4202" t="str">
            <v>IL</v>
          </cell>
        </row>
        <row r="4203">
          <cell r="X4203" t="str">
            <v>IL</v>
          </cell>
        </row>
        <row r="4204">
          <cell r="X4204" t="str">
            <v>IL</v>
          </cell>
        </row>
        <row r="4205">
          <cell r="X4205" t="str">
            <v>IL</v>
          </cell>
        </row>
        <row r="4206">
          <cell r="X4206" t="str">
            <v>IL</v>
          </cell>
        </row>
        <row r="4207">
          <cell r="X4207" t="str">
            <v>IL</v>
          </cell>
        </row>
        <row r="4208">
          <cell r="X4208" t="str">
            <v>IL</v>
          </cell>
        </row>
        <row r="4209">
          <cell r="X4209" t="str">
            <v>IL</v>
          </cell>
        </row>
        <row r="4210">
          <cell r="X4210" t="str">
            <v>IL</v>
          </cell>
        </row>
        <row r="4211">
          <cell r="X4211" t="str">
            <v>IL</v>
          </cell>
        </row>
        <row r="4212">
          <cell r="X4212" t="str">
            <v>IL</v>
          </cell>
        </row>
        <row r="4213">
          <cell r="X4213" t="str">
            <v>IL</v>
          </cell>
        </row>
        <row r="4214">
          <cell r="X4214" t="str">
            <v>IL</v>
          </cell>
        </row>
        <row r="4215">
          <cell r="X4215" t="str">
            <v>IL</v>
          </cell>
        </row>
        <row r="4216">
          <cell r="X4216" t="str">
            <v>IL</v>
          </cell>
        </row>
        <row r="4217">
          <cell r="X4217" t="str">
            <v>IL</v>
          </cell>
        </row>
        <row r="4218">
          <cell r="X4218" t="str">
            <v>IL</v>
          </cell>
        </row>
        <row r="4219">
          <cell r="X4219" t="str">
            <v>IL</v>
          </cell>
        </row>
        <row r="4220">
          <cell r="X4220" t="str">
            <v>IL</v>
          </cell>
        </row>
        <row r="4221">
          <cell r="X4221" t="str">
            <v>IL</v>
          </cell>
        </row>
        <row r="4222">
          <cell r="X4222" t="str">
            <v>IL</v>
          </cell>
        </row>
        <row r="4223">
          <cell r="X4223" t="str">
            <v>IL</v>
          </cell>
        </row>
        <row r="4224">
          <cell r="X4224" t="str">
            <v>IL</v>
          </cell>
        </row>
        <row r="4225">
          <cell r="X4225" t="str">
            <v>IL</v>
          </cell>
        </row>
        <row r="4226">
          <cell r="X4226" t="str">
            <v>IL</v>
          </cell>
        </row>
        <row r="4227">
          <cell r="X4227" t="str">
            <v>IL</v>
          </cell>
        </row>
        <row r="4228">
          <cell r="X4228" t="str">
            <v>IL</v>
          </cell>
        </row>
        <row r="4229">
          <cell r="X4229" t="str">
            <v>IL</v>
          </cell>
        </row>
        <row r="4230">
          <cell r="X4230" t="str">
            <v>IL</v>
          </cell>
        </row>
        <row r="4231">
          <cell r="X4231" t="str">
            <v>IL</v>
          </cell>
        </row>
        <row r="4232">
          <cell r="X4232" t="str">
            <v>IL</v>
          </cell>
        </row>
        <row r="4233">
          <cell r="X4233" t="str">
            <v>IL</v>
          </cell>
        </row>
        <row r="4234">
          <cell r="X4234" t="str">
            <v>IL</v>
          </cell>
        </row>
        <row r="4235">
          <cell r="X4235" t="str">
            <v>IL</v>
          </cell>
        </row>
        <row r="4236">
          <cell r="X4236" t="str">
            <v>IL</v>
          </cell>
        </row>
        <row r="4237">
          <cell r="X4237" t="str">
            <v>IL</v>
          </cell>
        </row>
        <row r="4238">
          <cell r="X4238" t="str">
            <v>IL</v>
          </cell>
        </row>
        <row r="4239">
          <cell r="X4239" t="str">
            <v>IL</v>
          </cell>
        </row>
        <row r="4240">
          <cell r="X4240" t="str">
            <v>IL</v>
          </cell>
        </row>
        <row r="4241">
          <cell r="X4241" t="str">
            <v>IL</v>
          </cell>
        </row>
        <row r="4242">
          <cell r="X4242" t="str">
            <v>IL</v>
          </cell>
        </row>
        <row r="4243">
          <cell r="X4243" t="str">
            <v>IL</v>
          </cell>
        </row>
        <row r="4244">
          <cell r="X4244" t="str">
            <v>IL</v>
          </cell>
        </row>
        <row r="4245">
          <cell r="X4245" t="str">
            <v>IL</v>
          </cell>
        </row>
        <row r="4246">
          <cell r="X4246" t="str">
            <v>IL</v>
          </cell>
        </row>
        <row r="4247">
          <cell r="X4247" t="str">
            <v>IL</v>
          </cell>
        </row>
        <row r="4248">
          <cell r="X4248" t="str">
            <v>IL</v>
          </cell>
        </row>
        <row r="4249">
          <cell r="X4249" t="str">
            <v>IL</v>
          </cell>
        </row>
        <row r="4250">
          <cell r="X4250" t="str">
            <v>IL</v>
          </cell>
        </row>
        <row r="4251">
          <cell r="X4251" t="str">
            <v>IL</v>
          </cell>
        </row>
        <row r="4252">
          <cell r="X4252" t="str">
            <v>IL</v>
          </cell>
        </row>
        <row r="4253">
          <cell r="X4253" t="str">
            <v>IL</v>
          </cell>
        </row>
        <row r="4254">
          <cell r="X4254" t="str">
            <v>IL</v>
          </cell>
        </row>
        <row r="4255">
          <cell r="X4255" t="str">
            <v>IL</v>
          </cell>
        </row>
        <row r="4256">
          <cell r="X4256" t="str">
            <v>IL</v>
          </cell>
        </row>
        <row r="4257">
          <cell r="X4257" t="str">
            <v>IL</v>
          </cell>
        </row>
        <row r="4258">
          <cell r="X4258" t="str">
            <v>IL</v>
          </cell>
        </row>
        <row r="4259">
          <cell r="X4259" t="str">
            <v>IL</v>
          </cell>
        </row>
        <row r="4260">
          <cell r="X4260" t="str">
            <v>IL</v>
          </cell>
        </row>
        <row r="4261">
          <cell r="X4261" t="str">
            <v>IL</v>
          </cell>
        </row>
        <row r="4262">
          <cell r="X4262" t="str">
            <v>IL</v>
          </cell>
        </row>
        <row r="4263">
          <cell r="X4263" t="str">
            <v>IL</v>
          </cell>
        </row>
        <row r="4264">
          <cell r="X4264" t="str">
            <v>IL</v>
          </cell>
        </row>
        <row r="4265">
          <cell r="X4265" t="str">
            <v>IL</v>
          </cell>
        </row>
        <row r="4266">
          <cell r="X4266" t="str">
            <v>IL</v>
          </cell>
        </row>
        <row r="4267">
          <cell r="X4267" t="str">
            <v>IL</v>
          </cell>
        </row>
        <row r="4268">
          <cell r="X4268" t="str">
            <v>IL</v>
          </cell>
        </row>
        <row r="4269">
          <cell r="X4269" t="str">
            <v>IL</v>
          </cell>
        </row>
        <row r="4270">
          <cell r="X4270" t="str">
            <v>IL</v>
          </cell>
        </row>
        <row r="4271">
          <cell r="X4271" t="str">
            <v>IL</v>
          </cell>
        </row>
        <row r="4272">
          <cell r="X4272" t="str">
            <v>IL</v>
          </cell>
        </row>
        <row r="4273">
          <cell r="X4273" t="str">
            <v>IL</v>
          </cell>
        </row>
        <row r="4274">
          <cell r="X4274" t="str">
            <v>IL</v>
          </cell>
        </row>
        <row r="4275">
          <cell r="X4275" t="str">
            <v>IL</v>
          </cell>
        </row>
        <row r="4276">
          <cell r="X4276" t="str">
            <v>IL</v>
          </cell>
        </row>
        <row r="4277">
          <cell r="X4277" t="str">
            <v>IL</v>
          </cell>
        </row>
        <row r="4278">
          <cell r="X4278" t="str">
            <v>IL</v>
          </cell>
        </row>
        <row r="4279">
          <cell r="X4279" t="str">
            <v>IL</v>
          </cell>
        </row>
        <row r="4280">
          <cell r="X4280" t="str">
            <v>IL</v>
          </cell>
        </row>
        <row r="4281">
          <cell r="X4281" t="str">
            <v>IL</v>
          </cell>
        </row>
        <row r="4282">
          <cell r="X4282" t="str">
            <v>IL</v>
          </cell>
        </row>
        <row r="4283">
          <cell r="X4283" t="str">
            <v>IL</v>
          </cell>
        </row>
        <row r="4284">
          <cell r="X4284" t="str">
            <v>IL</v>
          </cell>
        </row>
        <row r="4285">
          <cell r="X4285" t="str">
            <v>IL</v>
          </cell>
        </row>
        <row r="4286">
          <cell r="X4286" t="str">
            <v>IL</v>
          </cell>
        </row>
        <row r="4287">
          <cell r="X4287" t="str">
            <v>IL</v>
          </cell>
        </row>
        <row r="4288">
          <cell r="X4288" t="str">
            <v>IL</v>
          </cell>
        </row>
        <row r="4289">
          <cell r="X4289" t="str">
            <v>IL</v>
          </cell>
        </row>
        <row r="4290">
          <cell r="X4290" t="str">
            <v>IL</v>
          </cell>
        </row>
        <row r="4291">
          <cell r="X4291" t="str">
            <v>IL</v>
          </cell>
        </row>
        <row r="4292">
          <cell r="X4292" t="str">
            <v>IL</v>
          </cell>
        </row>
        <row r="4293">
          <cell r="X4293" t="str">
            <v>IL</v>
          </cell>
        </row>
        <row r="4294">
          <cell r="X4294" t="str">
            <v>IL</v>
          </cell>
        </row>
        <row r="4295">
          <cell r="X4295" t="str">
            <v>IL</v>
          </cell>
        </row>
        <row r="4296">
          <cell r="X4296" t="str">
            <v>IL</v>
          </cell>
        </row>
        <row r="4297">
          <cell r="X4297" t="str">
            <v>IL</v>
          </cell>
        </row>
        <row r="4298">
          <cell r="X4298" t="str">
            <v>IL</v>
          </cell>
        </row>
        <row r="4299">
          <cell r="X4299" t="str">
            <v>IL</v>
          </cell>
        </row>
        <row r="4300">
          <cell r="X4300" t="str">
            <v>IL</v>
          </cell>
        </row>
        <row r="4301">
          <cell r="X4301" t="str">
            <v>IL</v>
          </cell>
        </row>
        <row r="4302">
          <cell r="X4302" t="str">
            <v>IL</v>
          </cell>
        </row>
        <row r="4303">
          <cell r="X4303" t="str">
            <v>IL</v>
          </cell>
        </row>
        <row r="4304">
          <cell r="X4304" t="str">
            <v>IL</v>
          </cell>
        </row>
        <row r="4305">
          <cell r="X4305" t="str">
            <v>IL</v>
          </cell>
        </row>
        <row r="4306">
          <cell r="X4306" t="str">
            <v>IL</v>
          </cell>
        </row>
        <row r="4307">
          <cell r="X4307" t="str">
            <v>IL</v>
          </cell>
        </row>
        <row r="4308">
          <cell r="X4308" t="str">
            <v>IL</v>
          </cell>
        </row>
        <row r="4309">
          <cell r="X4309" t="str">
            <v>IL</v>
          </cell>
        </row>
        <row r="4310">
          <cell r="X4310" t="str">
            <v>IL</v>
          </cell>
        </row>
        <row r="4311">
          <cell r="X4311" t="str">
            <v>IL</v>
          </cell>
        </row>
        <row r="4312">
          <cell r="X4312" t="str">
            <v>IL</v>
          </cell>
        </row>
        <row r="4313">
          <cell r="X4313" t="str">
            <v>IL</v>
          </cell>
        </row>
        <row r="4314">
          <cell r="X4314" t="str">
            <v>IL</v>
          </cell>
        </row>
        <row r="4315">
          <cell r="X4315" t="str">
            <v>IL</v>
          </cell>
        </row>
        <row r="4316">
          <cell r="X4316" t="str">
            <v>IL</v>
          </cell>
        </row>
        <row r="4317">
          <cell r="X4317" t="str">
            <v>IL</v>
          </cell>
        </row>
        <row r="4318">
          <cell r="X4318" t="str">
            <v>IL</v>
          </cell>
        </row>
        <row r="4319">
          <cell r="X4319" t="str">
            <v>IL</v>
          </cell>
        </row>
        <row r="4320">
          <cell r="X4320" t="str">
            <v>IL</v>
          </cell>
        </row>
        <row r="4321">
          <cell r="X4321" t="str">
            <v>IL</v>
          </cell>
        </row>
        <row r="4322">
          <cell r="X4322" t="str">
            <v>IL</v>
          </cell>
        </row>
        <row r="4323">
          <cell r="X4323" t="str">
            <v>IL</v>
          </cell>
        </row>
        <row r="4324">
          <cell r="X4324" t="str">
            <v>IL</v>
          </cell>
        </row>
        <row r="4325">
          <cell r="X4325" t="str">
            <v>IL</v>
          </cell>
        </row>
        <row r="4326">
          <cell r="X4326" t="str">
            <v>IL</v>
          </cell>
        </row>
        <row r="4327">
          <cell r="X4327" t="str">
            <v>IL</v>
          </cell>
        </row>
        <row r="4328">
          <cell r="X4328" t="str">
            <v>IL</v>
          </cell>
        </row>
        <row r="4329">
          <cell r="X4329" t="str">
            <v>IL</v>
          </cell>
        </row>
        <row r="4330">
          <cell r="X4330" t="str">
            <v>IL</v>
          </cell>
        </row>
        <row r="4331">
          <cell r="X4331" t="str">
            <v>IL</v>
          </cell>
        </row>
        <row r="4332">
          <cell r="X4332" t="str">
            <v>IL</v>
          </cell>
        </row>
        <row r="4333">
          <cell r="X4333" t="str">
            <v>IL</v>
          </cell>
        </row>
        <row r="4334">
          <cell r="X4334" t="str">
            <v>IL</v>
          </cell>
        </row>
        <row r="4335">
          <cell r="X4335" t="str">
            <v>IL</v>
          </cell>
        </row>
        <row r="4336">
          <cell r="X4336" t="str">
            <v>IL</v>
          </cell>
        </row>
        <row r="4337">
          <cell r="X4337" t="str">
            <v>IL</v>
          </cell>
        </row>
        <row r="4338">
          <cell r="X4338" t="str">
            <v>IL</v>
          </cell>
        </row>
        <row r="4339">
          <cell r="X4339" t="str">
            <v>IL</v>
          </cell>
        </row>
        <row r="4340">
          <cell r="X4340" t="str">
            <v>IL</v>
          </cell>
        </row>
        <row r="4341">
          <cell r="X4341" t="str">
            <v>IL</v>
          </cell>
        </row>
        <row r="4342">
          <cell r="X4342" t="str">
            <v>IL</v>
          </cell>
        </row>
        <row r="4343">
          <cell r="X4343" t="str">
            <v>IL</v>
          </cell>
        </row>
        <row r="4344">
          <cell r="X4344" t="str">
            <v>IL</v>
          </cell>
        </row>
        <row r="4345">
          <cell r="X4345" t="str">
            <v>IL</v>
          </cell>
        </row>
        <row r="4346">
          <cell r="X4346" t="str">
            <v>IL</v>
          </cell>
        </row>
        <row r="4347">
          <cell r="X4347" t="str">
            <v>IL</v>
          </cell>
        </row>
        <row r="4348">
          <cell r="X4348" t="str">
            <v>IL</v>
          </cell>
        </row>
        <row r="4349">
          <cell r="X4349" t="str">
            <v>IL</v>
          </cell>
        </row>
        <row r="4350">
          <cell r="X4350" t="str">
            <v>IL</v>
          </cell>
        </row>
        <row r="4351">
          <cell r="X4351" t="str">
            <v>IL</v>
          </cell>
        </row>
        <row r="4352">
          <cell r="X4352" t="str">
            <v>IL</v>
          </cell>
        </row>
        <row r="4353">
          <cell r="X4353" t="str">
            <v>IL</v>
          </cell>
        </row>
        <row r="4354">
          <cell r="X4354" t="str">
            <v>IL</v>
          </cell>
        </row>
        <row r="4355">
          <cell r="X4355" t="str">
            <v>IL</v>
          </cell>
        </row>
        <row r="4356">
          <cell r="X4356" t="str">
            <v>IL</v>
          </cell>
        </row>
        <row r="4357">
          <cell r="X4357" t="str">
            <v>IL</v>
          </cell>
        </row>
        <row r="4358">
          <cell r="X4358" t="str">
            <v>IL</v>
          </cell>
        </row>
        <row r="4359">
          <cell r="X4359" t="str">
            <v>IL</v>
          </cell>
        </row>
        <row r="4360">
          <cell r="X4360" t="str">
            <v>IL</v>
          </cell>
        </row>
        <row r="4361">
          <cell r="X4361" t="str">
            <v>IL</v>
          </cell>
        </row>
        <row r="4362">
          <cell r="X4362" t="str">
            <v>IL</v>
          </cell>
        </row>
        <row r="4363">
          <cell r="X4363" t="str">
            <v>IL</v>
          </cell>
        </row>
        <row r="4364">
          <cell r="X4364" t="str">
            <v>IL</v>
          </cell>
        </row>
        <row r="4365">
          <cell r="X4365" t="str">
            <v>IL</v>
          </cell>
        </row>
        <row r="4366">
          <cell r="X4366" t="str">
            <v>IL</v>
          </cell>
        </row>
        <row r="4367">
          <cell r="X4367" t="str">
            <v>IL</v>
          </cell>
        </row>
        <row r="4368">
          <cell r="X4368" t="str">
            <v>IL</v>
          </cell>
        </row>
        <row r="4369">
          <cell r="X4369" t="str">
            <v>IL</v>
          </cell>
        </row>
        <row r="4370">
          <cell r="X4370" t="str">
            <v>IL</v>
          </cell>
        </row>
        <row r="4371">
          <cell r="X4371" t="str">
            <v>IL</v>
          </cell>
        </row>
        <row r="4372">
          <cell r="X4372" t="str">
            <v>IL</v>
          </cell>
        </row>
        <row r="4373">
          <cell r="X4373" t="str">
            <v>IL</v>
          </cell>
        </row>
        <row r="4374">
          <cell r="X4374" t="str">
            <v>IL</v>
          </cell>
        </row>
        <row r="4375">
          <cell r="X4375" t="str">
            <v>IL</v>
          </cell>
        </row>
        <row r="4376">
          <cell r="X4376" t="str">
            <v>IL</v>
          </cell>
        </row>
        <row r="4377">
          <cell r="X4377" t="str">
            <v>IL</v>
          </cell>
        </row>
        <row r="4378">
          <cell r="X4378" t="str">
            <v>IL</v>
          </cell>
        </row>
        <row r="4379">
          <cell r="X4379" t="str">
            <v>IL</v>
          </cell>
        </row>
        <row r="4380">
          <cell r="X4380" t="str">
            <v>IL</v>
          </cell>
        </row>
        <row r="4381">
          <cell r="X4381" t="str">
            <v>IL</v>
          </cell>
        </row>
        <row r="4382">
          <cell r="X4382" t="str">
            <v>IL</v>
          </cell>
        </row>
        <row r="4383">
          <cell r="X4383" t="str">
            <v>IL</v>
          </cell>
        </row>
        <row r="4384">
          <cell r="X4384" t="str">
            <v>IL</v>
          </cell>
        </row>
        <row r="4385">
          <cell r="X4385" t="str">
            <v>IL</v>
          </cell>
        </row>
        <row r="4386">
          <cell r="X4386" t="str">
            <v>IL</v>
          </cell>
        </row>
        <row r="4387">
          <cell r="X4387" t="str">
            <v>IL</v>
          </cell>
        </row>
        <row r="4388">
          <cell r="X4388" t="str">
            <v>IL</v>
          </cell>
        </row>
        <row r="4389">
          <cell r="X4389" t="str">
            <v>IL</v>
          </cell>
        </row>
        <row r="4390">
          <cell r="X4390" t="str">
            <v>IL</v>
          </cell>
        </row>
        <row r="4391">
          <cell r="X4391" t="str">
            <v>IL</v>
          </cell>
        </row>
        <row r="4392">
          <cell r="X4392" t="str">
            <v>IL</v>
          </cell>
        </row>
        <row r="4393">
          <cell r="X4393" t="str">
            <v>IL</v>
          </cell>
        </row>
        <row r="4394">
          <cell r="X4394" t="str">
            <v>IL</v>
          </cell>
        </row>
        <row r="4395">
          <cell r="X4395" t="str">
            <v>IL</v>
          </cell>
        </row>
        <row r="4396">
          <cell r="X4396" t="str">
            <v>IL</v>
          </cell>
        </row>
        <row r="4397">
          <cell r="X4397" t="str">
            <v>IL</v>
          </cell>
        </row>
        <row r="4398">
          <cell r="X4398" t="str">
            <v>IL</v>
          </cell>
        </row>
        <row r="4399">
          <cell r="X4399" t="str">
            <v>IL</v>
          </cell>
        </row>
        <row r="4400">
          <cell r="X4400" t="str">
            <v>IL</v>
          </cell>
        </row>
        <row r="4401">
          <cell r="X4401" t="str">
            <v>IL</v>
          </cell>
        </row>
        <row r="4402">
          <cell r="X4402" t="str">
            <v>IL</v>
          </cell>
        </row>
        <row r="4403">
          <cell r="X4403" t="str">
            <v>IL</v>
          </cell>
        </row>
        <row r="4404">
          <cell r="X4404" t="str">
            <v>IL</v>
          </cell>
        </row>
        <row r="4405">
          <cell r="X4405" t="str">
            <v>IL</v>
          </cell>
        </row>
        <row r="4406">
          <cell r="X4406" t="str">
            <v>IL</v>
          </cell>
        </row>
        <row r="4407">
          <cell r="X4407" t="str">
            <v>IL</v>
          </cell>
        </row>
        <row r="4408">
          <cell r="X4408" t="str">
            <v>IL</v>
          </cell>
        </row>
        <row r="4409">
          <cell r="X4409" t="str">
            <v>IL</v>
          </cell>
        </row>
        <row r="4410">
          <cell r="X4410" t="str">
            <v>IL</v>
          </cell>
        </row>
        <row r="4411">
          <cell r="X4411" t="str">
            <v>IL</v>
          </cell>
        </row>
        <row r="4412">
          <cell r="X4412" t="str">
            <v>IL</v>
          </cell>
        </row>
        <row r="4413">
          <cell r="X4413" t="str">
            <v>IL</v>
          </cell>
        </row>
        <row r="4414">
          <cell r="X4414" t="str">
            <v>IL</v>
          </cell>
        </row>
        <row r="4415">
          <cell r="X4415" t="str">
            <v>IL</v>
          </cell>
        </row>
        <row r="4416">
          <cell r="X4416" t="str">
            <v>IL</v>
          </cell>
        </row>
        <row r="4417">
          <cell r="X4417" t="str">
            <v>IL</v>
          </cell>
        </row>
        <row r="4418">
          <cell r="X4418" t="str">
            <v>IL</v>
          </cell>
        </row>
        <row r="4419">
          <cell r="X4419" t="str">
            <v>IL</v>
          </cell>
        </row>
        <row r="4420">
          <cell r="X4420" t="str">
            <v>IL</v>
          </cell>
        </row>
        <row r="4421">
          <cell r="X4421" t="str">
            <v>IL</v>
          </cell>
        </row>
        <row r="4422">
          <cell r="X4422" t="str">
            <v>IL</v>
          </cell>
        </row>
        <row r="4423">
          <cell r="X4423" t="str">
            <v>IL</v>
          </cell>
        </row>
        <row r="4424">
          <cell r="X4424" t="str">
            <v>IL</v>
          </cell>
        </row>
        <row r="4425">
          <cell r="X4425" t="str">
            <v>IL</v>
          </cell>
        </row>
        <row r="4426">
          <cell r="X4426" t="str">
            <v>IL</v>
          </cell>
        </row>
        <row r="4427">
          <cell r="X4427" t="str">
            <v>IL</v>
          </cell>
        </row>
        <row r="4428">
          <cell r="X4428" t="str">
            <v>IL</v>
          </cell>
        </row>
        <row r="4429">
          <cell r="X4429" t="str">
            <v>IL</v>
          </cell>
        </row>
        <row r="4430">
          <cell r="X4430" t="str">
            <v>IL</v>
          </cell>
        </row>
        <row r="4431">
          <cell r="X4431" t="str">
            <v>IL</v>
          </cell>
        </row>
        <row r="4432">
          <cell r="X4432" t="str">
            <v>IL</v>
          </cell>
        </row>
        <row r="4433">
          <cell r="X4433" t="str">
            <v>IL</v>
          </cell>
        </row>
        <row r="4434">
          <cell r="X4434" t="str">
            <v>IL</v>
          </cell>
        </row>
        <row r="4435">
          <cell r="X4435" t="str">
            <v>IL</v>
          </cell>
        </row>
        <row r="4436">
          <cell r="X4436" t="str">
            <v>IL</v>
          </cell>
        </row>
        <row r="4437">
          <cell r="X4437" t="str">
            <v>IL</v>
          </cell>
        </row>
        <row r="4438">
          <cell r="X4438" t="str">
            <v>IL</v>
          </cell>
        </row>
        <row r="4439">
          <cell r="X4439" t="str">
            <v>IL</v>
          </cell>
        </row>
        <row r="4440">
          <cell r="X4440" t="str">
            <v>IL</v>
          </cell>
        </row>
        <row r="4441">
          <cell r="X4441" t="str">
            <v>IL</v>
          </cell>
        </row>
        <row r="4442">
          <cell r="X4442" t="str">
            <v>IL</v>
          </cell>
        </row>
        <row r="4443">
          <cell r="X4443" t="str">
            <v>IL</v>
          </cell>
        </row>
        <row r="4444">
          <cell r="X4444" t="str">
            <v>IL</v>
          </cell>
        </row>
        <row r="4445">
          <cell r="X4445" t="str">
            <v>IL</v>
          </cell>
        </row>
        <row r="4446">
          <cell r="X4446" t="str">
            <v>IL</v>
          </cell>
        </row>
        <row r="4447">
          <cell r="X4447" t="str">
            <v>IL</v>
          </cell>
        </row>
        <row r="4448">
          <cell r="X4448" t="str">
            <v>IL</v>
          </cell>
        </row>
        <row r="4449">
          <cell r="X4449" t="str">
            <v>IL</v>
          </cell>
        </row>
        <row r="4450">
          <cell r="X4450" t="str">
            <v>IL</v>
          </cell>
        </row>
        <row r="4451">
          <cell r="X4451" t="str">
            <v>IL</v>
          </cell>
        </row>
        <row r="4452">
          <cell r="X4452" t="str">
            <v>IL</v>
          </cell>
        </row>
        <row r="4453">
          <cell r="X4453" t="str">
            <v>IL</v>
          </cell>
        </row>
        <row r="4454">
          <cell r="X4454" t="str">
            <v>IL</v>
          </cell>
        </row>
        <row r="4455">
          <cell r="X4455" t="str">
            <v>IL</v>
          </cell>
        </row>
        <row r="4456">
          <cell r="X4456" t="str">
            <v>IL</v>
          </cell>
        </row>
        <row r="4457">
          <cell r="X4457" t="str">
            <v>IL</v>
          </cell>
        </row>
        <row r="4458">
          <cell r="X4458" t="str">
            <v>IL</v>
          </cell>
        </row>
        <row r="4459">
          <cell r="X4459" t="str">
            <v>IL</v>
          </cell>
        </row>
        <row r="4460">
          <cell r="X4460" t="str">
            <v>IL</v>
          </cell>
        </row>
        <row r="4461">
          <cell r="X4461" t="str">
            <v>IL</v>
          </cell>
        </row>
        <row r="4462">
          <cell r="X4462" t="str">
            <v>IL</v>
          </cell>
        </row>
        <row r="4463">
          <cell r="X4463" t="str">
            <v>IL</v>
          </cell>
        </row>
        <row r="4464">
          <cell r="X4464" t="str">
            <v>IL</v>
          </cell>
        </row>
        <row r="4465">
          <cell r="X4465" t="str">
            <v>IL</v>
          </cell>
        </row>
        <row r="4466">
          <cell r="X4466" t="str">
            <v>IL</v>
          </cell>
        </row>
        <row r="4467">
          <cell r="X4467" t="str">
            <v>IL</v>
          </cell>
        </row>
        <row r="4468">
          <cell r="X4468" t="str">
            <v>IL</v>
          </cell>
        </row>
        <row r="4469">
          <cell r="X4469" t="str">
            <v>IL</v>
          </cell>
        </row>
        <row r="4470">
          <cell r="X4470" t="str">
            <v>IL</v>
          </cell>
        </row>
        <row r="4471">
          <cell r="X4471" t="str">
            <v>IL</v>
          </cell>
        </row>
        <row r="4472">
          <cell r="X4472" t="str">
            <v>IL</v>
          </cell>
        </row>
        <row r="4473">
          <cell r="X4473" t="str">
            <v>IL</v>
          </cell>
        </row>
        <row r="4474">
          <cell r="X4474" t="str">
            <v>IL</v>
          </cell>
        </row>
        <row r="4475">
          <cell r="X4475" t="str">
            <v>IL</v>
          </cell>
        </row>
        <row r="4476">
          <cell r="X4476" t="str">
            <v>IL</v>
          </cell>
        </row>
        <row r="4477">
          <cell r="X4477" t="str">
            <v>IL</v>
          </cell>
        </row>
        <row r="4478">
          <cell r="X4478" t="str">
            <v>IL</v>
          </cell>
        </row>
        <row r="4479">
          <cell r="X4479" t="str">
            <v>IL</v>
          </cell>
        </row>
        <row r="4480">
          <cell r="X4480" t="str">
            <v>IL</v>
          </cell>
        </row>
        <row r="4481">
          <cell r="X4481" t="str">
            <v>IL</v>
          </cell>
        </row>
        <row r="4482">
          <cell r="X4482" t="str">
            <v>IL</v>
          </cell>
        </row>
        <row r="4483">
          <cell r="X4483" t="str">
            <v>IL</v>
          </cell>
        </row>
        <row r="4484">
          <cell r="X4484" t="str">
            <v>IL</v>
          </cell>
        </row>
        <row r="4485">
          <cell r="X4485" t="str">
            <v>IL</v>
          </cell>
        </row>
        <row r="4486">
          <cell r="X4486" t="str">
            <v>IL</v>
          </cell>
        </row>
        <row r="4487">
          <cell r="X4487" t="str">
            <v>IL</v>
          </cell>
        </row>
        <row r="4488">
          <cell r="X4488" t="str">
            <v>IL</v>
          </cell>
        </row>
        <row r="4489">
          <cell r="X4489" t="str">
            <v>IL</v>
          </cell>
        </row>
        <row r="4490">
          <cell r="X4490" t="str">
            <v>IL</v>
          </cell>
        </row>
        <row r="4491">
          <cell r="X4491" t="str">
            <v>IL</v>
          </cell>
        </row>
        <row r="4492">
          <cell r="X4492" t="str">
            <v>IL</v>
          </cell>
        </row>
        <row r="4493">
          <cell r="X4493" t="str">
            <v>IL</v>
          </cell>
        </row>
        <row r="4494">
          <cell r="X4494" t="str">
            <v>IL</v>
          </cell>
        </row>
        <row r="4495">
          <cell r="X4495" t="str">
            <v>IL</v>
          </cell>
        </row>
        <row r="4496">
          <cell r="X4496" t="str">
            <v>IL</v>
          </cell>
        </row>
        <row r="4497">
          <cell r="X4497" t="str">
            <v>IL</v>
          </cell>
        </row>
        <row r="4498">
          <cell r="X4498" t="str">
            <v>IL</v>
          </cell>
        </row>
        <row r="4499">
          <cell r="X4499" t="str">
            <v>IL</v>
          </cell>
        </row>
        <row r="4500">
          <cell r="X4500" t="str">
            <v>IL</v>
          </cell>
        </row>
        <row r="4501">
          <cell r="X4501" t="str">
            <v>IL</v>
          </cell>
        </row>
        <row r="4502">
          <cell r="X4502" t="str">
            <v>IL</v>
          </cell>
        </row>
        <row r="4503">
          <cell r="X4503" t="str">
            <v>IL</v>
          </cell>
        </row>
        <row r="4504">
          <cell r="X4504" t="str">
            <v>IL</v>
          </cell>
        </row>
        <row r="4505">
          <cell r="X4505" t="str">
            <v>IL</v>
          </cell>
        </row>
        <row r="4506">
          <cell r="X4506" t="str">
            <v>IL</v>
          </cell>
        </row>
        <row r="4507">
          <cell r="X4507" t="str">
            <v>IL</v>
          </cell>
        </row>
        <row r="4508">
          <cell r="X4508" t="str">
            <v>IL</v>
          </cell>
        </row>
        <row r="4509">
          <cell r="X4509" t="str">
            <v>IL</v>
          </cell>
        </row>
        <row r="4510">
          <cell r="X4510" t="str">
            <v>IL</v>
          </cell>
        </row>
        <row r="4511">
          <cell r="X4511" t="str">
            <v>IL</v>
          </cell>
        </row>
        <row r="4512">
          <cell r="X4512" t="str">
            <v>IL</v>
          </cell>
        </row>
        <row r="4513">
          <cell r="X4513" t="str">
            <v>IL</v>
          </cell>
        </row>
        <row r="4514">
          <cell r="X4514" t="str">
            <v>IL</v>
          </cell>
        </row>
        <row r="4515">
          <cell r="X4515" t="str">
            <v>IL</v>
          </cell>
        </row>
        <row r="4516">
          <cell r="X4516" t="str">
            <v>IL</v>
          </cell>
        </row>
        <row r="4517">
          <cell r="X4517" t="str">
            <v>IL</v>
          </cell>
        </row>
        <row r="4518">
          <cell r="X4518" t="str">
            <v>IL</v>
          </cell>
        </row>
        <row r="4519">
          <cell r="X4519" t="str">
            <v>IL</v>
          </cell>
        </row>
        <row r="4520">
          <cell r="X4520" t="str">
            <v>IL</v>
          </cell>
        </row>
        <row r="4521">
          <cell r="X4521" t="str">
            <v>IL</v>
          </cell>
        </row>
        <row r="4522">
          <cell r="X4522" t="str">
            <v>IL</v>
          </cell>
        </row>
        <row r="4523">
          <cell r="X4523" t="str">
            <v>IL</v>
          </cell>
        </row>
        <row r="4524">
          <cell r="X4524" t="str">
            <v>IL</v>
          </cell>
        </row>
        <row r="4525">
          <cell r="X4525" t="str">
            <v>IL</v>
          </cell>
        </row>
        <row r="4526">
          <cell r="X4526" t="str">
            <v>IL</v>
          </cell>
        </row>
        <row r="4527">
          <cell r="X4527" t="str">
            <v>IL</v>
          </cell>
        </row>
        <row r="4528">
          <cell r="X4528" t="str">
            <v>IL</v>
          </cell>
        </row>
        <row r="4529">
          <cell r="X4529" t="str">
            <v>IL</v>
          </cell>
        </row>
        <row r="4530">
          <cell r="X4530" t="str">
            <v>IL</v>
          </cell>
        </row>
        <row r="4531">
          <cell r="X4531" t="str">
            <v>IL</v>
          </cell>
        </row>
        <row r="4532">
          <cell r="X4532" t="str">
            <v>IL</v>
          </cell>
        </row>
        <row r="4533">
          <cell r="X4533" t="str">
            <v>IL</v>
          </cell>
        </row>
        <row r="4534">
          <cell r="X4534" t="str">
            <v>IL</v>
          </cell>
        </row>
        <row r="4535">
          <cell r="X4535" t="str">
            <v>IL</v>
          </cell>
        </row>
        <row r="4536">
          <cell r="X4536" t="str">
            <v>IL</v>
          </cell>
        </row>
        <row r="4537">
          <cell r="X4537" t="str">
            <v>IL</v>
          </cell>
        </row>
        <row r="4538">
          <cell r="X4538" t="str">
            <v>IL</v>
          </cell>
        </row>
        <row r="4539">
          <cell r="X4539" t="str">
            <v>IL</v>
          </cell>
        </row>
        <row r="4540">
          <cell r="X4540" t="str">
            <v>IL</v>
          </cell>
        </row>
        <row r="4541">
          <cell r="X4541" t="str">
            <v>IL</v>
          </cell>
        </row>
        <row r="4542">
          <cell r="X4542" t="str">
            <v>IL</v>
          </cell>
        </row>
        <row r="4543">
          <cell r="X4543" t="str">
            <v>IL</v>
          </cell>
        </row>
        <row r="4544">
          <cell r="X4544" t="str">
            <v>IL</v>
          </cell>
        </row>
        <row r="4545">
          <cell r="X4545" t="str">
            <v>IL</v>
          </cell>
        </row>
        <row r="4546">
          <cell r="X4546" t="str">
            <v>IL</v>
          </cell>
        </row>
        <row r="4547">
          <cell r="X4547" t="str">
            <v>IL</v>
          </cell>
        </row>
        <row r="4548">
          <cell r="X4548" t="str">
            <v>IL</v>
          </cell>
        </row>
        <row r="4549">
          <cell r="X4549" t="str">
            <v>IL</v>
          </cell>
        </row>
        <row r="4550">
          <cell r="X4550" t="str">
            <v>IL</v>
          </cell>
        </row>
        <row r="4551">
          <cell r="X4551" t="str">
            <v>IL</v>
          </cell>
        </row>
        <row r="4552">
          <cell r="X4552" t="str">
            <v>IL</v>
          </cell>
        </row>
        <row r="4553">
          <cell r="X4553" t="str">
            <v>IL</v>
          </cell>
        </row>
        <row r="4554">
          <cell r="X4554" t="str">
            <v>IL</v>
          </cell>
        </row>
        <row r="4555">
          <cell r="X4555" t="str">
            <v>IL</v>
          </cell>
        </row>
        <row r="4556">
          <cell r="X4556" t="str">
            <v>IL</v>
          </cell>
        </row>
        <row r="4557">
          <cell r="X4557" t="str">
            <v>IL</v>
          </cell>
        </row>
        <row r="4558">
          <cell r="X4558" t="str">
            <v>IL</v>
          </cell>
        </row>
        <row r="4559">
          <cell r="X4559" t="str">
            <v>IL</v>
          </cell>
        </row>
        <row r="4560">
          <cell r="X4560" t="str">
            <v>IL</v>
          </cell>
        </row>
        <row r="4561">
          <cell r="X4561" t="str">
            <v>IL</v>
          </cell>
        </row>
        <row r="4562">
          <cell r="X4562" t="str">
            <v>IL</v>
          </cell>
        </row>
        <row r="4563">
          <cell r="X4563" t="str">
            <v>IL</v>
          </cell>
        </row>
        <row r="4564">
          <cell r="X4564" t="str">
            <v>IL</v>
          </cell>
        </row>
        <row r="4565">
          <cell r="X4565" t="str">
            <v>IL</v>
          </cell>
        </row>
        <row r="4566">
          <cell r="X4566" t="str">
            <v>IL</v>
          </cell>
        </row>
        <row r="4567">
          <cell r="X4567" t="str">
            <v>IL</v>
          </cell>
        </row>
        <row r="4568">
          <cell r="X4568" t="str">
            <v>IL</v>
          </cell>
        </row>
        <row r="4569">
          <cell r="X4569" t="str">
            <v>IL</v>
          </cell>
        </row>
        <row r="4570">
          <cell r="X4570" t="str">
            <v>IL</v>
          </cell>
        </row>
        <row r="4571">
          <cell r="X4571" t="str">
            <v>IL</v>
          </cell>
        </row>
        <row r="4572">
          <cell r="X4572" t="str">
            <v>IL</v>
          </cell>
        </row>
        <row r="4573">
          <cell r="X4573" t="str">
            <v>IL</v>
          </cell>
        </row>
        <row r="4574">
          <cell r="X4574" t="str">
            <v>IL</v>
          </cell>
        </row>
        <row r="4575">
          <cell r="X4575" t="str">
            <v>IL</v>
          </cell>
        </row>
        <row r="4576">
          <cell r="X4576" t="str">
            <v>IL</v>
          </cell>
        </row>
        <row r="4577">
          <cell r="X4577" t="str">
            <v>IL</v>
          </cell>
        </row>
        <row r="4578">
          <cell r="X4578" t="str">
            <v>IL</v>
          </cell>
        </row>
        <row r="4579">
          <cell r="X4579" t="str">
            <v>IL</v>
          </cell>
        </row>
        <row r="4580">
          <cell r="X4580" t="str">
            <v>IL</v>
          </cell>
        </row>
        <row r="4581">
          <cell r="X4581" t="str">
            <v>IL</v>
          </cell>
        </row>
        <row r="4582">
          <cell r="X4582" t="str">
            <v>IL</v>
          </cell>
        </row>
        <row r="4583">
          <cell r="X4583" t="str">
            <v>IL</v>
          </cell>
        </row>
        <row r="4584">
          <cell r="X4584" t="str">
            <v>IL</v>
          </cell>
        </row>
        <row r="4585">
          <cell r="X4585" t="str">
            <v>IL</v>
          </cell>
        </row>
        <row r="4586">
          <cell r="X4586" t="str">
            <v>IL</v>
          </cell>
        </row>
        <row r="4587">
          <cell r="X4587" t="str">
            <v>IL</v>
          </cell>
        </row>
        <row r="4588">
          <cell r="X4588" t="str">
            <v>IL</v>
          </cell>
        </row>
        <row r="4589">
          <cell r="X4589" t="str">
            <v>IL</v>
          </cell>
        </row>
        <row r="4590">
          <cell r="X4590" t="str">
            <v>IL</v>
          </cell>
        </row>
        <row r="4591">
          <cell r="X4591" t="str">
            <v>IL</v>
          </cell>
        </row>
        <row r="4592">
          <cell r="X4592" t="str">
            <v>IL</v>
          </cell>
        </row>
        <row r="4593">
          <cell r="X4593" t="str">
            <v>IL</v>
          </cell>
        </row>
        <row r="4594">
          <cell r="X4594" t="str">
            <v>IL</v>
          </cell>
        </row>
        <row r="4595">
          <cell r="X4595" t="str">
            <v>IL</v>
          </cell>
        </row>
        <row r="4596">
          <cell r="X4596" t="str">
            <v>IL</v>
          </cell>
        </row>
        <row r="4597">
          <cell r="X4597" t="str">
            <v>IL</v>
          </cell>
        </row>
        <row r="4598">
          <cell r="X4598" t="str">
            <v>IL</v>
          </cell>
        </row>
        <row r="4599">
          <cell r="X4599" t="str">
            <v>IL</v>
          </cell>
        </row>
        <row r="4600">
          <cell r="X4600" t="str">
            <v>IL</v>
          </cell>
        </row>
        <row r="4601">
          <cell r="X4601" t="str">
            <v>IL</v>
          </cell>
        </row>
        <row r="4602">
          <cell r="X4602" t="str">
            <v>IL</v>
          </cell>
        </row>
        <row r="4603">
          <cell r="X4603" t="str">
            <v>IL</v>
          </cell>
        </row>
        <row r="4604">
          <cell r="X4604" t="str">
            <v>IL</v>
          </cell>
        </row>
        <row r="4605">
          <cell r="X4605" t="str">
            <v>IL</v>
          </cell>
        </row>
        <row r="4606">
          <cell r="X4606" t="str">
            <v>IL</v>
          </cell>
        </row>
        <row r="4607">
          <cell r="X4607" t="str">
            <v>IL</v>
          </cell>
        </row>
        <row r="4608">
          <cell r="X4608" t="str">
            <v>IL</v>
          </cell>
        </row>
        <row r="4609">
          <cell r="X4609" t="str">
            <v>IL</v>
          </cell>
        </row>
        <row r="4610">
          <cell r="X4610" t="str">
            <v>IL</v>
          </cell>
        </row>
        <row r="4611">
          <cell r="X4611" t="str">
            <v>IL</v>
          </cell>
        </row>
        <row r="4612">
          <cell r="X4612" t="str">
            <v>IL</v>
          </cell>
        </row>
        <row r="4613">
          <cell r="X4613" t="str">
            <v>IL</v>
          </cell>
        </row>
        <row r="4614">
          <cell r="X4614" t="str">
            <v>IL</v>
          </cell>
        </row>
        <row r="4615">
          <cell r="X4615" t="str">
            <v>IL</v>
          </cell>
        </row>
        <row r="4616">
          <cell r="X4616" t="str">
            <v>IL</v>
          </cell>
        </row>
        <row r="4617">
          <cell r="X4617" t="str">
            <v>IL</v>
          </cell>
        </row>
        <row r="4618">
          <cell r="X4618" t="str">
            <v>IL</v>
          </cell>
        </row>
        <row r="4619">
          <cell r="X4619" t="str">
            <v>IL</v>
          </cell>
        </row>
        <row r="4620">
          <cell r="X4620" t="str">
            <v>IL</v>
          </cell>
        </row>
        <row r="4621">
          <cell r="X4621" t="str">
            <v>IL</v>
          </cell>
        </row>
        <row r="4622">
          <cell r="X4622" t="str">
            <v>IL</v>
          </cell>
        </row>
        <row r="4623">
          <cell r="X4623" t="str">
            <v>IL</v>
          </cell>
        </row>
        <row r="4624">
          <cell r="X4624" t="str">
            <v>IL</v>
          </cell>
        </row>
        <row r="4625">
          <cell r="X4625" t="str">
            <v>IL</v>
          </cell>
        </row>
        <row r="4626">
          <cell r="X4626" t="str">
            <v>IL</v>
          </cell>
        </row>
        <row r="4627">
          <cell r="X4627" t="str">
            <v>IL</v>
          </cell>
        </row>
        <row r="4628">
          <cell r="X4628" t="str">
            <v>IL</v>
          </cell>
        </row>
        <row r="4629">
          <cell r="X4629" t="str">
            <v>IL</v>
          </cell>
        </row>
        <row r="4630">
          <cell r="X4630" t="str">
            <v>IL</v>
          </cell>
        </row>
        <row r="4631">
          <cell r="X4631" t="str">
            <v>IL</v>
          </cell>
        </row>
        <row r="4632">
          <cell r="X4632" t="str">
            <v>IL</v>
          </cell>
        </row>
        <row r="4633">
          <cell r="X4633" t="str">
            <v>IL</v>
          </cell>
        </row>
        <row r="4634">
          <cell r="X4634" t="str">
            <v>IL</v>
          </cell>
        </row>
        <row r="4635">
          <cell r="X4635" t="str">
            <v>IL</v>
          </cell>
        </row>
        <row r="4636">
          <cell r="X4636" t="str">
            <v>IL</v>
          </cell>
        </row>
        <row r="4637">
          <cell r="X4637" t="str">
            <v>IL</v>
          </cell>
        </row>
        <row r="4638">
          <cell r="X4638" t="str">
            <v>IL</v>
          </cell>
        </row>
        <row r="4639">
          <cell r="X4639" t="str">
            <v>IL</v>
          </cell>
        </row>
        <row r="4640">
          <cell r="X4640" t="str">
            <v>IL</v>
          </cell>
        </row>
        <row r="4641">
          <cell r="X4641" t="str">
            <v>IL</v>
          </cell>
        </row>
        <row r="4642">
          <cell r="X4642" t="str">
            <v>IL</v>
          </cell>
        </row>
        <row r="4643">
          <cell r="X4643" t="str">
            <v>IL</v>
          </cell>
        </row>
        <row r="4644">
          <cell r="X4644" t="str">
            <v>IL</v>
          </cell>
        </row>
        <row r="4645">
          <cell r="X4645" t="str">
            <v>IL</v>
          </cell>
        </row>
        <row r="4646">
          <cell r="X4646" t="str">
            <v>IL</v>
          </cell>
        </row>
        <row r="4647">
          <cell r="X4647" t="str">
            <v>IL</v>
          </cell>
        </row>
        <row r="4648">
          <cell r="X4648" t="str">
            <v>IL</v>
          </cell>
        </row>
        <row r="4649">
          <cell r="X4649" t="str">
            <v>IL</v>
          </cell>
        </row>
        <row r="4650">
          <cell r="X4650" t="str">
            <v>IL</v>
          </cell>
        </row>
        <row r="4651">
          <cell r="X4651" t="str">
            <v>IL</v>
          </cell>
        </row>
        <row r="4652">
          <cell r="X4652" t="str">
            <v>IL</v>
          </cell>
        </row>
        <row r="4653">
          <cell r="X4653" t="str">
            <v>IL</v>
          </cell>
        </row>
        <row r="4654">
          <cell r="X4654" t="str">
            <v>IL</v>
          </cell>
        </row>
        <row r="4655">
          <cell r="X4655" t="str">
            <v>IL</v>
          </cell>
        </row>
        <row r="4656">
          <cell r="X4656" t="str">
            <v>IL</v>
          </cell>
        </row>
        <row r="4657">
          <cell r="X4657" t="str">
            <v>IL</v>
          </cell>
        </row>
        <row r="4658">
          <cell r="X4658" t="str">
            <v>IL</v>
          </cell>
        </row>
        <row r="4659">
          <cell r="X4659" t="str">
            <v>IL</v>
          </cell>
        </row>
        <row r="4660">
          <cell r="X4660" t="str">
            <v>IL</v>
          </cell>
        </row>
        <row r="4661">
          <cell r="X4661" t="str">
            <v>IL</v>
          </cell>
        </row>
        <row r="4662">
          <cell r="X4662" t="str">
            <v>IL</v>
          </cell>
        </row>
        <row r="4663">
          <cell r="X4663" t="str">
            <v>IL</v>
          </cell>
        </row>
        <row r="4664">
          <cell r="X4664" t="str">
            <v>IL</v>
          </cell>
        </row>
        <row r="4665">
          <cell r="X4665" t="str">
            <v>IL</v>
          </cell>
        </row>
        <row r="4666">
          <cell r="X4666" t="str">
            <v>IL</v>
          </cell>
        </row>
        <row r="4667">
          <cell r="X4667" t="str">
            <v>IL</v>
          </cell>
        </row>
        <row r="4668">
          <cell r="X4668" t="str">
            <v>IL</v>
          </cell>
        </row>
        <row r="4669">
          <cell r="X4669" t="str">
            <v>IL</v>
          </cell>
        </row>
        <row r="4670">
          <cell r="X4670" t="str">
            <v>IL</v>
          </cell>
        </row>
        <row r="4671">
          <cell r="X4671" t="str">
            <v>IL</v>
          </cell>
        </row>
        <row r="4672">
          <cell r="X4672" t="str">
            <v>IL</v>
          </cell>
        </row>
        <row r="4673">
          <cell r="X4673" t="str">
            <v>IL</v>
          </cell>
        </row>
        <row r="4674">
          <cell r="X4674" t="str">
            <v>IL</v>
          </cell>
        </row>
        <row r="4675">
          <cell r="X4675" t="str">
            <v>IL</v>
          </cell>
        </row>
        <row r="4676">
          <cell r="X4676" t="str">
            <v>IL</v>
          </cell>
        </row>
        <row r="4677">
          <cell r="X4677" t="str">
            <v>IL</v>
          </cell>
        </row>
        <row r="4678">
          <cell r="X4678" t="str">
            <v>IL</v>
          </cell>
        </row>
        <row r="4679">
          <cell r="X4679" t="str">
            <v>IL</v>
          </cell>
        </row>
        <row r="4680">
          <cell r="X4680" t="str">
            <v>IL</v>
          </cell>
        </row>
        <row r="4681">
          <cell r="X4681" t="str">
            <v>IL</v>
          </cell>
        </row>
        <row r="4682">
          <cell r="X4682" t="str">
            <v>IL</v>
          </cell>
        </row>
        <row r="4683">
          <cell r="X4683" t="str">
            <v>IL</v>
          </cell>
        </row>
        <row r="4684">
          <cell r="X4684" t="str">
            <v>IL</v>
          </cell>
        </row>
        <row r="4685">
          <cell r="X4685" t="str">
            <v>IL</v>
          </cell>
        </row>
        <row r="4686">
          <cell r="X4686" t="str">
            <v>IL</v>
          </cell>
        </row>
        <row r="4687">
          <cell r="X4687" t="str">
            <v>IL</v>
          </cell>
        </row>
        <row r="4688">
          <cell r="X4688" t="str">
            <v>IL</v>
          </cell>
        </row>
        <row r="4689">
          <cell r="X4689" t="str">
            <v>IL</v>
          </cell>
        </row>
        <row r="4690">
          <cell r="X4690" t="str">
            <v>IL</v>
          </cell>
        </row>
        <row r="4691">
          <cell r="X4691" t="str">
            <v>IL</v>
          </cell>
        </row>
        <row r="4692">
          <cell r="X4692" t="str">
            <v>IL</v>
          </cell>
        </row>
        <row r="4693">
          <cell r="X4693" t="str">
            <v>IL</v>
          </cell>
        </row>
        <row r="4694">
          <cell r="X4694" t="str">
            <v>IL</v>
          </cell>
        </row>
        <row r="4695">
          <cell r="X4695" t="str">
            <v>IL</v>
          </cell>
        </row>
        <row r="4696">
          <cell r="X4696" t="str">
            <v>IL</v>
          </cell>
        </row>
        <row r="4697">
          <cell r="X4697" t="str">
            <v>IL</v>
          </cell>
        </row>
        <row r="4698">
          <cell r="X4698" t="str">
            <v>IL</v>
          </cell>
        </row>
        <row r="4699">
          <cell r="X4699" t="str">
            <v>IL</v>
          </cell>
        </row>
        <row r="4700">
          <cell r="X4700" t="str">
            <v>IL</v>
          </cell>
        </row>
        <row r="4701">
          <cell r="X4701" t="str">
            <v>IL</v>
          </cell>
        </row>
        <row r="4702">
          <cell r="X4702" t="str">
            <v>IL</v>
          </cell>
        </row>
        <row r="4703">
          <cell r="X4703" t="str">
            <v>IL</v>
          </cell>
        </row>
        <row r="4704">
          <cell r="X4704" t="str">
            <v>IL</v>
          </cell>
        </row>
        <row r="4705">
          <cell r="X4705" t="str">
            <v>IL</v>
          </cell>
        </row>
        <row r="4706">
          <cell r="X4706" t="str">
            <v>IL</v>
          </cell>
        </row>
        <row r="4707">
          <cell r="X4707" t="str">
            <v>IL</v>
          </cell>
        </row>
        <row r="4708">
          <cell r="X4708" t="str">
            <v>IL</v>
          </cell>
        </row>
        <row r="4709">
          <cell r="X4709" t="str">
            <v>IL</v>
          </cell>
        </row>
        <row r="4710">
          <cell r="X4710" t="str">
            <v>IL</v>
          </cell>
        </row>
        <row r="4711">
          <cell r="X4711" t="str">
            <v>IL</v>
          </cell>
        </row>
        <row r="4712">
          <cell r="X4712" t="str">
            <v>IL</v>
          </cell>
        </row>
        <row r="4713">
          <cell r="X4713" t="str">
            <v>IL</v>
          </cell>
        </row>
        <row r="4714">
          <cell r="X4714" t="str">
            <v>IL</v>
          </cell>
        </row>
        <row r="4715">
          <cell r="X4715" t="str">
            <v>IL</v>
          </cell>
        </row>
        <row r="4716">
          <cell r="X4716" t="str">
            <v>IL</v>
          </cell>
        </row>
        <row r="4717">
          <cell r="X4717" t="str">
            <v>IL</v>
          </cell>
        </row>
        <row r="4718">
          <cell r="X4718" t="str">
            <v>IL</v>
          </cell>
        </row>
        <row r="4719">
          <cell r="X4719" t="str">
            <v>IL</v>
          </cell>
        </row>
        <row r="4720">
          <cell r="X4720" t="str">
            <v>IL</v>
          </cell>
        </row>
        <row r="4721">
          <cell r="X4721" t="str">
            <v>IL</v>
          </cell>
        </row>
        <row r="4722">
          <cell r="X4722" t="str">
            <v>IL</v>
          </cell>
        </row>
        <row r="4723">
          <cell r="X4723" t="str">
            <v>IL</v>
          </cell>
        </row>
        <row r="4724">
          <cell r="X4724" t="str">
            <v>IL</v>
          </cell>
        </row>
        <row r="4725">
          <cell r="X4725" t="str">
            <v>IL</v>
          </cell>
        </row>
        <row r="4726">
          <cell r="X4726" t="str">
            <v>IL</v>
          </cell>
        </row>
        <row r="4727">
          <cell r="X4727" t="str">
            <v>IL</v>
          </cell>
        </row>
        <row r="4728">
          <cell r="X4728" t="str">
            <v>IL</v>
          </cell>
        </row>
        <row r="4729">
          <cell r="X4729" t="str">
            <v>IL</v>
          </cell>
        </row>
        <row r="4730">
          <cell r="X4730" t="str">
            <v>IL</v>
          </cell>
        </row>
        <row r="4731">
          <cell r="X4731" t="str">
            <v>IL</v>
          </cell>
        </row>
        <row r="4732">
          <cell r="X4732" t="str">
            <v>IL</v>
          </cell>
        </row>
        <row r="4733">
          <cell r="X4733" t="str">
            <v>IL</v>
          </cell>
        </row>
        <row r="4734">
          <cell r="X4734" t="str">
            <v>IL</v>
          </cell>
        </row>
        <row r="4735">
          <cell r="X4735" t="str">
            <v>IL</v>
          </cell>
        </row>
        <row r="4736">
          <cell r="X4736" t="str">
            <v>IL</v>
          </cell>
        </row>
        <row r="4737">
          <cell r="X4737" t="str">
            <v>IL</v>
          </cell>
        </row>
        <row r="4738">
          <cell r="X4738" t="str">
            <v>IL</v>
          </cell>
        </row>
        <row r="4739">
          <cell r="X4739" t="str">
            <v>IL</v>
          </cell>
        </row>
        <row r="4740">
          <cell r="X4740" t="str">
            <v>IL</v>
          </cell>
        </row>
        <row r="4741">
          <cell r="X4741" t="str">
            <v>IL</v>
          </cell>
        </row>
        <row r="4742">
          <cell r="X4742" t="str">
            <v>IL</v>
          </cell>
        </row>
        <row r="4743">
          <cell r="X4743" t="str">
            <v>IL</v>
          </cell>
        </row>
        <row r="4744">
          <cell r="X4744" t="str">
            <v>IL</v>
          </cell>
        </row>
        <row r="4745">
          <cell r="X4745" t="str">
            <v>IL</v>
          </cell>
        </row>
        <row r="4746">
          <cell r="X4746" t="str">
            <v>IL</v>
          </cell>
        </row>
        <row r="4747">
          <cell r="X4747" t="str">
            <v>IL</v>
          </cell>
        </row>
        <row r="4748">
          <cell r="X4748" t="str">
            <v>IL</v>
          </cell>
        </row>
        <row r="4749">
          <cell r="X4749" t="str">
            <v>IL</v>
          </cell>
        </row>
        <row r="4750">
          <cell r="X4750" t="str">
            <v>IL</v>
          </cell>
        </row>
        <row r="4751">
          <cell r="X4751" t="str">
            <v>IL</v>
          </cell>
        </row>
        <row r="4752">
          <cell r="X4752" t="str">
            <v>IL</v>
          </cell>
        </row>
        <row r="4753">
          <cell r="X4753" t="str">
            <v>IL</v>
          </cell>
        </row>
        <row r="4754">
          <cell r="X4754" t="str">
            <v>IL</v>
          </cell>
        </row>
        <row r="4755">
          <cell r="X4755" t="str">
            <v>IL</v>
          </cell>
        </row>
        <row r="4756">
          <cell r="X4756" t="str">
            <v>IL</v>
          </cell>
        </row>
        <row r="4757">
          <cell r="X4757" t="str">
            <v>IL</v>
          </cell>
        </row>
        <row r="4758">
          <cell r="X4758" t="str">
            <v>IL</v>
          </cell>
        </row>
        <row r="4759">
          <cell r="X4759" t="str">
            <v>IL</v>
          </cell>
        </row>
        <row r="4760">
          <cell r="X4760" t="str">
            <v>IL</v>
          </cell>
        </row>
        <row r="4761">
          <cell r="X4761" t="str">
            <v>IL</v>
          </cell>
        </row>
        <row r="4762">
          <cell r="X4762" t="str">
            <v>IL</v>
          </cell>
        </row>
        <row r="4763">
          <cell r="X4763" t="str">
            <v>IL</v>
          </cell>
        </row>
        <row r="4764">
          <cell r="X4764" t="str">
            <v>IL</v>
          </cell>
        </row>
        <row r="4765">
          <cell r="X4765" t="str">
            <v>IL</v>
          </cell>
        </row>
        <row r="4766">
          <cell r="X4766" t="str">
            <v>IL</v>
          </cell>
        </row>
        <row r="4767">
          <cell r="X4767" t="str">
            <v>IL</v>
          </cell>
        </row>
        <row r="4768">
          <cell r="X4768" t="str">
            <v>IL</v>
          </cell>
        </row>
        <row r="4769">
          <cell r="X4769" t="str">
            <v>IL</v>
          </cell>
        </row>
        <row r="4770">
          <cell r="X4770" t="str">
            <v>IL</v>
          </cell>
        </row>
        <row r="4771">
          <cell r="X4771" t="str">
            <v>IL</v>
          </cell>
        </row>
        <row r="4772">
          <cell r="X4772" t="str">
            <v>IL</v>
          </cell>
        </row>
        <row r="4773">
          <cell r="X4773" t="str">
            <v>IL</v>
          </cell>
        </row>
        <row r="4774">
          <cell r="X4774" t="str">
            <v>IL</v>
          </cell>
        </row>
        <row r="4775">
          <cell r="X4775" t="str">
            <v>IL</v>
          </cell>
        </row>
        <row r="4776">
          <cell r="X4776" t="str">
            <v>IL</v>
          </cell>
        </row>
        <row r="4777">
          <cell r="X4777" t="str">
            <v>IL</v>
          </cell>
        </row>
        <row r="4778">
          <cell r="X4778" t="str">
            <v>IL</v>
          </cell>
        </row>
        <row r="4779">
          <cell r="X4779" t="str">
            <v>IL</v>
          </cell>
        </row>
        <row r="4780">
          <cell r="X4780" t="str">
            <v>IL</v>
          </cell>
        </row>
        <row r="4781">
          <cell r="X4781" t="str">
            <v>IL</v>
          </cell>
        </row>
        <row r="4782">
          <cell r="X4782" t="str">
            <v>IL</v>
          </cell>
        </row>
        <row r="4783">
          <cell r="X4783" t="str">
            <v>IL</v>
          </cell>
        </row>
        <row r="4784">
          <cell r="X4784" t="str">
            <v>IL</v>
          </cell>
        </row>
        <row r="4785">
          <cell r="X4785" t="str">
            <v>IL</v>
          </cell>
        </row>
        <row r="4786">
          <cell r="X4786" t="str">
            <v>IL</v>
          </cell>
        </row>
        <row r="4787">
          <cell r="X4787" t="str">
            <v>IL</v>
          </cell>
        </row>
        <row r="4788">
          <cell r="X4788" t="str">
            <v>IL</v>
          </cell>
        </row>
        <row r="4789">
          <cell r="X4789" t="str">
            <v>IL</v>
          </cell>
        </row>
        <row r="4790">
          <cell r="X4790" t="str">
            <v>IL</v>
          </cell>
        </row>
        <row r="4791">
          <cell r="X4791" t="str">
            <v>IL</v>
          </cell>
        </row>
        <row r="4792">
          <cell r="X4792" t="str">
            <v>IL</v>
          </cell>
        </row>
        <row r="4793">
          <cell r="X4793" t="str">
            <v>IL</v>
          </cell>
        </row>
        <row r="4794">
          <cell r="X4794" t="str">
            <v>IL</v>
          </cell>
        </row>
        <row r="4795">
          <cell r="X4795" t="str">
            <v>IL</v>
          </cell>
        </row>
        <row r="4796">
          <cell r="X4796" t="str">
            <v>IL</v>
          </cell>
        </row>
        <row r="4797">
          <cell r="X4797" t="str">
            <v>IL</v>
          </cell>
        </row>
        <row r="4798">
          <cell r="X4798" t="str">
            <v>IL</v>
          </cell>
        </row>
        <row r="4799">
          <cell r="X4799" t="str">
            <v>IL</v>
          </cell>
        </row>
        <row r="4800">
          <cell r="X4800" t="str">
            <v>IL</v>
          </cell>
        </row>
        <row r="4801">
          <cell r="X4801" t="str">
            <v>IL</v>
          </cell>
        </row>
        <row r="4802">
          <cell r="X4802" t="str">
            <v>IL</v>
          </cell>
        </row>
        <row r="4803">
          <cell r="X4803" t="str">
            <v>IL</v>
          </cell>
        </row>
        <row r="4804">
          <cell r="X4804" t="str">
            <v>IL</v>
          </cell>
        </row>
        <row r="4805">
          <cell r="X4805" t="str">
            <v>IL</v>
          </cell>
        </row>
        <row r="4806">
          <cell r="X4806" t="str">
            <v>IL</v>
          </cell>
        </row>
        <row r="4807">
          <cell r="X4807" t="str">
            <v>IL</v>
          </cell>
        </row>
        <row r="4808">
          <cell r="X4808" t="str">
            <v>IL</v>
          </cell>
        </row>
        <row r="4809">
          <cell r="X4809" t="str">
            <v>IL</v>
          </cell>
        </row>
        <row r="4810">
          <cell r="X4810" t="str">
            <v>IL</v>
          </cell>
        </row>
        <row r="4811">
          <cell r="X4811" t="str">
            <v>IL</v>
          </cell>
        </row>
        <row r="4812">
          <cell r="X4812" t="str">
            <v>IL</v>
          </cell>
        </row>
        <row r="4813">
          <cell r="X4813" t="str">
            <v>IL</v>
          </cell>
        </row>
        <row r="4814">
          <cell r="X4814" t="str">
            <v>IL</v>
          </cell>
        </row>
        <row r="4815">
          <cell r="X4815" t="str">
            <v>IL</v>
          </cell>
        </row>
        <row r="4816">
          <cell r="X4816" t="str">
            <v>IL</v>
          </cell>
        </row>
        <row r="4817">
          <cell r="X4817" t="str">
            <v>IL</v>
          </cell>
        </row>
        <row r="4818">
          <cell r="X4818" t="str">
            <v>IL</v>
          </cell>
        </row>
        <row r="4819">
          <cell r="X4819" t="str">
            <v>IL</v>
          </cell>
        </row>
        <row r="4820">
          <cell r="X4820" t="str">
            <v>IL</v>
          </cell>
        </row>
        <row r="4821">
          <cell r="X4821" t="str">
            <v>IL</v>
          </cell>
        </row>
        <row r="4822">
          <cell r="X4822" t="str">
            <v>IL</v>
          </cell>
        </row>
        <row r="4823">
          <cell r="X4823" t="str">
            <v>IL</v>
          </cell>
        </row>
        <row r="4824">
          <cell r="X4824" t="str">
            <v>IL</v>
          </cell>
        </row>
        <row r="4825">
          <cell r="X4825" t="str">
            <v>IL</v>
          </cell>
        </row>
        <row r="4826">
          <cell r="X4826" t="str">
            <v>IL</v>
          </cell>
        </row>
        <row r="4827">
          <cell r="X4827" t="str">
            <v>IL</v>
          </cell>
        </row>
        <row r="4828">
          <cell r="X4828" t="str">
            <v>IL</v>
          </cell>
        </row>
        <row r="4829">
          <cell r="X4829" t="str">
            <v>IL</v>
          </cell>
        </row>
        <row r="4830">
          <cell r="X4830" t="str">
            <v>IL</v>
          </cell>
        </row>
        <row r="4831">
          <cell r="X4831" t="str">
            <v>IL</v>
          </cell>
        </row>
        <row r="4832">
          <cell r="X4832" t="str">
            <v>IL</v>
          </cell>
        </row>
        <row r="4833">
          <cell r="X4833" t="str">
            <v>IL</v>
          </cell>
        </row>
        <row r="4834">
          <cell r="X4834" t="str">
            <v>IL</v>
          </cell>
        </row>
        <row r="4835">
          <cell r="X4835" t="str">
            <v>IL</v>
          </cell>
        </row>
        <row r="4836">
          <cell r="X4836" t="str">
            <v>IL</v>
          </cell>
        </row>
        <row r="4837">
          <cell r="X4837" t="str">
            <v>IL</v>
          </cell>
        </row>
        <row r="4838">
          <cell r="X4838" t="str">
            <v>IL</v>
          </cell>
        </row>
        <row r="4839">
          <cell r="X4839" t="str">
            <v>IL</v>
          </cell>
        </row>
        <row r="4840">
          <cell r="X4840" t="str">
            <v>IL</v>
          </cell>
        </row>
        <row r="4841">
          <cell r="X4841" t="str">
            <v>IL</v>
          </cell>
        </row>
        <row r="4842">
          <cell r="X4842" t="str">
            <v>IL</v>
          </cell>
        </row>
        <row r="4843">
          <cell r="X4843" t="str">
            <v>IL</v>
          </cell>
        </row>
        <row r="4844">
          <cell r="X4844" t="str">
            <v>IL</v>
          </cell>
        </row>
        <row r="4845">
          <cell r="X4845" t="str">
            <v>IL</v>
          </cell>
        </row>
        <row r="4846">
          <cell r="X4846" t="str">
            <v>IL</v>
          </cell>
        </row>
        <row r="4847">
          <cell r="X4847" t="str">
            <v>IL</v>
          </cell>
        </row>
        <row r="4848">
          <cell r="X4848" t="str">
            <v>IL</v>
          </cell>
        </row>
        <row r="4849">
          <cell r="X4849" t="str">
            <v>IL</v>
          </cell>
        </row>
        <row r="4850">
          <cell r="X4850" t="str">
            <v>IL</v>
          </cell>
        </row>
        <row r="4851">
          <cell r="X4851" t="str">
            <v>IL</v>
          </cell>
        </row>
        <row r="4852">
          <cell r="X4852" t="str">
            <v>IL</v>
          </cell>
        </row>
        <row r="4853">
          <cell r="X4853" t="str">
            <v>IL</v>
          </cell>
        </row>
        <row r="4854">
          <cell r="X4854" t="str">
            <v>IL</v>
          </cell>
        </row>
        <row r="4855">
          <cell r="X4855" t="str">
            <v>IL</v>
          </cell>
        </row>
        <row r="4856">
          <cell r="X4856" t="str">
            <v>IL</v>
          </cell>
        </row>
        <row r="4857">
          <cell r="X4857" t="str">
            <v>IL</v>
          </cell>
        </row>
        <row r="4858">
          <cell r="X4858" t="str">
            <v>IL</v>
          </cell>
        </row>
        <row r="4859">
          <cell r="X4859" t="str">
            <v>IL</v>
          </cell>
        </row>
        <row r="4860">
          <cell r="X4860" t="str">
            <v>IL</v>
          </cell>
        </row>
        <row r="4861">
          <cell r="X4861" t="str">
            <v>IL</v>
          </cell>
        </row>
        <row r="4862">
          <cell r="X4862" t="str">
            <v>IL</v>
          </cell>
        </row>
        <row r="4863">
          <cell r="X4863" t="str">
            <v>IL</v>
          </cell>
        </row>
        <row r="4864">
          <cell r="X4864" t="str">
            <v>IL</v>
          </cell>
        </row>
        <row r="4865">
          <cell r="X4865" t="str">
            <v>IL</v>
          </cell>
        </row>
        <row r="4866">
          <cell r="X4866" t="str">
            <v>IL</v>
          </cell>
        </row>
        <row r="4867">
          <cell r="X4867" t="str">
            <v>IL</v>
          </cell>
        </row>
        <row r="4868">
          <cell r="X4868" t="str">
            <v>IL</v>
          </cell>
        </row>
        <row r="4869">
          <cell r="X4869" t="str">
            <v>IL</v>
          </cell>
        </row>
        <row r="4870">
          <cell r="X4870" t="str">
            <v>IL</v>
          </cell>
        </row>
        <row r="4871">
          <cell r="X4871" t="str">
            <v>IL</v>
          </cell>
        </row>
        <row r="4872">
          <cell r="X4872" t="str">
            <v>IL</v>
          </cell>
        </row>
        <row r="4873">
          <cell r="X4873" t="str">
            <v>IL</v>
          </cell>
        </row>
        <row r="4874">
          <cell r="X4874" t="str">
            <v>IL</v>
          </cell>
        </row>
        <row r="4875">
          <cell r="X4875" t="str">
            <v>IL</v>
          </cell>
        </row>
        <row r="4876">
          <cell r="X4876" t="str">
            <v>IL</v>
          </cell>
        </row>
        <row r="4877">
          <cell r="X4877" t="str">
            <v>IL</v>
          </cell>
        </row>
        <row r="4878">
          <cell r="X4878" t="str">
            <v>IL</v>
          </cell>
        </row>
        <row r="4879">
          <cell r="X4879" t="str">
            <v>IL</v>
          </cell>
        </row>
        <row r="4880">
          <cell r="X4880" t="str">
            <v>IL</v>
          </cell>
        </row>
        <row r="4881">
          <cell r="X4881" t="str">
            <v>IL</v>
          </cell>
        </row>
        <row r="4882">
          <cell r="X4882" t="str">
            <v>IL</v>
          </cell>
        </row>
        <row r="4883">
          <cell r="X4883" t="str">
            <v>IL</v>
          </cell>
        </row>
        <row r="4884">
          <cell r="X4884" t="str">
            <v>IL</v>
          </cell>
        </row>
        <row r="4885">
          <cell r="X4885" t="str">
            <v>IL</v>
          </cell>
        </row>
        <row r="4886">
          <cell r="X4886" t="str">
            <v>IL</v>
          </cell>
        </row>
        <row r="4887">
          <cell r="X4887" t="str">
            <v>IL</v>
          </cell>
        </row>
        <row r="4888">
          <cell r="X4888" t="str">
            <v>IL</v>
          </cell>
        </row>
        <row r="4889">
          <cell r="X4889" t="str">
            <v>IL</v>
          </cell>
        </row>
        <row r="4890">
          <cell r="X4890" t="str">
            <v>IL</v>
          </cell>
        </row>
        <row r="4891">
          <cell r="X4891" t="str">
            <v>IL</v>
          </cell>
        </row>
        <row r="4892">
          <cell r="X4892" t="str">
            <v>IL</v>
          </cell>
        </row>
        <row r="4893">
          <cell r="X4893" t="str">
            <v>IL</v>
          </cell>
        </row>
        <row r="4894">
          <cell r="X4894" t="str">
            <v>IL</v>
          </cell>
        </row>
        <row r="4895">
          <cell r="X4895" t="str">
            <v>IL</v>
          </cell>
        </row>
        <row r="4896">
          <cell r="X4896" t="str">
            <v>IL</v>
          </cell>
        </row>
        <row r="4897">
          <cell r="X4897" t="str">
            <v>IL</v>
          </cell>
        </row>
        <row r="4898">
          <cell r="X4898" t="str">
            <v>IL</v>
          </cell>
        </row>
        <row r="4899">
          <cell r="X4899" t="str">
            <v>IL</v>
          </cell>
        </row>
        <row r="4900">
          <cell r="X4900" t="str">
            <v>IL</v>
          </cell>
        </row>
        <row r="4901">
          <cell r="X4901" t="str">
            <v>IL</v>
          </cell>
        </row>
        <row r="4902">
          <cell r="X4902" t="str">
            <v>IL</v>
          </cell>
        </row>
        <row r="4903">
          <cell r="X4903" t="str">
            <v>IL</v>
          </cell>
        </row>
        <row r="4904">
          <cell r="X4904" t="str">
            <v>IL</v>
          </cell>
        </row>
        <row r="4905">
          <cell r="X4905" t="str">
            <v>IL</v>
          </cell>
        </row>
        <row r="4906">
          <cell r="X4906" t="str">
            <v>IL</v>
          </cell>
        </row>
        <row r="4907">
          <cell r="X4907" t="str">
            <v>IL</v>
          </cell>
        </row>
        <row r="4908">
          <cell r="X4908" t="str">
            <v>IL</v>
          </cell>
        </row>
        <row r="4909">
          <cell r="X4909" t="str">
            <v>IL</v>
          </cell>
        </row>
        <row r="4910">
          <cell r="X4910" t="str">
            <v>IL</v>
          </cell>
        </row>
        <row r="4911">
          <cell r="X4911" t="str">
            <v>IL</v>
          </cell>
        </row>
        <row r="4912">
          <cell r="X4912" t="str">
            <v>IL</v>
          </cell>
        </row>
        <row r="4913">
          <cell r="X4913" t="str">
            <v>IL</v>
          </cell>
        </row>
        <row r="4914">
          <cell r="X4914" t="str">
            <v>IL</v>
          </cell>
        </row>
        <row r="4915">
          <cell r="X4915" t="str">
            <v>IL</v>
          </cell>
        </row>
        <row r="4916">
          <cell r="X4916" t="str">
            <v>IL</v>
          </cell>
        </row>
        <row r="4917">
          <cell r="X4917" t="str">
            <v>IL</v>
          </cell>
        </row>
        <row r="4918">
          <cell r="X4918" t="str">
            <v>IL</v>
          </cell>
        </row>
        <row r="4919">
          <cell r="X4919" t="str">
            <v>IL</v>
          </cell>
        </row>
        <row r="4920">
          <cell r="X4920" t="str">
            <v>IL</v>
          </cell>
        </row>
        <row r="4921">
          <cell r="X4921" t="str">
            <v>IL</v>
          </cell>
        </row>
        <row r="4922">
          <cell r="X4922" t="str">
            <v>IL</v>
          </cell>
        </row>
        <row r="4923">
          <cell r="X4923" t="str">
            <v>IL</v>
          </cell>
        </row>
        <row r="4924">
          <cell r="X4924" t="str">
            <v>IL</v>
          </cell>
        </row>
        <row r="4925">
          <cell r="X4925" t="str">
            <v>IL</v>
          </cell>
        </row>
        <row r="4926">
          <cell r="X4926" t="str">
            <v>IL</v>
          </cell>
        </row>
        <row r="4927">
          <cell r="X4927" t="str">
            <v>IL</v>
          </cell>
        </row>
        <row r="4928">
          <cell r="X4928" t="str">
            <v>IL</v>
          </cell>
        </row>
        <row r="4929">
          <cell r="X4929" t="str">
            <v>IL</v>
          </cell>
        </row>
        <row r="4930">
          <cell r="X4930" t="str">
            <v>IL</v>
          </cell>
        </row>
        <row r="4931">
          <cell r="X4931" t="str">
            <v>IL</v>
          </cell>
        </row>
        <row r="4932">
          <cell r="X4932" t="str">
            <v>IL</v>
          </cell>
        </row>
        <row r="4933">
          <cell r="X4933" t="str">
            <v>IL</v>
          </cell>
        </row>
        <row r="4934">
          <cell r="X4934" t="str">
            <v>IL</v>
          </cell>
        </row>
        <row r="4935">
          <cell r="X4935" t="str">
            <v>IL</v>
          </cell>
        </row>
        <row r="4936">
          <cell r="X4936" t="str">
            <v>IL</v>
          </cell>
        </row>
        <row r="4937">
          <cell r="X4937" t="str">
            <v>IL</v>
          </cell>
        </row>
        <row r="4938">
          <cell r="X4938" t="str">
            <v>IL</v>
          </cell>
        </row>
        <row r="4939">
          <cell r="X4939" t="str">
            <v>IL</v>
          </cell>
        </row>
        <row r="4940">
          <cell r="X4940" t="str">
            <v>IL</v>
          </cell>
        </row>
        <row r="4941">
          <cell r="X4941" t="str">
            <v>IL</v>
          </cell>
        </row>
        <row r="4942">
          <cell r="X4942" t="str">
            <v>IL</v>
          </cell>
        </row>
        <row r="4943">
          <cell r="X4943" t="str">
            <v>IL</v>
          </cell>
        </row>
        <row r="4944">
          <cell r="X4944" t="str">
            <v>IL</v>
          </cell>
        </row>
        <row r="4945">
          <cell r="X4945" t="str">
            <v>IL</v>
          </cell>
        </row>
        <row r="4946">
          <cell r="X4946" t="str">
            <v>IL</v>
          </cell>
        </row>
        <row r="4947">
          <cell r="X4947" t="str">
            <v>IL</v>
          </cell>
        </row>
        <row r="4948">
          <cell r="X4948" t="str">
            <v>IL</v>
          </cell>
        </row>
        <row r="4949">
          <cell r="X4949" t="str">
            <v>IL</v>
          </cell>
        </row>
        <row r="4950">
          <cell r="X4950" t="str">
            <v>IL</v>
          </cell>
        </row>
        <row r="4951">
          <cell r="X4951" t="str">
            <v>IL</v>
          </cell>
        </row>
        <row r="4952">
          <cell r="X4952" t="str">
            <v>IL</v>
          </cell>
        </row>
        <row r="4953">
          <cell r="X4953" t="str">
            <v>IL</v>
          </cell>
        </row>
        <row r="4954">
          <cell r="X4954" t="str">
            <v>IL</v>
          </cell>
        </row>
        <row r="4955">
          <cell r="X4955" t="str">
            <v>IL</v>
          </cell>
        </row>
        <row r="4956">
          <cell r="X4956" t="str">
            <v>IL</v>
          </cell>
        </row>
        <row r="4957">
          <cell r="X4957" t="str">
            <v>IL</v>
          </cell>
        </row>
        <row r="4958">
          <cell r="X4958" t="str">
            <v>IL</v>
          </cell>
        </row>
        <row r="4959">
          <cell r="X4959" t="str">
            <v>IL</v>
          </cell>
        </row>
        <row r="4960">
          <cell r="X4960" t="str">
            <v>IL</v>
          </cell>
        </row>
        <row r="4961">
          <cell r="X4961" t="str">
            <v>IL</v>
          </cell>
        </row>
        <row r="4962">
          <cell r="X4962" t="str">
            <v>IL</v>
          </cell>
        </row>
        <row r="4963">
          <cell r="X4963" t="str">
            <v>IL</v>
          </cell>
        </row>
        <row r="4964">
          <cell r="X4964" t="str">
            <v>IL</v>
          </cell>
        </row>
        <row r="4965">
          <cell r="X4965" t="str">
            <v>IL</v>
          </cell>
        </row>
        <row r="4966">
          <cell r="X4966" t="str">
            <v>IL</v>
          </cell>
        </row>
        <row r="4967">
          <cell r="X4967" t="str">
            <v>IL</v>
          </cell>
        </row>
        <row r="4968">
          <cell r="X4968" t="str">
            <v>IL</v>
          </cell>
        </row>
        <row r="4969">
          <cell r="X4969" t="str">
            <v>IL</v>
          </cell>
        </row>
        <row r="4970">
          <cell r="X4970" t="str">
            <v>IL</v>
          </cell>
        </row>
        <row r="4971">
          <cell r="X4971" t="str">
            <v>IL</v>
          </cell>
        </row>
        <row r="4972">
          <cell r="X4972" t="str">
            <v>IL</v>
          </cell>
        </row>
        <row r="4973">
          <cell r="X4973" t="str">
            <v>IL</v>
          </cell>
        </row>
        <row r="4974">
          <cell r="X4974" t="str">
            <v>IL</v>
          </cell>
        </row>
        <row r="4975">
          <cell r="X4975" t="str">
            <v>IL</v>
          </cell>
        </row>
        <row r="4976">
          <cell r="X4976" t="str">
            <v>IL</v>
          </cell>
        </row>
        <row r="4977">
          <cell r="X4977" t="str">
            <v>IL</v>
          </cell>
        </row>
        <row r="4978">
          <cell r="X4978" t="str">
            <v>IL</v>
          </cell>
        </row>
        <row r="4979">
          <cell r="X4979" t="str">
            <v>IL</v>
          </cell>
        </row>
        <row r="4980">
          <cell r="X4980" t="str">
            <v>IL</v>
          </cell>
        </row>
        <row r="4981">
          <cell r="X4981" t="str">
            <v>IL</v>
          </cell>
        </row>
        <row r="4982">
          <cell r="X4982" t="str">
            <v>IL</v>
          </cell>
        </row>
        <row r="4983">
          <cell r="X4983" t="str">
            <v>IL</v>
          </cell>
        </row>
        <row r="4984">
          <cell r="X4984" t="str">
            <v>IL</v>
          </cell>
        </row>
        <row r="4985">
          <cell r="X4985" t="str">
            <v>IL</v>
          </cell>
        </row>
        <row r="4986">
          <cell r="X4986" t="str">
            <v>IL</v>
          </cell>
        </row>
        <row r="4987">
          <cell r="X4987" t="str">
            <v>IL</v>
          </cell>
        </row>
        <row r="4988">
          <cell r="X4988" t="str">
            <v>IL</v>
          </cell>
        </row>
        <row r="4989">
          <cell r="X4989" t="str">
            <v>IL</v>
          </cell>
        </row>
        <row r="4990">
          <cell r="X4990" t="str">
            <v>IL</v>
          </cell>
        </row>
        <row r="4991">
          <cell r="X4991" t="str">
            <v>IL</v>
          </cell>
        </row>
        <row r="4992">
          <cell r="X4992" t="str">
            <v>IL</v>
          </cell>
        </row>
        <row r="4993">
          <cell r="X4993" t="str">
            <v>IL</v>
          </cell>
        </row>
        <row r="4994">
          <cell r="X4994" t="str">
            <v>IL</v>
          </cell>
        </row>
        <row r="4995">
          <cell r="X4995" t="str">
            <v>IL</v>
          </cell>
        </row>
        <row r="4996">
          <cell r="X4996" t="str">
            <v>IL</v>
          </cell>
        </row>
        <row r="4997">
          <cell r="X4997" t="str">
            <v>IL</v>
          </cell>
        </row>
        <row r="4998">
          <cell r="X4998" t="str">
            <v>IL</v>
          </cell>
        </row>
        <row r="4999">
          <cell r="X4999" t="str">
            <v>IL</v>
          </cell>
        </row>
        <row r="5000">
          <cell r="X5000" t="str">
            <v>IL</v>
          </cell>
        </row>
      </sheetData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>
        <row r="1026">
          <cell r="B1026" t="str">
            <v>Account</v>
          </cell>
          <cell r="C1026" t="str">
            <v>Particulars</v>
          </cell>
          <cell r="D1026" t="str">
            <v>Aims TB</v>
          </cell>
          <cell r="E1026" t="str">
            <v>Closing</v>
          </cell>
        </row>
        <row r="1027">
          <cell r="B1027" t="str">
            <v>800-10-010</v>
          </cell>
        </row>
        <row r="1028">
          <cell r="B1028" t="str">
            <v>Account</v>
          </cell>
          <cell r="C1028" t="str">
            <v>Particulars</v>
          </cell>
          <cell r="D1028" t="str">
            <v>Aims TB</v>
          </cell>
          <cell r="E1028" t="str">
            <v>Closing</v>
          </cell>
        </row>
        <row r="1029">
          <cell r="B1029" t="str">
            <v>800-10-011</v>
          </cell>
        </row>
        <row r="1030">
          <cell r="B1030" t="str">
            <v>Account</v>
          </cell>
          <cell r="C1030" t="str">
            <v>Particulars</v>
          </cell>
          <cell r="D1030" t="str">
            <v>Aims TB</v>
          </cell>
          <cell r="E1030" t="str">
            <v>Closing</v>
          </cell>
        </row>
        <row r="1031">
          <cell r="B1031" t="str">
            <v>800-10-015</v>
          </cell>
        </row>
      </sheetData>
      <sheetData sheetId="58"/>
      <sheetData sheetId="59"/>
      <sheetData sheetId="60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otes guideline"/>
      <sheetName val="Conslolidation  Note 16"/>
      <sheetName val="Note 15 Lease rentals"/>
      <sheetName val="Note 18 AVS Equities"/>
      <sheetName val="Note 19 FAFVPL"/>
      <sheetName val="Note 20 Loans"/>
      <sheetName val="Note 25 Avaible for sale"/>
      <sheetName val="Jane"/>
    </sheetNames>
    <definedNames>
      <definedName name="Interest_Rate"/>
      <definedName name="Loan_Amount"/>
      <definedName name="Loan_Start"/>
      <definedName name="Loan_Years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contents"/>
      <sheetName val="Group P&amp;L"/>
      <sheetName val="Life Income Statement"/>
      <sheetName val="BS"/>
      <sheetName val="SOCE"/>
      <sheetName val="Cashflow"/>
      <sheetName val="Note1"/>
      <sheetName val="Notes(Cont'd)"/>
      <sheetName val="Restatement"/>
      <sheetName val="P&amp;L Consolidation workings"/>
      <sheetName val="Group BS Consolidation workings"/>
      <sheetName val="Criteria"/>
      <sheetName val="TB"/>
      <sheetName val="Index3"/>
      <sheetName val="Index2"/>
      <sheetName val="Sheet2"/>
      <sheetName val="Index"/>
      <sheetName val="Tasks"/>
      <sheetName val="prior year"/>
    </sheetNames>
    <sheetDataSet>
      <sheetData sheetId="0" refreshError="1"/>
      <sheetData sheetId="1" refreshError="1"/>
      <sheetData sheetId="2"/>
      <sheetData sheetId="3" refreshError="1"/>
      <sheetData sheetId="4"/>
      <sheetData sheetId="5" refreshError="1"/>
      <sheetData sheetId="6"/>
      <sheetData sheetId="7" refreshError="1"/>
      <sheetData sheetId="8"/>
      <sheetData sheetId="9" refreshError="1"/>
      <sheetData sheetId="10" refreshError="1"/>
      <sheetData sheetId="11" refreshError="1"/>
      <sheetData sheetId="12">
        <row r="23">
          <cell r="B23" t="str">
            <v>Account</v>
          </cell>
        </row>
        <row r="93">
          <cell r="B93" t="str">
            <v>Account</v>
          </cell>
          <cell r="C93" t="str">
            <v>Particulars</v>
          </cell>
          <cell r="D93" t="str">
            <v>Aims TB</v>
          </cell>
          <cell r="E93" t="str">
            <v>Closing</v>
          </cell>
        </row>
        <row r="94">
          <cell r="B94" t="str">
            <v>500-10</v>
          </cell>
        </row>
        <row r="95">
          <cell r="B95" t="str">
            <v>500-20</v>
          </cell>
        </row>
        <row r="96">
          <cell r="B96" t="str">
            <v>500-25</v>
          </cell>
        </row>
        <row r="97">
          <cell r="B97" t="str">
            <v>500-35</v>
          </cell>
        </row>
        <row r="130">
          <cell r="B130" t="str">
            <v>Account</v>
          </cell>
          <cell r="C130" t="str">
            <v>Particulars</v>
          </cell>
          <cell r="D130" t="str">
            <v>Aims TB</v>
          </cell>
          <cell r="E130" t="str">
            <v>Closing</v>
          </cell>
        </row>
        <row r="131">
          <cell r="B131" t="str">
            <v>600-</v>
          </cell>
        </row>
      </sheetData>
      <sheetData sheetId="13">
        <row r="1">
          <cell r="A1" t="str">
            <v>Account</v>
          </cell>
          <cell r="B1" t="str">
            <v>Particulars</v>
          </cell>
          <cell r="C1" t="str">
            <v>Opening</v>
          </cell>
          <cell r="D1" t="str">
            <v>Month</v>
          </cell>
          <cell r="E1" t="str">
            <v>year</v>
          </cell>
          <cell r="F1" t="str">
            <v>Aims TB</v>
          </cell>
          <cell r="G1" t="str">
            <v>Adjustment</v>
          </cell>
          <cell r="H1" t="str">
            <v>Closing</v>
          </cell>
        </row>
        <row r="2">
          <cell r="A2" t="str">
            <v>100-10-010</v>
          </cell>
          <cell r="B2" t="str">
            <v>NEW BUSINESS PREMIUM PAIC</v>
          </cell>
          <cell r="C2">
            <v>-23545</v>
          </cell>
          <cell r="D2">
            <v>48375</v>
          </cell>
          <cell r="E2">
            <v>24830</v>
          </cell>
          <cell r="F2">
            <v>24830</v>
          </cell>
          <cell r="G2">
            <v>0</v>
          </cell>
          <cell r="H2">
            <v>24830</v>
          </cell>
        </row>
        <row r="3">
          <cell r="A3" t="str">
            <v>100-10-020</v>
          </cell>
          <cell r="B3" t="str">
            <v>NEW BUSINESS FFFP</v>
          </cell>
          <cell r="C3">
            <v>-17310981.84</v>
          </cell>
          <cell r="D3">
            <v>-2735530.65</v>
          </cell>
          <cell r="E3">
            <v>-20046512.489999998</v>
          </cell>
          <cell r="F3">
            <v>-20046512.489999998</v>
          </cell>
          <cell r="G3">
            <v>0</v>
          </cell>
          <cell r="H3">
            <v>-20046512.489999998</v>
          </cell>
        </row>
        <row r="4">
          <cell r="A4" t="str">
            <v>100-10-030</v>
          </cell>
          <cell r="B4" t="str">
            <v>NEW BUSINESS W/P</v>
          </cell>
          <cell r="C4">
            <v>-105662205.65000001</v>
          </cell>
          <cell r="D4">
            <v>-19959360.199999999</v>
          </cell>
          <cell r="E4">
            <v>-125621565.84999999</v>
          </cell>
          <cell r="F4">
            <v>-125621565.84999999</v>
          </cell>
          <cell r="G4">
            <v>0</v>
          </cell>
          <cell r="H4">
            <v>-125621565.84999999</v>
          </cell>
        </row>
        <row r="5">
          <cell r="A5" t="str">
            <v>100-14-010</v>
          </cell>
          <cell r="B5" t="str">
            <v>PREMIUM UPDATES -FFP</v>
          </cell>
          <cell r="C5">
            <v>-419995</v>
          </cell>
          <cell r="D5">
            <v>-11643</v>
          </cell>
          <cell r="E5">
            <v>-431638</v>
          </cell>
          <cell r="F5">
            <v>-431638</v>
          </cell>
          <cell r="G5">
            <v>0</v>
          </cell>
          <cell r="H5">
            <v>-431638</v>
          </cell>
        </row>
        <row r="6">
          <cell r="A6" t="str">
            <v>100-14-020</v>
          </cell>
          <cell r="B6" t="str">
            <v>PREMIUM UPDATES-WP</v>
          </cell>
          <cell r="C6">
            <v>-2141990</v>
          </cell>
          <cell r="D6">
            <v>-137156</v>
          </cell>
          <cell r="E6">
            <v>-2279146</v>
          </cell>
          <cell r="F6">
            <v>-2279146</v>
          </cell>
          <cell r="G6">
            <v>0</v>
          </cell>
          <cell r="H6">
            <v>-2279146</v>
          </cell>
        </row>
        <row r="7">
          <cell r="A7" t="str">
            <v>100-15-010</v>
          </cell>
          <cell r="B7" t="str">
            <v>RENEWAL PREMIUMS -PAIC</v>
          </cell>
          <cell r="C7">
            <v>-192941324.88999999</v>
          </cell>
          <cell r="D7">
            <v>-13387927.51</v>
          </cell>
          <cell r="E7">
            <v>-206329252.40000001</v>
          </cell>
          <cell r="F7">
            <v>-206329252.40000001</v>
          </cell>
          <cell r="G7">
            <v>0</v>
          </cell>
          <cell r="H7">
            <v>-206329252.40000001</v>
          </cell>
        </row>
        <row r="8">
          <cell r="A8" t="str">
            <v>100-15-020</v>
          </cell>
          <cell r="B8" t="str">
            <v>RENEWAL PREMIUMS -FFP</v>
          </cell>
          <cell r="C8">
            <v>-103026494</v>
          </cell>
          <cell r="D8">
            <v>-8049989.2000000002</v>
          </cell>
          <cell r="E8">
            <v>-111076483.2</v>
          </cell>
          <cell r="F8">
            <v>-111076483.2</v>
          </cell>
          <cell r="G8">
            <v>0</v>
          </cell>
          <cell r="H8">
            <v>-111076483.2</v>
          </cell>
        </row>
        <row r="9">
          <cell r="A9" t="str">
            <v>100-15-030</v>
          </cell>
          <cell r="B9" t="str">
            <v>RENEWAL PREMIUMS -WP</v>
          </cell>
          <cell r="C9">
            <v>-367887954</v>
          </cell>
          <cell r="D9">
            <v>-16968617</v>
          </cell>
          <cell r="E9">
            <v>-384856571</v>
          </cell>
          <cell r="F9">
            <v>-384856571</v>
          </cell>
          <cell r="G9">
            <v>0</v>
          </cell>
          <cell r="H9">
            <v>-384856571</v>
          </cell>
        </row>
        <row r="10">
          <cell r="A10" t="str">
            <v>100-20-010</v>
          </cell>
          <cell r="B10" t="str">
            <v>LAPSES</v>
          </cell>
          <cell r="C10">
            <v>18640372.140000001</v>
          </cell>
          <cell r="D10">
            <v>2293894.5</v>
          </cell>
          <cell r="E10">
            <v>20934266.640000001</v>
          </cell>
          <cell r="F10">
            <v>20934266.640000001</v>
          </cell>
          <cell r="G10">
            <v>0</v>
          </cell>
          <cell r="H10">
            <v>20934266.640000001</v>
          </cell>
        </row>
        <row r="11">
          <cell r="A11" t="str">
            <v>100-20-020</v>
          </cell>
          <cell r="B11" t="str">
            <v>DIA WEALTH PROVIDER</v>
          </cell>
          <cell r="C11">
            <v>0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</row>
        <row r="12">
          <cell r="A12" t="str">
            <v>100-25-010</v>
          </cell>
          <cell r="B12" t="str">
            <v>SINGLE PREMIUMS</v>
          </cell>
          <cell r="C12">
            <v>-1608060.05</v>
          </cell>
          <cell r="D12">
            <v>0</v>
          </cell>
          <cell r="E12">
            <v>-1608060.05</v>
          </cell>
          <cell r="F12">
            <v>-1608060.05</v>
          </cell>
          <cell r="G12">
            <v>0</v>
          </cell>
          <cell r="H12">
            <v>-1608060.05</v>
          </cell>
        </row>
        <row r="13">
          <cell r="A13" t="str">
            <v>100-25-020</v>
          </cell>
          <cell r="B13" t="str">
            <v>RENEWAL WP</v>
          </cell>
          <cell r="C13">
            <v>0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</row>
        <row r="14">
          <cell r="A14" t="str">
            <v>100-30-010</v>
          </cell>
          <cell r="B14" t="str">
            <v>GROUP LIFE SCHEME</v>
          </cell>
          <cell r="C14">
            <v>-157216808.21000001</v>
          </cell>
          <cell r="D14">
            <v>-27040325.390000001</v>
          </cell>
          <cell r="E14">
            <v>-184257133.59999999</v>
          </cell>
          <cell r="F14">
            <v>-184257133.59999999</v>
          </cell>
          <cell r="G14">
            <v>0</v>
          </cell>
          <cell r="H14">
            <v>-184257133.59999999</v>
          </cell>
        </row>
        <row r="15">
          <cell r="A15" t="str">
            <v>100-30-020</v>
          </cell>
          <cell r="B15" t="str">
            <v>GROUP DISABILITY SCHEME</v>
          </cell>
          <cell r="C15">
            <v>-3228283</v>
          </cell>
          <cell r="D15">
            <v>0</v>
          </cell>
          <cell r="E15">
            <v>-3228283</v>
          </cell>
          <cell r="F15">
            <v>-3228283</v>
          </cell>
          <cell r="G15">
            <v>0</v>
          </cell>
          <cell r="H15">
            <v>-3228283</v>
          </cell>
        </row>
        <row r="16">
          <cell r="A16" t="str">
            <v>100-30-030</v>
          </cell>
          <cell r="B16" t="str">
            <v>GROUP CREDIT SCHEME</v>
          </cell>
          <cell r="C16">
            <v>-114750506.69</v>
          </cell>
          <cell r="D16">
            <v>-14787539.199999999</v>
          </cell>
          <cell r="E16">
            <v>-129538045.89</v>
          </cell>
          <cell r="F16">
            <v>-129538045.89</v>
          </cell>
          <cell r="G16">
            <v>0</v>
          </cell>
          <cell r="H16">
            <v>-129538045.89</v>
          </cell>
        </row>
        <row r="17">
          <cell r="A17" t="str">
            <v>100-30-040</v>
          </cell>
          <cell r="B17" t="str">
            <v>GROUP LAST EXPENSE</v>
          </cell>
          <cell r="C17">
            <v>-7608762</v>
          </cell>
          <cell r="D17">
            <v>-71300</v>
          </cell>
          <cell r="E17">
            <v>-7680062</v>
          </cell>
          <cell r="F17">
            <v>-7680062</v>
          </cell>
          <cell r="G17">
            <v>0</v>
          </cell>
          <cell r="H17">
            <v>-7680062</v>
          </cell>
        </row>
        <row r="18">
          <cell r="A18" t="str">
            <v>100-30-050</v>
          </cell>
          <cell r="B18" t="str">
            <v>GROUP MORTGAGE SCHEME</v>
          </cell>
          <cell r="C18">
            <v>-12195926.050000001</v>
          </cell>
          <cell r="D18">
            <v>-392605</v>
          </cell>
          <cell r="E18">
            <v>-12588531.050000001</v>
          </cell>
          <cell r="F18">
            <v>-12588531.050000001</v>
          </cell>
          <cell r="G18">
            <v>0</v>
          </cell>
          <cell r="H18">
            <v>-12588531.050000001</v>
          </cell>
        </row>
        <row r="19">
          <cell r="A19" t="str">
            <v>100-30-060</v>
          </cell>
          <cell r="B19" t="str">
            <v>GROUP PENSION SCHEME</v>
          </cell>
          <cell r="C19">
            <v>-23485812.079999998</v>
          </cell>
          <cell r="D19">
            <v>-1917326</v>
          </cell>
          <cell r="E19">
            <v>-25403138.079999998</v>
          </cell>
          <cell r="F19">
            <v>-25403138.079999998</v>
          </cell>
          <cell r="G19">
            <v>0</v>
          </cell>
          <cell r="H19">
            <v>-25403138.079999998</v>
          </cell>
        </row>
        <row r="20">
          <cell r="A20" t="str">
            <v>100-30-070</v>
          </cell>
          <cell r="B20" t="str">
            <v>HARAMBEE SCHEME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</row>
        <row r="21">
          <cell r="A21" t="str">
            <v>200-10-010</v>
          </cell>
          <cell r="B21" t="str">
            <v>RE-PREMIUMS INDIVIDUAL LIFE</v>
          </cell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</row>
        <row r="22">
          <cell r="A22" t="str">
            <v>200-10-011</v>
          </cell>
          <cell r="B22" t="str">
            <v>REASSURANCE PREM/ENDOWMENT POLICY</v>
          </cell>
          <cell r="C22">
            <v>0</v>
          </cell>
          <cell r="D22">
            <v>67811</v>
          </cell>
          <cell r="E22">
            <v>67811</v>
          </cell>
          <cell r="F22">
            <v>67811</v>
          </cell>
          <cell r="G22">
            <v>0</v>
          </cell>
          <cell r="H22">
            <v>67811</v>
          </cell>
        </row>
        <row r="23">
          <cell r="A23" t="str">
            <v>200-10-012</v>
          </cell>
          <cell r="B23" t="str">
            <v>REASSURACE PREM FFFP POLICIES</v>
          </cell>
          <cell r="C23">
            <v>0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</row>
        <row r="24">
          <cell r="A24" t="str">
            <v>200-10-013</v>
          </cell>
          <cell r="B24" t="str">
            <v>REASSURANCE PREM WP/POLICIES</v>
          </cell>
          <cell r="C24">
            <v>1227888</v>
          </cell>
          <cell r="D24">
            <v>71869</v>
          </cell>
          <cell r="E24">
            <v>1299757</v>
          </cell>
          <cell r="F24">
            <v>1299757</v>
          </cell>
          <cell r="G24">
            <v>0</v>
          </cell>
          <cell r="H24">
            <v>1299757</v>
          </cell>
        </row>
        <row r="25">
          <cell r="A25" t="str">
            <v>200-15-010</v>
          </cell>
          <cell r="C25">
            <v>0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</row>
        <row r="26">
          <cell r="A26" t="str">
            <v>200-15-011</v>
          </cell>
          <cell r="B26" t="str">
            <v>REASSURANCE PREMIUMS -GROUP LIFE</v>
          </cell>
          <cell r="C26">
            <v>94585356</v>
          </cell>
          <cell r="D26">
            <v>26235675</v>
          </cell>
          <cell r="E26">
            <v>120821031</v>
          </cell>
          <cell r="F26">
            <v>120821031</v>
          </cell>
          <cell r="G26">
            <v>0</v>
          </cell>
          <cell r="H26">
            <v>120821031</v>
          </cell>
        </row>
        <row r="27">
          <cell r="A27" t="str">
            <v>200-15-012</v>
          </cell>
          <cell r="B27" t="str">
            <v>REASSURANCE PREMIUMS-GROUP MORTGAGE</v>
          </cell>
          <cell r="C27">
            <v>5178264</v>
          </cell>
          <cell r="D27">
            <v>326244</v>
          </cell>
          <cell r="E27">
            <v>5504508</v>
          </cell>
          <cell r="F27">
            <v>5504508</v>
          </cell>
          <cell r="G27">
            <v>0</v>
          </cell>
          <cell r="H27">
            <v>5504508</v>
          </cell>
        </row>
        <row r="28">
          <cell r="A28" t="str">
            <v>200-15-013</v>
          </cell>
          <cell r="B28" t="str">
            <v>REASSURANCE PREMIUMS-GROUP CREDIT</v>
          </cell>
          <cell r="C28">
            <v>8249980</v>
          </cell>
          <cell r="D28">
            <v>40995</v>
          </cell>
          <cell r="E28">
            <v>8290975</v>
          </cell>
          <cell r="F28">
            <v>8290975</v>
          </cell>
          <cell r="G28">
            <v>0</v>
          </cell>
          <cell r="H28">
            <v>8290975</v>
          </cell>
        </row>
        <row r="29">
          <cell r="A29" t="str">
            <v>200-15-014</v>
          </cell>
          <cell r="B29" t="str">
            <v>REASSURANCE PREMIUMS -GROUP DISABILITY</v>
          </cell>
          <cell r="C29">
            <v>1323769</v>
          </cell>
          <cell r="D29">
            <v>-143348</v>
          </cell>
          <cell r="E29">
            <v>1180421</v>
          </cell>
          <cell r="F29">
            <v>1180421</v>
          </cell>
          <cell r="G29">
            <v>0</v>
          </cell>
          <cell r="H29">
            <v>1180421</v>
          </cell>
        </row>
        <row r="30">
          <cell r="A30" t="str">
            <v>200-15-015</v>
          </cell>
          <cell r="B30" t="str">
            <v>GROUP MORTGAGE-SCHEMES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</row>
        <row r="31">
          <cell r="A31" t="str">
            <v>200-15-016</v>
          </cell>
          <cell r="B31" t="str">
            <v>GROUP PENSION SCHEMES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</row>
        <row r="32">
          <cell r="A32" t="str">
            <v>200-15-017</v>
          </cell>
          <cell r="B32" t="str">
            <v>GROUP HARAMBEE SCHEMES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</row>
        <row r="33">
          <cell r="A33" t="str">
            <v>200-20-010</v>
          </cell>
          <cell r="B33" t="str">
            <v>RE-COMMISSIONS INDIVIDUAL LIFE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</row>
        <row r="34">
          <cell r="A34" t="str">
            <v>200-20-011</v>
          </cell>
          <cell r="B34" t="str">
            <v>REASSURANCE COMM.WP</v>
          </cell>
          <cell r="C34">
            <v>-204012</v>
          </cell>
          <cell r="D34">
            <v>-12278</v>
          </cell>
          <cell r="E34">
            <v>-216290</v>
          </cell>
          <cell r="F34">
            <v>-216290</v>
          </cell>
          <cell r="G34">
            <v>0</v>
          </cell>
          <cell r="H34">
            <v>-216290</v>
          </cell>
        </row>
        <row r="35">
          <cell r="A35" t="str">
            <v>200-20-012</v>
          </cell>
          <cell r="B35" t="str">
            <v>REASSURANCE COMM.FFFP</v>
          </cell>
          <cell r="C35">
            <v>0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</row>
        <row r="36">
          <cell r="A36" t="str">
            <v>200-20-013</v>
          </cell>
          <cell r="B36" t="str">
            <v>REASSURANCE COMMISSION-GROUP LIFE</v>
          </cell>
          <cell r="C36">
            <v>-24484342</v>
          </cell>
          <cell r="D36">
            <v>-6406344</v>
          </cell>
          <cell r="E36">
            <v>-30890686</v>
          </cell>
          <cell r="F36">
            <v>-30890686</v>
          </cell>
          <cell r="G36">
            <v>0</v>
          </cell>
          <cell r="H36">
            <v>-30890686</v>
          </cell>
        </row>
        <row r="37">
          <cell r="A37" t="str">
            <v>200-20-014</v>
          </cell>
          <cell r="B37" t="str">
            <v>REASSUARANCE COMMISSION-GROUP MORTGAGE</v>
          </cell>
          <cell r="C37">
            <v>-207148</v>
          </cell>
          <cell r="D37">
            <v>-81561</v>
          </cell>
          <cell r="E37">
            <v>-288709</v>
          </cell>
          <cell r="F37">
            <v>-288709</v>
          </cell>
          <cell r="G37">
            <v>0</v>
          </cell>
          <cell r="H37">
            <v>-288709</v>
          </cell>
        </row>
        <row r="38">
          <cell r="A38" t="str">
            <v>200-20-015</v>
          </cell>
          <cell r="B38" t="str">
            <v>REASSURANCE COMM-GROUP CREDIT</v>
          </cell>
          <cell r="C38">
            <v>-2062495</v>
          </cell>
          <cell r="D38">
            <v>-10249</v>
          </cell>
          <cell r="E38">
            <v>-2072744</v>
          </cell>
          <cell r="F38">
            <v>-2072744</v>
          </cell>
          <cell r="G38">
            <v>0</v>
          </cell>
          <cell r="H38">
            <v>-2072744</v>
          </cell>
        </row>
        <row r="39">
          <cell r="A39" t="str">
            <v>200-20-016</v>
          </cell>
          <cell r="B39" t="str">
            <v>REASSURANCE COMM-GROUP DISABILITY</v>
          </cell>
          <cell r="C39">
            <v>-330942</v>
          </cell>
          <cell r="D39">
            <v>35837</v>
          </cell>
          <cell r="E39">
            <v>-295105</v>
          </cell>
          <cell r="F39">
            <v>-295105</v>
          </cell>
          <cell r="G39">
            <v>0</v>
          </cell>
          <cell r="H39">
            <v>-295105</v>
          </cell>
        </row>
        <row r="40">
          <cell r="A40" t="str">
            <v>200-30-010</v>
          </cell>
          <cell r="C40">
            <v>0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</row>
        <row r="41">
          <cell r="A41" t="str">
            <v>200-30-011</v>
          </cell>
          <cell r="B41" t="str">
            <v>CLAIMS RECOVERED -GROUP LIFE ASSURANCE</v>
          </cell>
          <cell r="C41">
            <v>-67925379</v>
          </cell>
          <cell r="D41">
            <v>-9265933</v>
          </cell>
          <cell r="E41">
            <v>-77191312</v>
          </cell>
          <cell r="F41">
            <v>-77191312</v>
          </cell>
          <cell r="G41">
            <v>0</v>
          </cell>
          <cell r="H41">
            <v>-77191312</v>
          </cell>
        </row>
        <row r="42">
          <cell r="A42" t="str">
            <v>200-30-012</v>
          </cell>
          <cell r="B42" t="str">
            <v>CLAIMS RECOVERED GROUP MORTGAGE</v>
          </cell>
          <cell r="C42">
            <v>25067</v>
          </cell>
          <cell r="D42">
            <v>-1931519</v>
          </cell>
          <cell r="E42">
            <v>-1906452</v>
          </cell>
          <cell r="F42">
            <v>-1906452</v>
          </cell>
          <cell r="G42">
            <v>0</v>
          </cell>
          <cell r="H42">
            <v>-1906452</v>
          </cell>
        </row>
        <row r="43">
          <cell r="A43" t="str">
            <v>200-30-013</v>
          </cell>
          <cell r="B43" t="str">
            <v>CLAIMS RECOVERED-GROUP LAST EXPENSE</v>
          </cell>
          <cell r="C43">
            <v>0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</row>
        <row r="44">
          <cell r="A44" t="str">
            <v>200-30-014</v>
          </cell>
          <cell r="B44" t="str">
            <v>CLAIMS RECOVERED -GROUP CREDIT</v>
          </cell>
          <cell r="C44">
            <v>-5767491</v>
          </cell>
          <cell r="D44">
            <v>-1500428</v>
          </cell>
          <cell r="E44">
            <v>-7267919</v>
          </cell>
          <cell r="F44">
            <v>-7267919</v>
          </cell>
          <cell r="G44">
            <v>0</v>
          </cell>
          <cell r="H44">
            <v>-7267919</v>
          </cell>
        </row>
        <row r="45">
          <cell r="A45" t="str">
            <v>300-10-010</v>
          </cell>
          <cell r="B45" t="str">
            <v>LORESHO HOUSE</v>
          </cell>
          <cell r="C45">
            <v>-624498</v>
          </cell>
          <cell r="D45">
            <v>66201</v>
          </cell>
          <cell r="E45">
            <v>-558297</v>
          </cell>
          <cell r="F45">
            <v>-558297</v>
          </cell>
          <cell r="G45">
            <v>0</v>
          </cell>
          <cell r="H45">
            <v>-558297</v>
          </cell>
        </row>
        <row r="46">
          <cell r="A46" t="str">
            <v>300-10-020</v>
          </cell>
          <cell r="B46" t="str">
            <v>RETREAT VILLAS</v>
          </cell>
          <cell r="C46">
            <v>-717293</v>
          </cell>
          <cell r="D46">
            <v>960000</v>
          </cell>
          <cell r="E46">
            <v>242707</v>
          </cell>
          <cell r="F46">
            <v>242707</v>
          </cell>
          <cell r="G46">
            <v>0</v>
          </cell>
          <cell r="H46">
            <v>242707</v>
          </cell>
        </row>
        <row r="47">
          <cell r="A47" t="str">
            <v>300-10-030</v>
          </cell>
          <cell r="B47" t="str">
            <v>ARCADE PETROL STATION</v>
          </cell>
          <cell r="C47">
            <v>-1752000</v>
          </cell>
          <cell r="D47">
            <v>-175500</v>
          </cell>
          <cell r="E47">
            <v>-1927500</v>
          </cell>
          <cell r="F47">
            <v>-1927500</v>
          </cell>
          <cell r="G47">
            <v>0</v>
          </cell>
          <cell r="H47">
            <v>-1927500</v>
          </cell>
        </row>
        <row r="48">
          <cell r="A48" t="str">
            <v>300-10-040</v>
          </cell>
          <cell r="B48" t="str">
            <v>AMBALAL HOUSE</v>
          </cell>
          <cell r="C48">
            <v>-8160900</v>
          </cell>
          <cell r="D48">
            <v>4167052</v>
          </cell>
          <cell r="E48">
            <v>-3993848</v>
          </cell>
          <cell r="F48">
            <v>-3993848</v>
          </cell>
          <cell r="G48">
            <v>-5203213</v>
          </cell>
          <cell r="H48">
            <v>-9197061</v>
          </cell>
        </row>
        <row r="49">
          <cell r="A49" t="str">
            <v>300-10-050</v>
          </cell>
          <cell r="B49" t="str">
            <v>PAN AFRICA HOUSE NBI</v>
          </cell>
          <cell r="C49">
            <v>-11582853</v>
          </cell>
          <cell r="D49">
            <v>685656</v>
          </cell>
          <cell r="E49">
            <v>-10897197</v>
          </cell>
          <cell r="F49">
            <v>-10897197</v>
          </cell>
          <cell r="G49">
            <v>0</v>
          </cell>
          <cell r="H49">
            <v>-10897197</v>
          </cell>
        </row>
        <row r="50">
          <cell r="A50" t="str">
            <v>300-10-060</v>
          </cell>
          <cell r="B50" t="str">
            <v>AMMORTIZATION OF LAND AND BUILDINGS</v>
          </cell>
          <cell r="C50">
            <v>351065</v>
          </cell>
          <cell r="D50">
            <v>31915</v>
          </cell>
          <cell r="E50">
            <v>382980</v>
          </cell>
          <cell r="F50">
            <v>382980</v>
          </cell>
          <cell r="G50">
            <v>0</v>
          </cell>
          <cell r="H50">
            <v>382980</v>
          </cell>
        </row>
        <row r="51">
          <cell r="A51" t="str">
            <v>300-13-010</v>
          </cell>
          <cell r="B51" t="str">
            <v>PROPERTY VALUATION GAIN</v>
          </cell>
          <cell r="C51">
            <v>0</v>
          </cell>
          <cell r="D51">
            <v>-3000000</v>
          </cell>
          <cell r="E51">
            <v>-3000000</v>
          </cell>
          <cell r="F51">
            <v>-3000000</v>
          </cell>
          <cell r="G51">
            <v>0</v>
          </cell>
          <cell r="H51">
            <v>-3000000</v>
          </cell>
        </row>
        <row r="52">
          <cell r="A52" t="str">
            <v>300-14-010</v>
          </cell>
          <cell r="B52" t="str">
            <v>LOSS ON DISPOSAL OF PROPERTIES</v>
          </cell>
          <cell r="C52">
            <v>33986298.939999998</v>
          </cell>
          <cell r="D52">
            <v>0</v>
          </cell>
          <cell r="E52">
            <v>33986298.939999998</v>
          </cell>
          <cell r="F52">
            <v>33986298.939999998</v>
          </cell>
          <cell r="G52">
            <v>0</v>
          </cell>
          <cell r="H52">
            <v>33986298.939999998</v>
          </cell>
        </row>
        <row r="53">
          <cell r="A53" t="str">
            <v>300-14-040</v>
          </cell>
          <cell r="B53" t="str">
            <v>LOSS/PROFIT DISPOSAL OF MOTOR VEHICLE</v>
          </cell>
          <cell r="C53">
            <v>-656100</v>
          </cell>
          <cell r="D53">
            <v>0</v>
          </cell>
          <cell r="E53">
            <v>-656100</v>
          </cell>
          <cell r="F53">
            <v>-656100</v>
          </cell>
          <cell r="G53">
            <v>0</v>
          </cell>
          <cell r="H53">
            <v>-656100</v>
          </cell>
        </row>
        <row r="54">
          <cell r="A54" t="str">
            <v>300-15-005</v>
          </cell>
          <cell r="B54" t="str">
            <v>ADMINISTRATION FEES INCOME</v>
          </cell>
          <cell r="C54">
            <v>0</v>
          </cell>
          <cell r="D54">
            <v>-373284.45</v>
          </cell>
          <cell r="E54">
            <v>-373284.45</v>
          </cell>
          <cell r="F54">
            <v>-373284.45</v>
          </cell>
          <cell r="G54">
            <v>0</v>
          </cell>
          <cell r="H54">
            <v>-373284.45</v>
          </cell>
        </row>
        <row r="55">
          <cell r="A55" t="str">
            <v>300-15-010</v>
          </cell>
          <cell r="B55" t="str">
            <v>MISC INCOMES</v>
          </cell>
          <cell r="C55">
            <v>-4472849.07</v>
          </cell>
          <cell r="D55">
            <v>345601.67</v>
          </cell>
          <cell r="E55">
            <v>-4127247.4</v>
          </cell>
          <cell r="F55">
            <v>-4127247.4</v>
          </cell>
          <cell r="G55">
            <v>0</v>
          </cell>
          <cell r="H55">
            <v>-4127247.4</v>
          </cell>
        </row>
        <row r="56">
          <cell r="A56" t="str">
            <v>300-15-015</v>
          </cell>
          <cell r="B56" t="str">
            <v>GAIN/LOSS ON FEREIGN EXCHAGE</v>
          </cell>
          <cell r="C56">
            <v>64271.14</v>
          </cell>
          <cell r="D56">
            <v>47565.599999999999</v>
          </cell>
          <cell r="E56">
            <v>111836.74</v>
          </cell>
          <cell r="F56">
            <v>111836.74</v>
          </cell>
          <cell r="G56">
            <v>0</v>
          </cell>
          <cell r="H56">
            <v>111836.74</v>
          </cell>
        </row>
        <row r="57">
          <cell r="A57" t="str">
            <v>300-15-020</v>
          </cell>
          <cell r="B57" t="str">
            <v>MORTAGE INTEREST STAFF</v>
          </cell>
          <cell r="C57">
            <v>-2935900.27</v>
          </cell>
          <cell r="D57">
            <v>-387139.01</v>
          </cell>
          <cell r="E57">
            <v>-3323039.28</v>
          </cell>
          <cell r="F57">
            <v>-3323039.28</v>
          </cell>
          <cell r="G57">
            <v>0</v>
          </cell>
          <cell r="H57">
            <v>-3323039.28</v>
          </cell>
        </row>
        <row r="58">
          <cell r="A58" t="str">
            <v>300-15-025</v>
          </cell>
          <cell r="B58" t="str">
            <v>PROFIT COMMISSION-REINSURANCE</v>
          </cell>
          <cell r="C58">
            <v>-12103676.85</v>
          </cell>
          <cell r="D58">
            <v>0</v>
          </cell>
          <cell r="E58">
            <v>-12103676.85</v>
          </cell>
          <cell r="F58">
            <v>-12103676.85</v>
          </cell>
          <cell r="G58">
            <v>0</v>
          </cell>
          <cell r="H58">
            <v>-12103676.85</v>
          </cell>
        </row>
        <row r="59">
          <cell r="A59" t="str">
            <v>300-15-030</v>
          </cell>
          <cell r="B59" t="str">
            <v>PROPERTY REVALUATION GAIN</v>
          </cell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</row>
        <row r="60">
          <cell r="A60" t="str">
            <v>300-20-030</v>
          </cell>
          <cell r="B60" t="str">
            <v>DIVIDENED INCOME</v>
          </cell>
          <cell r="C60">
            <v>-8703301.7400000002</v>
          </cell>
          <cell r="D60">
            <v>-1493774.4</v>
          </cell>
          <cell r="E60">
            <v>-10197076.140000001</v>
          </cell>
          <cell r="F60">
            <v>-10197076.140000001</v>
          </cell>
          <cell r="G60">
            <v>0</v>
          </cell>
          <cell r="H60">
            <v>-10197076.140000001</v>
          </cell>
        </row>
        <row r="61">
          <cell r="A61" t="str">
            <v>300-30-010</v>
          </cell>
          <cell r="B61" t="str">
            <v>SERVICE CHARGE LOAN ON POLICY</v>
          </cell>
          <cell r="C61">
            <v>-1072676</v>
          </cell>
          <cell r="D61">
            <v>-188908.15</v>
          </cell>
          <cell r="E61">
            <v>-1261584.1499999999</v>
          </cell>
          <cell r="F61">
            <v>-1261584.1499999999</v>
          </cell>
          <cell r="G61">
            <v>0</v>
          </cell>
          <cell r="H61">
            <v>-1261584.1499999999</v>
          </cell>
        </row>
        <row r="62">
          <cell r="A62" t="str">
            <v>300-30-020</v>
          </cell>
          <cell r="B62" t="str">
            <v>INTEREST ON LOAN ON POLICY</v>
          </cell>
          <cell r="C62">
            <v>-10752746.25</v>
          </cell>
          <cell r="D62">
            <v>243362.57</v>
          </cell>
          <cell r="E62">
            <v>-10509383.68</v>
          </cell>
          <cell r="F62">
            <v>-10509383.68</v>
          </cell>
          <cell r="G62">
            <v>0</v>
          </cell>
          <cell r="H62">
            <v>-10509383.68</v>
          </cell>
        </row>
        <row r="63">
          <cell r="A63" t="str">
            <v>300-30-030</v>
          </cell>
          <cell r="B63" t="str">
            <v>INTEREST ON COMMERCIAL PAPER</v>
          </cell>
          <cell r="C63">
            <v>-12247761.310000001</v>
          </cell>
          <cell r="D63">
            <v>882669.48</v>
          </cell>
          <cell r="E63">
            <v>-11365091.83</v>
          </cell>
          <cell r="F63">
            <v>-11365091.83</v>
          </cell>
          <cell r="G63">
            <v>0</v>
          </cell>
          <cell r="H63">
            <v>-11365091.83</v>
          </cell>
        </row>
        <row r="64">
          <cell r="A64" t="str">
            <v>300-30-040</v>
          </cell>
          <cell r="B64" t="str">
            <v>PREMIUM ON BONDS</v>
          </cell>
          <cell r="C64">
            <v>384882.7</v>
          </cell>
          <cell r="D64">
            <v>5302761.7300000004</v>
          </cell>
          <cell r="E64">
            <v>5687644.4299999997</v>
          </cell>
          <cell r="F64">
            <v>5687644.4299999997</v>
          </cell>
          <cell r="G64">
            <v>0</v>
          </cell>
          <cell r="H64">
            <v>5687644.4299999997</v>
          </cell>
        </row>
        <row r="65">
          <cell r="A65" t="str">
            <v>300-30-050</v>
          </cell>
          <cell r="B65" t="str">
            <v>INTEREST ON FD</v>
          </cell>
          <cell r="C65">
            <v>-14025847.92</v>
          </cell>
          <cell r="D65">
            <v>-2748343.84</v>
          </cell>
          <cell r="E65">
            <v>-16774191.76</v>
          </cell>
          <cell r="F65">
            <v>-16774191.76</v>
          </cell>
          <cell r="G65">
            <v>0</v>
          </cell>
          <cell r="H65">
            <v>-16774191.76</v>
          </cell>
        </row>
        <row r="66">
          <cell r="A66" t="str">
            <v>300-30-060</v>
          </cell>
          <cell r="B66" t="str">
            <v>INTEREST ON TB</v>
          </cell>
          <cell r="C66">
            <v>-111967490.28</v>
          </cell>
          <cell r="D66">
            <v>10360455.600000001</v>
          </cell>
          <cell r="E66">
            <v>-101607034.68000001</v>
          </cell>
          <cell r="F66">
            <v>-101607034.68000001</v>
          </cell>
          <cell r="G66">
            <v>0</v>
          </cell>
          <cell r="H66">
            <v>-101607034.68000001</v>
          </cell>
        </row>
        <row r="67">
          <cell r="A67" t="str">
            <v>300-30-065</v>
          </cell>
          <cell r="B67" t="str">
            <v>AIG FEES</v>
          </cell>
          <cell r="C67">
            <v>8658524.1999999993</v>
          </cell>
          <cell r="D67">
            <v>932610.55</v>
          </cell>
          <cell r="E67">
            <v>9591134.75</v>
          </cell>
          <cell r="F67">
            <v>9591134.75</v>
          </cell>
          <cell r="G67">
            <v>0</v>
          </cell>
          <cell r="H67">
            <v>9591134.75</v>
          </cell>
        </row>
        <row r="68">
          <cell r="A68" t="str">
            <v>300-30-070</v>
          </cell>
          <cell r="B68" t="str">
            <v>STANBIC FEES</v>
          </cell>
          <cell r="C68">
            <v>2461303.34</v>
          </cell>
          <cell r="D68">
            <v>-9437.08</v>
          </cell>
          <cell r="E68">
            <v>2451866.2599999998</v>
          </cell>
          <cell r="F68">
            <v>2451866.2599999998</v>
          </cell>
          <cell r="G68">
            <v>0</v>
          </cell>
          <cell r="H68">
            <v>2451866.2599999998</v>
          </cell>
        </row>
        <row r="69">
          <cell r="A69" t="str">
            <v>300-30-075</v>
          </cell>
          <cell r="B69" t="str">
            <v>GAIN/LOSS ON GOV'T SECURITIES</v>
          </cell>
          <cell r="C69">
            <v>1524359.1</v>
          </cell>
          <cell r="D69">
            <v>-1524359.1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</row>
        <row r="70">
          <cell r="A70" t="str">
            <v>300-30-080</v>
          </cell>
          <cell r="B70" t="str">
            <v>ADVERTISING(UNIT PRICE)</v>
          </cell>
          <cell r="C70">
            <v>60134.5</v>
          </cell>
          <cell r="D70">
            <v>0</v>
          </cell>
          <cell r="E70">
            <v>60134.5</v>
          </cell>
          <cell r="F70">
            <v>60134.5</v>
          </cell>
          <cell r="G70">
            <v>0</v>
          </cell>
          <cell r="H70">
            <v>60134.5</v>
          </cell>
        </row>
        <row r="71">
          <cell r="A71" t="str">
            <v>300-85-010</v>
          </cell>
          <cell r="B71" t="str">
            <v>REALIZED GAINS ON SHARES</v>
          </cell>
          <cell r="C71">
            <v>-5164548.45</v>
          </cell>
          <cell r="D71">
            <v>-1571150</v>
          </cell>
          <cell r="E71">
            <v>-6735698.4500000002</v>
          </cell>
          <cell r="F71">
            <v>-6735698.4500000002</v>
          </cell>
          <cell r="G71">
            <v>0</v>
          </cell>
          <cell r="H71">
            <v>-6735698.4500000002</v>
          </cell>
        </row>
        <row r="72">
          <cell r="A72" t="str">
            <v>300-95-010</v>
          </cell>
          <cell r="B72" t="str">
            <v>GAIN/LOSS ON SHARES VALUE</v>
          </cell>
          <cell r="C72">
            <v>-91794454.939999998</v>
          </cell>
          <cell r="D72">
            <v>-5464749.2000000002</v>
          </cell>
          <cell r="E72">
            <v>-97259204.140000001</v>
          </cell>
          <cell r="F72">
            <v>-97259204.140000001</v>
          </cell>
          <cell r="G72">
            <v>0</v>
          </cell>
          <cell r="H72">
            <v>-97259204.140000001</v>
          </cell>
        </row>
        <row r="73">
          <cell r="A73" t="str">
            <v>300-95-015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</row>
        <row r="74">
          <cell r="A74" t="str">
            <v>400-10-010</v>
          </cell>
          <cell r="B74" t="str">
            <v>BASIC SALARY</v>
          </cell>
          <cell r="C74">
            <v>81078189.650000006</v>
          </cell>
          <cell r="D74">
            <v>8254977.1399999997</v>
          </cell>
          <cell r="E74">
            <v>89333166.790000007</v>
          </cell>
          <cell r="F74">
            <v>89333166.790000007</v>
          </cell>
          <cell r="G74">
            <v>0</v>
          </cell>
          <cell r="H74">
            <v>89333166.790000007</v>
          </cell>
        </row>
        <row r="75">
          <cell r="A75" t="str">
            <v>400-10-012</v>
          </cell>
          <cell r="B75" t="str">
            <v>PROVISION FOR MORT.RATE</v>
          </cell>
          <cell r="C75">
            <v>1425665</v>
          </cell>
          <cell r="D75">
            <v>128035</v>
          </cell>
          <cell r="E75">
            <v>1553700</v>
          </cell>
          <cell r="F75">
            <v>1553700</v>
          </cell>
          <cell r="G75">
            <v>0</v>
          </cell>
          <cell r="H75">
            <v>1553700</v>
          </cell>
        </row>
        <row r="76">
          <cell r="A76" t="str">
            <v>400-10-020</v>
          </cell>
          <cell r="B76" t="str">
            <v>HOUSE ALLOWANCE</v>
          </cell>
          <cell r="C76">
            <v>10530749.99</v>
          </cell>
          <cell r="D76">
            <v>1012625</v>
          </cell>
          <cell r="E76">
            <v>11543374.99</v>
          </cell>
          <cell r="F76">
            <v>11543374.99</v>
          </cell>
          <cell r="G76">
            <v>0</v>
          </cell>
          <cell r="H76">
            <v>11543374.99</v>
          </cell>
        </row>
        <row r="77">
          <cell r="A77" t="str">
            <v>400-10-030</v>
          </cell>
          <cell r="B77" t="str">
            <v>TELEPHONE ALLOWANCE</v>
          </cell>
          <cell r="C77">
            <v>409294</v>
          </cell>
          <cell r="D77">
            <v>44000</v>
          </cell>
          <cell r="E77">
            <v>453294</v>
          </cell>
          <cell r="F77">
            <v>453294</v>
          </cell>
          <cell r="G77">
            <v>0</v>
          </cell>
          <cell r="H77">
            <v>453294</v>
          </cell>
        </row>
        <row r="78">
          <cell r="A78" t="str">
            <v>400-10-040</v>
          </cell>
          <cell r="B78" t="str">
            <v>SECURITY ALLOWANCE</v>
          </cell>
          <cell r="C78">
            <v>885000</v>
          </cell>
          <cell r="D78">
            <v>90000</v>
          </cell>
          <cell r="E78">
            <v>975000</v>
          </cell>
          <cell r="F78">
            <v>975000</v>
          </cell>
          <cell r="G78">
            <v>0</v>
          </cell>
          <cell r="H78">
            <v>975000</v>
          </cell>
        </row>
        <row r="79">
          <cell r="A79" t="str">
            <v>400-10-050</v>
          </cell>
          <cell r="B79" t="str">
            <v>EDUCATION ALLOWANCE</v>
          </cell>
          <cell r="C79">
            <v>519020</v>
          </cell>
          <cell r="D79">
            <v>75820</v>
          </cell>
          <cell r="E79">
            <v>594840</v>
          </cell>
          <cell r="F79">
            <v>594840</v>
          </cell>
          <cell r="G79">
            <v>0</v>
          </cell>
          <cell r="H79">
            <v>594840</v>
          </cell>
        </row>
        <row r="80">
          <cell r="A80" t="str">
            <v>400-10-060</v>
          </cell>
          <cell r="B80" t="str">
            <v>TRAVEL ALLOWANCE</v>
          </cell>
          <cell r="C80">
            <v>5854498.3499999996</v>
          </cell>
          <cell r="D80">
            <v>652080</v>
          </cell>
          <cell r="E80">
            <v>6506578.3499999996</v>
          </cell>
          <cell r="F80">
            <v>6506578.3499999996</v>
          </cell>
          <cell r="G80">
            <v>0</v>
          </cell>
          <cell r="H80">
            <v>6506578.3499999996</v>
          </cell>
        </row>
        <row r="81">
          <cell r="A81" t="str">
            <v>400-10-070</v>
          </cell>
          <cell r="B81" t="str">
            <v>PENSION</v>
          </cell>
          <cell r="C81">
            <v>7194587.5</v>
          </cell>
          <cell r="D81">
            <v>-5447202.5</v>
          </cell>
          <cell r="E81">
            <v>1747385</v>
          </cell>
          <cell r="F81">
            <v>1747385</v>
          </cell>
          <cell r="G81">
            <v>0</v>
          </cell>
          <cell r="H81">
            <v>1747385</v>
          </cell>
        </row>
        <row r="82">
          <cell r="A82" t="str">
            <v>400-10-075</v>
          </cell>
          <cell r="B82" t="str">
            <v>LONG SERVICE AWARDS</v>
          </cell>
          <cell r="C82">
            <v>0</v>
          </cell>
          <cell r="D82">
            <v>170000</v>
          </cell>
          <cell r="E82">
            <v>170000</v>
          </cell>
          <cell r="F82">
            <v>170000</v>
          </cell>
          <cell r="G82">
            <v>0</v>
          </cell>
          <cell r="H82">
            <v>170000</v>
          </cell>
        </row>
        <row r="83">
          <cell r="A83" t="str">
            <v>400-10-080</v>
          </cell>
          <cell r="B83" t="str">
            <v>LAST EXPENSE</v>
          </cell>
          <cell r="C83">
            <v>50729.22</v>
          </cell>
          <cell r="D83">
            <v>4520.84</v>
          </cell>
          <cell r="E83">
            <v>55250.06</v>
          </cell>
          <cell r="F83">
            <v>55250.06</v>
          </cell>
          <cell r="G83">
            <v>0</v>
          </cell>
          <cell r="H83">
            <v>55250.06</v>
          </cell>
        </row>
        <row r="84">
          <cell r="A84" t="str">
            <v>400-10-085</v>
          </cell>
          <cell r="B84" t="str">
            <v>ACADEMIC ACHIEVEMENTS</v>
          </cell>
          <cell r="C84">
            <v>0</v>
          </cell>
          <cell r="D84">
            <v>239600</v>
          </cell>
          <cell r="E84">
            <v>239600</v>
          </cell>
          <cell r="F84">
            <v>239600</v>
          </cell>
          <cell r="G84">
            <v>0</v>
          </cell>
          <cell r="H84">
            <v>239600</v>
          </cell>
        </row>
        <row r="85">
          <cell r="A85" t="str">
            <v>400-10-090</v>
          </cell>
          <cell r="B85" t="str">
            <v>GROUP LIFE ASSURANCE</v>
          </cell>
          <cell r="C85">
            <v>1586174.61</v>
          </cell>
          <cell r="D85">
            <v>139270.01999999999</v>
          </cell>
          <cell r="E85">
            <v>1725444.63</v>
          </cell>
          <cell r="F85">
            <v>1725444.63</v>
          </cell>
          <cell r="G85">
            <v>0</v>
          </cell>
          <cell r="H85">
            <v>1725444.63</v>
          </cell>
        </row>
        <row r="86">
          <cell r="A86" t="str">
            <v>400-10-100</v>
          </cell>
          <cell r="B86" t="str">
            <v>STAFF MEDICAL</v>
          </cell>
          <cell r="C86">
            <v>6885813.1699999999</v>
          </cell>
          <cell r="D86">
            <v>1140350.33</v>
          </cell>
          <cell r="E86">
            <v>8026163.5</v>
          </cell>
          <cell r="F86">
            <v>8026163.5</v>
          </cell>
          <cell r="G86">
            <v>0</v>
          </cell>
          <cell r="H86">
            <v>8026163.5</v>
          </cell>
        </row>
        <row r="87">
          <cell r="A87" t="str">
            <v>400-10-110</v>
          </cell>
          <cell r="B87" t="str">
            <v>CASH IN LIUE OF LEAVE</v>
          </cell>
          <cell r="C87">
            <v>1866797.14</v>
          </cell>
          <cell r="D87">
            <v>-29322</v>
          </cell>
          <cell r="E87">
            <v>1837475.14</v>
          </cell>
          <cell r="F87">
            <v>1837475.14</v>
          </cell>
          <cell r="G87">
            <v>0</v>
          </cell>
          <cell r="H87">
            <v>1837475.14</v>
          </cell>
        </row>
        <row r="88">
          <cell r="A88" t="str">
            <v>400-10-120</v>
          </cell>
          <cell r="B88" t="str">
            <v>GRATUITY</v>
          </cell>
          <cell r="C88">
            <v>6543712.9000000004</v>
          </cell>
          <cell r="D88">
            <v>594883</v>
          </cell>
          <cell r="E88">
            <v>7138595.9000000004</v>
          </cell>
          <cell r="F88">
            <v>7138595.9000000004</v>
          </cell>
          <cell r="G88">
            <v>0</v>
          </cell>
          <cell r="H88">
            <v>7138595.9000000004</v>
          </cell>
        </row>
        <row r="89">
          <cell r="A89" t="str">
            <v>400-10-130</v>
          </cell>
          <cell r="B89" t="str">
            <v>STAFF RECRUTMENT &amp; REMOVAL</v>
          </cell>
          <cell r="C89">
            <v>1779067.5</v>
          </cell>
          <cell r="D89">
            <v>2750</v>
          </cell>
          <cell r="E89">
            <v>1781817.5</v>
          </cell>
          <cell r="F89">
            <v>1781817.5</v>
          </cell>
          <cell r="G89">
            <v>0</v>
          </cell>
          <cell r="H89">
            <v>1781817.5</v>
          </cell>
        </row>
        <row r="90">
          <cell r="A90" t="str">
            <v>400-10-140</v>
          </cell>
          <cell r="B90" t="str">
            <v>TERMINAL DUES</v>
          </cell>
          <cell r="C90">
            <v>226506.16</v>
          </cell>
          <cell r="D90">
            <v>0</v>
          </cell>
          <cell r="E90">
            <v>226506.16</v>
          </cell>
          <cell r="F90">
            <v>226506.16</v>
          </cell>
          <cell r="G90">
            <v>0</v>
          </cell>
          <cell r="H90">
            <v>226506.16</v>
          </cell>
        </row>
        <row r="91">
          <cell r="A91" t="str">
            <v>400-20-010</v>
          </cell>
          <cell r="B91" t="str">
            <v>N.S.S.F</v>
          </cell>
          <cell r="C91">
            <v>181400</v>
          </cell>
          <cell r="D91">
            <v>1000</v>
          </cell>
          <cell r="E91">
            <v>182400</v>
          </cell>
          <cell r="F91">
            <v>182400</v>
          </cell>
          <cell r="G91">
            <v>0</v>
          </cell>
          <cell r="H91">
            <v>182400</v>
          </cell>
        </row>
        <row r="92">
          <cell r="A92" t="str">
            <v>400-20-020</v>
          </cell>
          <cell r="B92" t="str">
            <v>N.H.I.F.</v>
          </cell>
          <cell r="C92">
            <v>198930</v>
          </cell>
          <cell r="D92">
            <v>35160</v>
          </cell>
          <cell r="E92">
            <v>234090</v>
          </cell>
          <cell r="F92">
            <v>234090</v>
          </cell>
          <cell r="G92">
            <v>0</v>
          </cell>
          <cell r="H92">
            <v>234090</v>
          </cell>
        </row>
        <row r="93">
          <cell r="A93" t="str">
            <v>400-30-010</v>
          </cell>
          <cell r="B93" t="str">
            <v>DEPRECIATION-FURNITURE</v>
          </cell>
          <cell r="C93">
            <v>4255259.3899999997</v>
          </cell>
          <cell r="D93">
            <v>447647.43</v>
          </cell>
          <cell r="E93">
            <v>4702906.82</v>
          </cell>
          <cell r="F93">
            <v>4702906.82</v>
          </cell>
          <cell r="G93">
            <v>0</v>
          </cell>
          <cell r="H93">
            <v>4702906.82</v>
          </cell>
        </row>
        <row r="94">
          <cell r="A94" t="str">
            <v>400-30-020</v>
          </cell>
          <cell r="B94" t="str">
            <v>DEPRECIATION COMPUTER</v>
          </cell>
          <cell r="C94">
            <v>6357890.1100000003</v>
          </cell>
          <cell r="D94">
            <v>-5874.54</v>
          </cell>
          <cell r="E94">
            <v>6352015.5700000003</v>
          </cell>
          <cell r="F94">
            <v>6352015.5700000003</v>
          </cell>
          <cell r="G94">
            <v>0</v>
          </cell>
          <cell r="H94">
            <v>6352015.5700000003</v>
          </cell>
        </row>
        <row r="95">
          <cell r="A95" t="str">
            <v>400-30-030</v>
          </cell>
          <cell r="B95" t="str">
            <v>DEPRECIATION MOTOR VEHICLE</v>
          </cell>
          <cell r="C95">
            <v>2829621.21</v>
          </cell>
          <cell r="D95">
            <v>266253.78999999998</v>
          </cell>
          <cell r="E95">
            <v>3095875</v>
          </cell>
          <cell r="F95">
            <v>3095875</v>
          </cell>
          <cell r="G95">
            <v>0</v>
          </cell>
          <cell r="H95">
            <v>3095875</v>
          </cell>
        </row>
        <row r="96">
          <cell r="A96" t="str">
            <v>400-30-035</v>
          </cell>
          <cell r="B96" t="str">
            <v>AMORTISATION CHARGE</v>
          </cell>
          <cell r="C96">
            <v>0</v>
          </cell>
          <cell r="D96">
            <v>1216066</v>
          </cell>
          <cell r="E96">
            <v>1216066</v>
          </cell>
          <cell r="F96">
            <v>1216066</v>
          </cell>
          <cell r="G96">
            <v>0</v>
          </cell>
          <cell r="H96">
            <v>1216066</v>
          </cell>
        </row>
        <row r="97">
          <cell r="A97" t="str">
            <v>400-30-040</v>
          </cell>
          <cell r="B97" t="str">
            <v>OFFICE RENT</v>
          </cell>
          <cell r="C97">
            <v>11921875</v>
          </cell>
          <cell r="D97">
            <v>1079659.17</v>
          </cell>
          <cell r="E97">
            <v>13001534.17</v>
          </cell>
          <cell r="F97">
            <v>13001534.17</v>
          </cell>
          <cell r="G97">
            <v>0</v>
          </cell>
          <cell r="H97">
            <v>13001534.17</v>
          </cell>
        </row>
        <row r="98">
          <cell r="A98" t="str">
            <v>400-30-050</v>
          </cell>
          <cell r="B98" t="str">
            <v>OFFICE CATERING</v>
          </cell>
          <cell r="C98">
            <v>2715427.91</v>
          </cell>
          <cell r="D98">
            <v>1240512</v>
          </cell>
          <cell r="E98">
            <v>3955939.91</v>
          </cell>
          <cell r="F98">
            <v>3955939.91</v>
          </cell>
          <cell r="G98">
            <v>0</v>
          </cell>
          <cell r="H98">
            <v>3955939.91</v>
          </cell>
        </row>
        <row r="99">
          <cell r="A99" t="str">
            <v>400-30-060</v>
          </cell>
          <cell r="B99" t="str">
            <v>OFFICE WATER</v>
          </cell>
          <cell r="C99">
            <v>5930</v>
          </cell>
          <cell r="D99">
            <v>800</v>
          </cell>
          <cell r="E99">
            <v>6730</v>
          </cell>
          <cell r="F99">
            <v>6730</v>
          </cell>
          <cell r="G99">
            <v>0</v>
          </cell>
          <cell r="H99">
            <v>6730</v>
          </cell>
        </row>
        <row r="100">
          <cell r="A100" t="str">
            <v>400-30-070</v>
          </cell>
          <cell r="B100" t="str">
            <v>OFFICE ELECTRICITY</v>
          </cell>
          <cell r="C100">
            <v>54955.55</v>
          </cell>
          <cell r="D100">
            <v>10828.2</v>
          </cell>
          <cell r="E100">
            <v>65783.75</v>
          </cell>
          <cell r="F100">
            <v>65783.75</v>
          </cell>
          <cell r="G100">
            <v>0</v>
          </cell>
          <cell r="H100">
            <v>65783.75</v>
          </cell>
        </row>
        <row r="101">
          <cell r="A101" t="str">
            <v>400-30-080</v>
          </cell>
          <cell r="B101" t="str">
            <v>OFFICE SECURITY</v>
          </cell>
          <cell r="C101">
            <v>0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</row>
        <row r="102">
          <cell r="A102" t="str">
            <v>400-40-005</v>
          </cell>
          <cell r="B102" t="str">
            <v>BANK CHARGES</v>
          </cell>
          <cell r="C102">
            <v>2340422</v>
          </cell>
          <cell r="D102">
            <v>233905.99</v>
          </cell>
          <cell r="E102">
            <v>2574327.9900000002</v>
          </cell>
          <cell r="F102">
            <v>2574327.9900000002</v>
          </cell>
          <cell r="G102">
            <v>0</v>
          </cell>
          <cell r="H102">
            <v>2574327.9900000002</v>
          </cell>
        </row>
        <row r="103">
          <cell r="A103" t="str">
            <v>400-40-006</v>
          </cell>
          <cell r="B103" t="str">
            <v>DONATIONS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5203213</v>
          </cell>
          <cell r="H103">
            <v>5203213</v>
          </cell>
        </row>
        <row r="104">
          <cell r="A104" t="str">
            <v>400-40-007</v>
          </cell>
          <cell r="B104" t="str">
            <v>NEWSPAPERS &amp; JOURNALS</v>
          </cell>
          <cell r="C104">
            <v>273260</v>
          </cell>
          <cell r="D104">
            <v>26627.5</v>
          </cell>
          <cell r="E104">
            <v>299887.5</v>
          </cell>
          <cell r="F104">
            <v>299887.5</v>
          </cell>
          <cell r="G104">
            <v>0</v>
          </cell>
          <cell r="H104">
            <v>299887.5</v>
          </cell>
        </row>
        <row r="105">
          <cell r="A105" t="str">
            <v>400-40-008</v>
          </cell>
          <cell r="B105" t="str">
            <v>ENTERTAINMENT</v>
          </cell>
          <cell r="C105">
            <v>776733.73</v>
          </cell>
          <cell r="D105">
            <v>236989</v>
          </cell>
          <cell r="E105">
            <v>1013722.73</v>
          </cell>
          <cell r="F105">
            <v>1013722.73</v>
          </cell>
          <cell r="G105">
            <v>0</v>
          </cell>
          <cell r="H105">
            <v>1013722.73</v>
          </cell>
        </row>
        <row r="106">
          <cell r="A106" t="str">
            <v>400-40-009</v>
          </cell>
          <cell r="B106" t="str">
            <v>COURIER &amp; FREIGHT CHARGES</v>
          </cell>
          <cell r="C106">
            <v>992025.21</v>
          </cell>
          <cell r="D106">
            <v>186695.2</v>
          </cell>
          <cell r="E106">
            <v>1178720.4099999999</v>
          </cell>
          <cell r="F106">
            <v>1178720.4099999999</v>
          </cell>
          <cell r="G106">
            <v>0</v>
          </cell>
          <cell r="H106">
            <v>1178720.4099999999</v>
          </cell>
        </row>
        <row r="107">
          <cell r="A107" t="str">
            <v>400-40-010</v>
          </cell>
          <cell r="B107" t="str">
            <v>ALA GROUP CHARGES</v>
          </cell>
          <cell r="C107">
            <v>1635499.28</v>
          </cell>
          <cell r="D107">
            <v>0</v>
          </cell>
          <cell r="E107">
            <v>1635499.28</v>
          </cell>
          <cell r="F107">
            <v>1635499.28</v>
          </cell>
          <cell r="G107">
            <v>0</v>
          </cell>
          <cell r="H107">
            <v>1635499.28</v>
          </cell>
        </row>
        <row r="108">
          <cell r="A108" t="str">
            <v>400-40-011</v>
          </cell>
          <cell r="B108" t="str">
            <v>ADVERTISING &amp; PUBLICITY</v>
          </cell>
          <cell r="C108">
            <v>1862217.55</v>
          </cell>
          <cell r="D108">
            <v>1873329.04</v>
          </cell>
          <cell r="E108">
            <v>3735546.59</v>
          </cell>
          <cell r="F108">
            <v>3735546.59</v>
          </cell>
          <cell r="G108">
            <v>0</v>
          </cell>
          <cell r="H108">
            <v>3735546.59</v>
          </cell>
        </row>
        <row r="109">
          <cell r="A109" t="str">
            <v>400-40-012</v>
          </cell>
          <cell r="B109" t="str">
            <v>TRADE LICENCES</v>
          </cell>
          <cell r="C109">
            <v>322491.21999999997</v>
          </cell>
          <cell r="D109">
            <v>22955.84</v>
          </cell>
          <cell r="E109">
            <v>345447.06</v>
          </cell>
          <cell r="F109">
            <v>345447.06</v>
          </cell>
          <cell r="G109">
            <v>0</v>
          </cell>
          <cell r="H109">
            <v>345447.06</v>
          </cell>
        </row>
        <row r="110">
          <cell r="A110" t="str">
            <v>400-40-013</v>
          </cell>
          <cell r="B110" t="str">
            <v>INSURANCES</v>
          </cell>
          <cell r="C110">
            <v>1959200.34</v>
          </cell>
          <cell r="D110">
            <v>201635.21</v>
          </cell>
          <cell r="E110">
            <v>2160835.5499999998</v>
          </cell>
          <cell r="F110">
            <v>2160835.5499999998</v>
          </cell>
          <cell r="G110">
            <v>0</v>
          </cell>
          <cell r="H110">
            <v>2160835.5499999998</v>
          </cell>
        </row>
        <row r="111">
          <cell r="A111" t="str">
            <v>400-40-014</v>
          </cell>
          <cell r="B111" t="str">
            <v>PHOTOCOPY</v>
          </cell>
          <cell r="C111">
            <v>6528</v>
          </cell>
          <cell r="D111">
            <v>0</v>
          </cell>
          <cell r="E111">
            <v>6528</v>
          </cell>
          <cell r="F111">
            <v>6528</v>
          </cell>
          <cell r="G111">
            <v>0</v>
          </cell>
          <cell r="H111">
            <v>6528</v>
          </cell>
        </row>
        <row r="112">
          <cell r="A112" t="str">
            <v>400-40-015</v>
          </cell>
          <cell r="B112" t="str">
            <v>COMPUTER MAINTENANCE</v>
          </cell>
          <cell r="C112">
            <v>389195</v>
          </cell>
          <cell r="D112">
            <v>47316</v>
          </cell>
          <cell r="E112">
            <v>436511</v>
          </cell>
          <cell r="F112">
            <v>436511</v>
          </cell>
          <cell r="G112">
            <v>0</v>
          </cell>
          <cell r="H112">
            <v>436511</v>
          </cell>
        </row>
        <row r="113">
          <cell r="A113" t="str">
            <v>400-40-016</v>
          </cell>
          <cell r="B113" t="str">
            <v>EQUIPMENT MAINTENANCE</v>
          </cell>
          <cell r="C113">
            <v>686754.55</v>
          </cell>
          <cell r="D113">
            <v>88684.6</v>
          </cell>
          <cell r="E113">
            <v>775439.15</v>
          </cell>
          <cell r="F113">
            <v>775439.15</v>
          </cell>
          <cell r="G113">
            <v>0</v>
          </cell>
          <cell r="H113">
            <v>775439.15</v>
          </cell>
        </row>
        <row r="114">
          <cell r="A114" t="str">
            <v>400-40-017</v>
          </cell>
          <cell r="B114" t="str">
            <v>SEMINARS &amp; SHORT TERM COURSES</v>
          </cell>
          <cell r="C114">
            <v>810737</v>
          </cell>
          <cell r="D114">
            <v>0</v>
          </cell>
          <cell r="E114">
            <v>810737</v>
          </cell>
          <cell r="F114">
            <v>810737</v>
          </cell>
          <cell r="G114">
            <v>0</v>
          </cell>
          <cell r="H114">
            <v>810737</v>
          </cell>
        </row>
        <row r="115">
          <cell r="A115" t="str">
            <v>400-40-018</v>
          </cell>
          <cell r="B115" t="str">
            <v>SALES PROMOTIONS &amp; COMPETITION</v>
          </cell>
          <cell r="C115">
            <v>2916793.29</v>
          </cell>
          <cell r="D115">
            <v>632311.78</v>
          </cell>
          <cell r="E115">
            <v>3549105.07</v>
          </cell>
          <cell r="F115">
            <v>3549105.07</v>
          </cell>
          <cell r="G115">
            <v>0</v>
          </cell>
          <cell r="H115">
            <v>3549105.07</v>
          </cell>
        </row>
        <row r="116">
          <cell r="A116" t="str">
            <v>400-40-019</v>
          </cell>
          <cell r="B116" t="str">
            <v>COMPUTER CONSUMABLES</v>
          </cell>
          <cell r="C116">
            <v>0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</row>
        <row r="117">
          <cell r="A117" t="str">
            <v>400-40-020</v>
          </cell>
          <cell r="B117" t="str">
            <v>ACTURIAL FEES</v>
          </cell>
          <cell r="C117">
            <v>5836066.4400000004</v>
          </cell>
          <cell r="D117">
            <v>333333.34000000003</v>
          </cell>
          <cell r="E117">
            <v>6169399.7800000003</v>
          </cell>
          <cell r="F117">
            <v>6169399.7800000003</v>
          </cell>
          <cell r="G117">
            <v>0</v>
          </cell>
          <cell r="H117">
            <v>6169399.7800000003</v>
          </cell>
        </row>
        <row r="118">
          <cell r="A118" t="str">
            <v>400-40-021</v>
          </cell>
          <cell r="B118" t="str">
            <v>PRINTING &amp; STATIONERY</v>
          </cell>
          <cell r="C118">
            <v>6713881.25</v>
          </cell>
          <cell r="D118">
            <v>1314753</v>
          </cell>
          <cell r="E118">
            <v>8028634.25</v>
          </cell>
          <cell r="F118">
            <v>8028634.25</v>
          </cell>
          <cell r="G118">
            <v>0</v>
          </cell>
          <cell r="H118">
            <v>8028634.25</v>
          </cell>
        </row>
        <row r="119">
          <cell r="A119" t="str">
            <v>400-40-022</v>
          </cell>
          <cell r="B119" t="str">
            <v>STRATEGIC PLANNING</v>
          </cell>
          <cell r="C119">
            <v>763231.53</v>
          </cell>
          <cell r="D119">
            <v>1710</v>
          </cell>
          <cell r="E119">
            <v>764941.53</v>
          </cell>
          <cell r="F119">
            <v>764941.53</v>
          </cell>
          <cell r="G119">
            <v>0</v>
          </cell>
          <cell r="H119">
            <v>764941.53</v>
          </cell>
        </row>
        <row r="120">
          <cell r="A120" t="str">
            <v>400-40-023</v>
          </cell>
          <cell r="B120" t="str">
            <v>PROFESSIONAL SUBSCRIPTION</v>
          </cell>
          <cell r="C120">
            <v>147604.95000000001</v>
          </cell>
          <cell r="D120">
            <v>90250.7</v>
          </cell>
          <cell r="E120">
            <v>237855.65</v>
          </cell>
          <cell r="F120">
            <v>237855.65</v>
          </cell>
          <cell r="G120">
            <v>0</v>
          </cell>
          <cell r="H120">
            <v>237855.65</v>
          </cell>
        </row>
        <row r="121">
          <cell r="A121" t="str">
            <v>400-40-024</v>
          </cell>
          <cell r="B121" t="str">
            <v>SUBSCIPTION -COMPANY</v>
          </cell>
          <cell r="C121">
            <v>544203.19999999995</v>
          </cell>
          <cell r="D121">
            <v>48226.400000000001</v>
          </cell>
          <cell r="E121">
            <v>592429.6</v>
          </cell>
          <cell r="F121">
            <v>592429.6</v>
          </cell>
          <cell r="G121">
            <v>0</v>
          </cell>
          <cell r="H121">
            <v>592429.6</v>
          </cell>
        </row>
        <row r="122">
          <cell r="A122" t="str">
            <v>400-40-025</v>
          </cell>
          <cell r="B122" t="str">
            <v>TRAVEL &amp; ACCOMODATION</v>
          </cell>
          <cell r="C122">
            <v>4439924.63</v>
          </cell>
          <cell r="D122">
            <v>1363831.84</v>
          </cell>
          <cell r="E122">
            <v>5803756.4699999997</v>
          </cell>
          <cell r="F122">
            <v>5803756.4699999997</v>
          </cell>
          <cell r="G122">
            <v>0</v>
          </cell>
          <cell r="H122">
            <v>5803756.4699999997</v>
          </cell>
        </row>
        <row r="123">
          <cell r="A123" t="str">
            <v>400-40-026</v>
          </cell>
          <cell r="B123" t="str">
            <v>MOTOR VEHICLE EXPENSES</v>
          </cell>
          <cell r="C123">
            <v>555520.37</v>
          </cell>
          <cell r="D123">
            <v>65549.41</v>
          </cell>
          <cell r="E123">
            <v>621069.78</v>
          </cell>
          <cell r="F123">
            <v>621069.78</v>
          </cell>
          <cell r="G123">
            <v>0</v>
          </cell>
          <cell r="H123">
            <v>621069.78</v>
          </cell>
        </row>
        <row r="124">
          <cell r="A124" t="str">
            <v>400-40-027</v>
          </cell>
          <cell r="B124" t="str">
            <v>POSTAGE</v>
          </cell>
          <cell r="C124">
            <v>3784538.42</v>
          </cell>
          <cell r="D124">
            <v>366364.08</v>
          </cell>
          <cell r="E124">
            <v>4150902.5</v>
          </cell>
          <cell r="F124">
            <v>4150902.5</v>
          </cell>
          <cell r="G124">
            <v>0</v>
          </cell>
          <cell r="H124">
            <v>4150902.5</v>
          </cell>
        </row>
        <row r="125">
          <cell r="A125" t="str">
            <v>400-40-028</v>
          </cell>
          <cell r="B125" t="str">
            <v>TELEPHONE &amp; FAX</v>
          </cell>
          <cell r="C125">
            <v>4602715.21</v>
          </cell>
          <cell r="D125">
            <v>368177.53</v>
          </cell>
          <cell r="E125">
            <v>4970892.74</v>
          </cell>
          <cell r="F125">
            <v>4970892.74</v>
          </cell>
          <cell r="G125">
            <v>0</v>
          </cell>
          <cell r="H125">
            <v>4970892.74</v>
          </cell>
        </row>
        <row r="126">
          <cell r="A126" t="str">
            <v>400-40-029</v>
          </cell>
          <cell r="B126" t="str">
            <v>PROFESSIONAL TRAINING</v>
          </cell>
          <cell r="C126">
            <v>2130346.02</v>
          </cell>
          <cell r="D126">
            <v>-3396.87</v>
          </cell>
          <cell r="E126">
            <v>2126949.15</v>
          </cell>
          <cell r="F126">
            <v>2126949.15</v>
          </cell>
          <cell r="G126">
            <v>0</v>
          </cell>
          <cell r="H126">
            <v>2126949.15</v>
          </cell>
        </row>
        <row r="127">
          <cell r="A127" t="str">
            <v>400-40-030</v>
          </cell>
          <cell r="B127" t="str">
            <v>AUDIT FEES</v>
          </cell>
          <cell r="C127">
            <v>1869495.97</v>
          </cell>
          <cell r="D127">
            <v>160583.32999999999</v>
          </cell>
          <cell r="E127">
            <v>2030079.3</v>
          </cell>
          <cell r="F127">
            <v>2030079.3</v>
          </cell>
          <cell r="G127">
            <v>0</v>
          </cell>
          <cell r="H127">
            <v>2030079.3</v>
          </cell>
        </row>
        <row r="128">
          <cell r="A128" t="str">
            <v>400-40-031</v>
          </cell>
          <cell r="B128" t="str">
            <v>CLUB-MEMBERSHIP ANNUAL</v>
          </cell>
          <cell r="C128">
            <v>366152.91</v>
          </cell>
          <cell r="D128">
            <v>18934.669999999998</v>
          </cell>
          <cell r="E128">
            <v>385087.58</v>
          </cell>
          <cell r="F128">
            <v>385087.58</v>
          </cell>
          <cell r="G128">
            <v>0</v>
          </cell>
          <cell r="H128">
            <v>385087.58</v>
          </cell>
        </row>
        <row r="129">
          <cell r="A129" t="str">
            <v>400-40-032</v>
          </cell>
          <cell r="B129" t="str">
            <v>LEASED LINES-INTERNET SERVICES</v>
          </cell>
          <cell r="C129">
            <v>854571.43</v>
          </cell>
          <cell r="D129">
            <v>166261.6</v>
          </cell>
          <cell r="E129">
            <v>1020833.03</v>
          </cell>
          <cell r="F129">
            <v>1020833.03</v>
          </cell>
          <cell r="G129">
            <v>0</v>
          </cell>
          <cell r="H129">
            <v>1020833.03</v>
          </cell>
        </row>
        <row r="130">
          <cell r="A130" t="str">
            <v>400-40-033</v>
          </cell>
          <cell r="B130" t="str">
            <v>SOFTWARE LICENCES</v>
          </cell>
          <cell r="C130">
            <v>1350743.67</v>
          </cell>
          <cell r="D130">
            <v>37515.629999999997</v>
          </cell>
          <cell r="E130">
            <v>1388259.3</v>
          </cell>
          <cell r="F130">
            <v>1388259.3</v>
          </cell>
          <cell r="G130">
            <v>0</v>
          </cell>
          <cell r="H130">
            <v>1388259.3</v>
          </cell>
        </row>
        <row r="131">
          <cell r="A131" t="str">
            <v>400-40-034</v>
          </cell>
          <cell r="B131" t="str">
            <v>DEPRECIATION OF BUILDING</v>
          </cell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</row>
        <row r="132">
          <cell r="A132" t="str">
            <v>400-40-035</v>
          </cell>
          <cell r="B132" t="str">
            <v>EDUCATION EXPENSES</v>
          </cell>
          <cell r="C132">
            <v>1961200</v>
          </cell>
          <cell r="D132">
            <v>227200</v>
          </cell>
          <cell r="E132">
            <v>2188400</v>
          </cell>
          <cell r="F132">
            <v>2188400</v>
          </cell>
          <cell r="G132">
            <v>0</v>
          </cell>
          <cell r="H132">
            <v>2188400</v>
          </cell>
        </row>
        <row r="133">
          <cell r="A133" t="str">
            <v>400-40-040</v>
          </cell>
          <cell r="B133" t="str">
            <v>LEGAL FEES</v>
          </cell>
          <cell r="C133">
            <v>85942.5</v>
          </cell>
          <cell r="D133">
            <v>431610</v>
          </cell>
          <cell r="E133">
            <v>517552.5</v>
          </cell>
          <cell r="F133">
            <v>517552.5</v>
          </cell>
          <cell r="G133">
            <v>0</v>
          </cell>
          <cell r="H133">
            <v>517552.5</v>
          </cell>
        </row>
        <row r="134">
          <cell r="A134" t="str">
            <v>400-40-050</v>
          </cell>
          <cell r="B134" t="str">
            <v>TAX CONSULTATION FEES</v>
          </cell>
          <cell r="C134">
            <v>447152.03</v>
          </cell>
          <cell r="D134">
            <v>24166.67</v>
          </cell>
          <cell r="E134">
            <v>471318.7</v>
          </cell>
          <cell r="F134">
            <v>471318.7</v>
          </cell>
          <cell r="G134">
            <v>0</v>
          </cell>
          <cell r="H134">
            <v>471318.7</v>
          </cell>
        </row>
        <row r="135">
          <cell r="A135" t="str">
            <v>400-40-060</v>
          </cell>
          <cell r="B135" t="str">
            <v>INTRA-COMPANY -INDIVIDUAL</v>
          </cell>
          <cell r="C135">
            <v>11863532</v>
          </cell>
          <cell r="D135">
            <v>1078503</v>
          </cell>
          <cell r="E135">
            <v>12942035</v>
          </cell>
          <cell r="F135">
            <v>12942035</v>
          </cell>
          <cell r="G135">
            <v>0</v>
          </cell>
          <cell r="H135">
            <v>12942035</v>
          </cell>
        </row>
        <row r="136">
          <cell r="A136" t="str">
            <v>400-40-065</v>
          </cell>
          <cell r="B136" t="str">
            <v>RECHARGE FROM IT</v>
          </cell>
          <cell r="C136">
            <v>858067.18</v>
          </cell>
          <cell r="D136">
            <v>78006.12</v>
          </cell>
          <cell r="E136">
            <v>936073.3</v>
          </cell>
          <cell r="F136">
            <v>936073.3</v>
          </cell>
          <cell r="G136">
            <v>0</v>
          </cell>
          <cell r="H136">
            <v>936073.3</v>
          </cell>
        </row>
        <row r="137">
          <cell r="A137" t="str">
            <v>400-40-070</v>
          </cell>
          <cell r="B137" t="str">
            <v>10% RECHARGE TO CORP.BUSINESS</v>
          </cell>
          <cell r="C137">
            <v>-1416833.86</v>
          </cell>
          <cell r="D137">
            <v>-128803.1</v>
          </cell>
          <cell r="E137">
            <v>-1545636.96</v>
          </cell>
          <cell r="F137">
            <v>-1545636.96</v>
          </cell>
          <cell r="G137">
            <v>0</v>
          </cell>
          <cell r="H137">
            <v>-1545636.96</v>
          </cell>
        </row>
        <row r="138">
          <cell r="A138" t="str">
            <v>400-40-075</v>
          </cell>
          <cell r="B138" t="str">
            <v>RECHARGE FROM HR</v>
          </cell>
          <cell r="C138">
            <v>1482924.85</v>
          </cell>
          <cell r="D138">
            <v>134811.35</v>
          </cell>
          <cell r="E138">
            <v>1617736.2</v>
          </cell>
          <cell r="F138">
            <v>1617736.2</v>
          </cell>
          <cell r="G138">
            <v>0</v>
          </cell>
          <cell r="H138">
            <v>1617736.2</v>
          </cell>
        </row>
        <row r="139">
          <cell r="A139" t="str">
            <v>400-40-080</v>
          </cell>
          <cell r="B139" t="str">
            <v>3.5% RECHARGE TO CORP.BISINESS</v>
          </cell>
          <cell r="C139">
            <v>-924158.82</v>
          </cell>
          <cell r="D139">
            <v>-84014.38</v>
          </cell>
          <cell r="E139">
            <v>-1008173.2</v>
          </cell>
          <cell r="F139">
            <v>-1008173.2</v>
          </cell>
          <cell r="G139">
            <v>0</v>
          </cell>
          <cell r="H139">
            <v>-1008173.2</v>
          </cell>
        </row>
        <row r="140">
          <cell r="A140" t="str">
            <v>400-40-090</v>
          </cell>
          <cell r="B140" t="str">
            <v>5% RECHARGE FOR HOLDINGS</v>
          </cell>
          <cell r="C140">
            <v>-6292208.0999999996</v>
          </cell>
          <cell r="D140">
            <v>-572018.91</v>
          </cell>
          <cell r="E140">
            <v>-6864227.0099999998</v>
          </cell>
          <cell r="F140">
            <v>-6864227.0099999998</v>
          </cell>
          <cell r="G140">
            <v>0</v>
          </cell>
          <cell r="H140">
            <v>-6864227.0099999998</v>
          </cell>
        </row>
        <row r="141">
          <cell r="A141" t="str">
            <v>400-40-100</v>
          </cell>
          <cell r="B141" t="str">
            <v>PROFESSIONAL FEES</v>
          </cell>
          <cell r="C141">
            <v>0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</row>
        <row r="142">
          <cell r="A142" t="str">
            <v>400-40-110</v>
          </cell>
          <cell r="B142" t="str">
            <v>5% RECHARGE TO PA SECURITIES</v>
          </cell>
          <cell r="C142">
            <v>-1203794.92</v>
          </cell>
          <cell r="D142">
            <v>-109435.69</v>
          </cell>
          <cell r="E142">
            <v>-1313230.6100000001</v>
          </cell>
          <cell r="F142">
            <v>-1313230.6100000001</v>
          </cell>
          <cell r="G142">
            <v>0</v>
          </cell>
          <cell r="H142">
            <v>-1313230.6100000001</v>
          </cell>
        </row>
        <row r="143">
          <cell r="A143" t="str">
            <v>400-40-120</v>
          </cell>
          <cell r="B143" t="str">
            <v>OUTSOURCING OF STAFF PAYROLL</v>
          </cell>
          <cell r="C143">
            <v>0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</row>
        <row r="144">
          <cell r="A144" t="str">
            <v>400-40-125</v>
          </cell>
          <cell r="B144" t="str">
            <v>RECHARGE TO ALA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</row>
        <row r="145">
          <cell r="A145" t="str">
            <v>400-40-130</v>
          </cell>
          <cell r="B145" t="str">
            <v>PRODUCT DEVELOPMENT COST</v>
          </cell>
          <cell r="C145">
            <v>17100</v>
          </cell>
          <cell r="D145">
            <v>0</v>
          </cell>
          <cell r="E145">
            <v>17100</v>
          </cell>
          <cell r="F145">
            <v>17100</v>
          </cell>
          <cell r="G145">
            <v>0</v>
          </cell>
          <cell r="H145">
            <v>17100</v>
          </cell>
        </row>
        <row r="146">
          <cell r="A146" t="str">
            <v>400-40-140</v>
          </cell>
          <cell r="B146" t="str">
            <v>PRIOR YEAR ITEM</v>
          </cell>
          <cell r="C146">
            <v>0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</row>
        <row r="147">
          <cell r="A147" t="str">
            <v>400-43-010</v>
          </cell>
          <cell r="B147" t="str">
            <v>PRIOR ITEMS</v>
          </cell>
          <cell r="C147">
            <v>14109882.310000001</v>
          </cell>
          <cell r="D147">
            <v>5440364.0899999999</v>
          </cell>
          <cell r="E147">
            <v>19550246.399999999</v>
          </cell>
          <cell r="F147">
            <v>19550246.399999999</v>
          </cell>
          <cell r="G147">
            <v>0</v>
          </cell>
          <cell r="H147">
            <v>19550246.399999999</v>
          </cell>
        </row>
        <row r="148">
          <cell r="A148" t="str">
            <v>400-45-010</v>
          </cell>
          <cell r="B148" t="str">
            <v>STAMP DUTY EXPENSES</v>
          </cell>
          <cell r="C148">
            <v>1488109.21</v>
          </cell>
          <cell r="D148">
            <v>-157394.71</v>
          </cell>
          <cell r="E148">
            <v>1330714.5</v>
          </cell>
          <cell r="F148">
            <v>1330714.5</v>
          </cell>
          <cell r="G148">
            <v>0</v>
          </cell>
          <cell r="H148">
            <v>1330714.5</v>
          </cell>
        </row>
        <row r="149">
          <cell r="A149" t="str">
            <v>400-45-020</v>
          </cell>
          <cell r="B149" t="str">
            <v>PREMIUM TAX EXPENSE</v>
          </cell>
          <cell r="C149">
            <v>15114392.93</v>
          </cell>
          <cell r="D149">
            <v>1459095</v>
          </cell>
          <cell r="E149">
            <v>16573487.93</v>
          </cell>
          <cell r="F149">
            <v>16573487.93</v>
          </cell>
          <cell r="G149">
            <v>0</v>
          </cell>
          <cell r="H149">
            <v>16573487.93</v>
          </cell>
        </row>
        <row r="150">
          <cell r="A150" t="str">
            <v>400-45-025</v>
          </cell>
          <cell r="B150" t="str">
            <v>POLICY HOLDER COLLECTION LEVY</v>
          </cell>
          <cell r="C150">
            <v>413278.08</v>
          </cell>
          <cell r="D150">
            <v>206622</v>
          </cell>
          <cell r="E150">
            <v>619900.07999999996</v>
          </cell>
          <cell r="F150">
            <v>619900.07999999996</v>
          </cell>
          <cell r="G150">
            <v>0</v>
          </cell>
          <cell r="H150">
            <v>619900.07999999996</v>
          </cell>
        </row>
        <row r="151">
          <cell r="A151" t="str">
            <v>500-10-010</v>
          </cell>
          <cell r="B151" t="str">
            <v>NEW COMMISSION</v>
          </cell>
          <cell r="C151">
            <v>91525472.340000004</v>
          </cell>
          <cell r="D151">
            <v>7430740.21</v>
          </cell>
          <cell r="E151">
            <v>98956212.549999997</v>
          </cell>
          <cell r="F151">
            <v>98956212.549999997</v>
          </cell>
          <cell r="G151">
            <v>0</v>
          </cell>
          <cell r="H151">
            <v>98956212.549999997</v>
          </cell>
        </row>
        <row r="152">
          <cell r="A152" t="str">
            <v>500-20-010</v>
          </cell>
          <cell r="B152" t="str">
            <v>RENEWAL COMMISSION</v>
          </cell>
          <cell r="C152">
            <v>58373215.609999999</v>
          </cell>
          <cell r="D152">
            <v>-6807624.6399999997</v>
          </cell>
          <cell r="E152">
            <v>51565590.969999999</v>
          </cell>
          <cell r="F152">
            <v>51565590.969999999</v>
          </cell>
          <cell r="G152">
            <v>0</v>
          </cell>
          <cell r="H152">
            <v>51565590.969999999</v>
          </cell>
        </row>
        <row r="153">
          <cell r="A153" t="str">
            <v>500-25-010</v>
          </cell>
          <cell r="B153" t="str">
            <v>AGENCY OVERRIDES</v>
          </cell>
          <cell r="C153">
            <v>12442059.220000001</v>
          </cell>
          <cell r="D153">
            <v>-689766.59</v>
          </cell>
          <cell r="E153">
            <v>11752292.630000001</v>
          </cell>
          <cell r="F153">
            <v>11752292.630000001</v>
          </cell>
          <cell r="G153">
            <v>0</v>
          </cell>
          <cell r="H153">
            <v>11752292.630000001</v>
          </cell>
        </row>
        <row r="154">
          <cell r="A154" t="str">
            <v>500-25-015</v>
          </cell>
          <cell r="B154" t="str">
            <v>UNIT OVERRIDES</v>
          </cell>
          <cell r="C154">
            <v>14907928.810000001</v>
          </cell>
          <cell r="D154">
            <v>-107480.51</v>
          </cell>
          <cell r="E154">
            <v>14800448.300000001</v>
          </cell>
          <cell r="F154">
            <v>14800448.300000001</v>
          </cell>
          <cell r="G154">
            <v>0</v>
          </cell>
          <cell r="H154">
            <v>14800448.300000001</v>
          </cell>
        </row>
        <row r="155">
          <cell r="A155" t="str">
            <v>500-25-020</v>
          </cell>
          <cell r="B155" t="str">
            <v>RETAINER</v>
          </cell>
          <cell r="C155">
            <v>0</v>
          </cell>
          <cell r="D155">
            <v>8775000</v>
          </cell>
          <cell r="E155">
            <v>8775000</v>
          </cell>
          <cell r="F155">
            <v>8775000</v>
          </cell>
          <cell r="G155">
            <v>0</v>
          </cell>
          <cell r="H155">
            <v>8775000</v>
          </cell>
        </row>
        <row r="156">
          <cell r="A156" t="str">
            <v>500-25-025</v>
          </cell>
          <cell r="B156" t="str">
            <v>GUARANTEE</v>
          </cell>
          <cell r="C156">
            <v>0</v>
          </cell>
          <cell r="D156">
            <v>6816336.9500000002</v>
          </cell>
          <cell r="E156">
            <v>6816336.9500000002</v>
          </cell>
          <cell r="F156">
            <v>6816336.9500000002</v>
          </cell>
          <cell r="G156">
            <v>0</v>
          </cell>
          <cell r="H156">
            <v>6816336.9500000002</v>
          </cell>
        </row>
        <row r="157">
          <cell r="A157" t="str">
            <v>500-30-030</v>
          </cell>
          <cell r="B157" t="str">
            <v>SALES PROMOTION &amp; COMPETITIONS</v>
          </cell>
          <cell r="C157">
            <v>9712.6</v>
          </cell>
          <cell r="D157">
            <v>0</v>
          </cell>
          <cell r="E157">
            <v>9712.6</v>
          </cell>
          <cell r="F157">
            <v>9712.6</v>
          </cell>
          <cell r="G157">
            <v>0</v>
          </cell>
          <cell r="H157">
            <v>9712.6</v>
          </cell>
        </row>
        <row r="158">
          <cell r="A158" t="str">
            <v>500-30-040</v>
          </cell>
          <cell r="B158" t="str">
            <v>PREMIUM COLLECTION CHARGES</v>
          </cell>
          <cell r="C158">
            <v>23303444.390000001</v>
          </cell>
          <cell r="D158">
            <v>2183490.1</v>
          </cell>
          <cell r="E158">
            <v>25486934.489999998</v>
          </cell>
          <cell r="F158">
            <v>25486934.489999998</v>
          </cell>
          <cell r="G158">
            <v>0</v>
          </cell>
          <cell r="H158">
            <v>25486934.489999998</v>
          </cell>
        </row>
        <row r="159">
          <cell r="A159" t="str">
            <v>500-30-055</v>
          </cell>
          <cell r="B159" t="str">
            <v>AGENCY SUBSIDY</v>
          </cell>
          <cell r="C159">
            <v>4801524.6500000004</v>
          </cell>
          <cell r="D159">
            <v>-1547255.65</v>
          </cell>
          <cell r="E159">
            <v>3254269</v>
          </cell>
          <cell r="F159">
            <v>3254269</v>
          </cell>
          <cell r="G159">
            <v>0</v>
          </cell>
          <cell r="H159">
            <v>3254269</v>
          </cell>
        </row>
        <row r="160">
          <cell r="A160" t="str">
            <v>500-30-060</v>
          </cell>
          <cell r="B160" t="str">
            <v>STAFF BONUS</v>
          </cell>
          <cell r="C160">
            <v>19599491</v>
          </cell>
          <cell r="D160">
            <v>-4750000</v>
          </cell>
          <cell r="E160">
            <v>14849491</v>
          </cell>
          <cell r="F160">
            <v>14849491</v>
          </cell>
          <cell r="G160">
            <v>0</v>
          </cell>
          <cell r="H160">
            <v>14849491</v>
          </cell>
        </row>
        <row r="161">
          <cell r="A161" t="str">
            <v>500-35-010</v>
          </cell>
          <cell r="B161" t="str">
            <v>GROUP COMMISSION</v>
          </cell>
          <cell r="C161">
            <v>19830035.140000001</v>
          </cell>
          <cell r="D161">
            <v>5243109.84</v>
          </cell>
          <cell r="E161">
            <v>25073144.98</v>
          </cell>
          <cell r="F161">
            <v>25073144.98</v>
          </cell>
          <cell r="G161">
            <v>0</v>
          </cell>
          <cell r="H161">
            <v>25073144.98</v>
          </cell>
        </row>
        <row r="162">
          <cell r="A162" t="str">
            <v>500-35-020</v>
          </cell>
          <cell r="B162" t="str">
            <v>PREMIUM ADMINISTRATION FEE - GROUP</v>
          </cell>
          <cell r="C162">
            <v>4076777.77</v>
          </cell>
          <cell r="D162">
            <v>7254971.9000000004</v>
          </cell>
          <cell r="E162">
            <v>11331749.67</v>
          </cell>
          <cell r="F162">
            <v>11331749.67</v>
          </cell>
          <cell r="G162">
            <v>0</v>
          </cell>
          <cell r="H162">
            <v>11331749.67</v>
          </cell>
        </row>
        <row r="163">
          <cell r="A163" t="str">
            <v>500-35-030</v>
          </cell>
          <cell r="B163" t="str">
            <v>MEDICAL COSTS - GROUP</v>
          </cell>
          <cell r="C163">
            <v>51803.5</v>
          </cell>
          <cell r="D163">
            <v>588415</v>
          </cell>
          <cell r="E163">
            <v>640218.5</v>
          </cell>
          <cell r="F163">
            <v>640218.5</v>
          </cell>
          <cell r="G163">
            <v>0</v>
          </cell>
          <cell r="H163">
            <v>640218.5</v>
          </cell>
        </row>
        <row r="164">
          <cell r="A164" t="str">
            <v>500-40-010</v>
          </cell>
          <cell r="B164" t="str">
            <v>AGENCY PENSION</v>
          </cell>
          <cell r="C164">
            <v>5340176</v>
          </cell>
          <cell r="D164">
            <v>55752</v>
          </cell>
          <cell r="E164">
            <v>5395928</v>
          </cell>
          <cell r="F164">
            <v>5395928</v>
          </cell>
          <cell r="G164">
            <v>0</v>
          </cell>
          <cell r="H164">
            <v>5395928</v>
          </cell>
        </row>
        <row r="165">
          <cell r="A165" t="str">
            <v>500-40-020</v>
          </cell>
          <cell r="B165" t="str">
            <v>AGENCY GLA</v>
          </cell>
          <cell r="C165">
            <v>440764</v>
          </cell>
          <cell r="D165">
            <v>0</v>
          </cell>
          <cell r="E165">
            <v>440764</v>
          </cell>
          <cell r="F165">
            <v>440764</v>
          </cell>
          <cell r="G165">
            <v>0</v>
          </cell>
          <cell r="H165">
            <v>440764</v>
          </cell>
        </row>
        <row r="166">
          <cell r="A166" t="str">
            <v>500-40-030</v>
          </cell>
          <cell r="B166" t="str">
            <v>AGENCY LAST EXPENSE</v>
          </cell>
          <cell r="C166">
            <v>353334.77</v>
          </cell>
          <cell r="D166">
            <v>0</v>
          </cell>
          <cell r="E166">
            <v>353334.77</v>
          </cell>
          <cell r="F166">
            <v>353334.77</v>
          </cell>
          <cell r="G166">
            <v>0</v>
          </cell>
          <cell r="H166">
            <v>353334.77</v>
          </cell>
        </row>
        <row r="167">
          <cell r="A167" t="str">
            <v>500-40-040</v>
          </cell>
          <cell r="B167" t="str">
            <v>AGENCY MEDICAL</v>
          </cell>
          <cell r="C167">
            <v>594450</v>
          </cell>
          <cell r="D167">
            <v>123210</v>
          </cell>
          <cell r="E167">
            <v>717660</v>
          </cell>
          <cell r="F167">
            <v>717660</v>
          </cell>
          <cell r="G167">
            <v>0</v>
          </cell>
          <cell r="H167">
            <v>717660</v>
          </cell>
        </row>
        <row r="168">
          <cell r="A168" t="str">
            <v>500-45-010</v>
          </cell>
          <cell r="B168" t="str">
            <v>MEDICAL EXPENSES</v>
          </cell>
          <cell r="C168">
            <v>837054.1</v>
          </cell>
          <cell r="D168">
            <v>1500</v>
          </cell>
          <cell r="E168">
            <v>838554.1</v>
          </cell>
          <cell r="F168">
            <v>838554.1</v>
          </cell>
          <cell r="G168">
            <v>0</v>
          </cell>
          <cell r="H168">
            <v>838554.1</v>
          </cell>
        </row>
        <row r="169">
          <cell r="A169" t="str">
            <v>600-10-010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</row>
        <row r="170">
          <cell r="A170" t="str">
            <v>600-10-020</v>
          </cell>
          <cell r="C170">
            <v>0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</row>
        <row r="171">
          <cell r="A171" t="str">
            <v>600-10-021</v>
          </cell>
          <cell r="B171" t="str">
            <v>MATURITY CLAIMS</v>
          </cell>
          <cell r="C171">
            <v>40276228.200000003</v>
          </cell>
          <cell r="D171">
            <v>6173091.3499999996</v>
          </cell>
          <cell r="E171">
            <v>46449319.549999997</v>
          </cell>
          <cell r="F171">
            <v>46449319.549999997</v>
          </cell>
          <cell r="G171">
            <v>0</v>
          </cell>
          <cell r="H171">
            <v>46449319.549999997</v>
          </cell>
        </row>
        <row r="172">
          <cell r="A172" t="str">
            <v>600-10-022</v>
          </cell>
          <cell r="B172" t="str">
            <v>MATURITY CLAIMS ENDOWMENT</v>
          </cell>
          <cell r="C172">
            <v>20250334.649999999</v>
          </cell>
          <cell r="D172">
            <v>3430261.3</v>
          </cell>
          <cell r="E172">
            <v>23680595.949999999</v>
          </cell>
          <cell r="F172">
            <v>23680595.949999999</v>
          </cell>
          <cell r="G172">
            <v>0</v>
          </cell>
          <cell r="H172">
            <v>23680595.949999999</v>
          </cell>
        </row>
        <row r="173">
          <cell r="A173" t="str">
            <v>600-10-023</v>
          </cell>
          <cell r="B173" t="str">
            <v>MATURITY CLAIMS EXPENSE</v>
          </cell>
          <cell r="C173">
            <v>0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</row>
        <row r="174">
          <cell r="A174" t="str">
            <v>600-10-024</v>
          </cell>
          <cell r="B174" t="str">
            <v>DEATH CLAIMS -ORDINARY</v>
          </cell>
          <cell r="C174">
            <v>8882137.75</v>
          </cell>
          <cell r="D174">
            <v>712874.8</v>
          </cell>
          <cell r="E174">
            <v>9595012.5500000007</v>
          </cell>
          <cell r="F174">
            <v>9595012.5500000007</v>
          </cell>
          <cell r="G174">
            <v>0</v>
          </cell>
          <cell r="H174">
            <v>9595012.5500000007</v>
          </cell>
        </row>
        <row r="175">
          <cell r="A175" t="str">
            <v>600-10-025</v>
          </cell>
          <cell r="B175" t="str">
            <v>PERSONAL ACCIDENTS</v>
          </cell>
          <cell r="C175">
            <v>1537101</v>
          </cell>
          <cell r="D175">
            <v>389495</v>
          </cell>
          <cell r="E175">
            <v>1926596</v>
          </cell>
          <cell r="F175">
            <v>1926596</v>
          </cell>
          <cell r="G175">
            <v>0</v>
          </cell>
          <cell r="H175">
            <v>1926596</v>
          </cell>
        </row>
        <row r="176">
          <cell r="A176" t="str">
            <v>600-10-026</v>
          </cell>
          <cell r="B176" t="str">
            <v>ANNUITY CLAIMS</v>
          </cell>
          <cell r="C176">
            <v>61369433.399999999</v>
          </cell>
          <cell r="D176">
            <v>6477172</v>
          </cell>
          <cell r="E176">
            <v>67846605.400000006</v>
          </cell>
          <cell r="F176">
            <v>67846605.400000006</v>
          </cell>
          <cell r="G176">
            <v>0</v>
          </cell>
          <cell r="H176">
            <v>67846605.400000006</v>
          </cell>
        </row>
        <row r="177">
          <cell r="A177" t="str">
            <v>600-10-027</v>
          </cell>
          <cell r="B177" t="str">
            <v>CASH SURRENDER VALUE</v>
          </cell>
          <cell r="C177">
            <v>35617585.490000002</v>
          </cell>
          <cell r="D177">
            <v>7468714.75</v>
          </cell>
          <cell r="E177">
            <v>43086300.240000002</v>
          </cell>
          <cell r="F177">
            <v>43086300.240000002</v>
          </cell>
          <cell r="G177">
            <v>0</v>
          </cell>
          <cell r="H177">
            <v>43086300.240000002</v>
          </cell>
        </row>
        <row r="178">
          <cell r="A178" t="str">
            <v>600-10-028</v>
          </cell>
          <cell r="B178" t="str">
            <v>FFF DEATH CLAIMS</v>
          </cell>
          <cell r="C178">
            <v>12447842.74</v>
          </cell>
          <cell r="D178">
            <v>1101027</v>
          </cell>
          <cell r="E178">
            <v>13548869.74</v>
          </cell>
          <cell r="F178">
            <v>13548869.74</v>
          </cell>
          <cell r="G178">
            <v>0</v>
          </cell>
          <cell r="H178">
            <v>13548869.74</v>
          </cell>
        </row>
        <row r="179">
          <cell r="A179" t="str">
            <v>600-10-029</v>
          </cell>
          <cell r="B179" t="str">
            <v>CASH SURRENDER VALUE -WP</v>
          </cell>
          <cell r="C179">
            <v>8432940.8000000007</v>
          </cell>
          <cell r="D179">
            <v>2664778.9</v>
          </cell>
          <cell r="E179">
            <v>11097719.699999999</v>
          </cell>
          <cell r="F179">
            <v>11097719.699999999</v>
          </cell>
          <cell r="G179">
            <v>0</v>
          </cell>
          <cell r="H179">
            <v>11097719.699999999</v>
          </cell>
        </row>
        <row r="180">
          <cell r="A180" t="str">
            <v>600-10-030</v>
          </cell>
          <cell r="B180" t="str">
            <v>CASH SURRENDER VALUE-FFP</v>
          </cell>
          <cell r="C180">
            <v>95162</v>
          </cell>
          <cell r="D180">
            <v>14431</v>
          </cell>
          <cell r="E180">
            <v>109593</v>
          </cell>
          <cell r="F180">
            <v>109593</v>
          </cell>
          <cell r="G180">
            <v>0</v>
          </cell>
          <cell r="H180">
            <v>109593</v>
          </cell>
        </row>
        <row r="181">
          <cell r="A181" t="str">
            <v>600-10-031</v>
          </cell>
          <cell r="B181" t="str">
            <v>PREMIUM REFUNDS</v>
          </cell>
          <cell r="C181">
            <v>16058</v>
          </cell>
          <cell r="D181">
            <v>1520</v>
          </cell>
          <cell r="E181">
            <v>17578</v>
          </cell>
          <cell r="F181">
            <v>17578</v>
          </cell>
          <cell r="G181">
            <v>0</v>
          </cell>
          <cell r="H181">
            <v>17578</v>
          </cell>
        </row>
        <row r="182">
          <cell r="A182" t="str">
            <v>600-10-032</v>
          </cell>
          <cell r="B182" t="str">
            <v>WAIVER OF PREMIUMS EXPENSE</v>
          </cell>
          <cell r="C182">
            <v>1193225.3899999999</v>
          </cell>
          <cell r="D182">
            <v>189473.18</v>
          </cell>
          <cell r="E182">
            <v>1382698.57</v>
          </cell>
          <cell r="F182">
            <v>1382698.57</v>
          </cell>
          <cell r="G182">
            <v>0</v>
          </cell>
          <cell r="H182">
            <v>1382698.57</v>
          </cell>
        </row>
        <row r="183">
          <cell r="A183" t="str">
            <v>600-10-033</v>
          </cell>
          <cell r="B183" t="str">
            <v>CASH BONUS BENEFIT-FFFP</v>
          </cell>
          <cell r="C183">
            <v>38120.25</v>
          </cell>
          <cell r="D183">
            <v>20532</v>
          </cell>
          <cell r="E183">
            <v>58652.25</v>
          </cell>
          <cell r="F183">
            <v>58652.25</v>
          </cell>
          <cell r="G183">
            <v>0</v>
          </cell>
          <cell r="H183">
            <v>58652.25</v>
          </cell>
        </row>
        <row r="184">
          <cell r="A184" t="str">
            <v>600-10-034</v>
          </cell>
          <cell r="B184" t="str">
            <v>PENALTIES RECOVERIES-FFFP</v>
          </cell>
          <cell r="C184">
            <v>-2449</v>
          </cell>
          <cell r="D184">
            <v>0</v>
          </cell>
          <cell r="E184">
            <v>-2449</v>
          </cell>
          <cell r="F184">
            <v>-2449</v>
          </cell>
          <cell r="G184">
            <v>0</v>
          </cell>
          <cell r="H184">
            <v>-2449</v>
          </cell>
        </row>
        <row r="185">
          <cell r="A185" t="str">
            <v>600-10-035</v>
          </cell>
          <cell r="B185" t="str">
            <v>UNITS ENCASHMENT-WP</v>
          </cell>
          <cell r="C185">
            <v>0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</row>
        <row r="186">
          <cell r="A186" t="str">
            <v>600-10-036</v>
          </cell>
          <cell r="B186" t="str">
            <v>PENALTIES UNITS ENCASHMENT</v>
          </cell>
          <cell r="C186">
            <v>0</v>
          </cell>
          <cell r="D186">
            <v>0</v>
          </cell>
          <cell r="E186">
            <v>0</v>
          </cell>
          <cell r="F186">
            <v>0</v>
          </cell>
          <cell r="G186">
            <v>0</v>
          </cell>
          <cell r="H186">
            <v>0</v>
          </cell>
        </row>
        <row r="187">
          <cell r="A187" t="str">
            <v>600-10-037</v>
          </cell>
          <cell r="B187" t="str">
            <v>WP CLAIMS</v>
          </cell>
          <cell r="C187">
            <v>4573255.5999999996</v>
          </cell>
          <cell r="D187">
            <v>-84458.39</v>
          </cell>
          <cell r="E187">
            <v>4488797.21</v>
          </cell>
          <cell r="F187">
            <v>4488797.21</v>
          </cell>
          <cell r="G187">
            <v>0</v>
          </cell>
          <cell r="H187">
            <v>4488797.21</v>
          </cell>
        </row>
        <row r="188">
          <cell r="A188" t="str">
            <v>600-10-038</v>
          </cell>
          <cell r="B188" t="str">
            <v>PENALTIES ON CASH-BONUS  FFFP</v>
          </cell>
          <cell r="C188">
            <v>0</v>
          </cell>
          <cell r="D188">
            <v>0</v>
          </cell>
          <cell r="E188">
            <v>0</v>
          </cell>
          <cell r="F188">
            <v>0</v>
          </cell>
          <cell r="G188">
            <v>0</v>
          </cell>
          <cell r="H188">
            <v>0</v>
          </cell>
        </row>
        <row r="189">
          <cell r="A189" t="str">
            <v>600-10-039</v>
          </cell>
          <cell r="B189" t="str">
            <v>CLAIMS EXPENSE</v>
          </cell>
          <cell r="C189">
            <v>350113.4</v>
          </cell>
          <cell r="D189">
            <v>68390</v>
          </cell>
          <cell r="E189">
            <v>418503.4</v>
          </cell>
          <cell r="F189">
            <v>418503.4</v>
          </cell>
          <cell r="G189">
            <v>0</v>
          </cell>
          <cell r="H189">
            <v>418503.4</v>
          </cell>
        </row>
        <row r="190">
          <cell r="A190" t="str">
            <v>600-10-040</v>
          </cell>
          <cell r="B190" t="str">
            <v>ADVERTISING (UNIT PRICE)</v>
          </cell>
          <cell r="C190">
            <v>15312</v>
          </cell>
          <cell r="D190">
            <v>7656</v>
          </cell>
          <cell r="E190">
            <v>22968</v>
          </cell>
          <cell r="F190">
            <v>22968</v>
          </cell>
          <cell r="G190">
            <v>0</v>
          </cell>
          <cell r="H190">
            <v>22968</v>
          </cell>
        </row>
        <row r="191">
          <cell r="A191" t="str">
            <v>600-10-050</v>
          </cell>
          <cell r="C191">
            <v>0</v>
          </cell>
          <cell r="D191">
            <v>0</v>
          </cell>
          <cell r="E191">
            <v>0</v>
          </cell>
          <cell r="F191">
            <v>0</v>
          </cell>
          <cell r="G191">
            <v>0</v>
          </cell>
          <cell r="H191">
            <v>0</v>
          </cell>
        </row>
        <row r="192">
          <cell r="A192" t="str">
            <v>600-15-010</v>
          </cell>
          <cell r="B192" t="str">
            <v>LAST EXPENSE CLAIM</v>
          </cell>
          <cell r="C192">
            <v>6088292</v>
          </cell>
          <cell r="D192">
            <v>520000</v>
          </cell>
          <cell r="E192">
            <v>6608292</v>
          </cell>
          <cell r="F192">
            <v>6608292</v>
          </cell>
          <cell r="G192">
            <v>0</v>
          </cell>
          <cell r="H192">
            <v>6608292</v>
          </cell>
        </row>
        <row r="193">
          <cell r="A193" t="str">
            <v>600-15-020</v>
          </cell>
          <cell r="B193" t="str">
            <v>PENSION SCHEME CLAIM</v>
          </cell>
          <cell r="C193">
            <v>38405018.600000001</v>
          </cell>
          <cell r="D193">
            <v>2621119.7999999998</v>
          </cell>
          <cell r="E193">
            <v>41026138.399999999</v>
          </cell>
          <cell r="F193">
            <v>41026138.399999999</v>
          </cell>
          <cell r="G193">
            <v>0</v>
          </cell>
          <cell r="H193">
            <v>41026138.399999999</v>
          </cell>
        </row>
        <row r="194">
          <cell r="A194" t="str">
            <v>600-15-030</v>
          </cell>
          <cell r="B194" t="str">
            <v>DEATH CLAIMS GROUP</v>
          </cell>
          <cell r="C194">
            <v>135821327.74000001</v>
          </cell>
          <cell r="D194">
            <v>841571.85</v>
          </cell>
          <cell r="E194">
            <v>136662899.59</v>
          </cell>
          <cell r="F194">
            <v>136662899.59</v>
          </cell>
          <cell r="G194">
            <v>0</v>
          </cell>
          <cell r="H194">
            <v>136662899.59</v>
          </cell>
        </row>
        <row r="195">
          <cell r="A195" t="str">
            <v>600-15-040</v>
          </cell>
          <cell r="B195" t="str">
            <v>GROUP MATURITY CLAIMS</v>
          </cell>
          <cell r="C195">
            <v>891093.5</v>
          </cell>
          <cell r="D195">
            <v>0</v>
          </cell>
          <cell r="E195">
            <v>891093.5</v>
          </cell>
          <cell r="F195">
            <v>891093.5</v>
          </cell>
          <cell r="G195">
            <v>0</v>
          </cell>
          <cell r="H195">
            <v>891093.5</v>
          </cell>
        </row>
        <row r="196">
          <cell r="A196" t="str">
            <v>600-15-045</v>
          </cell>
          <cell r="B196" t="str">
            <v>GROUP SURRENDERS</v>
          </cell>
          <cell r="C196">
            <v>67088.100000000006</v>
          </cell>
          <cell r="D196">
            <v>0</v>
          </cell>
          <cell r="E196">
            <v>67088.100000000006</v>
          </cell>
          <cell r="F196">
            <v>67088.100000000006</v>
          </cell>
          <cell r="G196">
            <v>0</v>
          </cell>
          <cell r="H196">
            <v>67088.100000000006</v>
          </cell>
        </row>
        <row r="197">
          <cell r="A197" t="str">
            <v>600-15-050</v>
          </cell>
          <cell r="B197" t="str">
            <v>GROUP ANTICIPATED CLAIMS</v>
          </cell>
          <cell r="C197">
            <v>126187.4</v>
          </cell>
          <cell r="D197">
            <v>55716.65</v>
          </cell>
          <cell r="E197">
            <v>181904.05</v>
          </cell>
          <cell r="F197">
            <v>181904.05</v>
          </cell>
          <cell r="G197">
            <v>0</v>
          </cell>
          <cell r="H197">
            <v>181904.05</v>
          </cell>
        </row>
        <row r="198">
          <cell r="A198" t="str">
            <v>600-15-055</v>
          </cell>
          <cell r="B198" t="str">
            <v>HARAMBEE CLAIMS</v>
          </cell>
          <cell r="C198">
            <v>143696.29999999999</v>
          </cell>
          <cell r="D198">
            <v>0</v>
          </cell>
          <cell r="E198">
            <v>143696.29999999999</v>
          </cell>
          <cell r="F198">
            <v>143696.29999999999</v>
          </cell>
          <cell r="G198">
            <v>0</v>
          </cell>
          <cell r="H198">
            <v>143696.29999999999</v>
          </cell>
        </row>
        <row r="199">
          <cell r="A199" t="str">
            <v>600-15-060</v>
          </cell>
          <cell r="B199" t="str">
            <v>GROUP CREDIT SCHEMES CLAIMS</v>
          </cell>
          <cell r="C199">
            <v>30266855.5</v>
          </cell>
          <cell r="D199">
            <v>11793661.600000001</v>
          </cell>
          <cell r="E199">
            <v>42060517.100000001</v>
          </cell>
          <cell r="F199">
            <v>42060517.100000001</v>
          </cell>
          <cell r="G199">
            <v>0</v>
          </cell>
          <cell r="H199">
            <v>42060517.100000001</v>
          </cell>
        </row>
        <row r="200">
          <cell r="A200" t="str">
            <v>600-15-065</v>
          </cell>
          <cell r="B200" t="str">
            <v>GROUP DISABILITY CLAIMS</v>
          </cell>
          <cell r="C200">
            <v>6424437.3700000001</v>
          </cell>
          <cell r="D200">
            <v>220773.9</v>
          </cell>
          <cell r="E200">
            <v>6645211.2699999996</v>
          </cell>
          <cell r="F200">
            <v>6645211.2699999996</v>
          </cell>
          <cell r="G200">
            <v>0</v>
          </cell>
          <cell r="H200">
            <v>6645211.2699999996</v>
          </cell>
        </row>
        <row r="201">
          <cell r="A201" t="str">
            <v>600-15-070</v>
          </cell>
          <cell r="B201" t="str">
            <v>GROUP RETIEMENT ANNUITIES</v>
          </cell>
          <cell r="C201">
            <v>-67522.75</v>
          </cell>
          <cell r="D201">
            <v>264111.84999999998</v>
          </cell>
          <cell r="E201">
            <v>196589.1</v>
          </cell>
          <cell r="F201">
            <v>196589.1</v>
          </cell>
          <cell r="G201">
            <v>0</v>
          </cell>
          <cell r="H201">
            <v>196589.1</v>
          </cell>
        </row>
        <row r="202">
          <cell r="A202" t="str">
            <v>600-15-075</v>
          </cell>
          <cell r="B202" t="str">
            <v>AUDIT FEES</v>
          </cell>
          <cell r="C202">
            <v>0</v>
          </cell>
          <cell r="D202">
            <v>0</v>
          </cell>
          <cell r="E202">
            <v>0</v>
          </cell>
          <cell r="F202">
            <v>0</v>
          </cell>
          <cell r="G202">
            <v>0</v>
          </cell>
          <cell r="H202">
            <v>0</v>
          </cell>
        </row>
        <row r="203">
          <cell r="A203" t="str">
            <v>600-15-080</v>
          </cell>
          <cell r="B203" t="str">
            <v>MANAGEMENT FEES</v>
          </cell>
          <cell r="C203">
            <v>16250</v>
          </cell>
          <cell r="D203">
            <v>0</v>
          </cell>
          <cell r="E203">
            <v>16250</v>
          </cell>
          <cell r="F203">
            <v>16250</v>
          </cell>
          <cell r="G203">
            <v>0</v>
          </cell>
          <cell r="H203">
            <v>16250</v>
          </cell>
        </row>
        <row r="204">
          <cell r="A204" t="str">
            <v>600-15-085</v>
          </cell>
          <cell r="B204" t="str">
            <v>RBA LEVIES</v>
          </cell>
          <cell r="C204">
            <v>340335.5</v>
          </cell>
          <cell r="D204">
            <v>0</v>
          </cell>
          <cell r="E204">
            <v>340335.5</v>
          </cell>
          <cell r="F204">
            <v>340335.5</v>
          </cell>
          <cell r="G204">
            <v>0</v>
          </cell>
          <cell r="H204">
            <v>340335.5</v>
          </cell>
        </row>
        <row r="205">
          <cell r="A205" t="str">
            <v>600-15-090</v>
          </cell>
          <cell r="B205" t="str">
            <v>ACTUARIAL FEES</v>
          </cell>
          <cell r="C205">
            <v>0</v>
          </cell>
          <cell r="D205">
            <v>0</v>
          </cell>
          <cell r="E205">
            <v>0</v>
          </cell>
          <cell r="F205">
            <v>0</v>
          </cell>
          <cell r="G205">
            <v>0</v>
          </cell>
          <cell r="H205">
            <v>0</v>
          </cell>
        </row>
        <row r="206">
          <cell r="A206" t="str">
            <v>600-15-095</v>
          </cell>
          <cell r="B206" t="str">
            <v>GROUP MORTGAGE CLAIMS</v>
          </cell>
          <cell r="C206">
            <v>121038</v>
          </cell>
          <cell r="D206">
            <v>0</v>
          </cell>
          <cell r="E206">
            <v>121038</v>
          </cell>
          <cell r="F206">
            <v>121038</v>
          </cell>
          <cell r="G206">
            <v>0</v>
          </cell>
          <cell r="H206">
            <v>121038</v>
          </cell>
        </row>
        <row r="207">
          <cell r="A207" t="str">
            <v>600-15-100</v>
          </cell>
          <cell r="B207" t="str">
            <v>PREMIUM REFUNDS</v>
          </cell>
          <cell r="C207">
            <v>0</v>
          </cell>
          <cell r="D207">
            <v>0</v>
          </cell>
          <cell r="E207">
            <v>0</v>
          </cell>
          <cell r="F207">
            <v>0</v>
          </cell>
          <cell r="G207">
            <v>0</v>
          </cell>
          <cell r="H207">
            <v>0</v>
          </cell>
        </row>
        <row r="208">
          <cell r="A208" t="str">
            <v>600-20-010</v>
          </cell>
          <cell r="C208">
            <v>0</v>
          </cell>
          <cell r="D208">
            <v>0</v>
          </cell>
          <cell r="E208">
            <v>0</v>
          </cell>
          <cell r="F208">
            <v>0</v>
          </cell>
          <cell r="G208">
            <v>0</v>
          </cell>
          <cell r="H208">
            <v>0</v>
          </cell>
        </row>
        <row r="209">
          <cell r="A209" t="str">
            <v>700-05-010</v>
          </cell>
          <cell r="B209" t="str">
            <v>AMBALAL HOUSE</v>
          </cell>
          <cell r="C209">
            <v>0</v>
          </cell>
          <cell r="D209">
            <v>0</v>
          </cell>
          <cell r="E209">
            <v>0</v>
          </cell>
          <cell r="F209">
            <v>0</v>
          </cell>
          <cell r="G209">
            <v>0</v>
          </cell>
          <cell r="H209">
            <v>0</v>
          </cell>
        </row>
        <row r="210">
          <cell r="A210" t="str">
            <v>700-05-015</v>
          </cell>
          <cell r="B210" t="str">
            <v>RUNDA PLOT</v>
          </cell>
          <cell r="C210">
            <v>3000000</v>
          </cell>
          <cell r="D210">
            <v>500000</v>
          </cell>
          <cell r="E210">
            <v>3500000</v>
          </cell>
          <cell r="F210">
            <v>3500000</v>
          </cell>
          <cell r="G210">
            <v>0</v>
          </cell>
          <cell r="H210">
            <v>3500000</v>
          </cell>
        </row>
        <row r="211">
          <cell r="A211" t="str">
            <v>700-05-020</v>
          </cell>
          <cell r="B211" t="str">
            <v>PAN AFRICA HOUSE NBI</v>
          </cell>
          <cell r="C211">
            <v>180000000</v>
          </cell>
          <cell r="D211">
            <v>0</v>
          </cell>
          <cell r="E211">
            <v>180000000</v>
          </cell>
          <cell r="F211">
            <v>180000000</v>
          </cell>
          <cell r="G211">
            <v>0</v>
          </cell>
          <cell r="H211">
            <v>180000000</v>
          </cell>
        </row>
        <row r="212">
          <cell r="A212" t="str">
            <v>700-05-025</v>
          </cell>
          <cell r="B212" t="str">
            <v>RESIDENTIAL HSE -RETREAT VILLAS</v>
          </cell>
          <cell r="C212">
            <v>0</v>
          </cell>
          <cell r="D212">
            <v>0</v>
          </cell>
          <cell r="E212">
            <v>0</v>
          </cell>
          <cell r="F212">
            <v>0</v>
          </cell>
          <cell r="G212">
            <v>0</v>
          </cell>
          <cell r="H212">
            <v>0</v>
          </cell>
        </row>
        <row r="213">
          <cell r="A213" t="str">
            <v>700-05-030</v>
          </cell>
          <cell r="B213" t="str">
            <v>PAN AFRICA INS. ARCADE PETROL STATION</v>
          </cell>
          <cell r="C213">
            <v>22500000</v>
          </cell>
          <cell r="D213">
            <v>2500000</v>
          </cell>
          <cell r="E213">
            <v>25000000</v>
          </cell>
          <cell r="F213">
            <v>25000000</v>
          </cell>
          <cell r="G213">
            <v>0</v>
          </cell>
          <cell r="H213">
            <v>25000000</v>
          </cell>
        </row>
        <row r="214">
          <cell r="A214" t="str">
            <v>700-10-010</v>
          </cell>
          <cell r="B214" t="str">
            <v>MOTOR VEHICLES</v>
          </cell>
          <cell r="C214">
            <v>13595710</v>
          </cell>
          <cell r="D214">
            <v>0</v>
          </cell>
          <cell r="E214">
            <v>13595710</v>
          </cell>
          <cell r="F214">
            <v>13595710</v>
          </cell>
          <cell r="G214">
            <v>0</v>
          </cell>
          <cell r="H214">
            <v>13595710</v>
          </cell>
        </row>
        <row r="215">
          <cell r="A215" t="str">
            <v>700-10-020</v>
          </cell>
          <cell r="B215" t="str">
            <v>COMPUTER EQUIPMENT</v>
          </cell>
          <cell r="C215">
            <v>42059018.670000002</v>
          </cell>
          <cell r="D215">
            <v>-3157053</v>
          </cell>
          <cell r="E215">
            <v>38901965.670000002</v>
          </cell>
          <cell r="F215">
            <v>38901965.670000002</v>
          </cell>
          <cell r="G215">
            <v>0</v>
          </cell>
          <cell r="H215">
            <v>38901965.670000002</v>
          </cell>
        </row>
        <row r="216">
          <cell r="A216" t="str">
            <v>700-10-030</v>
          </cell>
          <cell r="B216" t="str">
            <v>FIXTURES &amp; FITTINGS</v>
          </cell>
          <cell r="C216">
            <v>64146013.280000001</v>
          </cell>
          <cell r="D216">
            <v>215090</v>
          </cell>
          <cell r="E216">
            <v>64361103.280000001</v>
          </cell>
          <cell r="F216">
            <v>64361103.280000001</v>
          </cell>
          <cell r="G216">
            <v>0</v>
          </cell>
          <cell r="H216">
            <v>64361103.280000001</v>
          </cell>
        </row>
        <row r="217">
          <cell r="A217" t="str">
            <v>700-10-035</v>
          </cell>
          <cell r="B217" t="str">
            <v>INTANGIBLE ASSETS-SOFTWARE</v>
          </cell>
          <cell r="C217">
            <v>0</v>
          </cell>
          <cell r="D217">
            <v>4864264</v>
          </cell>
          <cell r="E217">
            <v>4864264</v>
          </cell>
          <cell r="F217">
            <v>4864264</v>
          </cell>
          <cell r="G217">
            <v>0</v>
          </cell>
          <cell r="H217">
            <v>4864264</v>
          </cell>
        </row>
        <row r="218">
          <cell r="A218" t="str">
            <v>700-20-010</v>
          </cell>
          <cell r="B218" t="str">
            <v>PAN AFRICA HSE NBI</v>
          </cell>
          <cell r="C218">
            <v>0</v>
          </cell>
          <cell r="D218">
            <v>0</v>
          </cell>
          <cell r="E218">
            <v>0</v>
          </cell>
          <cell r="F218">
            <v>0</v>
          </cell>
          <cell r="G218">
            <v>0</v>
          </cell>
          <cell r="H218">
            <v>0</v>
          </cell>
        </row>
        <row r="219">
          <cell r="A219" t="str">
            <v>700-20-020</v>
          </cell>
          <cell r="B219" t="str">
            <v>RESIDENTIAL HSE-LORESHO</v>
          </cell>
          <cell r="C219">
            <v>10687820</v>
          </cell>
          <cell r="D219">
            <v>0</v>
          </cell>
          <cell r="E219">
            <v>10687820</v>
          </cell>
          <cell r="F219">
            <v>10687820</v>
          </cell>
          <cell r="G219">
            <v>0</v>
          </cell>
          <cell r="H219">
            <v>10687820</v>
          </cell>
        </row>
        <row r="220">
          <cell r="A220" t="str">
            <v>700-20-025</v>
          </cell>
          <cell r="B220" t="str">
            <v>REVALUATION SURPLUS</v>
          </cell>
          <cell r="C220">
            <v>0</v>
          </cell>
          <cell r="D220">
            <v>194223.25</v>
          </cell>
          <cell r="E220">
            <v>194223.25</v>
          </cell>
          <cell r="F220">
            <v>194223.25</v>
          </cell>
          <cell r="G220">
            <v>0</v>
          </cell>
          <cell r="H220">
            <v>194223.25</v>
          </cell>
        </row>
        <row r="221">
          <cell r="A221" t="str">
            <v>700-20-030</v>
          </cell>
          <cell r="B221" t="str">
            <v>RESIDENTIAL HSE-RETREAT</v>
          </cell>
          <cell r="C221">
            <v>0.6</v>
          </cell>
          <cell r="D221">
            <v>0</v>
          </cell>
          <cell r="E221">
            <v>0.6</v>
          </cell>
          <cell r="F221">
            <v>0.6</v>
          </cell>
          <cell r="G221">
            <v>0</v>
          </cell>
          <cell r="H221">
            <v>0.6</v>
          </cell>
        </row>
        <row r="222">
          <cell r="A222" t="str">
            <v>700-25-010</v>
          </cell>
          <cell r="B222" t="str">
            <v>LORESHO RESIDENTIAL</v>
          </cell>
          <cell r="C222">
            <v>10212766</v>
          </cell>
          <cell r="D222">
            <v>0</v>
          </cell>
          <cell r="E222">
            <v>10212766</v>
          </cell>
          <cell r="F222">
            <v>10212766</v>
          </cell>
          <cell r="G222">
            <v>0</v>
          </cell>
          <cell r="H222">
            <v>10212766</v>
          </cell>
        </row>
        <row r="223">
          <cell r="A223" t="str">
            <v>700-25-015</v>
          </cell>
          <cell r="B223" t="str">
            <v>REVALUATION SURPLUS</v>
          </cell>
          <cell r="C223">
            <v>0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</row>
        <row r="224">
          <cell r="A224" t="str">
            <v>700-30-010</v>
          </cell>
          <cell r="B224" t="str">
            <v>TREASURY BONDS</v>
          </cell>
          <cell r="C224">
            <v>862975000</v>
          </cell>
          <cell r="D224">
            <v>-47857020</v>
          </cell>
          <cell r="E224">
            <v>815117980</v>
          </cell>
          <cell r="F224">
            <v>815117980</v>
          </cell>
          <cell r="G224">
            <v>0</v>
          </cell>
          <cell r="H224">
            <v>815117980</v>
          </cell>
        </row>
        <row r="225">
          <cell r="A225" t="str">
            <v>700-30-020</v>
          </cell>
          <cell r="B225" t="str">
            <v>TREASURY BILLS</v>
          </cell>
          <cell r="C225">
            <v>41200000</v>
          </cell>
          <cell r="D225">
            <v>-4620798</v>
          </cell>
          <cell r="E225">
            <v>36579202</v>
          </cell>
          <cell r="F225">
            <v>36579202</v>
          </cell>
          <cell r="G225">
            <v>0</v>
          </cell>
          <cell r="H225">
            <v>36579202</v>
          </cell>
        </row>
        <row r="226">
          <cell r="A226" t="str">
            <v>700-30-030</v>
          </cell>
          <cell r="B226" t="str">
            <v>ACCRUED INTEREST</v>
          </cell>
          <cell r="C226">
            <v>29809613.719999999</v>
          </cell>
          <cell r="D226">
            <v>-1636252.1</v>
          </cell>
          <cell r="E226">
            <v>28173361.620000001</v>
          </cell>
          <cell r="F226">
            <v>28173361.620000001</v>
          </cell>
          <cell r="G226">
            <v>0</v>
          </cell>
          <cell r="H226">
            <v>28173361.620000001</v>
          </cell>
        </row>
        <row r="227">
          <cell r="A227" t="str">
            <v>700-30-040</v>
          </cell>
          <cell r="B227" t="str">
            <v>PREM ON BOND</v>
          </cell>
          <cell r="C227">
            <v>28325524.93</v>
          </cell>
          <cell r="D227">
            <v>-28325524.93</v>
          </cell>
          <cell r="E227">
            <v>0</v>
          </cell>
          <cell r="F227">
            <v>0</v>
          </cell>
          <cell r="G227">
            <v>0</v>
          </cell>
          <cell r="H227">
            <v>0</v>
          </cell>
        </row>
        <row r="228">
          <cell r="A228" t="str">
            <v>700-30-045</v>
          </cell>
          <cell r="B228" t="str">
            <v>GAIN/LOSS ON VALUATION-TBS</v>
          </cell>
          <cell r="C228">
            <v>-1524359.1</v>
          </cell>
          <cell r="D228">
            <v>1524359.1</v>
          </cell>
          <cell r="E228">
            <v>0</v>
          </cell>
          <cell r="F228">
            <v>0</v>
          </cell>
          <cell r="G228">
            <v>0</v>
          </cell>
          <cell r="H228">
            <v>0</v>
          </cell>
        </row>
        <row r="229">
          <cell r="A229" t="str">
            <v>700-35-010</v>
          </cell>
          <cell r="B229" t="str">
            <v>TREASURY BONDS</v>
          </cell>
          <cell r="C229">
            <v>171400000</v>
          </cell>
          <cell r="D229">
            <v>0</v>
          </cell>
          <cell r="E229">
            <v>171400000</v>
          </cell>
          <cell r="F229">
            <v>171400000</v>
          </cell>
          <cell r="G229">
            <v>0</v>
          </cell>
          <cell r="H229">
            <v>171400000</v>
          </cell>
        </row>
        <row r="230">
          <cell r="A230" t="str">
            <v>700-40-010</v>
          </cell>
          <cell r="C230">
            <v>0</v>
          </cell>
          <cell r="D230">
            <v>0</v>
          </cell>
          <cell r="E230">
            <v>0</v>
          </cell>
          <cell r="F230">
            <v>0</v>
          </cell>
          <cell r="G230">
            <v>0</v>
          </cell>
          <cell r="H230">
            <v>0</v>
          </cell>
        </row>
        <row r="231">
          <cell r="A231" t="str">
            <v>700-40-020</v>
          </cell>
          <cell r="C231">
            <v>0</v>
          </cell>
          <cell r="D231">
            <v>0</v>
          </cell>
          <cell r="E231">
            <v>0</v>
          </cell>
          <cell r="F231">
            <v>0</v>
          </cell>
          <cell r="G231">
            <v>0</v>
          </cell>
          <cell r="H231">
            <v>0</v>
          </cell>
        </row>
        <row r="232">
          <cell r="A232" t="str">
            <v>700-40-030</v>
          </cell>
          <cell r="C232">
            <v>0</v>
          </cell>
          <cell r="D232">
            <v>0</v>
          </cell>
          <cell r="E232">
            <v>0</v>
          </cell>
          <cell r="F232">
            <v>0</v>
          </cell>
          <cell r="G232">
            <v>0</v>
          </cell>
          <cell r="H232">
            <v>0</v>
          </cell>
        </row>
        <row r="233">
          <cell r="A233" t="str">
            <v>700-40-040</v>
          </cell>
          <cell r="C233">
            <v>0</v>
          </cell>
          <cell r="D233">
            <v>0</v>
          </cell>
          <cell r="E233">
            <v>0</v>
          </cell>
          <cell r="F233">
            <v>0</v>
          </cell>
          <cell r="G233">
            <v>0</v>
          </cell>
          <cell r="H233">
            <v>0</v>
          </cell>
        </row>
        <row r="234">
          <cell r="A234" t="str">
            <v>700-50-010</v>
          </cell>
          <cell r="B234" t="str">
            <v>BROOKE BOND LEIBERG</v>
          </cell>
          <cell r="C234">
            <v>392392</v>
          </cell>
          <cell r="D234">
            <v>-2156.5</v>
          </cell>
          <cell r="E234">
            <v>390235.5</v>
          </cell>
          <cell r="F234">
            <v>390235.5</v>
          </cell>
          <cell r="G234">
            <v>0</v>
          </cell>
          <cell r="H234">
            <v>390235.5</v>
          </cell>
        </row>
        <row r="235">
          <cell r="A235" t="str">
            <v>700-50-030</v>
          </cell>
          <cell r="B235" t="str">
            <v>LIMURU TEA CO.</v>
          </cell>
          <cell r="C235">
            <v>693306</v>
          </cell>
          <cell r="D235">
            <v>0</v>
          </cell>
          <cell r="E235">
            <v>693306</v>
          </cell>
          <cell r="F235">
            <v>693306</v>
          </cell>
          <cell r="G235">
            <v>0</v>
          </cell>
          <cell r="H235">
            <v>693306</v>
          </cell>
        </row>
        <row r="236">
          <cell r="A236" t="str">
            <v>700-50-035</v>
          </cell>
          <cell r="B236" t="str">
            <v>BAMBURI CEMENT</v>
          </cell>
          <cell r="C236">
            <v>17005712</v>
          </cell>
          <cell r="D236">
            <v>500168</v>
          </cell>
          <cell r="E236">
            <v>17505880</v>
          </cell>
          <cell r="F236">
            <v>17505880</v>
          </cell>
          <cell r="G236">
            <v>0</v>
          </cell>
          <cell r="H236">
            <v>17505880</v>
          </cell>
        </row>
        <row r="237">
          <cell r="A237" t="str">
            <v>700-50-040</v>
          </cell>
          <cell r="B237" t="str">
            <v>SASINI TEA &amp; COFFEE LTD</v>
          </cell>
          <cell r="C237">
            <v>3265312</v>
          </cell>
          <cell r="D237">
            <v>-556875</v>
          </cell>
          <cell r="E237">
            <v>2708437</v>
          </cell>
          <cell r="F237">
            <v>2708437</v>
          </cell>
          <cell r="G237">
            <v>0</v>
          </cell>
          <cell r="H237">
            <v>2708437</v>
          </cell>
        </row>
        <row r="238">
          <cell r="A238" t="str">
            <v>700-50-050</v>
          </cell>
          <cell r="B238" t="str">
            <v>E.A BREWERIES</v>
          </cell>
          <cell r="C238">
            <v>95766480</v>
          </cell>
          <cell r="D238">
            <v>-2081880</v>
          </cell>
          <cell r="E238">
            <v>93684600</v>
          </cell>
          <cell r="F238">
            <v>93684600</v>
          </cell>
          <cell r="G238">
            <v>0</v>
          </cell>
          <cell r="H238">
            <v>93684600</v>
          </cell>
        </row>
        <row r="239">
          <cell r="A239" t="str">
            <v>700-50-055</v>
          </cell>
          <cell r="B239" t="str">
            <v>EAST AFRICA PORTLAND</v>
          </cell>
          <cell r="C239">
            <v>5103410</v>
          </cell>
          <cell r="D239">
            <v>0</v>
          </cell>
          <cell r="E239">
            <v>5103410</v>
          </cell>
          <cell r="F239">
            <v>5103410</v>
          </cell>
          <cell r="G239">
            <v>0</v>
          </cell>
          <cell r="H239">
            <v>5103410</v>
          </cell>
        </row>
        <row r="240">
          <cell r="A240" t="str">
            <v>700-50-060</v>
          </cell>
          <cell r="B240" t="str">
            <v>UNGA GROUP</v>
          </cell>
          <cell r="C240">
            <v>2144747.6</v>
          </cell>
          <cell r="D240">
            <v>-44221.599999999999</v>
          </cell>
          <cell r="E240">
            <v>2100526</v>
          </cell>
          <cell r="F240">
            <v>2100526</v>
          </cell>
          <cell r="G240">
            <v>0</v>
          </cell>
          <cell r="H240">
            <v>2100526</v>
          </cell>
        </row>
        <row r="241">
          <cell r="A241" t="str">
            <v>700-50-065</v>
          </cell>
          <cell r="B241" t="str">
            <v>STANCHART</v>
          </cell>
          <cell r="C241">
            <v>5527891</v>
          </cell>
          <cell r="D241">
            <v>0</v>
          </cell>
          <cell r="E241">
            <v>5527891</v>
          </cell>
          <cell r="F241">
            <v>5527891</v>
          </cell>
          <cell r="G241">
            <v>0</v>
          </cell>
          <cell r="H241">
            <v>5527891</v>
          </cell>
        </row>
        <row r="242">
          <cell r="A242" t="str">
            <v>700-50-070</v>
          </cell>
          <cell r="B242" t="str">
            <v>NATIONAL IND.CREDIT BANK</v>
          </cell>
          <cell r="C242">
            <v>12489350</v>
          </cell>
          <cell r="D242">
            <v>249787</v>
          </cell>
          <cell r="E242">
            <v>12739137</v>
          </cell>
          <cell r="F242">
            <v>12739137</v>
          </cell>
          <cell r="G242">
            <v>0</v>
          </cell>
          <cell r="H242">
            <v>12739137</v>
          </cell>
        </row>
        <row r="243">
          <cell r="A243" t="str">
            <v>700-50-075</v>
          </cell>
          <cell r="B243" t="str">
            <v>KENYA AIRWAYS</v>
          </cell>
          <cell r="C243">
            <v>24041853</v>
          </cell>
          <cell r="D243">
            <v>12215922.5</v>
          </cell>
          <cell r="E243">
            <v>36257775.5</v>
          </cell>
          <cell r="F243">
            <v>36257775.5</v>
          </cell>
          <cell r="G243">
            <v>0</v>
          </cell>
          <cell r="H243">
            <v>36257775.5</v>
          </cell>
        </row>
        <row r="244">
          <cell r="A244" t="str">
            <v>700-50-080</v>
          </cell>
          <cell r="B244" t="str">
            <v>BRITISH AMERICAN TOBACCO</v>
          </cell>
          <cell r="C244">
            <v>23839830</v>
          </cell>
          <cell r="D244">
            <v>1032462</v>
          </cell>
          <cell r="E244">
            <v>24872292</v>
          </cell>
          <cell r="F244">
            <v>24872292</v>
          </cell>
          <cell r="G244">
            <v>0</v>
          </cell>
          <cell r="H244">
            <v>24872292</v>
          </cell>
        </row>
        <row r="245">
          <cell r="A245" t="str">
            <v>700-50-090</v>
          </cell>
          <cell r="B245" t="str">
            <v>KENYA OIL COMPANY LTD.</v>
          </cell>
          <cell r="C245">
            <v>39070824.920000002</v>
          </cell>
          <cell r="D245">
            <v>4159492.55</v>
          </cell>
          <cell r="E245">
            <v>43230317.469999999</v>
          </cell>
          <cell r="F245">
            <v>43230317.469999999</v>
          </cell>
          <cell r="G245">
            <v>0</v>
          </cell>
          <cell r="H245">
            <v>43230317.469999999</v>
          </cell>
        </row>
        <row r="246">
          <cell r="A246" t="str">
            <v>700-50-100</v>
          </cell>
          <cell r="B246" t="str">
            <v>FIRESTONE E.A.</v>
          </cell>
          <cell r="C246">
            <v>8139600.2999999998</v>
          </cell>
          <cell r="D246">
            <v>193800</v>
          </cell>
          <cell r="E246">
            <v>8333400.2999999998</v>
          </cell>
          <cell r="F246">
            <v>8333400.2999999998</v>
          </cell>
          <cell r="G246">
            <v>0</v>
          </cell>
          <cell r="H246">
            <v>8333400.2999999998</v>
          </cell>
        </row>
        <row r="247">
          <cell r="A247" t="str">
            <v>700-50-110</v>
          </cell>
          <cell r="B247" t="str">
            <v>ATHI RIVER MINING</v>
          </cell>
          <cell r="C247">
            <v>5362125</v>
          </cell>
          <cell r="D247">
            <v>0</v>
          </cell>
          <cell r="E247">
            <v>5362125</v>
          </cell>
          <cell r="F247">
            <v>5362125</v>
          </cell>
          <cell r="G247">
            <v>0</v>
          </cell>
          <cell r="H247">
            <v>5362125</v>
          </cell>
        </row>
        <row r="248">
          <cell r="A248" t="str">
            <v>700-50-115</v>
          </cell>
          <cell r="B248" t="str">
            <v>MUMIAS LIMITED</v>
          </cell>
          <cell r="C248">
            <v>28192369.75</v>
          </cell>
          <cell r="D248">
            <v>9616162.25</v>
          </cell>
          <cell r="E248">
            <v>37808532</v>
          </cell>
          <cell r="F248">
            <v>37808532</v>
          </cell>
          <cell r="G248">
            <v>0</v>
          </cell>
          <cell r="H248">
            <v>37808532</v>
          </cell>
        </row>
        <row r="249">
          <cell r="A249" t="str">
            <v>700-50-120</v>
          </cell>
          <cell r="B249" t="str">
            <v>BARCLAYS BANK OF KENYA</v>
          </cell>
          <cell r="C249">
            <v>28801366.800000001</v>
          </cell>
          <cell r="D249">
            <v>2091901</v>
          </cell>
          <cell r="E249">
            <v>30893267.800000001</v>
          </cell>
          <cell r="F249">
            <v>30893267.800000001</v>
          </cell>
          <cell r="G249">
            <v>0</v>
          </cell>
          <cell r="H249">
            <v>30893267.800000001</v>
          </cell>
        </row>
        <row r="250">
          <cell r="A250" t="str">
            <v>700-50-125</v>
          </cell>
          <cell r="B250" t="str">
            <v>EAST AFRICA PORTLAND</v>
          </cell>
          <cell r="C250">
            <v>92000</v>
          </cell>
          <cell r="D250">
            <v>0</v>
          </cell>
          <cell r="E250">
            <v>92000</v>
          </cell>
          <cell r="F250">
            <v>92000</v>
          </cell>
          <cell r="G250">
            <v>0</v>
          </cell>
          <cell r="H250">
            <v>92000</v>
          </cell>
        </row>
        <row r="251">
          <cell r="A251" t="str">
            <v>700-50-130</v>
          </cell>
          <cell r="B251" t="str">
            <v>NATION MEDIA GROUP</v>
          </cell>
          <cell r="C251">
            <v>18366830.399999999</v>
          </cell>
          <cell r="D251">
            <v>97179.35</v>
          </cell>
          <cell r="E251">
            <v>18464009.75</v>
          </cell>
          <cell r="F251">
            <v>18464009.75</v>
          </cell>
          <cell r="G251">
            <v>0</v>
          </cell>
          <cell r="H251">
            <v>18464009.75</v>
          </cell>
        </row>
        <row r="252">
          <cell r="A252" t="str">
            <v>700-50-135</v>
          </cell>
          <cell r="B252" t="str">
            <v>ICDC INVESTMENTS SHARES</v>
          </cell>
          <cell r="C252">
            <v>602960</v>
          </cell>
          <cell r="D252">
            <v>8433</v>
          </cell>
          <cell r="E252">
            <v>611393</v>
          </cell>
          <cell r="F252">
            <v>611393</v>
          </cell>
          <cell r="G252">
            <v>0</v>
          </cell>
          <cell r="H252">
            <v>611393</v>
          </cell>
        </row>
        <row r="253">
          <cell r="A253" t="str">
            <v>700-50-140</v>
          </cell>
          <cell r="B253" t="str">
            <v>KENYA COMMERCIAL BANK</v>
          </cell>
          <cell r="C253">
            <v>57382178.07</v>
          </cell>
          <cell r="D253">
            <v>5495768.4900000002</v>
          </cell>
          <cell r="E253">
            <v>62877946.560000002</v>
          </cell>
          <cell r="F253">
            <v>62877946.560000002</v>
          </cell>
          <cell r="G253">
            <v>0</v>
          </cell>
          <cell r="H253">
            <v>62877946.560000002</v>
          </cell>
        </row>
        <row r="254">
          <cell r="A254" t="str">
            <v>700-50-145</v>
          </cell>
          <cell r="B254" t="str">
            <v>TOTAL KENYA KTD.</v>
          </cell>
          <cell r="C254">
            <v>3891100</v>
          </cell>
          <cell r="D254">
            <v>-24100</v>
          </cell>
          <cell r="E254">
            <v>3867000</v>
          </cell>
          <cell r="F254">
            <v>3867000</v>
          </cell>
          <cell r="G254">
            <v>0</v>
          </cell>
          <cell r="H254">
            <v>3867000</v>
          </cell>
        </row>
        <row r="255">
          <cell r="A255" t="str">
            <v>700-50-150</v>
          </cell>
          <cell r="B255" t="str">
            <v>K P L C</v>
          </cell>
          <cell r="C255">
            <v>33607591.049999997</v>
          </cell>
          <cell r="D255">
            <v>-6169079.8499999996</v>
          </cell>
          <cell r="E255">
            <v>27438511.199999999</v>
          </cell>
          <cell r="F255">
            <v>27438511.199999999</v>
          </cell>
          <cell r="G255">
            <v>0</v>
          </cell>
          <cell r="H255">
            <v>27438511.199999999</v>
          </cell>
        </row>
        <row r="256">
          <cell r="A256" t="str">
            <v>700-50-155</v>
          </cell>
          <cell r="B256" t="str">
            <v>C F C BANK LTD.</v>
          </cell>
          <cell r="C256">
            <v>2540625</v>
          </cell>
          <cell r="D256">
            <v>211575</v>
          </cell>
          <cell r="E256">
            <v>2752200</v>
          </cell>
          <cell r="F256">
            <v>2752200</v>
          </cell>
          <cell r="G256">
            <v>0</v>
          </cell>
          <cell r="H256">
            <v>2752200</v>
          </cell>
        </row>
        <row r="257">
          <cell r="A257" t="str">
            <v>700-50-160</v>
          </cell>
          <cell r="B257" t="str">
            <v>KAKUZI LTD.</v>
          </cell>
          <cell r="C257">
            <v>4087872</v>
          </cell>
          <cell r="D257">
            <v>21291</v>
          </cell>
          <cell r="E257">
            <v>4109163</v>
          </cell>
          <cell r="F257">
            <v>4109163</v>
          </cell>
          <cell r="G257">
            <v>0</v>
          </cell>
          <cell r="H257">
            <v>4109163</v>
          </cell>
        </row>
        <row r="258">
          <cell r="A258" t="str">
            <v>700-50-165</v>
          </cell>
          <cell r="B258" t="str">
            <v>CMC HOLDINGS</v>
          </cell>
          <cell r="C258">
            <v>0</v>
          </cell>
          <cell r="D258">
            <v>11742300</v>
          </cell>
          <cell r="E258">
            <v>11742300</v>
          </cell>
          <cell r="F258">
            <v>11742300</v>
          </cell>
          <cell r="G258">
            <v>0</v>
          </cell>
          <cell r="H258">
            <v>11742300</v>
          </cell>
        </row>
        <row r="259">
          <cell r="A259" t="str">
            <v>700-55-010</v>
          </cell>
          <cell r="B259" t="str">
            <v>DFCU LTD</v>
          </cell>
          <cell r="C259">
            <v>16934102.859999999</v>
          </cell>
          <cell r="D259">
            <v>-1408424.49</v>
          </cell>
          <cell r="E259">
            <v>15525678.369999999</v>
          </cell>
          <cell r="F259">
            <v>15525678.369999999</v>
          </cell>
          <cell r="G259">
            <v>0</v>
          </cell>
          <cell r="H259">
            <v>15525678.369999999</v>
          </cell>
        </row>
        <row r="260">
          <cell r="A260" t="str">
            <v>700-60-010</v>
          </cell>
          <cell r="B260" t="str">
            <v>FIXED DEPOSIT CBA</v>
          </cell>
          <cell r="C260">
            <v>2028552.78</v>
          </cell>
          <cell r="D260">
            <v>0</v>
          </cell>
          <cell r="E260">
            <v>2028552.78</v>
          </cell>
          <cell r="F260">
            <v>2028552.78</v>
          </cell>
          <cell r="G260">
            <v>0</v>
          </cell>
          <cell r="H260">
            <v>2028552.78</v>
          </cell>
        </row>
        <row r="261">
          <cell r="A261" t="str">
            <v>700-60-020</v>
          </cell>
          <cell r="B261" t="str">
            <v>OTHERS FIXED DEPOSIT</v>
          </cell>
          <cell r="C261">
            <v>253500000.00999999</v>
          </cell>
          <cell r="D261">
            <v>54300000</v>
          </cell>
          <cell r="E261">
            <v>307800000.00999999</v>
          </cell>
          <cell r="F261">
            <v>307800000.00999999</v>
          </cell>
          <cell r="G261">
            <v>0</v>
          </cell>
          <cell r="H261">
            <v>307800000.00999999</v>
          </cell>
        </row>
        <row r="262">
          <cell r="A262" t="str">
            <v>700-60-030</v>
          </cell>
          <cell r="B262" t="str">
            <v>ACCRUED INTEREST</v>
          </cell>
          <cell r="C262">
            <v>919778.09</v>
          </cell>
          <cell r="D262">
            <v>590208.22</v>
          </cell>
          <cell r="E262">
            <v>1509986.31</v>
          </cell>
          <cell r="F262">
            <v>1509986.31</v>
          </cell>
          <cell r="G262">
            <v>0</v>
          </cell>
          <cell r="H262">
            <v>1509986.31</v>
          </cell>
        </row>
        <row r="263">
          <cell r="A263" t="str">
            <v>700-60-040</v>
          </cell>
          <cell r="B263" t="str">
            <v>FIXED DEPOSIT-DELPHIS</v>
          </cell>
          <cell r="C263">
            <v>33755</v>
          </cell>
          <cell r="D263">
            <v>0</v>
          </cell>
          <cell r="E263">
            <v>33755</v>
          </cell>
          <cell r="F263">
            <v>33755</v>
          </cell>
          <cell r="G263">
            <v>0</v>
          </cell>
          <cell r="H263">
            <v>33755</v>
          </cell>
        </row>
        <row r="264">
          <cell r="A264" t="str">
            <v>700-60-050</v>
          </cell>
          <cell r="B264" t="str">
            <v>FIXED DEPOSIT TANZANIA</v>
          </cell>
          <cell r="C264">
            <v>315119.34000000003</v>
          </cell>
          <cell r="D264">
            <v>0</v>
          </cell>
          <cell r="E264">
            <v>315119.34000000003</v>
          </cell>
          <cell r="F264">
            <v>315119.34000000003</v>
          </cell>
          <cell r="G264">
            <v>0</v>
          </cell>
          <cell r="H264">
            <v>315119.34000000003</v>
          </cell>
        </row>
        <row r="265">
          <cell r="A265" t="str">
            <v>700-60-060</v>
          </cell>
          <cell r="B265" t="str">
            <v>DELPHIS-PROVISION</v>
          </cell>
          <cell r="C265">
            <v>-33754</v>
          </cell>
          <cell r="D265">
            <v>0</v>
          </cell>
          <cell r="E265">
            <v>-33754</v>
          </cell>
          <cell r="F265">
            <v>-33754</v>
          </cell>
          <cell r="G265">
            <v>0</v>
          </cell>
          <cell r="H265">
            <v>-33754</v>
          </cell>
        </row>
        <row r="266">
          <cell r="A266" t="str">
            <v>700-60-070</v>
          </cell>
          <cell r="B266" t="str">
            <v>STANBIC CUSTODIAN SERVICE</v>
          </cell>
          <cell r="C266">
            <v>20741663.199999999</v>
          </cell>
          <cell r="D266">
            <v>-12931989.029999999</v>
          </cell>
          <cell r="E266">
            <v>7809674.1699999999</v>
          </cell>
          <cell r="F266">
            <v>7809674.1699999999</v>
          </cell>
          <cell r="G266">
            <v>0</v>
          </cell>
          <cell r="H266">
            <v>7809674.1699999999</v>
          </cell>
        </row>
        <row r="267">
          <cell r="A267" t="str">
            <v>700-70-020</v>
          </cell>
          <cell r="B267" t="str">
            <v>E.A.DEVELOPMENT BANK</v>
          </cell>
          <cell r="C267">
            <v>16300000</v>
          </cell>
          <cell r="D267">
            <v>0</v>
          </cell>
          <cell r="E267">
            <v>16300000</v>
          </cell>
          <cell r="F267">
            <v>16300000</v>
          </cell>
          <cell r="G267">
            <v>0</v>
          </cell>
          <cell r="H267">
            <v>16300000</v>
          </cell>
        </row>
        <row r="268">
          <cell r="A268" t="str">
            <v>700-70-030</v>
          </cell>
          <cell r="B268" t="str">
            <v>SAFARICOM</v>
          </cell>
          <cell r="C268">
            <v>4620000</v>
          </cell>
          <cell r="D268">
            <v>0</v>
          </cell>
          <cell r="E268">
            <v>4620000</v>
          </cell>
          <cell r="F268">
            <v>4620000</v>
          </cell>
          <cell r="G268">
            <v>0</v>
          </cell>
          <cell r="H268">
            <v>4620000</v>
          </cell>
        </row>
        <row r="269">
          <cell r="A269" t="str">
            <v>700-70-040</v>
          </cell>
          <cell r="B269" t="str">
            <v>KENYA OIL LTD.</v>
          </cell>
          <cell r="C269">
            <v>104000000</v>
          </cell>
          <cell r="D269">
            <v>-3000000</v>
          </cell>
          <cell r="E269">
            <v>101000000</v>
          </cell>
          <cell r="F269">
            <v>101000000</v>
          </cell>
          <cell r="G269">
            <v>0</v>
          </cell>
          <cell r="H269">
            <v>101000000</v>
          </cell>
        </row>
        <row r="270">
          <cell r="A270" t="str">
            <v>700-70-045</v>
          </cell>
          <cell r="B270" t="str">
            <v>PTA</v>
          </cell>
          <cell r="C270">
            <v>8000000</v>
          </cell>
          <cell r="D270">
            <v>0</v>
          </cell>
          <cell r="E270">
            <v>8000000</v>
          </cell>
          <cell r="F270">
            <v>8000000</v>
          </cell>
          <cell r="G270">
            <v>0</v>
          </cell>
          <cell r="H270">
            <v>8000000</v>
          </cell>
        </row>
        <row r="271">
          <cell r="A271" t="str">
            <v>700-70-050</v>
          </cell>
          <cell r="B271" t="str">
            <v>MABATI ROLLING MILLS</v>
          </cell>
          <cell r="C271">
            <v>16100000</v>
          </cell>
          <cell r="D271">
            <v>0</v>
          </cell>
          <cell r="E271">
            <v>16100000</v>
          </cell>
          <cell r="F271">
            <v>16100000</v>
          </cell>
          <cell r="G271">
            <v>0</v>
          </cell>
          <cell r="H271">
            <v>16100000</v>
          </cell>
        </row>
        <row r="272">
          <cell r="A272" t="str">
            <v>700-70-060</v>
          </cell>
          <cell r="B272" t="str">
            <v>ACCRUED INTEREST</v>
          </cell>
          <cell r="C272">
            <v>1829777.79</v>
          </cell>
          <cell r="D272">
            <v>-1829777.44</v>
          </cell>
          <cell r="E272">
            <v>0.35</v>
          </cell>
          <cell r="F272">
            <v>0.35</v>
          </cell>
          <cell r="G272">
            <v>0</v>
          </cell>
          <cell r="H272">
            <v>0.35</v>
          </cell>
        </row>
        <row r="273">
          <cell r="A273" t="str">
            <v>700-70-065</v>
          </cell>
          <cell r="B273" t="str">
            <v>ATHI RIVER MINING</v>
          </cell>
          <cell r="C273">
            <v>0</v>
          </cell>
          <cell r="D273">
            <v>0</v>
          </cell>
          <cell r="E273">
            <v>0</v>
          </cell>
          <cell r="F273">
            <v>0</v>
          </cell>
          <cell r="G273">
            <v>0</v>
          </cell>
          <cell r="H273">
            <v>0</v>
          </cell>
        </row>
        <row r="274">
          <cell r="A274" t="str">
            <v>700-70-070</v>
          </cell>
          <cell r="B274" t="str">
            <v>CMC HOLDINGS</v>
          </cell>
          <cell r="C274">
            <v>0</v>
          </cell>
          <cell r="D274">
            <v>0</v>
          </cell>
          <cell r="E274">
            <v>0</v>
          </cell>
          <cell r="F274">
            <v>0</v>
          </cell>
          <cell r="G274">
            <v>0</v>
          </cell>
          <cell r="H274">
            <v>0</v>
          </cell>
        </row>
        <row r="275">
          <cell r="A275" t="str">
            <v>700-70-075</v>
          </cell>
          <cell r="B275" t="str">
            <v>GAIN/LOSS ON VALUATION</v>
          </cell>
          <cell r="C275">
            <v>-472624.96</v>
          </cell>
          <cell r="D275">
            <v>472624.96</v>
          </cell>
          <cell r="E275">
            <v>0</v>
          </cell>
          <cell r="F275">
            <v>0</v>
          </cell>
          <cell r="G275">
            <v>0</v>
          </cell>
          <cell r="H275">
            <v>0</v>
          </cell>
        </row>
        <row r="276">
          <cell r="A276" t="str">
            <v>700-75-010</v>
          </cell>
          <cell r="B276" t="str">
            <v>LOAN ON MORTGAGE THIRD PARTY</v>
          </cell>
          <cell r="C276">
            <v>12819341.34</v>
          </cell>
          <cell r="D276">
            <v>-116238.05</v>
          </cell>
          <cell r="E276">
            <v>12703103.289999999</v>
          </cell>
          <cell r="F276">
            <v>12703103.289999999</v>
          </cell>
          <cell r="G276">
            <v>0</v>
          </cell>
          <cell r="H276">
            <v>12703103.289999999</v>
          </cell>
        </row>
        <row r="277">
          <cell r="A277" t="str">
            <v>700-75-020</v>
          </cell>
          <cell r="B277" t="str">
            <v>LOAN ON MORTGAGE -STAFF</v>
          </cell>
          <cell r="C277">
            <v>35024393.850000001</v>
          </cell>
          <cell r="D277">
            <v>-396799.55</v>
          </cell>
          <cell r="E277">
            <v>34627594.299999997</v>
          </cell>
          <cell r="F277">
            <v>34627594.299999997</v>
          </cell>
          <cell r="G277">
            <v>0</v>
          </cell>
          <cell r="H277">
            <v>34627594.299999997</v>
          </cell>
        </row>
        <row r="278">
          <cell r="A278" t="str">
            <v>700-75-025</v>
          </cell>
          <cell r="B278" t="str">
            <v>O/S INTEREST ON MORTGAGE</v>
          </cell>
          <cell r="C278">
            <v>351524.23</v>
          </cell>
          <cell r="D278">
            <v>34511.160000000003</v>
          </cell>
          <cell r="E278">
            <v>386035.39</v>
          </cell>
          <cell r="F278">
            <v>386035.39</v>
          </cell>
          <cell r="G278">
            <v>0</v>
          </cell>
          <cell r="H278">
            <v>386035.39</v>
          </cell>
        </row>
        <row r="279">
          <cell r="A279" t="str">
            <v>700-75-030</v>
          </cell>
          <cell r="B279" t="str">
            <v>MORTGAGE-RETREAT VILLA</v>
          </cell>
          <cell r="C279">
            <v>15009737.1</v>
          </cell>
          <cell r="D279">
            <v>-30464.7</v>
          </cell>
          <cell r="E279">
            <v>14979272.4</v>
          </cell>
          <cell r="F279">
            <v>14979272.4</v>
          </cell>
          <cell r="G279">
            <v>0</v>
          </cell>
          <cell r="H279">
            <v>14979272.4</v>
          </cell>
        </row>
        <row r="280">
          <cell r="A280" t="str">
            <v>700-78-010</v>
          </cell>
          <cell r="B280" t="str">
            <v>LOAN ON POLICY W/S/V</v>
          </cell>
          <cell r="C280">
            <v>80634451.609999999</v>
          </cell>
          <cell r="D280">
            <v>-899179.37</v>
          </cell>
          <cell r="E280">
            <v>79735272.239999995</v>
          </cell>
          <cell r="F280">
            <v>79735272.239999995</v>
          </cell>
          <cell r="G280">
            <v>0</v>
          </cell>
          <cell r="H280">
            <v>79735272.239999995</v>
          </cell>
        </row>
        <row r="281">
          <cell r="A281" t="str">
            <v>700-78-020</v>
          </cell>
          <cell r="B281" t="str">
            <v>LOAN ON POLICY TANZANIA</v>
          </cell>
          <cell r="C281">
            <v>140516.20000000001</v>
          </cell>
          <cell r="D281">
            <v>0</v>
          </cell>
          <cell r="E281">
            <v>140516.20000000001</v>
          </cell>
          <cell r="F281">
            <v>140516.20000000001</v>
          </cell>
          <cell r="G281">
            <v>0</v>
          </cell>
          <cell r="H281">
            <v>140516.20000000001</v>
          </cell>
        </row>
        <row r="282">
          <cell r="A282" t="str">
            <v>700-78-030</v>
          </cell>
          <cell r="B282" t="str">
            <v>LOAN ON POLICY REPAYMENT</v>
          </cell>
          <cell r="C282">
            <v>-2223299.7799999998</v>
          </cell>
          <cell r="D282">
            <v>-2689788.04</v>
          </cell>
          <cell r="E282">
            <v>-4913087.82</v>
          </cell>
          <cell r="F282">
            <v>-4913087.82</v>
          </cell>
          <cell r="G282">
            <v>0</v>
          </cell>
          <cell r="H282">
            <v>-4913087.82</v>
          </cell>
        </row>
        <row r="283">
          <cell r="A283" t="str">
            <v>700-78-040</v>
          </cell>
          <cell r="B283" t="str">
            <v>O/S INTEREST ON LOAN ON POLICY</v>
          </cell>
          <cell r="C283">
            <v>13666076.76</v>
          </cell>
          <cell r="D283">
            <v>-1026957.1</v>
          </cell>
          <cell r="E283">
            <v>12639119.66</v>
          </cell>
          <cell r="F283">
            <v>12639119.66</v>
          </cell>
          <cell r="G283">
            <v>0</v>
          </cell>
          <cell r="H283">
            <v>12639119.66</v>
          </cell>
        </row>
        <row r="284">
          <cell r="A284" t="str">
            <v>700-78-050</v>
          </cell>
          <cell r="B284" t="str">
            <v>PROVISION FOR DOUBTFUL LOANS</v>
          </cell>
          <cell r="C284">
            <v>-860646.31</v>
          </cell>
          <cell r="D284">
            <v>-956320.19</v>
          </cell>
          <cell r="E284">
            <v>-1816966.5</v>
          </cell>
          <cell r="F284">
            <v>-1816966.5</v>
          </cell>
          <cell r="G284">
            <v>0</v>
          </cell>
          <cell r="H284">
            <v>-1816966.5</v>
          </cell>
        </row>
        <row r="285">
          <cell r="A285" t="str">
            <v>700-79-010</v>
          </cell>
          <cell r="B285" t="str">
            <v>POLICY LOAN-FFFP</v>
          </cell>
          <cell r="C285">
            <v>2088051.23</v>
          </cell>
          <cell r="D285">
            <v>576542.77</v>
          </cell>
          <cell r="E285">
            <v>2664594</v>
          </cell>
          <cell r="F285">
            <v>2664594</v>
          </cell>
          <cell r="G285">
            <v>0</v>
          </cell>
          <cell r="H285">
            <v>2664594</v>
          </cell>
        </row>
        <row r="286">
          <cell r="A286" t="str">
            <v>700-79-020</v>
          </cell>
          <cell r="B286" t="str">
            <v>POLICY LOAN WP</v>
          </cell>
          <cell r="C286">
            <v>6442823.5300000003</v>
          </cell>
          <cell r="D286">
            <v>3553133.31</v>
          </cell>
          <cell r="E286">
            <v>9995956.8399999999</v>
          </cell>
          <cell r="F286">
            <v>9995956.8399999999</v>
          </cell>
          <cell r="G286">
            <v>0</v>
          </cell>
          <cell r="H286">
            <v>9995956.8399999999</v>
          </cell>
        </row>
        <row r="287">
          <cell r="A287" t="str">
            <v>700-79-030</v>
          </cell>
          <cell r="B287" t="str">
            <v>GAIN ON VALUATION</v>
          </cell>
          <cell r="C287">
            <v>0</v>
          </cell>
          <cell r="D287">
            <v>246917</v>
          </cell>
          <cell r="E287">
            <v>246917</v>
          </cell>
          <cell r="F287">
            <v>246917</v>
          </cell>
          <cell r="G287">
            <v>0</v>
          </cell>
          <cell r="H287">
            <v>246917</v>
          </cell>
        </row>
        <row r="288">
          <cell r="A288" t="str">
            <v>700-80-010</v>
          </cell>
          <cell r="B288" t="str">
            <v>STAFF LOANS</v>
          </cell>
          <cell r="C288">
            <v>2274905.86</v>
          </cell>
          <cell r="D288">
            <v>-175739.37</v>
          </cell>
          <cell r="E288">
            <v>2099166.4900000002</v>
          </cell>
          <cell r="F288">
            <v>2099166.4900000002</v>
          </cell>
          <cell r="G288">
            <v>0</v>
          </cell>
          <cell r="H288">
            <v>2099166.4900000002</v>
          </cell>
        </row>
        <row r="289">
          <cell r="A289" t="str">
            <v>700-80-020</v>
          </cell>
          <cell r="B289" t="str">
            <v>AGENTS COMMISSION CONTROL ACCOUNT</v>
          </cell>
          <cell r="C289">
            <v>-18110959.699999999</v>
          </cell>
          <cell r="D289">
            <v>51327.77</v>
          </cell>
          <cell r="E289">
            <v>-18059631.93</v>
          </cell>
          <cell r="F289">
            <v>-18059631.93</v>
          </cell>
          <cell r="G289">
            <v>0</v>
          </cell>
          <cell r="H289">
            <v>-18059631.93</v>
          </cell>
        </row>
        <row r="290">
          <cell r="A290" t="str">
            <v>700-80-025</v>
          </cell>
          <cell r="B290" t="str">
            <v>AGENTS LOAN -COP</v>
          </cell>
          <cell r="C290">
            <v>442189.7</v>
          </cell>
          <cell r="D290">
            <v>-103123.55</v>
          </cell>
          <cell r="E290">
            <v>339066.15</v>
          </cell>
          <cell r="F290">
            <v>339066.15</v>
          </cell>
          <cell r="G290">
            <v>0</v>
          </cell>
          <cell r="H290">
            <v>339066.15</v>
          </cell>
        </row>
        <row r="291">
          <cell r="A291" t="str">
            <v>700-80-030</v>
          </cell>
          <cell r="B291" t="str">
            <v>AGENTS LOAN-MV PREMIUMS</v>
          </cell>
          <cell r="C291">
            <v>214648.2</v>
          </cell>
          <cell r="D291">
            <v>-70307.850000000006</v>
          </cell>
          <cell r="E291">
            <v>144340.35</v>
          </cell>
          <cell r="F291">
            <v>144340.35</v>
          </cell>
          <cell r="G291">
            <v>0</v>
          </cell>
          <cell r="H291">
            <v>144340.35</v>
          </cell>
        </row>
        <row r="292">
          <cell r="A292" t="str">
            <v>700-80-035</v>
          </cell>
          <cell r="B292" t="str">
            <v>AGENTS LOAN-MEDICAL PREMIUMS</v>
          </cell>
          <cell r="C292">
            <v>278839.5</v>
          </cell>
          <cell r="D292">
            <v>-4553.55</v>
          </cell>
          <cell r="E292">
            <v>274285.95</v>
          </cell>
          <cell r="F292">
            <v>274285.95</v>
          </cell>
          <cell r="G292">
            <v>0</v>
          </cell>
          <cell r="H292">
            <v>274285.95</v>
          </cell>
        </row>
        <row r="293">
          <cell r="A293" t="str">
            <v>700-80-040</v>
          </cell>
          <cell r="B293" t="str">
            <v>AGENTS LOAN-1,2,3,4</v>
          </cell>
          <cell r="C293">
            <v>1635583.52</v>
          </cell>
          <cell r="D293">
            <v>421459</v>
          </cell>
          <cell r="E293">
            <v>2057042.52</v>
          </cell>
          <cell r="F293">
            <v>2057042.52</v>
          </cell>
          <cell r="G293">
            <v>0</v>
          </cell>
          <cell r="H293">
            <v>2057042.52</v>
          </cell>
        </row>
        <row r="294">
          <cell r="A294" t="str">
            <v>700-80-045</v>
          </cell>
          <cell r="B294" t="str">
            <v>AGENTS LOAN -OTHERS</v>
          </cell>
          <cell r="C294">
            <v>1228015.1000000001</v>
          </cell>
          <cell r="D294">
            <v>249991.65</v>
          </cell>
          <cell r="E294">
            <v>1478006.75</v>
          </cell>
          <cell r="F294">
            <v>1478006.75</v>
          </cell>
          <cell r="G294">
            <v>0</v>
          </cell>
          <cell r="H294">
            <v>1478006.75</v>
          </cell>
        </row>
        <row r="295">
          <cell r="A295" t="str">
            <v>700-80-050</v>
          </cell>
          <cell r="B295" t="str">
            <v>AGENTS CAR LOANS</v>
          </cell>
          <cell r="C295">
            <v>18622511.699999999</v>
          </cell>
          <cell r="D295">
            <v>-212684.45</v>
          </cell>
          <cell r="E295">
            <v>18409827.25</v>
          </cell>
          <cell r="F295">
            <v>18409827.25</v>
          </cell>
          <cell r="G295">
            <v>0</v>
          </cell>
          <cell r="H295">
            <v>18409827.25</v>
          </cell>
        </row>
        <row r="296">
          <cell r="A296" t="str">
            <v>700-80-055</v>
          </cell>
          <cell r="B296" t="str">
            <v>STAFF CAR LOANS</v>
          </cell>
          <cell r="C296">
            <v>13657116.199999999</v>
          </cell>
          <cell r="D296">
            <v>-343366.40000000002</v>
          </cell>
          <cell r="E296">
            <v>13313749.800000001</v>
          </cell>
          <cell r="F296">
            <v>13313749.800000001</v>
          </cell>
          <cell r="G296">
            <v>0</v>
          </cell>
          <cell r="H296">
            <v>13313749.800000001</v>
          </cell>
        </row>
        <row r="297">
          <cell r="A297" t="str">
            <v>700-80-060</v>
          </cell>
          <cell r="B297" t="str">
            <v>MORTGAGE LOANS</v>
          </cell>
          <cell r="C297">
            <v>967.35</v>
          </cell>
          <cell r="D297">
            <v>0.2</v>
          </cell>
          <cell r="E297">
            <v>967.55</v>
          </cell>
          <cell r="F297">
            <v>967.55</v>
          </cell>
          <cell r="G297">
            <v>0</v>
          </cell>
          <cell r="H297">
            <v>967.55</v>
          </cell>
        </row>
        <row r="298">
          <cell r="A298" t="str">
            <v>700-80-065</v>
          </cell>
          <cell r="B298" t="str">
            <v>N/L PREMIUMS</v>
          </cell>
          <cell r="C298">
            <v>629569.69999999995</v>
          </cell>
          <cell r="D298">
            <v>-78384.5</v>
          </cell>
          <cell r="E298">
            <v>551185.19999999995</v>
          </cell>
          <cell r="F298">
            <v>551185.19999999995</v>
          </cell>
          <cell r="G298">
            <v>0</v>
          </cell>
          <cell r="H298">
            <v>551185.19999999995</v>
          </cell>
        </row>
        <row r="299">
          <cell r="A299" t="str">
            <v>700-80-066</v>
          </cell>
          <cell r="B299" t="str">
            <v>CORPORATION TAX-TANZANIA</v>
          </cell>
          <cell r="C299">
            <v>8655</v>
          </cell>
          <cell r="D299">
            <v>0</v>
          </cell>
          <cell r="E299">
            <v>8655</v>
          </cell>
          <cell r="F299">
            <v>8655</v>
          </cell>
          <cell r="G299">
            <v>0</v>
          </cell>
          <cell r="H299">
            <v>8655</v>
          </cell>
        </row>
        <row r="300">
          <cell r="A300" t="str">
            <v>700-80-067</v>
          </cell>
          <cell r="B300" t="str">
            <v>PAN AFRICA INS. PENSION SCHEME</v>
          </cell>
          <cell r="C300">
            <v>898529.65</v>
          </cell>
          <cell r="D300">
            <v>0</v>
          </cell>
          <cell r="E300">
            <v>898529.65</v>
          </cell>
          <cell r="F300">
            <v>898529.65</v>
          </cell>
          <cell r="G300">
            <v>0</v>
          </cell>
          <cell r="H300">
            <v>898529.65</v>
          </cell>
        </row>
        <row r="301">
          <cell r="A301" t="str">
            <v>700-80-068</v>
          </cell>
          <cell r="B301" t="str">
            <v>RENT DEPOSITS</v>
          </cell>
          <cell r="C301">
            <v>201674.7</v>
          </cell>
          <cell r="D301">
            <v>0</v>
          </cell>
          <cell r="E301">
            <v>201674.7</v>
          </cell>
          <cell r="F301">
            <v>201674.7</v>
          </cell>
          <cell r="G301">
            <v>0</v>
          </cell>
          <cell r="H301">
            <v>201674.7</v>
          </cell>
        </row>
        <row r="302">
          <cell r="A302" t="str">
            <v>700-80-069</v>
          </cell>
          <cell r="B302" t="str">
            <v>TANZANIA AACOUNT</v>
          </cell>
          <cell r="C302">
            <v>313853.95</v>
          </cell>
          <cell r="D302">
            <v>0</v>
          </cell>
          <cell r="E302">
            <v>313853.95</v>
          </cell>
          <cell r="F302">
            <v>313853.95</v>
          </cell>
          <cell r="G302">
            <v>0</v>
          </cell>
          <cell r="H302">
            <v>313853.95</v>
          </cell>
        </row>
        <row r="303">
          <cell r="A303" t="str">
            <v>700-80-070</v>
          </cell>
          <cell r="B303" t="str">
            <v>STAFF MEDICAL - RECOVERABLE</v>
          </cell>
          <cell r="C303">
            <v>4153.8500000000004</v>
          </cell>
          <cell r="D303">
            <v>0</v>
          </cell>
          <cell r="E303">
            <v>4153.8500000000004</v>
          </cell>
          <cell r="F303">
            <v>4153.8500000000004</v>
          </cell>
          <cell r="G303">
            <v>0</v>
          </cell>
          <cell r="H303">
            <v>4153.8500000000004</v>
          </cell>
        </row>
        <row r="304">
          <cell r="A304" t="str">
            <v>700-81-010</v>
          </cell>
          <cell r="B304" t="str">
            <v>KNIGHT FRANK</v>
          </cell>
          <cell r="C304">
            <v>22400194</v>
          </cell>
          <cell r="D304">
            <v>-675696</v>
          </cell>
          <cell r="E304">
            <v>21724498</v>
          </cell>
          <cell r="F304">
            <v>21724498</v>
          </cell>
          <cell r="G304">
            <v>-5203213</v>
          </cell>
          <cell r="H304">
            <v>16521285</v>
          </cell>
        </row>
        <row r="305">
          <cell r="A305" t="str">
            <v>700-81-015</v>
          </cell>
          <cell r="B305" t="str">
            <v>CASH IN TRANSIT</v>
          </cell>
          <cell r="C305">
            <v>0</v>
          </cell>
          <cell r="D305">
            <v>0</v>
          </cell>
          <cell r="E305">
            <v>0</v>
          </cell>
          <cell r="F305">
            <v>0</v>
          </cell>
          <cell r="G305">
            <v>0</v>
          </cell>
          <cell r="H305">
            <v>0</v>
          </cell>
        </row>
        <row r="306">
          <cell r="A306" t="str">
            <v>700-82-010</v>
          </cell>
          <cell r="B306" t="str">
            <v>PREDEBIT DEBTOR</v>
          </cell>
          <cell r="C306">
            <v>59133200.700000003</v>
          </cell>
          <cell r="D306">
            <v>-9441168.5500000007</v>
          </cell>
          <cell r="E306">
            <v>49692032.149999999</v>
          </cell>
          <cell r="F306">
            <v>49692032.149999999</v>
          </cell>
          <cell r="G306">
            <v>0</v>
          </cell>
          <cell r="H306">
            <v>49692032.149999999</v>
          </cell>
        </row>
        <row r="307">
          <cell r="A307" t="str">
            <v>700-83-010</v>
          </cell>
          <cell r="B307" t="str">
            <v>REINSURANCE DEBTOR</v>
          </cell>
          <cell r="C307">
            <v>73676140</v>
          </cell>
          <cell r="D307">
            <v>22655267</v>
          </cell>
          <cell r="E307">
            <v>96331407</v>
          </cell>
          <cell r="F307">
            <v>96331407</v>
          </cell>
          <cell r="G307">
            <v>0</v>
          </cell>
          <cell r="H307">
            <v>96331407</v>
          </cell>
        </row>
        <row r="308">
          <cell r="A308" t="str">
            <v>700-84-010</v>
          </cell>
          <cell r="B308" t="str">
            <v>O/S PREMIUMS API</v>
          </cell>
          <cell r="C308">
            <v>0</v>
          </cell>
          <cell r="D308">
            <v>0</v>
          </cell>
          <cell r="E308">
            <v>0</v>
          </cell>
          <cell r="F308">
            <v>0</v>
          </cell>
          <cell r="G308">
            <v>0</v>
          </cell>
          <cell r="H308">
            <v>0</v>
          </cell>
        </row>
        <row r="309">
          <cell r="A309" t="str">
            <v>700-85-010</v>
          </cell>
          <cell r="B309" t="str">
            <v>PREPAYMENTS</v>
          </cell>
          <cell r="C309">
            <v>4275747.3</v>
          </cell>
          <cell r="D309">
            <v>-1684231.59</v>
          </cell>
          <cell r="E309">
            <v>2591515.71</v>
          </cell>
          <cell r="F309">
            <v>2591515.71</v>
          </cell>
          <cell r="G309">
            <v>0</v>
          </cell>
          <cell r="H309">
            <v>2591515.71</v>
          </cell>
        </row>
        <row r="310">
          <cell r="A310" t="str">
            <v>700-85-015</v>
          </cell>
          <cell r="B310" t="str">
            <v>EXECUTIVE CONTRA</v>
          </cell>
          <cell r="C310">
            <v>330807.46999999997</v>
          </cell>
          <cell r="D310">
            <v>-1765.56</v>
          </cell>
          <cell r="E310">
            <v>329041.90999999997</v>
          </cell>
          <cell r="F310">
            <v>329041.90999999997</v>
          </cell>
          <cell r="G310">
            <v>0</v>
          </cell>
          <cell r="H310">
            <v>329041.90999999997</v>
          </cell>
        </row>
        <row r="311">
          <cell r="A311" t="str">
            <v>700-85-020</v>
          </cell>
          <cell r="B311" t="str">
            <v>STAFF CONTRA</v>
          </cell>
          <cell r="C311">
            <v>260307</v>
          </cell>
          <cell r="D311">
            <v>26354.6</v>
          </cell>
          <cell r="E311">
            <v>286661.59999999998</v>
          </cell>
          <cell r="F311">
            <v>286661.59999999998</v>
          </cell>
          <cell r="G311">
            <v>0</v>
          </cell>
          <cell r="H311">
            <v>286661.59999999998</v>
          </cell>
        </row>
        <row r="312">
          <cell r="A312" t="str">
            <v>700-85-025</v>
          </cell>
          <cell r="B312" t="str">
            <v>PREDEBIT DEBTOR</v>
          </cell>
          <cell r="C312">
            <v>894590.3</v>
          </cell>
          <cell r="D312">
            <v>-358867.88</v>
          </cell>
          <cell r="E312">
            <v>535722.42000000004</v>
          </cell>
          <cell r="F312">
            <v>535722.42000000004</v>
          </cell>
          <cell r="G312">
            <v>0</v>
          </cell>
          <cell r="H312">
            <v>535722.42000000004</v>
          </cell>
        </row>
        <row r="313">
          <cell r="A313" t="str">
            <v>700-85-035</v>
          </cell>
          <cell r="B313" t="str">
            <v>ALA-RECEIVABLES</v>
          </cell>
          <cell r="C313">
            <v>156270</v>
          </cell>
          <cell r="D313">
            <v>-156270</v>
          </cell>
          <cell r="E313">
            <v>0</v>
          </cell>
          <cell r="F313">
            <v>0</v>
          </cell>
          <cell r="G313">
            <v>0</v>
          </cell>
          <cell r="H313">
            <v>0</v>
          </cell>
        </row>
        <row r="314">
          <cell r="A314" t="str">
            <v>700-85-040</v>
          </cell>
          <cell r="B314" t="str">
            <v>DEPOSITS ACCOUNT</v>
          </cell>
          <cell r="C314">
            <v>1854304.6</v>
          </cell>
          <cell r="D314">
            <v>108000</v>
          </cell>
          <cell r="E314">
            <v>1962304.6</v>
          </cell>
          <cell r="F314">
            <v>1962304.6</v>
          </cell>
          <cell r="G314">
            <v>0</v>
          </cell>
          <cell r="H314">
            <v>1962304.6</v>
          </cell>
        </row>
        <row r="315">
          <cell r="A315" t="str">
            <v>700-85-045</v>
          </cell>
          <cell r="B315" t="str">
            <v>P A SECURITIES</v>
          </cell>
          <cell r="C315">
            <v>26549959.890000001</v>
          </cell>
          <cell r="D315">
            <v>-26549959.890000001</v>
          </cell>
          <cell r="E315">
            <v>0</v>
          </cell>
          <cell r="F315">
            <v>0</v>
          </cell>
          <cell r="G315">
            <v>0</v>
          </cell>
          <cell r="H315">
            <v>0</v>
          </cell>
        </row>
        <row r="316">
          <cell r="A316" t="str">
            <v>700-85-050</v>
          </cell>
          <cell r="B316" t="str">
            <v>CORPORATE (PENSIONS SCHEMES)</v>
          </cell>
          <cell r="C316">
            <v>0</v>
          </cell>
          <cell r="D316">
            <v>373284.45</v>
          </cell>
          <cell r="E316">
            <v>373284.45</v>
          </cell>
          <cell r="F316">
            <v>373284.45</v>
          </cell>
          <cell r="G316">
            <v>0</v>
          </cell>
          <cell r="H316">
            <v>373284.45</v>
          </cell>
        </row>
        <row r="317">
          <cell r="A317" t="str">
            <v>700-86-010</v>
          </cell>
          <cell r="B317" t="str">
            <v>CLAIMS RECOVERABLE</v>
          </cell>
          <cell r="C317">
            <v>50351484</v>
          </cell>
          <cell r="D317">
            <v>-17929712</v>
          </cell>
          <cell r="E317">
            <v>32421772</v>
          </cell>
          <cell r="F317">
            <v>32421772</v>
          </cell>
          <cell r="G317">
            <v>0</v>
          </cell>
          <cell r="H317">
            <v>32421772</v>
          </cell>
        </row>
        <row r="318">
          <cell r="A318" t="str">
            <v>700-87-010</v>
          </cell>
          <cell r="B318" t="str">
            <v>AGENCY DEVELOPMENT FUND</v>
          </cell>
          <cell r="C318">
            <v>1600000</v>
          </cell>
          <cell r="D318">
            <v>0</v>
          </cell>
          <cell r="E318">
            <v>1600000</v>
          </cell>
          <cell r="F318">
            <v>1600000</v>
          </cell>
          <cell r="G318">
            <v>0</v>
          </cell>
          <cell r="H318">
            <v>1600000</v>
          </cell>
        </row>
        <row r="319">
          <cell r="A319" t="str">
            <v>700-90-010</v>
          </cell>
          <cell r="B319" t="str">
            <v>BANK OF BARODA</v>
          </cell>
          <cell r="C319">
            <v>54522.5</v>
          </cell>
          <cell r="D319">
            <v>8586.15</v>
          </cell>
          <cell r="E319">
            <v>63108.65</v>
          </cell>
          <cell r="F319">
            <v>63108.65</v>
          </cell>
          <cell r="G319">
            <v>0</v>
          </cell>
          <cell r="H319">
            <v>63108.65</v>
          </cell>
        </row>
        <row r="320">
          <cell r="A320" t="str">
            <v>700-90-030</v>
          </cell>
          <cell r="B320" t="str">
            <v>CBA-WABERA STREET</v>
          </cell>
          <cell r="C320">
            <v>0</v>
          </cell>
          <cell r="D320">
            <v>0</v>
          </cell>
          <cell r="E320">
            <v>0</v>
          </cell>
          <cell r="F320">
            <v>0</v>
          </cell>
          <cell r="G320">
            <v>0</v>
          </cell>
          <cell r="H320">
            <v>0</v>
          </cell>
        </row>
        <row r="321">
          <cell r="A321" t="str">
            <v>700-90-040</v>
          </cell>
          <cell r="B321" t="str">
            <v>BBK-MOMBASA</v>
          </cell>
          <cell r="C321">
            <v>1187020.5</v>
          </cell>
          <cell r="D321">
            <v>-1051561.8500000001</v>
          </cell>
          <cell r="E321">
            <v>135458.65</v>
          </cell>
          <cell r="F321">
            <v>135458.65</v>
          </cell>
          <cell r="G321">
            <v>0</v>
          </cell>
          <cell r="H321">
            <v>135458.65</v>
          </cell>
        </row>
        <row r="322">
          <cell r="A322" t="str">
            <v>700-90-050</v>
          </cell>
          <cell r="B322" t="str">
            <v>SCB-COLLECTION A/C</v>
          </cell>
          <cell r="C322">
            <v>1020365</v>
          </cell>
          <cell r="D322">
            <v>266536</v>
          </cell>
          <cell r="E322">
            <v>1286901</v>
          </cell>
          <cell r="F322">
            <v>1286901</v>
          </cell>
          <cell r="G322">
            <v>0</v>
          </cell>
          <cell r="H322">
            <v>1286901</v>
          </cell>
        </row>
        <row r="323">
          <cell r="A323" t="str">
            <v>700-90-060</v>
          </cell>
          <cell r="B323" t="str">
            <v>CO-OP UKULIMA</v>
          </cell>
          <cell r="C323">
            <v>763602</v>
          </cell>
          <cell r="D323">
            <v>170409</v>
          </cell>
          <cell r="E323">
            <v>934011</v>
          </cell>
          <cell r="F323">
            <v>934011</v>
          </cell>
          <cell r="G323">
            <v>0</v>
          </cell>
          <cell r="H323">
            <v>934011</v>
          </cell>
        </row>
        <row r="324">
          <cell r="A324" t="str">
            <v>700-90-080</v>
          </cell>
          <cell r="B324" t="str">
            <v>BBK MERU</v>
          </cell>
          <cell r="C324">
            <v>293767.3</v>
          </cell>
          <cell r="D324">
            <v>-116353.8</v>
          </cell>
          <cell r="E324">
            <v>177413.5</v>
          </cell>
          <cell r="F324">
            <v>177413.5</v>
          </cell>
          <cell r="G324">
            <v>0</v>
          </cell>
          <cell r="H324">
            <v>177413.5</v>
          </cell>
        </row>
        <row r="325">
          <cell r="A325" t="str">
            <v>700-90-090</v>
          </cell>
          <cell r="B325" t="str">
            <v>BBK-NYERI</v>
          </cell>
          <cell r="C325">
            <v>275867.55</v>
          </cell>
          <cell r="D325">
            <v>-14797</v>
          </cell>
          <cell r="E325">
            <v>261070.55</v>
          </cell>
          <cell r="F325">
            <v>261070.55</v>
          </cell>
          <cell r="G325">
            <v>0</v>
          </cell>
          <cell r="H325">
            <v>261070.55</v>
          </cell>
        </row>
        <row r="326">
          <cell r="A326" t="str">
            <v>700-90-100</v>
          </cell>
          <cell r="B326" t="str">
            <v>BBK NBI(5776890)</v>
          </cell>
          <cell r="C326">
            <v>156079.79999999999</v>
          </cell>
          <cell r="D326">
            <v>-123709.65</v>
          </cell>
          <cell r="E326">
            <v>32370.15</v>
          </cell>
          <cell r="F326">
            <v>32370.15</v>
          </cell>
          <cell r="G326">
            <v>0</v>
          </cell>
          <cell r="H326">
            <v>32370.15</v>
          </cell>
        </row>
        <row r="327">
          <cell r="A327" t="str">
            <v>700-90-120</v>
          </cell>
          <cell r="B327" t="str">
            <v>BBK NBI (5776688)</v>
          </cell>
          <cell r="C327">
            <v>224855.5</v>
          </cell>
          <cell r="D327">
            <v>-34407.050000000003</v>
          </cell>
          <cell r="E327">
            <v>190448.45</v>
          </cell>
          <cell r="F327">
            <v>190448.45</v>
          </cell>
          <cell r="G327">
            <v>0</v>
          </cell>
          <cell r="H327">
            <v>190448.45</v>
          </cell>
        </row>
        <row r="328">
          <cell r="A328" t="str">
            <v>700-90-140</v>
          </cell>
          <cell r="B328" t="str">
            <v>BBK-KISII</v>
          </cell>
          <cell r="C328">
            <v>119305.1</v>
          </cell>
          <cell r="D328">
            <v>21854.85</v>
          </cell>
          <cell r="E328">
            <v>141159.95000000001</v>
          </cell>
          <cell r="F328">
            <v>141159.95000000001</v>
          </cell>
          <cell r="G328">
            <v>0</v>
          </cell>
          <cell r="H328">
            <v>141159.95000000001</v>
          </cell>
        </row>
        <row r="329">
          <cell r="A329" t="str">
            <v>700-90-150</v>
          </cell>
          <cell r="B329" t="str">
            <v>BBK-KISUMU</v>
          </cell>
          <cell r="C329">
            <v>244341.45</v>
          </cell>
          <cell r="D329">
            <v>-4100.1000000000004</v>
          </cell>
          <cell r="E329">
            <v>240241.35</v>
          </cell>
          <cell r="F329">
            <v>240241.35</v>
          </cell>
          <cell r="G329">
            <v>0</v>
          </cell>
          <cell r="H329">
            <v>240241.35</v>
          </cell>
        </row>
        <row r="330">
          <cell r="A330" t="str">
            <v>700-90-160</v>
          </cell>
          <cell r="B330" t="str">
            <v>NAKURU</v>
          </cell>
          <cell r="C330">
            <v>92104.15</v>
          </cell>
          <cell r="D330">
            <v>317038.7</v>
          </cell>
          <cell r="E330">
            <v>409142.85</v>
          </cell>
          <cell r="F330">
            <v>409142.85</v>
          </cell>
          <cell r="G330">
            <v>0</v>
          </cell>
          <cell r="H330">
            <v>409142.85</v>
          </cell>
        </row>
        <row r="331">
          <cell r="A331" t="str">
            <v>700-90-170</v>
          </cell>
          <cell r="B331" t="str">
            <v>BBK-ELDORET</v>
          </cell>
          <cell r="C331">
            <v>599976.1</v>
          </cell>
          <cell r="D331">
            <v>17890.150000000001</v>
          </cell>
          <cell r="E331">
            <v>617866.25</v>
          </cell>
          <cell r="F331">
            <v>617866.25</v>
          </cell>
          <cell r="G331">
            <v>0</v>
          </cell>
          <cell r="H331">
            <v>617866.25</v>
          </cell>
        </row>
        <row r="332">
          <cell r="A332" t="str">
            <v>700-90-190</v>
          </cell>
          <cell r="B332" t="str">
            <v>BBK-EMBU</v>
          </cell>
          <cell r="C332">
            <v>72392.5</v>
          </cell>
          <cell r="D332">
            <v>-31702.5</v>
          </cell>
          <cell r="E332">
            <v>40690</v>
          </cell>
          <cell r="F332">
            <v>40690</v>
          </cell>
          <cell r="G332">
            <v>0</v>
          </cell>
          <cell r="H332">
            <v>40690</v>
          </cell>
        </row>
        <row r="333">
          <cell r="A333" t="str">
            <v>700-90-200</v>
          </cell>
          <cell r="B333" t="str">
            <v>CO-OP CHUKA</v>
          </cell>
          <cell r="C333">
            <v>156713.29999999999</v>
          </cell>
          <cell r="D333">
            <v>0</v>
          </cell>
          <cell r="E333">
            <v>156713.29999999999</v>
          </cell>
          <cell r="F333">
            <v>156713.29999999999</v>
          </cell>
          <cell r="G333">
            <v>0</v>
          </cell>
          <cell r="H333">
            <v>156713.29999999999</v>
          </cell>
        </row>
        <row r="334">
          <cell r="A334" t="str">
            <v>700-90-210</v>
          </cell>
          <cell r="B334" t="str">
            <v>STANBIC NBI</v>
          </cell>
          <cell r="C334">
            <v>4659311.97</v>
          </cell>
          <cell r="D334">
            <v>-3999925</v>
          </cell>
          <cell r="E334">
            <v>659386.97</v>
          </cell>
          <cell r="F334">
            <v>659386.97</v>
          </cell>
          <cell r="G334">
            <v>0</v>
          </cell>
          <cell r="H334">
            <v>659386.97</v>
          </cell>
        </row>
        <row r="335">
          <cell r="A335" t="str">
            <v>700-90-220</v>
          </cell>
          <cell r="B335" t="str">
            <v>HOLDCO</v>
          </cell>
          <cell r="C335">
            <v>0</v>
          </cell>
          <cell r="D335">
            <v>0</v>
          </cell>
          <cell r="E335">
            <v>0</v>
          </cell>
          <cell r="F335">
            <v>0</v>
          </cell>
          <cell r="G335">
            <v>0</v>
          </cell>
          <cell r="H335">
            <v>0</v>
          </cell>
        </row>
        <row r="336">
          <cell r="A336" t="str">
            <v>700-90-230</v>
          </cell>
          <cell r="B336" t="str">
            <v>GRATUITY US DOLLAR</v>
          </cell>
          <cell r="C336">
            <v>1672078.07</v>
          </cell>
          <cell r="D336">
            <v>-48269.91</v>
          </cell>
          <cell r="E336">
            <v>1623808.16</v>
          </cell>
          <cell r="F336">
            <v>1623808.16</v>
          </cell>
          <cell r="G336">
            <v>0</v>
          </cell>
          <cell r="H336">
            <v>1623808.16</v>
          </cell>
        </row>
        <row r="337">
          <cell r="A337" t="str">
            <v>700-90-240</v>
          </cell>
          <cell r="B337" t="str">
            <v>BBK-THIKA</v>
          </cell>
          <cell r="C337">
            <v>695312.8</v>
          </cell>
          <cell r="D337">
            <v>217256.7</v>
          </cell>
          <cell r="E337">
            <v>912569.5</v>
          </cell>
          <cell r="F337">
            <v>912569.5</v>
          </cell>
          <cell r="G337">
            <v>0</v>
          </cell>
          <cell r="H337">
            <v>912569.5</v>
          </cell>
        </row>
        <row r="338">
          <cell r="A338" t="str">
            <v>700-90-260</v>
          </cell>
          <cell r="B338" t="str">
            <v>BBK(5039027)ADMINSTRATION</v>
          </cell>
          <cell r="C338">
            <v>-18962496.109999999</v>
          </cell>
          <cell r="D338">
            <v>-3484951.57</v>
          </cell>
          <cell r="E338">
            <v>-22447447.68</v>
          </cell>
          <cell r="F338">
            <v>-22447447.68</v>
          </cell>
          <cell r="G338">
            <v>0</v>
          </cell>
          <cell r="H338">
            <v>-22447447.68</v>
          </cell>
        </row>
        <row r="339">
          <cell r="A339" t="str">
            <v>700-90-270</v>
          </cell>
          <cell r="B339" t="str">
            <v>BBK-(5039051)COLLECTIONS</v>
          </cell>
          <cell r="C339">
            <v>8705265</v>
          </cell>
          <cell r="D339">
            <v>46537134.350000001</v>
          </cell>
          <cell r="E339">
            <v>55242399.350000001</v>
          </cell>
          <cell r="F339">
            <v>55242399.350000001</v>
          </cell>
          <cell r="G339">
            <v>0</v>
          </cell>
          <cell r="H339">
            <v>55242399.350000001</v>
          </cell>
        </row>
        <row r="340">
          <cell r="A340" t="str">
            <v>700-90-280</v>
          </cell>
          <cell r="B340" t="str">
            <v>BBK(5039035) EXPENSES</v>
          </cell>
          <cell r="C340">
            <v>-7644871.9500000002</v>
          </cell>
          <cell r="D340">
            <v>-3257333.6</v>
          </cell>
          <cell r="E340">
            <v>-10902205.550000001</v>
          </cell>
          <cell r="F340">
            <v>-10902205.550000001</v>
          </cell>
          <cell r="G340">
            <v>0</v>
          </cell>
          <cell r="H340">
            <v>-10902205.550000001</v>
          </cell>
        </row>
        <row r="341">
          <cell r="A341" t="str">
            <v>700-90-285</v>
          </cell>
          <cell r="B341" t="str">
            <v>BBK NBI -(5776793)</v>
          </cell>
          <cell r="C341">
            <v>18431161</v>
          </cell>
          <cell r="D341">
            <v>-15347219.65</v>
          </cell>
          <cell r="E341">
            <v>3083941.35</v>
          </cell>
          <cell r="F341">
            <v>3083941.35</v>
          </cell>
          <cell r="G341">
            <v>0</v>
          </cell>
          <cell r="H341">
            <v>3083941.35</v>
          </cell>
        </row>
        <row r="342">
          <cell r="A342" t="str">
            <v>700-90-290</v>
          </cell>
          <cell r="B342" t="str">
            <v>N.I.C BANK</v>
          </cell>
          <cell r="C342">
            <v>12948489.130000001</v>
          </cell>
          <cell r="D342">
            <v>1450252.21</v>
          </cell>
          <cell r="E342">
            <v>14398741.34</v>
          </cell>
          <cell r="F342">
            <v>14398741.34</v>
          </cell>
          <cell r="G342">
            <v>0</v>
          </cell>
          <cell r="H342">
            <v>14398741.34</v>
          </cell>
        </row>
        <row r="343">
          <cell r="A343" t="str">
            <v>700-90-295</v>
          </cell>
          <cell r="B343" t="str">
            <v>NATIONAL BANK-01010153900</v>
          </cell>
          <cell r="C343">
            <v>4851392.8</v>
          </cell>
          <cell r="D343">
            <v>850743</v>
          </cell>
          <cell r="E343">
            <v>5702135.7999999998</v>
          </cell>
          <cell r="F343">
            <v>5702135.7999999998</v>
          </cell>
          <cell r="G343">
            <v>0</v>
          </cell>
          <cell r="H343">
            <v>5702135.7999999998</v>
          </cell>
        </row>
        <row r="344">
          <cell r="A344" t="str">
            <v>700-90-300</v>
          </cell>
          <cell r="B344" t="str">
            <v>STANCHART-SRBS</v>
          </cell>
          <cell r="C344">
            <v>2761353.9</v>
          </cell>
          <cell r="D344">
            <v>106279.95</v>
          </cell>
          <cell r="E344">
            <v>2867633.85</v>
          </cell>
          <cell r="F344">
            <v>2867633.85</v>
          </cell>
          <cell r="G344">
            <v>0</v>
          </cell>
          <cell r="H344">
            <v>2867633.85</v>
          </cell>
        </row>
        <row r="345">
          <cell r="A345" t="str">
            <v>700-90-305</v>
          </cell>
          <cell r="B345" t="str">
            <v>EQUITY BANK</v>
          </cell>
          <cell r="C345">
            <v>142416</v>
          </cell>
          <cell r="D345">
            <v>70729.5</v>
          </cell>
          <cell r="E345">
            <v>213145.5</v>
          </cell>
          <cell r="F345">
            <v>213145.5</v>
          </cell>
          <cell r="G345">
            <v>0</v>
          </cell>
          <cell r="H345">
            <v>213145.5</v>
          </cell>
        </row>
        <row r="346">
          <cell r="A346" t="str">
            <v>700-90-310</v>
          </cell>
          <cell r="B346" t="str">
            <v>FAMILY FINANCE</v>
          </cell>
          <cell r="C346">
            <v>742279.45</v>
          </cell>
          <cell r="D346">
            <v>-372589.5</v>
          </cell>
          <cell r="E346">
            <v>369689.95</v>
          </cell>
          <cell r="F346">
            <v>369689.95</v>
          </cell>
          <cell r="G346">
            <v>0</v>
          </cell>
          <cell r="H346">
            <v>369689.95</v>
          </cell>
        </row>
        <row r="347">
          <cell r="A347" t="str">
            <v>700-95-010</v>
          </cell>
          <cell r="B347" t="str">
            <v>PETTY CASH</v>
          </cell>
          <cell r="C347">
            <v>200615</v>
          </cell>
          <cell r="D347">
            <v>0</v>
          </cell>
          <cell r="E347">
            <v>200615</v>
          </cell>
          <cell r="F347">
            <v>200615</v>
          </cell>
          <cell r="G347">
            <v>0</v>
          </cell>
          <cell r="H347">
            <v>200615</v>
          </cell>
        </row>
        <row r="348">
          <cell r="A348" t="str">
            <v>700-96-010</v>
          </cell>
          <cell r="B348" t="str">
            <v>GROUP PREMIUM DEBTOR</v>
          </cell>
          <cell r="C348">
            <v>0</v>
          </cell>
          <cell r="D348">
            <v>22930000</v>
          </cell>
          <cell r="E348">
            <v>22930000</v>
          </cell>
          <cell r="F348">
            <v>22930000</v>
          </cell>
          <cell r="G348">
            <v>0</v>
          </cell>
          <cell r="H348">
            <v>22930000</v>
          </cell>
        </row>
        <row r="349">
          <cell r="A349" t="str">
            <v>800-10-010</v>
          </cell>
          <cell r="B349" t="str">
            <v>CHANGE IN POLICYHOLDER LIABILITIES</v>
          </cell>
          <cell r="C349">
            <v>-1770245192.77</v>
          </cell>
          <cell r="D349">
            <v>0</v>
          </cell>
          <cell r="E349">
            <v>-1770245192.77</v>
          </cell>
          <cell r="F349">
            <v>-1770245192.77</v>
          </cell>
          <cell r="G349">
            <v>0</v>
          </cell>
          <cell r="H349">
            <v>-1770245192.77</v>
          </cell>
        </row>
        <row r="350">
          <cell r="A350" t="str">
            <v>800-10-011</v>
          </cell>
          <cell r="B350" t="str">
            <v>DEFERRED INCOME PRIOR YEAR ADJUSTMENT</v>
          </cell>
          <cell r="C350">
            <v>200036440.15000001</v>
          </cell>
          <cell r="D350">
            <v>0</v>
          </cell>
          <cell r="E350">
            <v>200036440.15000001</v>
          </cell>
          <cell r="F350">
            <v>200036440.15000001</v>
          </cell>
          <cell r="G350">
            <v>0</v>
          </cell>
          <cell r="H350">
            <v>200036440.15000001</v>
          </cell>
        </row>
        <row r="351">
          <cell r="A351" t="str">
            <v>800-10-015</v>
          </cell>
          <cell r="B351" t="str">
            <v>GENERAL FUND</v>
          </cell>
          <cell r="C351">
            <v>-104273936.8</v>
          </cell>
          <cell r="D351">
            <v>0</v>
          </cell>
          <cell r="E351">
            <v>-104273936.8</v>
          </cell>
          <cell r="F351">
            <v>-104273936.8</v>
          </cell>
          <cell r="G351">
            <v>0</v>
          </cell>
          <cell r="H351">
            <v>-104273936.8</v>
          </cell>
        </row>
        <row r="352">
          <cell r="A352" t="str">
            <v>800-10-020</v>
          </cell>
          <cell r="B352" t="str">
            <v>CLAIMS RESERVES</v>
          </cell>
          <cell r="C352">
            <v>412110.15</v>
          </cell>
          <cell r="D352">
            <v>0</v>
          </cell>
          <cell r="E352">
            <v>412110.15</v>
          </cell>
          <cell r="F352">
            <v>412110.15</v>
          </cell>
          <cell r="G352">
            <v>0</v>
          </cell>
          <cell r="H352">
            <v>412110.15</v>
          </cell>
        </row>
        <row r="353">
          <cell r="A353" t="str">
            <v>800-10-025</v>
          </cell>
          <cell r="B353" t="str">
            <v>UNIT LINK INVESTMENTS</v>
          </cell>
          <cell r="C353">
            <v>0</v>
          </cell>
          <cell r="D353">
            <v>0</v>
          </cell>
          <cell r="E353">
            <v>0</v>
          </cell>
          <cell r="F353">
            <v>0</v>
          </cell>
          <cell r="G353">
            <v>0</v>
          </cell>
          <cell r="H353">
            <v>0</v>
          </cell>
        </row>
        <row r="354">
          <cell r="A354" t="str">
            <v>800-12-010</v>
          </cell>
          <cell r="B354" t="str">
            <v>MEMORANDUM ENTRIES</v>
          </cell>
          <cell r="C354">
            <v>0</v>
          </cell>
          <cell r="D354">
            <v>0</v>
          </cell>
          <cell r="E354">
            <v>0</v>
          </cell>
          <cell r="F354">
            <v>0</v>
          </cell>
          <cell r="G354">
            <v>0</v>
          </cell>
          <cell r="H354">
            <v>0</v>
          </cell>
        </row>
        <row r="355">
          <cell r="A355" t="str">
            <v>800-15-010</v>
          </cell>
          <cell r="B355" t="str">
            <v>UNPROCESSED PREMIUMS</v>
          </cell>
          <cell r="C355">
            <v>-98533498.829999998</v>
          </cell>
          <cell r="D355">
            <v>-4021857.87</v>
          </cell>
          <cell r="E355">
            <v>-102555356.7</v>
          </cell>
          <cell r="F355">
            <v>-102555356.7</v>
          </cell>
          <cell r="G355">
            <v>0</v>
          </cell>
          <cell r="H355">
            <v>-102555356.7</v>
          </cell>
        </row>
        <row r="356">
          <cell r="A356" t="str">
            <v>800-15-020</v>
          </cell>
          <cell r="B356" t="str">
            <v>POLICIES IN ADVANCE REFUNDS</v>
          </cell>
          <cell r="C356">
            <v>0</v>
          </cell>
          <cell r="D356">
            <v>743285.85</v>
          </cell>
          <cell r="E356">
            <v>743285.85</v>
          </cell>
          <cell r="F356">
            <v>743285.85</v>
          </cell>
          <cell r="G356">
            <v>0</v>
          </cell>
          <cell r="H356">
            <v>743285.85</v>
          </cell>
        </row>
        <row r="357">
          <cell r="A357" t="str">
            <v>800-15-030</v>
          </cell>
          <cell r="B357" t="str">
            <v>REFUND ON MATURITIES</v>
          </cell>
          <cell r="C357">
            <v>0</v>
          </cell>
          <cell r="D357">
            <v>149843.54999999999</v>
          </cell>
          <cell r="E357">
            <v>149843.54999999999</v>
          </cell>
          <cell r="F357">
            <v>149843.54999999999</v>
          </cell>
          <cell r="G357">
            <v>0</v>
          </cell>
          <cell r="H357">
            <v>149843.54999999999</v>
          </cell>
        </row>
        <row r="358">
          <cell r="A358" t="str">
            <v>800-15-035</v>
          </cell>
          <cell r="B358" t="str">
            <v>REFUND ON CANCELLED POLICIES</v>
          </cell>
          <cell r="C358">
            <v>0</v>
          </cell>
          <cell r="D358">
            <v>157572.79999999999</v>
          </cell>
          <cell r="E358">
            <v>157572.79999999999</v>
          </cell>
          <cell r="F358">
            <v>157572.79999999999</v>
          </cell>
          <cell r="G358">
            <v>0</v>
          </cell>
          <cell r="H358">
            <v>157572.79999999999</v>
          </cell>
        </row>
        <row r="359">
          <cell r="A359" t="str">
            <v>800-15-040</v>
          </cell>
          <cell r="B359" t="str">
            <v>REFUND ON CANCELLED PROPOSALS</v>
          </cell>
          <cell r="C359">
            <v>0</v>
          </cell>
          <cell r="D359">
            <v>-76738.399999999994</v>
          </cell>
          <cell r="E359">
            <v>-76738.399999999994</v>
          </cell>
          <cell r="F359">
            <v>-76738.399999999994</v>
          </cell>
          <cell r="G359">
            <v>0</v>
          </cell>
          <cell r="H359">
            <v>-76738.399999999994</v>
          </cell>
        </row>
        <row r="360">
          <cell r="A360" t="str">
            <v>800-15-045</v>
          </cell>
          <cell r="B360" t="str">
            <v>REFUND ON SURRENDERS</v>
          </cell>
          <cell r="C360">
            <v>0</v>
          </cell>
          <cell r="D360">
            <v>103810.1</v>
          </cell>
          <cell r="E360">
            <v>103810.1</v>
          </cell>
          <cell r="F360">
            <v>103810.1</v>
          </cell>
          <cell r="G360">
            <v>0</v>
          </cell>
          <cell r="H360">
            <v>103810.1</v>
          </cell>
        </row>
        <row r="361">
          <cell r="A361" t="str">
            <v>800-15-050</v>
          </cell>
          <cell r="B361" t="str">
            <v>REFUND ON ERRONEOUS DEDUCTION</v>
          </cell>
          <cell r="C361">
            <v>0</v>
          </cell>
          <cell r="D361">
            <v>-494815.8</v>
          </cell>
          <cell r="E361">
            <v>-494815.8</v>
          </cell>
          <cell r="F361">
            <v>-494815.8</v>
          </cell>
          <cell r="G361">
            <v>0</v>
          </cell>
          <cell r="H361">
            <v>-494815.8</v>
          </cell>
        </row>
        <row r="362">
          <cell r="A362" t="str">
            <v>800-15-055</v>
          </cell>
          <cell r="B362" t="str">
            <v>REFUND ON 56,44,21 OTHERS</v>
          </cell>
          <cell r="C362">
            <v>0</v>
          </cell>
          <cell r="D362">
            <v>-1611237.55</v>
          </cell>
          <cell r="E362">
            <v>-1611237.55</v>
          </cell>
          <cell r="F362">
            <v>-1611237.55</v>
          </cell>
          <cell r="G362">
            <v>0</v>
          </cell>
          <cell r="H362">
            <v>-1611237.55</v>
          </cell>
        </row>
        <row r="363">
          <cell r="A363" t="str">
            <v>800-20-010</v>
          </cell>
          <cell r="B363" t="str">
            <v>API CREDITORS</v>
          </cell>
          <cell r="C363">
            <v>-8368</v>
          </cell>
          <cell r="D363">
            <v>0</v>
          </cell>
          <cell r="E363">
            <v>-8368</v>
          </cell>
          <cell r="F363">
            <v>-8368</v>
          </cell>
          <cell r="G363">
            <v>0</v>
          </cell>
          <cell r="H363">
            <v>-8368</v>
          </cell>
        </row>
        <row r="364">
          <cell r="A364" t="str">
            <v>800-25-010</v>
          </cell>
          <cell r="B364" t="str">
            <v>LEASE LEGAL</v>
          </cell>
          <cell r="C364">
            <v>-1531101.4</v>
          </cell>
          <cell r="D364">
            <v>0</v>
          </cell>
          <cell r="E364">
            <v>-1531101.4</v>
          </cell>
          <cell r="F364">
            <v>-1531101.4</v>
          </cell>
          <cell r="G364">
            <v>0</v>
          </cell>
          <cell r="H364">
            <v>-1531101.4</v>
          </cell>
        </row>
        <row r="365">
          <cell r="A365" t="str">
            <v>800-25-015</v>
          </cell>
          <cell r="B365" t="str">
            <v>DEPOSITS RECEIVED(BUILDINGS)</v>
          </cell>
          <cell r="C365">
            <v>-4184380.6</v>
          </cell>
          <cell r="D365">
            <v>0</v>
          </cell>
          <cell r="E365">
            <v>-4184380.6</v>
          </cell>
          <cell r="F365">
            <v>-4184380.6</v>
          </cell>
          <cell r="G365">
            <v>0</v>
          </cell>
          <cell r="H365">
            <v>-4184380.6</v>
          </cell>
        </row>
        <row r="366">
          <cell r="A366" t="str">
            <v>800-25-020</v>
          </cell>
          <cell r="B366" t="str">
            <v>RENT RECEIVED IN ADVANCE-ANNUITY</v>
          </cell>
          <cell r="C366">
            <v>-9828000</v>
          </cell>
          <cell r="D366">
            <v>175500</v>
          </cell>
          <cell r="E366">
            <v>-9652500</v>
          </cell>
          <cell r="F366">
            <v>-9652500</v>
          </cell>
          <cell r="G366">
            <v>0</v>
          </cell>
          <cell r="H366">
            <v>-9652500</v>
          </cell>
        </row>
        <row r="367">
          <cell r="A367" t="str">
            <v>800-25-030</v>
          </cell>
          <cell r="B367" t="str">
            <v>RENTAL ACCRUALS</v>
          </cell>
          <cell r="C367">
            <v>0</v>
          </cell>
          <cell r="D367">
            <v>0</v>
          </cell>
          <cell r="E367">
            <v>0</v>
          </cell>
          <cell r="F367">
            <v>0</v>
          </cell>
          <cell r="G367">
            <v>0</v>
          </cell>
          <cell r="H367">
            <v>0</v>
          </cell>
        </row>
        <row r="368">
          <cell r="A368" t="str">
            <v>800-30-010</v>
          </cell>
          <cell r="B368" t="str">
            <v>OUTPUT VAT</v>
          </cell>
          <cell r="C368">
            <v>-427900.53</v>
          </cell>
          <cell r="D368">
            <v>-138578.70000000001</v>
          </cell>
          <cell r="E368">
            <v>-566479.23</v>
          </cell>
          <cell r="F368">
            <v>-566479.23</v>
          </cell>
          <cell r="G368">
            <v>0</v>
          </cell>
          <cell r="H368">
            <v>-566479.23</v>
          </cell>
        </row>
        <row r="369">
          <cell r="A369" t="str">
            <v>800-30-015</v>
          </cell>
          <cell r="B369" t="str">
            <v>CASH-IN-LIEU LEAVE</v>
          </cell>
          <cell r="C369">
            <v>-4394344.47</v>
          </cell>
          <cell r="D369">
            <v>29322</v>
          </cell>
          <cell r="E369">
            <v>-4365022.47</v>
          </cell>
          <cell r="F369">
            <v>-4365022.47</v>
          </cell>
          <cell r="G369">
            <v>0</v>
          </cell>
          <cell r="H369">
            <v>-4365022.47</v>
          </cell>
        </row>
        <row r="370">
          <cell r="A370" t="str">
            <v>800-30-016</v>
          </cell>
          <cell r="B370" t="str">
            <v>OTHER ACCRUALS</v>
          </cell>
          <cell r="C370">
            <v>-705650</v>
          </cell>
          <cell r="D370">
            <v>0</v>
          </cell>
          <cell r="E370">
            <v>-705650</v>
          </cell>
          <cell r="F370">
            <v>-705650</v>
          </cell>
          <cell r="G370">
            <v>0</v>
          </cell>
          <cell r="H370">
            <v>-705650</v>
          </cell>
        </row>
        <row r="371">
          <cell r="A371" t="str">
            <v>800-30-017</v>
          </cell>
          <cell r="B371" t="str">
            <v>CUSTODY FEES</v>
          </cell>
          <cell r="C371">
            <v>-111875.15</v>
          </cell>
          <cell r="D371">
            <v>45856.91</v>
          </cell>
          <cell r="E371">
            <v>-66018.240000000005</v>
          </cell>
          <cell r="F371">
            <v>-66018.240000000005</v>
          </cell>
          <cell r="G371">
            <v>0</v>
          </cell>
          <cell r="H371">
            <v>-66018.240000000005</v>
          </cell>
        </row>
        <row r="372">
          <cell r="A372" t="str">
            <v>800-30-018</v>
          </cell>
          <cell r="B372" t="str">
            <v>O/S TAX</v>
          </cell>
          <cell r="C372">
            <v>-5767236</v>
          </cell>
          <cell r="D372">
            <v>0</v>
          </cell>
          <cell r="E372">
            <v>-5767236</v>
          </cell>
          <cell r="F372">
            <v>-5767236</v>
          </cell>
          <cell r="G372">
            <v>0</v>
          </cell>
          <cell r="H372">
            <v>-5767236</v>
          </cell>
        </row>
        <row r="373">
          <cell r="A373" t="str">
            <v>800-30-020</v>
          </cell>
          <cell r="B373" t="str">
            <v>TRADE CREDITORS</v>
          </cell>
          <cell r="C373">
            <v>-291161.15000000002</v>
          </cell>
          <cell r="D373">
            <v>251331.15</v>
          </cell>
          <cell r="E373">
            <v>-39830</v>
          </cell>
          <cell r="F373">
            <v>-39830</v>
          </cell>
          <cell r="G373">
            <v>0</v>
          </cell>
          <cell r="H373">
            <v>-39830</v>
          </cell>
        </row>
        <row r="374">
          <cell r="A374" t="str">
            <v>800-30-025</v>
          </cell>
          <cell r="B374" t="str">
            <v>PROVISIONS FOR EXPENSES</v>
          </cell>
          <cell r="C374">
            <v>-17000540.489999998</v>
          </cell>
          <cell r="D374">
            <v>-10962959.369999999</v>
          </cell>
          <cell r="E374">
            <v>-27963499.859999999</v>
          </cell>
          <cell r="F374">
            <v>-27963499.859999999</v>
          </cell>
          <cell r="G374">
            <v>5203213</v>
          </cell>
          <cell r="H374">
            <v>-22760286.859999999</v>
          </cell>
        </row>
        <row r="375">
          <cell r="A375" t="str">
            <v>800-30-029</v>
          </cell>
          <cell r="B375" t="str">
            <v>APA INSURANCE</v>
          </cell>
          <cell r="C375">
            <v>-980625</v>
          </cell>
          <cell r="D375">
            <v>-695625</v>
          </cell>
          <cell r="E375">
            <v>-1676250</v>
          </cell>
          <cell r="F375">
            <v>-1676250</v>
          </cell>
          <cell r="G375">
            <v>0</v>
          </cell>
          <cell r="H375">
            <v>-1676250</v>
          </cell>
        </row>
        <row r="376">
          <cell r="A376" t="str">
            <v>800-30-030</v>
          </cell>
          <cell r="B376" t="str">
            <v>ALA TZ</v>
          </cell>
          <cell r="C376">
            <v>0</v>
          </cell>
          <cell r="D376">
            <v>0</v>
          </cell>
          <cell r="E376">
            <v>0</v>
          </cell>
          <cell r="F376">
            <v>0</v>
          </cell>
          <cell r="G376">
            <v>0</v>
          </cell>
          <cell r="H376">
            <v>0</v>
          </cell>
        </row>
        <row r="377">
          <cell r="A377" t="str">
            <v>800-30-031</v>
          </cell>
          <cell r="B377" t="str">
            <v>PA SECURITIES</v>
          </cell>
          <cell r="C377">
            <v>-3875346.34</v>
          </cell>
          <cell r="D377">
            <v>-216018.96</v>
          </cell>
          <cell r="E377">
            <v>-4091365.3</v>
          </cell>
          <cell r="F377">
            <v>-4091365.3</v>
          </cell>
          <cell r="G377">
            <v>0</v>
          </cell>
          <cell r="H377">
            <v>-4091365.3</v>
          </cell>
        </row>
        <row r="378">
          <cell r="A378" t="str">
            <v>800-30-032</v>
          </cell>
          <cell r="B378" t="str">
            <v>EXECUTIVE CONTRA</v>
          </cell>
          <cell r="C378">
            <v>97966.45</v>
          </cell>
          <cell r="D378">
            <v>6222.93</v>
          </cell>
          <cell r="E378">
            <v>104189.38</v>
          </cell>
          <cell r="F378">
            <v>104189.38</v>
          </cell>
          <cell r="G378">
            <v>0</v>
          </cell>
          <cell r="H378">
            <v>104189.38</v>
          </cell>
        </row>
        <row r="379">
          <cell r="A379" t="str">
            <v>800-30-033</v>
          </cell>
          <cell r="B379" t="str">
            <v>DELOITTE(ACTUARY)</v>
          </cell>
          <cell r="C379">
            <v>42999.199999999997</v>
          </cell>
          <cell r="D379">
            <v>0</v>
          </cell>
          <cell r="E379">
            <v>42999.199999999997</v>
          </cell>
          <cell r="F379">
            <v>42999.199999999997</v>
          </cell>
          <cell r="G379">
            <v>0</v>
          </cell>
          <cell r="H379">
            <v>42999.199999999997</v>
          </cell>
        </row>
        <row r="380">
          <cell r="A380" t="str">
            <v>800-30-034</v>
          </cell>
          <cell r="B380" t="str">
            <v>PAIC HOLDINGS</v>
          </cell>
          <cell r="C380">
            <v>17270617.969999999</v>
          </cell>
          <cell r="D380">
            <v>926195.75</v>
          </cell>
          <cell r="E380">
            <v>18196813.719999999</v>
          </cell>
          <cell r="F380">
            <v>18196813.719999999</v>
          </cell>
          <cell r="G380">
            <v>0</v>
          </cell>
          <cell r="H380">
            <v>18196813.719999999</v>
          </cell>
        </row>
        <row r="381">
          <cell r="A381" t="str">
            <v>800-30-035</v>
          </cell>
          <cell r="B381" t="str">
            <v>ALA-PAYABLE</v>
          </cell>
          <cell r="C381">
            <v>11416598.52</v>
          </cell>
          <cell r="D381">
            <v>-5574560.1399999997</v>
          </cell>
          <cell r="E381">
            <v>5842038.3799999999</v>
          </cell>
          <cell r="F381">
            <v>5842038.3799999999</v>
          </cell>
          <cell r="G381">
            <v>0</v>
          </cell>
          <cell r="H381">
            <v>5842038.3799999999</v>
          </cell>
        </row>
        <row r="382">
          <cell r="A382" t="str">
            <v>800-30-036</v>
          </cell>
          <cell r="B382" t="str">
            <v>POLICY LOANS ON UNIT LINK</v>
          </cell>
          <cell r="C382">
            <v>-2074</v>
          </cell>
          <cell r="D382">
            <v>-246917</v>
          </cell>
          <cell r="E382">
            <v>-248991</v>
          </cell>
          <cell r="F382">
            <v>-248991</v>
          </cell>
          <cell r="G382">
            <v>0</v>
          </cell>
          <cell r="H382">
            <v>-248991</v>
          </cell>
        </row>
        <row r="383">
          <cell r="A383" t="str">
            <v>800-30-040</v>
          </cell>
          <cell r="B383" t="str">
            <v>NET PAY</v>
          </cell>
          <cell r="C383">
            <v>73187.8</v>
          </cell>
          <cell r="D383">
            <v>0</v>
          </cell>
          <cell r="E383">
            <v>73187.8</v>
          </cell>
          <cell r="F383">
            <v>73187.8</v>
          </cell>
          <cell r="G383">
            <v>0</v>
          </cell>
          <cell r="H383">
            <v>73187.8</v>
          </cell>
        </row>
        <row r="384">
          <cell r="A384" t="str">
            <v>800-30-045</v>
          </cell>
          <cell r="B384" t="str">
            <v>CO-OP SAVING - STAFF</v>
          </cell>
          <cell r="C384">
            <v>0</v>
          </cell>
          <cell r="D384">
            <v>0</v>
          </cell>
          <cell r="E384">
            <v>0</v>
          </cell>
          <cell r="F384">
            <v>0</v>
          </cell>
          <cell r="G384">
            <v>0</v>
          </cell>
          <cell r="H384">
            <v>0</v>
          </cell>
        </row>
        <row r="385">
          <cell r="A385" t="str">
            <v>800-30-050</v>
          </cell>
          <cell r="B385" t="str">
            <v>PAYROLL CREDITORS - STAFF</v>
          </cell>
          <cell r="C385">
            <v>0</v>
          </cell>
          <cell r="D385">
            <v>13000</v>
          </cell>
          <cell r="E385">
            <v>13000</v>
          </cell>
          <cell r="F385">
            <v>13000</v>
          </cell>
          <cell r="G385">
            <v>0</v>
          </cell>
          <cell r="H385">
            <v>13000</v>
          </cell>
        </row>
        <row r="386">
          <cell r="A386" t="str">
            <v>800-30-055</v>
          </cell>
          <cell r="B386" t="str">
            <v>PENSION - STAFF</v>
          </cell>
          <cell r="C386">
            <v>-5735062.5</v>
          </cell>
          <cell r="D386">
            <v>5735062.5</v>
          </cell>
          <cell r="E386">
            <v>0</v>
          </cell>
          <cell r="F386">
            <v>0</v>
          </cell>
          <cell r="G386">
            <v>0</v>
          </cell>
          <cell r="H386">
            <v>0</v>
          </cell>
        </row>
        <row r="387">
          <cell r="A387" t="str">
            <v>800-30-060</v>
          </cell>
          <cell r="B387" t="str">
            <v>N .H .I. F</v>
          </cell>
          <cell r="C387">
            <v>0</v>
          </cell>
          <cell r="D387">
            <v>0</v>
          </cell>
          <cell r="E387">
            <v>0</v>
          </cell>
          <cell r="F387">
            <v>0</v>
          </cell>
          <cell r="G387">
            <v>0</v>
          </cell>
          <cell r="H387">
            <v>0</v>
          </cell>
        </row>
        <row r="388">
          <cell r="A388" t="str">
            <v>800-30-065</v>
          </cell>
          <cell r="B388" t="str">
            <v>N.S.S.F</v>
          </cell>
          <cell r="C388">
            <v>0</v>
          </cell>
          <cell r="D388">
            <v>0</v>
          </cell>
          <cell r="E388">
            <v>0</v>
          </cell>
          <cell r="F388">
            <v>0</v>
          </cell>
          <cell r="G388">
            <v>0</v>
          </cell>
          <cell r="H388">
            <v>0</v>
          </cell>
        </row>
        <row r="389">
          <cell r="A389" t="str">
            <v>800-30-070</v>
          </cell>
          <cell r="B389" t="str">
            <v>ACTUARIAL FEES</v>
          </cell>
          <cell r="C389">
            <v>-14172601.439999999</v>
          </cell>
          <cell r="D389">
            <v>-333333.34000000003</v>
          </cell>
          <cell r="E389">
            <v>-14505934.779999999</v>
          </cell>
          <cell r="F389">
            <v>-14505934.779999999</v>
          </cell>
          <cell r="G389">
            <v>0</v>
          </cell>
          <cell r="H389">
            <v>-14505934.779999999</v>
          </cell>
        </row>
        <row r="390">
          <cell r="A390" t="str">
            <v>800-30-071</v>
          </cell>
          <cell r="B390" t="str">
            <v>GRATUITY</v>
          </cell>
          <cell r="C390">
            <v>-8625774.1500000004</v>
          </cell>
          <cell r="D390">
            <v>-594883</v>
          </cell>
          <cell r="E390">
            <v>-9220657.1500000004</v>
          </cell>
          <cell r="F390">
            <v>-9220657.1500000004</v>
          </cell>
          <cell r="G390">
            <v>0</v>
          </cell>
          <cell r="H390">
            <v>-9220657.1500000004</v>
          </cell>
        </row>
        <row r="391">
          <cell r="A391" t="str">
            <v>800-30-072</v>
          </cell>
          <cell r="B391" t="str">
            <v>AIG FEES</v>
          </cell>
          <cell r="C391">
            <v>-2722773</v>
          </cell>
          <cell r="D391">
            <v>-177639.15</v>
          </cell>
          <cell r="E391">
            <v>-2900412.15</v>
          </cell>
          <cell r="F391">
            <v>-2900412.15</v>
          </cell>
          <cell r="G391">
            <v>0</v>
          </cell>
          <cell r="H391">
            <v>-2900412.15</v>
          </cell>
        </row>
        <row r="392">
          <cell r="A392" t="str">
            <v>800-30-073</v>
          </cell>
          <cell r="B392" t="str">
            <v>CUSTODY FEES</v>
          </cell>
          <cell r="C392">
            <v>-260331.23</v>
          </cell>
          <cell r="D392">
            <v>64047.4</v>
          </cell>
          <cell r="E392">
            <v>-196283.83</v>
          </cell>
          <cell r="F392">
            <v>-196283.83</v>
          </cell>
          <cell r="G392">
            <v>0</v>
          </cell>
          <cell r="H392">
            <v>-196283.83</v>
          </cell>
        </row>
        <row r="393">
          <cell r="A393" t="str">
            <v>800-30-075</v>
          </cell>
          <cell r="B393" t="str">
            <v>AUDIT FEES</v>
          </cell>
          <cell r="C393">
            <v>-992904.97</v>
          </cell>
          <cell r="D393">
            <v>507576.67</v>
          </cell>
          <cell r="E393">
            <v>-485328.3</v>
          </cell>
          <cell r="F393">
            <v>-485328.3</v>
          </cell>
          <cell r="G393">
            <v>0</v>
          </cell>
          <cell r="H393">
            <v>-485328.3</v>
          </cell>
        </row>
        <row r="394">
          <cell r="A394" t="str">
            <v>800-30-080</v>
          </cell>
          <cell r="B394" t="str">
            <v>STAFF BONUS</v>
          </cell>
          <cell r="C394">
            <v>-24750000</v>
          </cell>
          <cell r="F394">
            <v>-20000000</v>
          </cell>
          <cell r="G394">
            <v>0</v>
          </cell>
          <cell r="H394">
            <v>-20000000</v>
          </cell>
        </row>
        <row r="395">
          <cell r="A395" t="str">
            <v>800-30-085</v>
          </cell>
          <cell r="B395" t="str">
            <v>W/TAX-AGENTS</v>
          </cell>
          <cell r="C395">
            <v>-3655006.65</v>
          </cell>
          <cell r="F395">
            <v>-144089.51999999999</v>
          </cell>
          <cell r="G395">
            <v>0</v>
          </cell>
          <cell r="H395">
            <v>-144089.51999999999</v>
          </cell>
        </row>
        <row r="396">
          <cell r="A396" t="str">
            <v>800-30-090</v>
          </cell>
          <cell r="B396" t="str">
            <v>RETAINED COMMISSION</v>
          </cell>
          <cell r="C396">
            <v>-21916552.52</v>
          </cell>
          <cell r="F396">
            <v>-22211562.199999999</v>
          </cell>
          <cell r="G396">
            <v>0</v>
          </cell>
          <cell r="H396">
            <v>-22211562.199999999</v>
          </cell>
        </row>
        <row r="397">
          <cell r="A397" t="str">
            <v>800-30-095</v>
          </cell>
          <cell r="B397" t="str">
            <v>KNIGHT FRANK</v>
          </cell>
          <cell r="C397">
            <v>0</v>
          </cell>
          <cell r="F397">
            <v>0</v>
          </cell>
          <cell r="G397">
            <v>0</v>
          </cell>
          <cell r="H397">
            <v>0</v>
          </cell>
        </row>
        <row r="398">
          <cell r="A398" t="str">
            <v>800-30-100</v>
          </cell>
          <cell r="B398" t="str">
            <v>PAYE</v>
          </cell>
          <cell r="C398">
            <v>-288532</v>
          </cell>
          <cell r="F398">
            <v>-288532</v>
          </cell>
          <cell r="G398">
            <v>0</v>
          </cell>
          <cell r="H398">
            <v>-288532</v>
          </cell>
        </row>
        <row r="399">
          <cell r="A399" t="str">
            <v>800-30-110</v>
          </cell>
          <cell r="B399" t="str">
            <v>AGENTS PAYROLL CREDITORS</v>
          </cell>
          <cell r="C399">
            <v>-18632</v>
          </cell>
          <cell r="F399">
            <v>-300.25</v>
          </cell>
          <cell r="G399">
            <v>0</v>
          </cell>
          <cell r="H399">
            <v>-300.25</v>
          </cell>
        </row>
        <row r="400">
          <cell r="A400" t="str">
            <v>800-30-115</v>
          </cell>
          <cell r="B400" t="str">
            <v>AGENCY PENSION</v>
          </cell>
          <cell r="C400">
            <v>-410108</v>
          </cell>
          <cell r="F400">
            <v>204372</v>
          </cell>
          <cell r="G400">
            <v>0</v>
          </cell>
          <cell r="H400">
            <v>204372</v>
          </cell>
        </row>
        <row r="401">
          <cell r="A401" t="str">
            <v>800-30-120</v>
          </cell>
          <cell r="B401" t="str">
            <v>AGENTS CO-OP SAVINGS</v>
          </cell>
          <cell r="C401">
            <v>-1244806.8</v>
          </cell>
          <cell r="F401">
            <v>200.2</v>
          </cell>
          <cell r="G401">
            <v>0</v>
          </cell>
          <cell r="H401">
            <v>200.2</v>
          </cell>
        </row>
        <row r="402">
          <cell r="A402" t="str">
            <v>800-30-125</v>
          </cell>
          <cell r="B402" t="str">
            <v>STALE CHEQUES - 5039035</v>
          </cell>
          <cell r="C402">
            <v>-61353.1</v>
          </cell>
          <cell r="F402">
            <v>-61353.1</v>
          </cell>
          <cell r="G402">
            <v>0</v>
          </cell>
          <cell r="H402">
            <v>-61353.1</v>
          </cell>
        </row>
        <row r="403">
          <cell r="A403" t="str">
            <v>800-30-130</v>
          </cell>
          <cell r="B403" t="str">
            <v>STALE CHEQUES - CBA</v>
          </cell>
          <cell r="C403">
            <v>-125908.85</v>
          </cell>
          <cell r="F403">
            <v>-125908.85</v>
          </cell>
          <cell r="G403">
            <v>0</v>
          </cell>
          <cell r="H403">
            <v>-125908.85</v>
          </cell>
        </row>
        <row r="404">
          <cell r="A404" t="str">
            <v>800-30-135</v>
          </cell>
          <cell r="B404" t="str">
            <v>STALE CHEQUES - INDOSUEZ</v>
          </cell>
          <cell r="C404">
            <v>-162810.29999999999</v>
          </cell>
          <cell r="F404">
            <v>-162810.29999999999</v>
          </cell>
          <cell r="G404">
            <v>0</v>
          </cell>
          <cell r="H404">
            <v>-162810.29999999999</v>
          </cell>
        </row>
        <row r="405">
          <cell r="A405" t="str">
            <v>800-30-140</v>
          </cell>
          <cell r="B405" t="str">
            <v>STALE CHEQUES -5776688</v>
          </cell>
          <cell r="C405">
            <v>-3862507.03</v>
          </cell>
          <cell r="F405">
            <v>-3501994.48</v>
          </cell>
          <cell r="G405">
            <v>0</v>
          </cell>
          <cell r="H405">
            <v>-3501994.48</v>
          </cell>
        </row>
        <row r="406">
          <cell r="A406" t="str">
            <v>800-30-145</v>
          </cell>
          <cell r="B406" t="str">
            <v>STALE CHEQUES -5039027</v>
          </cell>
          <cell r="C406">
            <v>-3708331.3</v>
          </cell>
          <cell r="F406">
            <v>-4058525.15</v>
          </cell>
          <cell r="G406">
            <v>0</v>
          </cell>
          <cell r="H406">
            <v>-4058525.15</v>
          </cell>
        </row>
        <row r="407">
          <cell r="A407" t="str">
            <v>800-30-150</v>
          </cell>
          <cell r="B407" t="str">
            <v>STALE CHEQUES-5776793</v>
          </cell>
          <cell r="C407">
            <v>-1321261.8400000001</v>
          </cell>
          <cell r="F407">
            <v>-1321261.8400000001</v>
          </cell>
          <cell r="G407">
            <v>0</v>
          </cell>
          <cell r="H407">
            <v>-1321261.8400000001</v>
          </cell>
        </row>
        <row r="408">
          <cell r="A408" t="str">
            <v>800-30-155</v>
          </cell>
          <cell r="B408" t="str">
            <v>STALE CHEQUES - MOMBASA</v>
          </cell>
          <cell r="C408">
            <v>-345578.85</v>
          </cell>
          <cell r="F408">
            <v>-288091.15000000002</v>
          </cell>
          <cell r="G408">
            <v>0</v>
          </cell>
          <cell r="H408">
            <v>-288091.15000000002</v>
          </cell>
        </row>
        <row r="409">
          <cell r="A409" t="str">
            <v>800-30-160</v>
          </cell>
          <cell r="B409" t="str">
            <v>BROKERAGE W/TAX</v>
          </cell>
          <cell r="C409">
            <v>-215538.96</v>
          </cell>
          <cell r="F409">
            <v>-443009.6</v>
          </cell>
          <cell r="G409">
            <v>0</v>
          </cell>
          <cell r="H409">
            <v>-443009.6</v>
          </cell>
        </row>
        <row r="410">
          <cell r="A410" t="str">
            <v>800-30-165</v>
          </cell>
          <cell r="B410" t="str">
            <v>GROUP CREDITORS</v>
          </cell>
          <cell r="C410">
            <v>-582356.69999999995</v>
          </cell>
          <cell r="F410">
            <v>-2416356.7000000002</v>
          </cell>
          <cell r="G410">
            <v>0</v>
          </cell>
          <cell r="H410">
            <v>-2416356.7000000002</v>
          </cell>
        </row>
        <row r="411">
          <cell r="A411" t="str">
            <v>800-30-170</v>
          </cell>
          <cell r="B411" t="str">
            <v>UNEARNED INTEREST</v>
          </cell>
          <cell r="C411">
            <v>0.37</v>
          </cell>
          <cell r="F411">
            <v>0.37</v>
          </cell>
          <cell r="G411">
            <v>0</v>
          </cell>
          <cell r="H411">
            <v>0.37</v>
          </cell>
        </row>
        <row r="412">
          <cell r="A412" t="str">
            <v>800-30-174</v>
          </cell>
          <cell r="B412" t="str">
            <v>DEPOSIT ON MORTGAGE</v>
          </cell>
          <cell r="C412">
            <v>0</v>
          </cell>
          <cell r="F412">
            <v>0</v>
          </cell>
          <cell r="G412">
            <v>0</v>
          </cell>
          <cell r="H412">
            <v>0</v>
          </cell>
        </row>
        <row r="413">
          <cell r="A413" t="str">
            <v>800-30-175</v>
          </cell>
          <cell r="B413" t="str">
            <v>CONTRA ACCOUNT(COST CENTRES)</v>
          </cell>
          <cell r="C413">
            <v>0</v>
          </cell>
          <cell r="F413">
            <v>943197.7</v>
          </cell>
          <cell r="G413">
            <v>0</v>
          </cell>
          <cell r="H413">
            <v>943197.7</v>
          </cell>
        </row>
        <row r="414">
          <cell r="A414" t="str">
            <v>800-30-180</v>
          </cell>
          <cell r="B414" t="str">
            <v>W/TAX - OTHERS</v>
          </cell>
          <cell r="C414">
            <v>-1548513.05</v>
          </cell>
          <cell r="F414">
            <v>-2041055.4</v>
          </cell>
          <cell r="G414">
            <v>0</v>
          </cell>
          <cell r="H414">
            <v>-2041055.4</v>
          </cell>
        </row>
        <row r="415">
          <cell r="A415" t="str">
            <v>800-40-010</v>
          </cell>
          <cell r="B415" t="str">
            <v>REINSURANCE PAYABLE</v>
          </cell>
          <cell r="C415">
            <v>-63821382.289999999</v>
          </cell>
          <cell r="F415">
            <v>-83267923.290000007</v>
          </cell>
          <cell r="G415">
            <v>0</v>
          </cell>
          <cell r="H415">
            <v>-83267923.290000007</v>
          </cell>
        </row>
        <row r="416">
          <cell r="A416" t="str">
            <v>800-50-010</v>
          </cell>
          <cell r="B416" t="str">
            <v>O/S MATURITY CLAIMS</v>
          </cell>
          <cell r="C416">
            <v>-14697402.15</v>
          </cell>
          <cell r="F416">
            <v>-16389396.35</v>
          </cell>
          <cell r="G416">
            <v>0</v>
          </cell>
          <cell r="H416">
            <v>-16389396.35</v>
          </cell>
        </row>
        <row r="417">
          <cell r="A417" t="str">
            <v>800-50-020</v>
          </cell>
          <cell r="B417" t="str">
            <v>O/S CLAIMS ENDOWMENT</v>
          </cell>
          <cell r="C417">
            <v>-3027455.4</v>
          </cell>
          <cell r="F417">
            <v>-2733015.4</v>
          </cell>
          <cell r="G417">
            <v>0</v>
          </cell>
          <cell r="H417">
            <v>-2733015.4</v>
          </cell>
        </row>
        <row r="418">
          <cell r="A418" t="str">
            <v>800-50-030</v>
          </cell>
          <cell r="B418" t="str">
            <v>O/S DEATH CLAIMS -ORDINARY</v>
          </cell>
          <cell r="C418">
            <v>-19397471.149999999</v>
          </cell>
          <cell r="F418">
            <v>-19397471.149999999</v>
          </cell>
          <cell r="G418">
            <v>0</v>
          </cell>
          <cell r="H418">
            <v>-19397471.149999999</v>
          </cell>
        </row>
        <row r="419">
          <cell r="A419" t="str">
            <v>800-50-040</v>
          </cell>
          <cell r="B419" t="str">
            <v>O/S ANNUITY CLAIMS</v>
          </cell>
          <cell r="C419">
            <v>-6952104.5499999998</v>
          </cell>
          <cell r="F419">
            <v>-7232856.9500000002</v>
          </cell>
          <cell r="G419">
            <v>0</v>
          </cell>
          <cell r="H419">
            <v>-7232856.9500000002</v>
          </cell>
        </row>
        <row r="420">
          <cell r="A420" t="str">
            <v>800-50-050</v>
          </cell>
          <cell r="B420" t="str">
            <v>O/S DEATH-TANZANIA</v>
          </cell>
          <cell r="C420">
            <v>-13031.61</v>
          </cell>
          <cell r="F420">
            <v>-13031.61</v>
          </cell>
          <cell r="G420">
            <v>0</v>
          </cell>
          <cell r="H420">
            <v>-13031.61</v>
          </cell>
        </row>
        <row r="421">
          <cell r="A421" t="str">
            <v>800-50-060</v>
          </cell>
          <cell r="B421" t="str">
            <v>O/S MATURIRT CLMS-TANZANIA</v>
          </cell>
          <cell r="C421">
            <v>-569049.39</v>
          </cell>
          <cell r="F421">
            <v>-569049.39</v>
          </cell>
          <cell r="G421">
            <v>0</v>
          </cell>
          <cell r="H421">
            <v>-569049.39</v>
          </cell>
        </row>
        <row r="422">
          <cell r="A422" t="str">
            <v>800-50-070</v>
          </cell>
          <cell r="B422" t="str">
            <v>O/S FFFP DEATH CLAIMS</v>
          </cell>
          <cell r="C422">
            <v>-296469.69</v>
          </cell>
          <cell r="F422">
            <v>-248342.69</v>
          </cell>
          <cell r="G422">
            <v>0</v>
          </cell>
          <cell r="H422">
            <v>-248342.69</v>
          </cell>
        </row>
        <row r="423">
          <cell r="A423" t="str">
            <v>800-50-080</v>
          </cell>
          <cell r="B423" t="str">
            <v>O/S WP CLAIMS</v>
          </cell>
          <cell r="C423">
            <v>-1285140</v>
          </cell>
          <cell r="F423">
            <v>-1285140</v>
          </cell>
          <cell r="G423">
            <v>0</v>
          </cell>
          <cell r="H423">
            <v>-1285140</v>
          </cell>
        </row>
        <row r="424">
          <cell r="A424" t="str">
            <v>800-50-085</v>
          </cell>
          <cell r="B424" t="str">
            <v>O/S PENSIONS</v>
          </cell>
          <cell r="C424">
            <v>-1047019</v>
          </cell>
          <cell r="F424">
            <v>-3278016</v>
          </cell>
          <cell r="G424">
            <v>0</v>
          </cell>
          <cell r="H424">
            <v>-3278016</v>
          </cell>
        </row>
        <row r="425">
          <cell r="A425" t="str">
            <v>800-50-090</v>
          </cell>
          <cell r="B425" t="str">
            <v>O/S GROUP DEATH CLAIMS</v>
          </cell>
          <cell r="C425">
            <v>-74310967</v>
          </cell>
          <cell r="F425">
            <v>-57531748</v>
          </cell>
          <cell r="H425">
            <v>-57531748</v>
          </cell>
        </row>
        <row r="426">
          <cell r="A426" t="str">
            <v>800-50-095</v>
          </cell>
          <cell r="B426" t="str">
            <v>O/S GROUP MATURITIES</v>
          </cell>
          <cell r="C426">
            <v>-10876</v>
          </cell>
          <cell r="F426">
            <v>-0.4</v>
          </cell>
          <cell r="H426">
            <v>-0.4</v>
          </cell>
        </row>
        <row r="427">
          <cell r="A427" t="str">
            <v>800-50-100</v>
          </cell>
          <cell r="B427" t="str">
            <v>O/S GROUP ANTICIPATED</v>
          </cell>
          <cell r="C427">
            <v>-76904.75</v>
          </cell>
          <cell r="F427">
            <v>-76904.75</v>
          </cell>
          <cell r="H427">
            <v>-76904.75</v>
          </cell>
        </row>
        <row r="428">
          <cell r="A428" t="str">
            <v>800-50-110</v>
          </cell>
          <cell r="B428" t="str">
            <v>O/S RETIREMENT ANNUITIES</v>
          </cell>
          <cell r="C428">
            <v>-1507140.1</v>
          </cell>
          <cell r="F428">
            <v>-1771251.95</v>
          </cell>
          <cell r="H428">
            <v>-1771251.95</v>
          </cell>
        </row>
        <row r="429">
          <cell r="A429" t="str">
            <v>800-50-115</v>
          </cell>
          <cell r="B429" t="str">
            <v>GROUP HARAMBEE SURRENDERS</v>
          </cell>
          <cell r="C429">
            <v>-22712.45</v>
          </cell>
          <cell r="F429">
            <v>0</v>
          </cell>
          <cell r="H429">
            <v>0</v>
          </cell>
        </row>
        <row r="430">
          <cell r="A430" t="str">
            <v>800-60-010</v>
          </cell>
          <cell r="B430" t="str">
            <v>PREMIUM TAX</v>
          </cell>
          <cell r="C430">
            <v>0</v>
          </cell>
          <cell r="F430">
            <v>0</v>
          </cell>
          <cell r="H430">
            <v>0</v>
          </cell>
        </row>
        <row r="431">
          <cell r="A431" t="str">
            <v>800-65-010</v>
          </cell>
          <cell r="B431" t="str">
            <v>RESIDENTIAL HOUSE-LORESHO</v>
          </cell>
          <cell r="C431">
            <v>-1041675.5</v>
          </cell>
          <cell r="F431">
            <v>-1059406.5</v>
          </cell>
          <cell r="H431">
            <v>-1059406.5</v>
          </cell>
        </row>
        <row r="432">
          <cell r="A432" t="str">
            <v>800-65-015</v>
          </cell>
          <cell r="B432" t="str">
            <v>REVALUATION SURPLUS</v>
          </cell>
          <cell r="C432">
            <v>0</v>
          </cell>
          <cell r="F432">
            <v>0</v>
          </cell>
          <cell r="H432">
            <v>0</v>
          </cell>
        </row>
        <row r="433">
          <cell r="A433" t="str">
            <v>800-68-010</v>
          </cell>
          <cell r="B433" t="str">
            <v>RESIDENTIAL -LORESHO HSE</v>
          </cell>
          <cell r="C433">
            <v>-867859.25</v>
          </cell>
          <cell r="F433">
            <v>-882043.25</v>
          </cell>
          <cell r="H433">
            <v>-882043.25</v>
          </cell>
        </row>
        <row r="434">
          <cell r="A434" t="str">
            <v>800-68-015</v>
          </cell>
          <cell r="B434" t="str">
            <v>REVALUATION SURPLUS</v>
          </cell>
          <cell r="C434">
            <v>0</v>
          </cell>
          <cell r="F434">
            <v>-194223.25</v>
          </cell>
          <cell r="H434">
            <v>-194223.25</v>
          </cell>
        </row>
        <row r="435">
          <cell r="A435" t="str">
            <v>800-70-010</v>
          </cell>
          <cell r="B435" t="str">
            <v>ACC.DEP-MOTOR</v>
          </cell>
          <cell r="C435">
            <v>-5938914.4500000002</v>
          </cell>
          <cell r="F435">
            <v>-6205168.2400000002</v>
          </cell>
          <cell r="H435">
            <v>-6205168.2400000002</v>
          </cell>
        </row>
        <row r="436">
          <cell r="A436" t="str">
            <v>800-70-020</v>
          </cell>
          <cell r="B436" t="str">
            <v>ACC.DEP-COMPUTER</v>
          </cell>
          <cell r="C436">
            <v>-26191369.579999998</v>
          </cell>
          <cell r="F436">
            <v>-26185495.039999999</v>
          </cell>
          <cell r="H436">
            <v>-26185495.039999999</v>
          </cell>
        </row>
        <row r="437">
          <cell r="A437" t="str">
            <v>800-70-025</v>
          </cell>
          <cell r="B437" t="str">
            <v>AMORTISATION-INTANGIBLE ASSETS</v>
          </cell>
          <cell r="C437">
            <v>0</v>
          </cell>
          <cell r="F437">
            <v>-1216066</v>
          </cell>
          <cell r="H437">
            <v>-1216066</v>
          </cell>
        </row>
        <row r="438">
          <cell r="A438" t="str">
            <v>800-70-030</v>
          </cell>
          <cell r="B438" t="str">
            <v>FURNITURE &amp; FITTING</v>
          </cell>
          <cell r="C438">
            <v>-44065332.810000002</v>
          </cell>
          <cell r="F438">
            <v>-44512980.240000002</v>
          </cell>
          <cell r="H438">
            <v>-44512980.240000002</v>
          </cell>
        </row>
        <row r="439">
          <cell r="A439" t="str">
            <v>900-05-010</v>
          </cell>
          <cell r="B439" t="str">
            <v>SHARE CAPITAL</v>
          </cell>
          <cell r="C439">
            <v>-126600000</v>
          </cell>
          <cell r="F439">
            <v>-126600000</v>
          </cell>
          <cell r="H439">
            <v>-126600000</v>
          </cell>
        </row>
        <row r="440">
          <cell r="A440" t="str">
            <v>900-05-015</v>
          </cell>
          <cell r="B440" t="str">
            <v>SHARE PREMIUM</v>
          </cell>
          <cell r="C440">
            <v>-103661000</v>
          </cell>
          <cell r="F440">
            <v>-103661000</v>
          </cell>
          <cell r="H440">
            <v>-103661000</v>
          </cell>
        </row>
        <row r="441">
          <cell r="A441" t="str">
            <v>900-05-020</v>
          </cell>
          <cell r="B441" t="str">
            <v>RETAINED EARNINGS</v>
          </cell>
          <cell r="C441">
            <v>0</v>
          </cell>
          <cell r="F441">
            <v>0</v>
          </cell>
          <cell r="G441">
            <v>0</v>
          </cell>
          <cell r="H441">
            <v>-5.3644180297851563E-7</v>
          </cell>
        </row>
      </sheetData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 Sheet"/>
      <sheetName val="Contents"/>
      <sheetName val="Assumptions"/>
      <sheetName val="Summary"/>
      <sheetName val="Total inc. St."/>
      <sheetName val="INC.ST. IND LIFE"/>
      <sheetName val="INC.ST. CB"/>
      <sheetName val="INC. STATE. SUM"/>
      <sheetName val="BAL SHEET"/>
      <sheetName val="marketing costs"/>
      <sheetName val="INDIVIDUAL LIFE EXP"/>
      <sheetName val="cashflow forecast"/>
      <sheetName val="NOTES 1"/>
      <sheetName val="corporateburget2005"/>
      <sheetName val="note2"/>
      <sheetName val="Note3"/>
      <sheetName val="NOTES(4-6)"/>
      <sheetName val="Notes(4-6) PROJECTED"/>
      <sheetName val="AR-Administration"/>
      <sheetName val="snap shot"/>
      <sheetName val="expense analyses"/>
      <sheetName val="AR-Marketing"/>
      <sheetName val="AR-Corporate"/>
      <sheetName val="sales budget"/>
      <sheetName val="premium flow"/>
      <sheetName val="Bgt file size"/>
      <sheetName val="citeria budget"/>
      <sheetName val="Capex Summary"/>
      <sheetName val="CAPEX REPORT"/>
      <sheetName val="capex"/>
      <sheetName val="Adm Expenses"/>
      <sheetName val="expenses"/>
      <sheetName val="Marketing Expenses"/>
      <sheetName val="Renewal Api"/>
      <sheetName val="70-1"/>
      <sheetName val="TB"/>
      <sheetName val="list"/>
      <sheetName val="staff compliment"/>
      <sheetName val="New Business api"/>
      <sheetName val="criteria"/>
    </sheetNames>
    <sheetDataSet>
      <sheetData sheetId="0" refreshError="1">
        <row r="14">
          <cell r="A14" t="str">
            <v>Account</v>
          </cell>
        </row>
        <row r="15">
          <cell r="A15" t="str">
            <v>100-00-010</v>
          </cell>
        </row>
        <row r="16">
          <cell r="A16" t="str">
            <v>Account</v>
          </cell>
          <cell r="B16" t="str">
            <v>FFFP</v>
          </cell>
        </row>
        <row r="17">
          <cell r="A17" t="str">
            <v>100-00-020</v>
          </cell>
        </row>
        <row r="18">
          <cell r="A18" t="str">
            <v>Account</v>
          </cell>
          <cell r="B18" t="str">
            <v>WP</v>
          </cell>
        </row>
        <row r="19">
          <cell r="A19" t="str">
            <v>100-00-030</v>
          </cell>
        </row>
        <row r="24">
          <cell r="A24" t="str">
            <v>Account</v>
          </cell>
          <cell r="B24" t="str">
            <v>FFFP</v>
          </cell>
        </row>
        <row r="25">
          <cell r="A25" t="str">
            <v>200-10-020</v>
          </cell>
        </row>
        <row r="32">
          <cell r="A32" t="str">
            <v>Account</v>
          </cell>
          <cell r="B32" t="str">
            <v>FFFP</v>
          </cell>
        </row>
        <row r="33">
          <cell r="A33" t="str">
            <v>200-20-020</v>
          </cell>
        </row>
        <row r="40">
          <cell r="A40" t="str">
            <v>Account</v>
          </cell>
          <cell r="B40" t="str">
            <v>FFFP</v>
          </cell>
        </row>
        <row r="41">
          <cell r="A41" t="str">
            <v>200-30-020</v>
          </cell>
        </row>
        <row r="46">
          <cell r="A46" t="str">
            <v>Account</v>
          </cell>
          <cell r="B46" t="str">
            <v>Paic</v>
          </cell>
        </row>
        <row r="47">
          <cell r="A47" t="str">
            <v>200-40-010</v>
          </cell>
        </row>
        <row r="48">
          <cell r="A48" t="str">
            <v>Account</v>
          </cell>
          <cell r="B48" t="str">
            <v>FFFP</v>
          </cell>
        </row>
        <row r="49">
          <cell r="A49" t="str">
            <v>200-40-020</v>
          </cell>
        </row>
        <row r="50">
          <cell r="A50" t="str">
            <v>Account</v>
          </cell>
          <cell r="B50" t="str">
            <v>WP</v>
          </cell>
        </row>
        <row r="51">
          <cell r="A51" t="str">
            <v>200-40-030</v>
          </cell>
        </row>
        <row r="54">
          <cell r="A54" t="str">
            <v>Account</v>
          </cell>
          <cell r="B54" t="str">
            <v>Paic</v>
          </cell>
        </row>
        <row r="55">
          <cell r="A55" t="str">
            <v>200-50-010</v>
          </cell>
        </row>
        <row r="56">
          <cell r="A56" t="str">
            <v>Account</v>
          </cell>
          <cell r="B56" t="str">
            <v>FFFP</v>
          </cell>
        </row>
        <row r="57">
          <cell r="A57" t="str">
            <v>200-50-020</v>
          </cell>
        </row>
        <row r="58">
          <cell r="A58" t="str">
            <v>Account</v>
          </cell>
          <cell r="B58" t="str">
            <v>WP</v>
          </cell>
        </row>
        <row r="59">
          <cell r="A59" t="str">
            <v>200-50-030</v>
          </cell>
        </row>
        <row r="62">
          <cell r="A62" t="str">
            <v>Account</v>
          </cell>
          <cell r="B62" t="str">
            <v>Paic</v>
          </cell>
        </row>
        <row r="63">
          <cell r="A63" t="str">
            <v>200-60-010</v>
          </cell>
        </row>
        <row r="64">
          <cell r="A64" t="str">
            <v>Account</v>
          </cell>
          <cell r="B64" t="str">
            <v>FFFP</v>
          </cell>
        </row>
        <row r="65">
          <cell r="A65" t="str">
            <v>200-60-020</v>
          </cell>
        </row>
        <row r="66">
          <cell r="A66" t="str">
            <v>Account</v>
          </cell>
          <cell r="B66" t="str">
            <v>WP</v>
          </cell>
        </row>
        <row r="67">
          <cell r="A67" t="str">
            <v>200-60-030</v>
          </cell>
        </row>
        <row r="73">
          <cell r="A73" t="str">
            <v>Account</v>
          </cell>
          <cell r="B73" t="str">
            <v>Paic</v>
          </cell>
        </row>
        <row r="74">
          <cell r="A74" t="str">
            <v>300-10-010</v>
          </cell>
        </row>
        <row r="75">
          <cell r="A75" t="str">
            <v>Account</v>
          </cell>
          <cell r="B75" t="str">
            <v>FFFP</v>
          </cell>
        </row>
        <row r="76">
          <cell r="A76" t="str">
            <v>300-10-020</v>
          </cell>
        </row>
        <row r="77">
          <cell r="A77" t="str">
            <v>Account</v>
          </cell>
          <cell r="B77" t="str">
            <v>WP</v>
          </cell>
        </row>
        <row r="78">
          <cell r="A78" t="str">
            <v>300-10-030</v>
          </cell>
        </row>
        <row r="96">
          <cell r="A96" t="str">
            <v>Account</v>
          </cell>
          <cell r="B96" t="str">
            <v>WP</v>
          </cell>
        </row>
        <row r="97">
          <cell r="A97" t="str">
            <v>300-30-000</v>
          </cell>
        </row>
        <row r="102">
          <cell r="A102" t="str">
            <v>Account</v>
          </cell>
        </row>
        <row r="103">
          <cell r="A103" t="str">
            <v>800-10-020</v>
          </cell>
        </row>
        <row r="110">
          <cell r="A110" t="str">
            <v>Account</v>
          </cell>
          <cell r="B110" t="str">
            <v>FFFP</v>
          </cell>
        </row>
        <row r="111">
          <cell r="A111" t="str">
            <v>950-10-020</v>
          </cell>
        </row>
        <row r="118">
          <cell r="A118" t="str">
            <v>Account</v>
          </cell>
          <cell r="B118" t="str">
            <v>FFFP</v>
          </cell>
        </row>
        <row r="119">
          <cell r="A119" t="str">
            <v>900-20-020</v>
          </cell>
        </row>
        <row r="127">
          <cell r="A127" t="str">
            <v>Account</v>
          </cell>
          <cell r="B127" t="str">
            <v>FFFP</v>
          </cell>
        </row>
        <row r="128">
          <cell r="A128" t="str">
            <v>400-10-020</v>
          </cell>
        </row>
        <row r="129">
          <cell r="A129" t="str">
            <v>Account</v>
          </cell>
          <cell r="B129" t="str">
            <v>WP</v>
          </cell>
        </row>
        <row r="130">
          <cell r="A130" t="str">
            <v>400-10-030</v>
          </cell>
        </row>
        <row r="158">
          <cell r="A158" t="str">
            <v>Apr</v>
          </cell>
          <cell r="B158">
            <v>4</v>
          </cell>
        </row>
        <row r="159">
          <cell r="A159" t="str">
            <v>Aug</v>
          </cell>
          <cell r="B159">
            <v>8</v>
          </cell>
        </row>
        <row r="160">
          <cell r="A160" t="str">
            <v>Dec</v>
          </cell>
          <cell r="B160">
            <v>12</v>
          </cell>
        </row>
        <row r="161">
          <cell r="A161" t="str">
            <v>Feb</v>
          </cell>
          <cell r="B161">
            <v>2</v>
          </cell>
        </row>
        <row r="162">
          <cell r="A162" t="str">
            <v>Jan</v>
          </cell>
          <cell r="B162">
            <v>1</v>
          </cell>
        </row>
        <row r="163">
          <cell r="A163" t="str">
            <v>Jul</v>
          </cell>
          <cell r="B163">
            <v>7</v>
          </cell>
        </row>
        <row r="164">
          <cell r="A164" t="str">
            <v>Jun</v>
          </cell>
          <cell r="B164">
            <v>6</v>
          </cell>
        </row>
        <row r="165">
          <cell r="A165" t="str">
            <v>Mar</v>
          </cell>
          <cell r="B165">
            <v>3</v>
          </cell>
        </row>
        <row r="166">
          <cell r="A166" t="str">
            <v>May</v>
          </cell>
          <cell r="B166">
            <v>5</v>
          </cell>
        </row>
        <row r="167">
          <cell r="A167" t="str">
            <v>Nov</v>
          </cell>
          <cell r="B167">
            <v>11</v>
          </cell>
        </row>
        <row r="168">
          <cell r="A168" t="str">
            <v>Oct</v>
          </cell>
          <cell r="B168">
            <v>10</v>
          </cell>
        </row>
        <row r="169">
          <cell r="A169" t="str">
            <v>Sep</v>
          </cell>
          <cell r="B169">
            <v>9</v>
          </cell>
        </row>
      </sheetData>
      <sheetData sheetId="1"/>
      <sheetData sheetId="2" refreshError="1">
        <row r="6">
          <cell r="A6" t="str">
            <v>Account</v>
          </cell>
          <cell r="B6" t="str">
            <v>All products</v>
          </cell>
          <cell r="C6" t="str">
            <v>Jan</v>
          </cell>
          <cell r="D6" t="str">
            <v>Feb</v>
          </cell>
          <cell r="E6" t="str">
            <v>Mar</v>
          </cell>
          <cell r="F6" t="str">
            <v>Apr</v>
          </cell>
          <cell r="G6" t="str">
            <v>May</v>
          </cell>
          <cell r="H6" t="str">
            <v>Jun</v>
          </cell>
          <cell r="I6" t="str">
            <v>Jul</v>
          </cell>
          <cell r="J6" t="str">
            <v>Aug</v>
          </cell>
          <cell r="K6" t="str">
            <v>Sep</v>
          </cell>
          <cell r="L6" t="str">
            <v>Oct</v>
          </cell>
          <cell r="M6" t="str">
            <v>Nov</v>
          </cell>
          <cell r="N6" t="str">
            <v>Dec</v>
          </cell>
          <cell r="O6" t="str">
            <v>Original Budget</v>
          </cell>
          <cell r="P6" t="str">
            <v>Budget 2005</v>
          </cell>
          <cell r="Q6" t="str">
            <v>Budget 2004</v>
          </cell>
          <cell r="R6" t="str">
            <v>2004 Projected</v>
          </cell>
        </row>
        <row r="7">
          <cell r="B7" t="str">
            <v>RTB</v>
          </cell>
        </row>
        <row r="8">
          <cell r="A8">
            <v>10030010</v>
          </cell>
          <cell r="B8" t="str">
            <v>FFP</v>
          </cell>
          <cell r="C8">
            <v>1.4999999999999999E-2</v>
          </cell>
          <cell r="D8">
            <v>1.4999999999999999E-2</v>
          </cell>
          <cell r="E8">
            <v>1.4999999999999999E-2</v>
          </cell>
          <cell r="F8">
            <v>1.4999999999999999E-2</v>
          </cell>
          <cell r="G8">
            <v>1.4999999999999999E-2</v>
          </cell>
          <cell r="H8">
            <v>1.4999999999999999E-2</v>
          </cell>
          <cell r="I8">
            <v>1.4999999999999999E-2</v>
          </cell>
          <cell r="J8">
            <v>1.4999999999999999E-2</v>
          </cell>
          <cell r="K8">
            <v>1.4999999999999999E-2</v>
          </cell>
          <cell r="L8">
            <v>1.4999999999999999E-2</v>
          </cell>
          <cell r="M8">
            <v>1.4999999999999999E-2</v>
          </cell>
          <cell r="N8">
            <v>1.4999999999999999E-2</v>
          </cell>
          <cell r="O8">
            <v>1.4999999999999999E-2</v>
          </cell>
          <cell r="P8">
            <v>1.5000000000000005E-2</v>
          </cell>
          <cell r="Q8">
            <v>2.5000000000000001E-2</v>
          </cell>
          <cell r="R8">
            <v>2.5000000000000001E-2</v>
          </cell>
        </row>
        <row r="9">
          <cell r="A9">
            <v>10030020</v>
          </cell>
          <cell r="B9" t="str">
            <v>WP</v>
          </cell>
          <cell r="C9">
            <v>1.4999999999999999E-2</v>
          </cell>
          <cell r="D9">
            <v>1.4999999999999999E-2</v>
          </cell>
          <cell r="E9">
            <v>1.4999999999999999E-2</v>
          </cell>
          <cell r="F9">
            <v>1.4999999999999999E-2</v>
          </cell>
          <cell r="G9">
            <v>1.4999999999999999E-2</v>
          </cell>
          <cell r="H9">
            <v>1.4999999999999999E-2</v>
          </cell>
          <cell r="I9">
            <v>1.4999999999999999E-2</v>
          </cell>
          <cell r="J9">
            <v>1.4999999999999999E-2</v>
          </cell>
          <cell r="K9">
            <v>1.4999999999999999E-2</v>
          </cell>
          <cell r="L9">
            <v>1.4999999999999999E-2</v>
          </cell>
          <cell r="M9">
            <v>1.4999999999999999E-2</v>
          </cell>
          <cell r="N9">
            <v>1.4999999999999999E-2</v>
          </cell>
          <cell r="O9">
            <v>1.4999999999999999E-2</v>
          </cell>
          <cell r="P9">
            <v>1.5000000000000005E-2</v>
          </cell>
          <cell r="Q9">
            <v>2.5000000000000001E-2</v>
          </cell>
          <cell r="R9">
            <v>2.5000000000000001E-2</v>
          </cell>
        </row>
        <row r="10">
          <cell r="B10" t="str">
            <v>NTU</v>
          </cell>
        </row>
        <row r="11">
          <cell r="A11">
            <v>11020010</v>
          </cell>
          <cell r="B11" t="str">
            <v>FFP</v>
          </cell>
          <cell r="C11">
            <v>0.15</v>
          </cell>
          <cell r="D11">
            <v>0.15</v>
          </cell>
          <cell r="E11">
            <v>0.15</v>
          </cell>
          <cell r="F11">
            <v>0.15</v>
          </cell>
          <cell r="G11">
            <v>0.15</v>
          </cell>
          <cell r="H11">
            <v>0.15</v>
          </cell>
          <cell r="I11">
            <v>0.15</v>
          </cell>
          <cell r="J11">
            <v>0.15</v>
          </cell>
          <cell r="K11">
            <v>0.15</v>
          </cell>
          <cell r="L11">
            <v>0.15</v>
          </cell>
          <cell r="M11">
            <v>0.15</v>
          </cell>
          <cell r="N11">
            <v>0.15</v>
          </cell>
          <cell r="O11">
            <v>0.2</v>
          </cell>
          <cell r="P11">
            <v>0.14999999999999997</v>
          </cell>
          <cell r="Q11">
            <v>0.15</v>
          </cell>
          <cell r="R11">
            <v>0.2</v>
          </cell>
        </row>
        <row r="12">
          <cell r="A12">
            <v>11020020</v>
          </cell>
          <cell r="B12" t="str">
            <v>WP</v>
          </cell>
          <cell r="C12">
            <v>0.15</v>
          </cell>
          <cell r="D12">
            <v>0.15</v>
          </cell>
          <cell r="E12">
            <v>0.15</v>
          </cell>
          <cell r="F12">
            <v>0.15</v>
          </cell>
          <cell r="G12">
            <v>0.15</v>
          </cell>
          <cell r="H12">
            <v>0.15</v>
          </cell>
          <cell r="I12">
            <v>0.15</v>
          </cell>
          <cell r="J12">
            <v>0.15</v>
          </cell>
          <cell r="K12">
            <v>0.15</v>
          </cell>
          <cell r="L12">
            <v>0.15</v>
          </cell>
          <cell r="M12">
            <v>0.15</v>
          </cell>
          <cell r="N12">
            <v>0.15</v>
          </cell>
          <cell r="O12">
            <v>0.2</v>
          </cell>
          <cell r="P12">
            <v>0.14999999999999997</v>
          </cell>
          <cell r="Q12">
            <v>0.15</v>
          </cell>
          <cell r="R12">
            <v>0.2</v>
          </cell>
        </row>
        <row r="14">
          <cell r="A14">
            <v>4</v>
          </cell>
          <cell r="B14" t="str">
            <v>Lapse rate</v>
          </cell>
        </row>
        <row r="15">
          <cell r="A15">
            <v>9</v>
          </cell>
          <cell r="B15" t="str">
            <v>FFP</v>
          </cell>
        </row>
        <row r="16">
          <cell r="A16">
            <v>30010010</v>
          </cell>
          <cell r="B16" t="str">
            <v>New</v>
          </cell>
          <cell r="C16">
            <v>0.27</v>
          </cell>
          <cell r="D16">
            <v>0.27</v>
          </cell>
          <cell r="E16">
            <v>0.27</v>
          </cell>
          <cell r="F16">
            <v>0.27</v>
          </cell>
          <cell r="G16">
            <v>0.27</v>
          </cell>
          <cell r="H16">
            <v>0.27</v>
          </cell>
          <cell r="I16">
            <v>0.27</v>
          </cell>
          <cell r="J16">
            <v>0.27</v>
          </cell>
          <cell r="K16">
            <v>0.27</v>
          </cell>
          <cell r="L16">
            <v>0.27</v>
          </cell>
          <cell r="M16">
            <v>0.27</v>
          </cell>
          <cell r="N16">
            <v>0.27</v>
          </cell>
          <cell r="P16">
            <v>0.27</v>
          </cell>
          <cell r="Q16">
            <v>0.28999999999999998</v>
          </cell>
          <cell r="R16">
            <v>0.27</v>
          </cell>
        </row>
        <row r="17">
          <cell r="A17">
            <v>40010020</v>
          </cell>
          <cell r="B17" t="str">
            <v>Renewal</v>
          </cell>
          <cell r="C17">
            <v>0.2</v>
          </cell>
          <cell r="D17">
            <v>0.2</v>
          </cell>
          <cell r="E17">
            <v>0.2</v>
          </cell>
          <cell r="F17">
            <v>0.2</v>
          </cell>
          <cell r="G17">
            <v>0.2</v>
          </cell>
          <cell r="H17">
            <v>0.2</v>
          </cell>
          <cell r="I17">
            <v>0.2</v>
          </cell>
          <cell r="J17">
            <v>0.2</v>
          </cell>
          <cell r="K17">
            <v>0.2</v>
          </cell>
          <cell r="L17">
            <v>0.2</v>
          </cell>
          <cell r="M17">
            <v>0.2</v>
          </cell>
          <cell r="N17">
            <v>0.2</v>
          </cell>
          <cell r="P17">
            <v>0.19999999999999998</v>
          </cell>
          <cell r="Q17">
            <v>0.1</v>
          </cell>
          <cell r="R17">
            <v>0.36</v>
          </cell>
        </row>
        <row r="18">
          <cell r="A18">
            <v>400100201</v>
          </cell>
          <cell r="B18" t="str">
            <v>3nd year renewal+</v>
          </cell>
          <cell r="C18">
            <v>0.1</v>
          </cell>
          <cell r="D18">
            <v>0.1</v>
          </cell>
          <cell r="E18">
            <v>0.1</v>
          </cell>
          <cell r="F18">
            <v>0.1</v>
          </cell>
          <cell r="G18">
            <v>0.1</v>
          </cell>
          <cell r="H18">
            <v>0.1</v>
          </cell>
          <cell r="I18">
            <v>0.1</v>
          </cell>
          <cell r="J18">
            <v>0.1</v>
          </cell>
          <cell r="K18">
            <v>0.1</v>
          </cell>
          <cell r="L18">
            <v>0.1</v>
          </cell>
          <cell r="M18">
            <v>0.1</v>
          </cell>
          <cell r="N18">
            <v>0.1</v>
          </cell>
          <cell r="P18">
            <v>9.9999999999999992E-2</v>
          </cell>
          <cell r="Q18">
            <v>0.1</v>
          </cell>
          <cell r="R18">
            <v>0.25</v>
          </cell>
        </row>
        <row r="20">
          <cell r="A20">
            <v>5</v>
          </cell>
          <cell r="B20" t="str">
            <v>WP</v>
          </cell>
        </row>
        <row r="21">
          <cell r="A21">
            <v>30010020</v>
          </cell>
          <cell r="B21" t="str">
            <v>New</v>
          </cell>
          <cell r="C21">
            <v>0.23</v>
          </cell>
          <cell r="D21">
            <v>0.23</v>
          </cell>
          <cell r="E21">
            <v>0.23</v>
          </cell>
          <cell r="F21">
            <v>0.23</v>
          </cell>
          <cell r="G21">
            <v>0.23</v>
          </cell>
          <cell r="H21">
            <v>0.23</v>
          </cell>
          <cell r="I21">
            <v>0.23</v>
          </cell>
          <cell r="J21">
            <v>0.23</v>
          </cell>
          <cell r="K21">
            <v>0.23</v>
          </cell>
          <cell r="L21">
            <v>0.23</v>
          </cell>
          <cell r="M21">
            <v>0.23</v>
          </cell>
          <cell r="N21">
            <v>0.23</v>
          </cell>
          <cell r="O21">
            <v>0.1</v>
          </cell>
          <cell r="P21">
            <v>0.23</v>
          </cell>
          <cell r="Q21">
            <v>0.28999999999999998</v>
          </cell>
          <cell r="R21">
            <v>0.23</v>
          </cell>
        </row>
        <row r="22">
          <cell r="A22">
            <v>40010030</v>
          </cell>
          <cell r="B22" t="str">
            <v>Renewal</v>
          </cell>
          <cell r="C22">
            <v>0.15</v>
          </cell>
          <cell r="D22">
            <v>0.15</v>
          </cell>
          <cell r="E22">
            <v>0.15</v>
          </cell>
          <cell r="F22">
            <v>0.15</v>
          </cell>
          <cell r="G22">
            <v>0.15</v>
          </cell>
          <cell r="H22">
            <v>0.15</v>
          </cell>
          <cell r="I22">
            <v>0.15</v>
          </cell>
          <cell r="J22">
            <v>0.15</v>
          </cell>
          <cell r="K22">
            <v>0.15</v>
          </cell>
          <cell r="L22">
            <v>0.15</v>
          </cell>
          <cell r="M22">
            <v>0.15</v>
          </cell>
          <cell r="N22">
            <v>0.15</v>
          </cell>
          <cell r="P22">
            <v>0.14999999999999997</v>
          </cell>
          <cell r="Q22">
            <v>0.1</v>
          </cell>
          <cell r="R22">
            <v>0.16</v>
          </cell>
        </row>
        <row r="23">
          <cell r="A23">
            <v>400100301</v>
          </cell>
          <cell r="C23">
            <v>0.1</v>
          </cell>
          <cell r="D23">
            <v>0.1</v>
          </cell>
          <cell r="E23">
            <v>0.1</v>
          </cell>
          <cell r="F23">
            <v>0.1</v>
          </cell>
          <cell r="G23">
            <v>0.1</v>
          </cell>
          <cell r="H23">
            <v>0.1</v>
          </cell>
          <cell r="I23">
            <v>0.1</v>
          </cell>
          <cell r="J23">
            <v>0.1</v>
          </cell>
          <cell r="K23">
            <v>0.1</v>
          </cell>
          <cell r="L23">
            <v>0.1</v>
          </cell>
          <cell r="M23">
            <v>0.1</v>
          </cell>
          <cell r="N23">
            <v>0.1</v>
          </cell>
          <cell r="P23">
            <v>9.9999999999999992E-2</v>
          </cell>
          <cell r="Q23">
            <v>0.1</v>
          </cell>
          <cell r="R23">
            <v>0.1</v>
          </cell>
        </row>
        <row r="24">
          <cell r="A24">
            <v>13</v>
          </cell>
        </row>
        <row r="25">
          <cell r="A25">
            <v>14</v>
          </cell>
        </row>
        <row r="26">
          <cell r="A26">
            <v>15</v>
          </cell>
          <cell r="B26" t="str">
            <v>Average Premiums</v>
          </cell>
        </row>
        <row r="27">
          <cell r="A27">
            <v>16</v>
          </cell>
          <cell r="B27" t="str">
            <v>FFP</v>
          </cell>
          <cell r="C27">
            <v>11959.5</v>
          </cell>
          <cell r="D27">
            <v>11959.5</v>
          </cell>
          <cell r="E27">
            <v>11959.5</v>
          </cell>
          <cell r="F27">
            <v>11959.5</v>
          </cell>
          <cell r="G27">
            <v>11959.5</v>
          </cell>
          <cell r="H27">
            <v>11959.5</v>
          </cell>
          <cell r="I27">
            <v>11959.5</v>
          </cell>
          <cell r="J27">
            <v>11959.5</v>
          </cell>
          <cell r="K27">
            <v>11959.5</v>
          </cell>
          <cell r="L27">
            <v>11959.5</v>
          </cell>
          <cell r="M27">
            <v>11959.5</v>
          </cell>
          <cell r="N27">
            <v>11959.5</v>
          </cell>
          <cell r="O27">
            <v>11959.5</v>
          </cell>
          <cell r="P27">
            <v>11960</v>
          </cell>
          <cell r="Q27">
            <v>10956</v>
          </cell>
          <cell r="R27">
            <v>11390</v>
          </cell>
        </row>
        <row r="28">
          <cell r="A28">
            <v>16</v>
          </cell>
          <cell r="B28" t="str">
            <v>WP</v>
          </cell>
          <cell r="C28">
            <v>14381.85</v>
          </cell>
          <cell r="D28">
            <v>14381.85</v>
          </cell>
          <cell r="E28">
            <v>14381.85</v>
          </cell>
          <cell r="F28">
            <v>14381.85</v>
          </cell>
          <cell r="G28">
            <v>14381.85</v>
          </cell>
          <cell r="H28">
            <v>14381.85</v>
          </cell>
          <cell r="I28">
            <v>14381.85</v>
          </cell>
          <cell r="J28">
            <v>14381.85</v>
          </cell>
          <cell r="K28">
            <v>14381.85</v>
          </cell>
          <cell r="L28">
            <v>14381.85</v>
          </cell>
          <cell r="M28">
            <v>14381.85</v>
          </cell>
          <cell r="N28">
            <v>14381.85</v>
          </cell>
          <cell r="O28">
            <v>14381.85</v>
          </cell>
          <cell r="P28">
            <v>14382</v>
          </cell>
          <cell r="Q28">
            <v>12864</v>
          </cell>
          <cell r="R28">
            <v>13697</v>
          </cell>
        </row>
      </sheetData>
      <sheetData sheetId="3"/>
      <sheetData sheetId="4"/>
      <sheetData sheetId="5" refreshError="1">
        <row r="101">
          <cell r="Q101">
            <v>0</v>
          </cell>
        </row>
      </sheetData>
      <sheetData sheetId="6"/>
      <sheetData sheetId="7"/>
      <sheetData sheetId="8"/>
      <sheetData sheetId="9"/>
      <sheetData sheetId="10"/>
      <sheetData sheetId="11" refreshError="1">
        <row r="16">
          <cell r="Q16" t="str">
            <v>Account</v>
          </cell>
        </row>
        <row r="17">
          <cell r="Q17" t="str">
            <v>*</v>
          </cell>
        </row>
        <row r="121">
          <cell r="A121" t="str">
            <v>Account</v>
          </cell>
          <cell r="B121" t="str">
            <v>Unit code</v>
          </cell>
          <cell r="C121" t="str">
            <v>Unit</v>
          </cell>
          <cell r="D121" t="str">
            <v>Class</v>
          </cell>
          <cell r="E121" t="str">
            <v>Detailed description of asset to be purchased:</v>
          </cell>
          <cell r="F121" t="str">
            <v>User</v>
          </cell>
          <cell r="G121" t="str">
            <v>Budget</v>
          </cell>
          <cell r="H121" t="str">
            <v>Month</v>
          </cell>
        </row>
        <row r="122">
          <cell r="H122" t="str">
            <v>Jan</v>
          </cell>
        </row>
        <row r="123">
          <cell r="A123" t="str">
            <v>Account</v>
          </cell>
          <cell r="B123" t="str">
            <v>Unit code</v>
          </cell>
          <cell r="C123" t="str">
            <v>Unit</v>
          </cell>
          <cell r="D123" t="str">
            <v>Class</v>
          </cell>
          <cell r="E123" t="str">
            <v>Detailed description of asset to be purchased:</v>
          </cell>
          <cell r="F123" t="str">
            <v>User</v>
          </cell>
          <cell r="G123" t="str">
            <v>Budget</v>
          </cell>
          <cell r="H123" t="str">
            <v>Month</v>
          </cell>
        </row>
        <row r="124">
          <cell r="H124" t="str">
            <v>Feb</v>
          </cell>
        </row>
        <row r="125">
          <cell r="A125" t="str">
            <v>Account</v>
          </cell>
          <cell r="B125" t="str">
            <v>Unit code</v>
          </cell>
          <cell r="C125" t="str">
            <v>Unit</v>
          </cell>
          <cell r="D125" t="str">
            <v>Class</v>
          </cell>
          <cell r="E125" t="str">
            <v>Detailed description of asset to be purchased:</v>
          </cell>
          <cell r="F125" t="str">
            <v>User</v>
          </cell>
          <cell r="G125" t="str">
            <v>Budget</v>
          </cell>
          <cell r="H125" t="str">
            <v>Month</v>
          </cell>
        </row>
        <row r="126">
          <cell r="H126" t="str">
            <v>Mar</v>
          </cell>
        </row>
        <row r="127">
          <cell r="A127" t="str">
            <v>Account</v>
          </cell>
          <cell r="B127" t="str">
            <v>Unit code</v>
          </cell>
          <cell r="C127" t="str">
            <v>Unit</v>
          </cell>
          <cell r="D127" t="str">
            <v>Class</v>
          </cell>
          <cell r="E127" t="str">
            <v>Detailed description of asset to be purchased:</v>
          </cell>
          <cell r="F127" t="str">
            <v>User</v>
          </cell>
          <cell r="G127" t="str">
            <v>Budget</v>
          </cell>
          <cell r="H127" t="str">
            <v>Month</v>
          </cell>
        </row>
        <row r="128">
          <cell r="H128" t="str">
            <v>Apr</v>
          </cell>
        </row>
        <row r="129">
          <cell r="A129" t="str">
            <v>Account</v>
          </cell>
          <cell r="B129" t="str">
            <v>Unit code</v>
          </cell>
          <cell r="C129" t="str">
            <v>Unit</v>
          </cell>
          <cell r="D129" t="str">
            <v>Class</v>
          </cell>
          <cell r="E129" t="str">
            <v>Detailed description of asset to be purchased:</v>
          </cell>
          <cell r="F129" t="str">
            <v>User</v>
          </cell>
          <cell r="G129" t="str">
            <v>Budget</v>
          </cell>
          <cell r="H129" t="str">
            <v>Month</v>
          </cell>
        </row>
        <row r="130">
          <cell r="H130" t="str">
            <v>May</v>
          </cell>
        </row>
        <row r="131">
          <cell r="A131" t="str">
            <v>Account</v>
          </cell>
          <cell r="B131" t="str">
            <v>Unit code</v>
          </cell>
          <cell r="C131" t="str">
            <v>Unit</v>
          </cell>
          <cell r="D131" t="str">
            <v>Class</v>
          </cell>
          <cell r="E131" t="str">
            <v>Detailed description of asset to be purchased:</v>
          </cell>
          <cell r="F131" t="str">
            <v>User</v>
          </cell>
          <cell r="G131" t="str">
            <v>Budget</v>
          </cell>
          <cell r="H131" t="str">
            <v>Month</v>
          </cell>
        </row>
        <row r="132">
          <cell r="H132" t="str">
            <v>Jun</v>
          </cell>
        </row>
        <row r="133">
          <cell r="A133" t="str">
            <v>Account</v>
          </cell>
          <cell r="B133" t="str">
            <v>Unit code</v>
          </cell>
          <cell r="C133" t="str">
            <v>Unit</v>
          </cell>
          <cell r="D133" t="str">
            <v>Class</v>
          </cell>
          <cell r="E133" t="str">
            <v>Detailed description of asset to be purchased:</v>
          </cell>
          <cell r="F133" t="str">
            <v>User</v>
          </cell>
          <cell r="G133" t="str">
            <v>Budget</v>
          </cell>
          <cell r="H133" t="str">
            <v>Month</v>
          </cell>
        </row>
        <row r="134">
          <cell r="H134" t="str">
            <v>Jul</v>
          </cell>
        </row>
        <row r="135">
          <cell r="A135" t="str">
            <v>Account</v>
          </cell>
          <cell r="B135" t="str">
            <v>Unit code</v>
          </cell>
          <cell r="C135" t="str">
            <v>Unit</v>
          </cell>
          <cell r="D135" t="str">
            <v>Class</v>
          </cell>
          <cell r="E135" t="str">
            <v>Detailed description of asset to be purchased:</v>
          </cell>
          <cell r="F135" t="str">
            <v>User</v>
          </cell>
          <cell r="G135" t="str">
            <v>Budget</v>
          </cell>
          <cell r="H135" t="str">
            <v>Month</v>
          </cell>
        </row>
        <row r="136">
          <cell r="H136" t="str">
            <v>Aug</v>
          </cell>
        </row>
        <row r="137">
          <cell r="A137" t="str">
            <v>Account</v>
          </cell>
          <cell r="B137" t="str">
            <v>Unit code</v>
          </cell>
          <cell r="C137" t="str">
            <v>Unit</v>
          </cell>
          <cell r="D137" t="str">
            <v>Class</v>
          </cell>
          <cell r="E137" t="str">
            <v>Detailed description of asset to be purchased:</v>
          </cell>
          <cell r="F137" t="str">
            <v>User</v>
          </cell>
          <cell r="G137" t="str">
            <v>Budget</v>
          </cell>
          <cell r="H137" t="str">
            <v>Month</v>
          </cell>
        </row>
        <row r="138">
          <cell r="H138" t="str">
            <v>Sep</v>
          </cell>
        </row>
        <row r="139">
          <cell r="A139" t="str">
            <v>Account</v>
          </cell>
          <cell r="B139" t="str">
            <v>Unit code</v>
          </cell>
          <cell r="C139" t="str">
            <v>Unit</v>
          </cell>
          <cell r="D139" t="str">
            <v>Class</v>
          </cell>
          <cell r="E139" t="str">
            <v>Detailed description of asset to be purchased:</v>
          </cell>
          <cell r="F139" t="str">
            <v>User</v>
          </cell>
          <cell r="G139" t="str">
            <v>Budget</v>
          </cell>
          <cell r="H139" t="str">
            <v>Month</v>
          </cell>
        </row>
        <row r="140">
          <cell r="H140" t="str">
            <v>Oct</v>
          </cell>
        </row>
        <row r="141">
          <cell r="A141" t="str">
            <v>Account</v>
          </cell>
          <cell r="B141" t="str">
            <v>Unit code</v>
          </cell>
          <cell r="C141" t="str">
            <v>Unit</v>
          </cell>
          <cell r="D141" t="str">
            <v>Class</v>
          </cell>
          <cell r="E141" t="str">
            <v>Detailed description of asset to be purchased:</v>
          </cell>
          <cell r="F141" t="str">
            <v>User</v>
          </cell>
          <cell r="G141" t="str">
            <v>Budget</v>
          </cell>
          <cell r="H141" t="str">
            <v>Month</v>
          </cell>
        </row>
        <row r="142">
          <cell r="H142" t="str">
            <v>Nov</v>
          </cell>
        </row>
        <row r="143">
          <cell r="A143" t="str">
            <v>Account</v>
          </cell>
          <cell r="B143" t="str">
            <v>Unit code</v>
          </cell>
          <cell r="C143" t="str">
            <v>Unit</v>
          </cell>
          <cell r="D143" t="str">
            <v>Class</v>
          </cell>
          <cell r="E143" t="str">
            <v>Detailed description of asset to be purchased:</v>
          </cell>
          <cell r="F143" t="str">
            <v>User</v>
          </cell>
          <cell r="G143" t="str">
            <v>Budget</v>
          </cell>
          <cell r="H143" t="str">
            <v>Month</v>
          </cell>
        </row>
        <row r="144">
          <cell r="H144" t="str">
            <v>Dec</v>
          </cell>
        </row>
      </sheetData>
      <sheetData sheetId="12"/>
      <sheetData sheetId="13" refreshError="1">
        <row r="4">
          <cell r="A4" t="str">
            <v>Account</v>
          </cell>
          <cell r="B4" t="str">
            <v>Branch Code</v>
          </cell>
          <cell r="C4" t="str">
            <v>SCHEME NAME</v>
          </cell>
          <cell r="D4" t="str">
            <v>VARIABLE</v>
          </cell>
          <cell r="E4" t="str">
            <v>JANUARY</v>
          </cell>
          <cell r="F4" t="str">
            <v>FEBRUARY</v>
          </cell>
          <cell r="G4" t="str">
            <v>MARCH</v>
          </cell>
          <cell r="H4" t="str">
            <v>APRIL</v>
          </cell>
          <cell r="I4" t="str">
            <v>MAY</v>
          </cell>
          <cell r="J4" t="str">
            <v>JUNE</v>
          </cell>
          <cell r="K4" t="str">
            <v>JULY</v>
          </cell>
          <cell r="L4" t="str">
            <v>AUGUST</v>
          </cell>
          <cell r="M4" t="str">
            <v>SEPTEMBER</v>
          </cell>
          <cell r="N4" t="str">
            <v>OCTOBER</v>
          </cell>
          <cell r="O4" t="str">
            <v>NOVEMBER</v>
          </cell>
          <cell r="P4" t="str">
            <v>DECEMBER</v>
          </cell>
          <cell r="Q4" t="str">
            <v>TOTALS</v>
          </cell>
        </row>
        <row r="5">
          <cell r="D5" t="str">
            <v>RATES</v>
          </cell>
        </row>
        <row r="6">
          <cell r="A6" t="str">
            <v>570-10-010</v>
          </cell>
          <cell r="B6" t="str">
            <v>COP</v>
          </cell>
          <cell r="C6" t="str">
            <v>TOTAL GROUP LIFE</v>
          </cell>
          <cell r="E6">
            <v>1520000</v>
          </cell>
          <cell r="F6">
            <v>23700500</v>
          </cell>
          <cell r="G6">
            <v>2870000</v>
          </cell>
          <cell r="H6">
            <v>1520000</v>
          </cell>
          <cell r="I6">
            <v>16032500</v>
          </cell>
          <cell r="J6">
            <v>83050000</v>
          </cell>
          <cell r="K6">
            <v>3105000</v>
          </cell>
          <cell r="L6">
            <v>36600000</v>
          </cell>
          <cell r="M6">
            <v>10870000</v>
          </cell>
          <cell r="N6">
            <v>7820000</v>
          </cell>
          <cell r="O6">
            <v>15822000</v>
          </cell>
          <cell r="P6">
            <v>7945000</v>
          </cell>
          <cell r="Q6">
            <v>210855000</v>
          </cell>
        </row>
        <row r="7">
          <cell r="A7" t="str">
            <v>570-10-060</v>
          </cell>
          <cell r="B7" t="str">
            <v>COP</v>
          </cell>
          <cell r="C7" t="str">
            <v>TOTAL GROUP DEPOSIT ADMIN.</v>
          </cell>
          <cell r="E7">
            <v>2246000</v>
          </cell>
          <cell r="F7">
            <v>2836000</v>
          </cell>
          <cell r="G7">
            <v>2236000</v>
          </cell>
          <cell r="H7">
            <v>2236000</v>
          </cell>
          <cell r="I7">
            <v>2236000</v>
          </cell>
          <cell r="J7">
            <v>2236000</v>
          </cell>
          <cell r="K7">
            <v>2236000</v>
          </cell>
          <cell r="L7">
            <v>2236000</v>
          </cell>
          <cell r="M7">
            <v>2236000</v>
          </cell>
          <cell r="N7">
            <v>2236000</v>
          </cell>
          <cell r="O7">
            <v>2236000</v>
          </cell>
          <cell r="P7">
            <v>2236000</v>
          </cell>
          <cell r="Q7">
            <v>27442000</v>
          </cell>
        </row>
        <row r="8">
          <cell r="A8" t="str">
            <v>570-10-040</v>
          </cell>
          <cell r="B8" t="str">
            <v>COP</v>
          </cell>
          <cell r="C8" t="str">
            <v>TOTAL GROUP LAST EXPENSE</v>
          </cell>
          <cell r="E8">
            <v>901000</v>
          </cell>
          <cell r="F8">
            <v>2296000</v>
          </cell>
          <cell r="G8">
            <v>910000</v>
          </cell>
          <cell r="H8">
            <v>1129000</v>
          </cell>
          <cell r="I8">
            <v>921000</v>
          </cell>
          <cell r="J8">
            <v>5102000</v>
          </cell>
          <cell r="K8">
            <v>1352000</v>
          </cell>
          <cell r="L8">
            <v>1680000</v>
          </cell>
          <cell r="M8">
            <v>962000</v>
          </cell>
          <cell r="N8">
            <v>1274000</v>
          </cell>
          <cell r="O8">
            <v>896000</v>
          </cell>
          <cell r="P8">
            <v>1033000</v>
          </cell>
          <cell r="Q8">
            <v>18456000</v>
          </cell>
        </row>
        <row r="9">
          <cell r="A9" t="str">
            <v>570-10-050</v>
          </cell>
          <cell r="B9" t="str">
            <v>COP</v>
          </cell>
          <cell r="C9" t="str">
            <v>TOTAL GROUP MORTGAGE PROT.</v>
          </cell>
          <cell r="E9">
            <v>920000</v>
          </cell>
          <cell r="F9">
            <v>4900000</v>
          </cell>
          <cell r="G9">
            <v>920000</v>
          </cell>
          <cell r="H9">
            <v>920000</v>
          </cell>
          <cell r="I9">
            <v>920000</v>
          </cell>
          <cell r="J9">
            <v>920000</v>
          </cell>
          <cell r="K9">
            <v>920000</v>
          </cell>
          <cell r="L9">
            <v>920000</v>
          </cell>
          <cell r="M9">
            <v>920000</v>
          </cell>
          <cell r="N9">
            <v>920000</v>
          </cell>
          <cell r="O9">
            <v>920000</v>
          </cell>
          <cell r="P9">
            <v>920000</v>
          </cell>
          <cell r="Q9">
            <v>15020000</v>
          </cell>
        </row>
        <row r="10">
          <cell r="A10" t="str">
            <v>570-10-030</v>
          </cell>
          <cell r="B10" t="str">
            <v>COP</v>
          </cell>
          <cell r="C10" t="str">
            <v>TOTAL GROUP CREDIT ASSURANCE</v>
          </cell>
          <cell r="E10">
            <v>13809000</v>
          </cell>
          <cell r="F10">
            <v>16884000</v>
          </cell>
          <cell r="G10">
            <v>13809000</v>
          </cell>
          <cell r="H10">
            <v>13809000</v>
          </cell>
          <cell r="I10">
            <v>15309000</v>
          </cell>
          <cell r="J10">
            <v>14639000</v>
          </cell>
          <cell r="K10">
            <v>13809000</v>
          </cell>
          <cell r="L10">
            <v>17009000</v>
          </cell>
          <cell r="M10">
            <v>13809000</v>
          </cell>
          <cell r="N10">
            <v>13809000</v>
          </cell>
          <cell r="O10">
            <v>15309000</v>
          </cell>
          <cell r="P10">
            <v>14409000</v>
          </cell>
          <cell r="Q10">
            <v>176413000</v>
          </cell>
        </row>
        <row r="11">
          <cell r="A11" t="str">
            <v>570-10-020</v>
          </cell>
          <cell r="B11" t="str">
            <v>COP</v>
          </cell>
          <cell r="C11" t="str">
            <v>TOTAL GROUP DISABILITY COVER</v>
          </cell>
          <cell r="E11">
            <v>0</v>
          </cell>
          <cell r="F11">
            <v>25000</v>
          </cell>
          <cell r="G11">
            <v>0</v>
          </cell>
          <cell r="H11">
            <v>0</v>
          </cell>
          <cell r="I11">
            <v>75000</v>
          </cell>
          <cell r="J11">
            <v>5000000</v>
          </cell>
          <cell r="K11">
            <v>0</v>
          </cell>
          <cell r="L11">
            <v>118000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5218000</v>
          </cell>
        </row>
        <row r="12">
          <cell r="B12" t="str">
            <v>COP</v>
          </cell>
          <cell r="C12" t="str">
            <v>ALL PLANS - MONTHLY PREMIUMS</v>
          </cell>
          <cell r="E12">
            <v>19396000</v>
          </cell>
          <cell r="F12">
            <v>50641500</v>
          </cell>
          <cell r="G12">
            <v>20745000</v>
          </cell>
          <cell r="H12">
            <v>19614000</v>
          </cell>
          <cell r="I12">
            <v>35493500</v>
          </cell>
          <cell r="J12">
            <v>110947000</v>
          </cell>
          <cell r="K12">
            <v>21422000</v>
          </cell>
          <cell r="L12">
            <v>58563000</v>
          </cell>
          <cell r="M12">
            <v>28797000</v>
          </cell>
          <cell r="N12">
            <v>26059000</v>
          </cell>
          <cell r="O12">
            <v>35183000</v>
          </cell>
          <cell r="P12">
            <v>26543000</v>
          </cell>
          <cell r="Q12">
            <v>453404000</v>
          </cell>
        </row>
        <row r="13">
          <cell r="B13" t="str">
            <v>COP</v>
          </cell>
        </row>
        <row r="14">
          <cell r="A14" t="str">
            <v>635-10-010</v>
          </cell>
          <cell r="B14" t="str">
            <v>COP</v>
          </cell>
          <cell r="C14" t="str">
            <v xml:space="preserve"> GROUP LIFE COMMISSION</v>
          </cell>
          <cell r="D14">
            <v>0.1</v>
          </cell>
          <cell r="E14">
            <v>152000</v>
          </cell>
          <cell r="F14">
            <v>2370050</v>
          </cell>
          <cell r="G14">
            <v>287000</v>
          </cell>
          <cell r="H14">
            <v>152000</v>
          </cell>
          <cell r="I14">
            <v>1603250</v>
          </cell>
          <cell r="J14">
            <v>8305000</v>
          </cell>
          <cell r="K14">
            <v>310500</v>
          </cell>
          <cell r="L14">
            <v>3660000</v>
          </cell>
          <cell r="M14">
            <v>1087000</v>
          </cell>
          <cell r="N14">
            <v>782000</v>
          </cell>
          <cell r="O14">
            <v>1582200</v>
          </cell>
          <cell r="P14">
            <v>794500</v>
          </cell>
          <cell r="Q14">
            <v>21085500.100000001</v>
          </cell>
        </row>
        <row r="15">
          <cell r="A15" t="str">
            <v>635-10-010</v>
          </cell>
          <cell r="B15" t="str">
            <v>COP</v>
          </cell>
          <cell r="C15" t="str">
            <v>GROUP DEPOSIT ADMIN. COMM.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</row>
        <row r="16">
          <cell r="A16" t="str">
            <v>635-10-010</v>
          </cell>
          <cell r="B16" t="str">
            <v>COP</v>
          </cell>
          <cell r="C16" t="str">
            <v xml:space="preserve"> GROUP LAST EXPENSE COMM.</v>
          </cell>
          <cell r="D16">
            <v>0.1</v>
          </cell>
          <cell r="E16">
            <v>90100</v>
          </cell>
          <cell r="F16">
            <v>229600</v>
          </cell>
          <cell r="G16">
            <v>91000</v>
          </cell>
          <cell r="H16">
            <v>112900</v>
          </cell>
          <cell r="I16">
            <v>92100</v>
          </cell>
          <cell r="J16">
            <v>510200</v>
          </cell>
          <cell r="K16">
            <v>135200</v>
          </cell>
          <cell r="L16">
            <v>168000</v>
          </cell>
          <cell r="M16">
            <v>96200</v>
          </cell>
          <cell r="N16">
            <v>127400</v>
          </cell>
          <cell r="O16">
            <v>89600</v>
          </cell>
          <cell r="P16">
            <v>103300</v>
          </cell>
          <cell r="Q16">
            <v>1845600.1</v>
          </cell>
        </row>
        <row r="17">
          <cell r="A17" t="str">
            <v>635-10-010</v>
          </cell>
          <cell r="B17" t="str">
            <v>COP</v>
          </cell>
          <cell r="C17" t="str">
            <v xml:space="preserve"> GROUP MORTGAGE PROT. COMM.</v>
          </cell>
          <cell r="D17">
            <v>0.1</v>
          </cell>
          <cell r="E17">
            <v>92000</v>
          </cell>
          <cell r="F17">
            <v>490000</v>
          </cell>
          <cell r="G17">
            <v>92000</v>
          </cell>
          <cell r="H17">
            <v>92000</v>
          </cell>
          <cell r="I17">
            <v>92000</v>
          </cell>
          <cell r="J17">
            <v>92000</v>
          </cell>
          <cell r="K17">
            <v>92000</v>
          </cell>
          <cell r="L17">
            <v>92000</v>
          </cell>
          <cell r="M17">
            <v>92000</v>
          </cell>
          <cell r="N17">
            <v>92000</v>
          </cell>
          <cell r="O17">
            <v>92000</v>
          </cell>
          <cell r="P17">
            <v>92000</v>
          </cell>
          <cell r="Q17">
            <v>1502000.1</v>
          </cell>
        </row>
        <row r="18">
          <cell r="A18" t="str">
            <v>635-10-010</v>
          </cell>
          <cell r="B18" t="str">
            <v>COP</v>
          </cell>
          <cell r="C18" t="str">
            <v xml:space="preserve"> GROUP CREDIT ASSURANCE COMM.</v>
          </cell>
          <cell r="D18">
            <v>0.1</v>
          </cell>
          <cell r="E18">
            <v>1380900</v>
          </cell>
          <cell r="F18">
            <v>1688400</v>
          </cell>
          <cell r="G18">
            <v>1380900</v>
          </cell>
          <cell r="H18">
            <v>1380900</v>
          </cell>
          <cell r="I18">
            <v>1530900</v>
          </cell>
          <cell r="J18">
            <v>1463900</v>
          </cell>
          <cell r="K18">
            <v>1380900</v>
          </cell>
          <cell r="L18">
            <v>1700900</v>
          </cell>
          <cell r="M18">
            <v>1380900</v>
          </cell>
          <cell r="N18">
            <v>1380900</v>
          </cell>
          <cell r="O18">
            <v>1530900</v>
          </cell>
          <cell r="P18">
            <v>1440900</v>
          </cell>
          <cell r="Q18">
            <v>17641300.100000001</v>
          </cell>
        </row>
        <row r="19">
          <cell r="A19" t="str">
            <v>635-10-010</v>
          </cell>
          <cell r="B19" t="str">
            <v>COP</v>
          </cell>
          <cell r="C19" t="str">
            <v xml:space="preserve"> GROUP DISABILITY COVER COMM.</v>
          </cell>
          <cell r="D19">
            <v>0.2</v>
          </cell>
          <cell r="E19">
            <v>0</v>
          </cell>
          <cell r="F19">
            <v>5000</v>
          </cell>
          <cell r="G19">
            <v>0</v>
          </cell>
          <cell r="H19">
            <v>0</v>
          </cell>
          <cell r="I19">
            <v>15000</v>
          </cell>
          <cell r="J19">
            <v>1000000</v>
          </cell>
          <cell r="K19">
            <v>0</v>
          </cell>
          <cell r="L19">
            <v>23600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1043600.2</v>
          </cell>
        </row>
        <row r="20">
          <cell r="B20" t="str">
            <v>COP</v>
          </cell>
          <cell r="C20" t="str">
            <v>ALL PLANS - MONTHLY COMM.</v>
          </cell>
          <cell r="E20">
            <v>1715000</v>
          </cell>
          <cell r="F20">
            <v>4783050</v>
          </cell>
          <cell r="G20">
            <v>1850900</v>
          </cell>
          <cell r="H20">
            <v>1737800</v>
          </cell>
          <cell r="I20">
            <v>3333250</v>
          </cell>
          <cell r="J20">
            <v>11371100</v>
          </cell>
          <cell r="K20">
            <v>1918600</v>
          </cell>
          <cell r="L20">
            <v>5644500</v>
          </cell>
          <cell r="M20">
            <v>2656100</v>
          </cell>
          <cell r="N20">
            <v>2382300</v>
          </cell>
          <cell r="O20">
            <v>3294700</v>
          </cell>
          <cell r="P20">
            <v>2430700</v>
          </cell>
          <cell r="Q20">
            <v>43118000</v>
          </cell>
        </row>
        <row r="21">
          <cell r="B21" t="str">
            <v>COP</v>
          </cell>
        </row>
        <row r="22">
          <cell r="A22" t="str">
            <v>Adm</v>
          </cell>
          <cell r="B22" t="str">
            <v>COP</v>
          </cell>
          <cell r="C22" t="str">
            <v xml:space="preserve"> GROUP LIFE ADMIN.</v>
          </cell>
          <cell r="D22">
            <v>0.1</v>
          </cell>
          <cell r="E22">
            <v>152000</v>
          </cell>
          <cell r="F22">
            <v>2370050</v>
          </cell>
          <cell r="G22">
            <v>287000</v>
          </cell>
          <cell r="H22">
            <v>152000</v>
          </cell>
          <cell r="I22">
            <v>1603250</v>
          </cell>
          <cell r="J22">
            <v>8305000</v>
          </cell>
          <cell r="K22">
            <v>310500</v>
          </cell>
          <cell r="L22">
            <v>3660000</v>
          </cell>
          <cell r="M22">
            <v>1087000</v>
          </cell>
          <cell r="N22">
            <v>782000</v>
          </cell>
          <cell r="O22">
            <v>1582200</v>
          </cell>
          <cell r="P22">
            <v>794500</v>
          </cell>
          <cell r="Q22">
            <v>21085500</v>
          </cell>
        </row>
        <row r="23">
          <cell r="A23" t="str">
            <v>Adm</v>
          </cell>
          <cell r="B23" t="str">
            <v>COP</v>
          </cell>
          <cell r="C23" t="str">
            <v xml:space="preserve">GROUP DEPOSIT ADMIN. </v>
          </cell>
          <cell r="D23">
            <v>0.1</v>
          </cell>
          <cell r="E23">
            <v>224600</v>
          </cell>
          <cell r="F23">
            <v>283600</v>
          </cell>
          <cell r="G23">
            <v>223600</v>
          </cell>
          <cell r="H23">
            <v>223600</v>
          </cell>
          <cell r="I23">
            <v>223600</v>
          </cell>
          <cell r="J23">
            <v>223600</v>
          </cell>
          <cell r="K23">
            <v>223600</v>
          </cell>
          <cell r="L23">
            <v>223600</v>
          </cell>
          <cell r="M23">
            <v>223600</v>
          </cell>
          <cell r="N23">
            <v>223600</v>
          </cell>
          <cell r="O23">
            <v>223600</v>
          </cell>
          <cell r="P23">
            <v>223600</v>
          </cell>
          <cell r="Q23">
            <v>2744200</v>
          </cell>
        </row>
        <row r="24">
          <cell r="A24" t="str">
            <v>Adm</v>
          </cell>
          <cell r="B24" t="str">
            <v>COP</v>
          </cell>
          <cell r="C24" t="str">
            <v xml:space="preserve"> GROUP LAST EXPENSE ADMIN.</v>
          </cell>
          <cell r="D24">
            <v>0.1</v>
          </cell>
          <cell r="E24">
            <v>90100</v>
          </cell>
          <cell r="F24">
            <v>229600</v>
          </cell>
          <cell r="G24">
            <v>91000</v>
          </cell>
          <cell r="H24">
            <v>112900</v>
          </cell>
          <cell r="I24">
            <v>92100</v>
          </cell>
          <cell r="J24">
            <v>510200</v>
          </cell>
          <cell r="K24">
            <v>135200</v>
          </cell>
          <cell r="L24">
            <v>168000</v>
          </cell>
          <cell r="M24">
            <v>96200</v>
          </cell>
          <cell r="N24">
            <v>127400</v>
          </cell>
          <cell r="O24">
            <v>89600</v>
          </cell>
          <cell r="P24">
            <v>103300</v>
          </cell>
          <cell r="Q24">
            <v>1845600</v>
          </cell>
        </row>
        <row r="25">
          <cell r="A25" t="str">
            <v>Adm</v>
          </cell>
          <cell r="B25" t="str">
            <v>COP</v>
          </cell>
          <cell r="C25" t="str">
            <v xml:space="preserve"> GROUP MORTGAGE PROT. ADMIN.</v>
          </cell>
          <cell r="D25">
            <v>0.1</v>
          </cell>
          <cell r="E25">
            <v>92000</v>
          </cell>
          <cell r="F25">
            <v>490000</v>
          </cell>
          <cell r="G25">
            <v>92000</v>
          </cell>
          <cell r="H25">
            <v>92000</v>
          </cell>
          <cell r="I25">
            <v>92000</v>
          </cell>
          <cell r="J25">
            <v>92000</v>
          </cell>
          <cell r="K25">
            <v>92000</v>
          </cell>
          <cell r="L25">
            <v>92000</v>
          </cell>
          <cell r="M25">
            <v>92000</v>
          </cell>
          <cell r="N25">
            <v>92000</v>
          </cell>
          <cell r="O25">
            <v>92000</v>
          </cell>
          <cell r="P25">
            <v>92000</v>
          </cell>
          <cell r="Q25">
            <v>1502000</v>
          </cell>
        </row>
        <row r="26">
          <cell r="A26" t="str">
            <v>Adm</v>
          </cell>
          <cell r="B26" t="str">
            <v>COP</v>
          </cell>
          <cell r="C26" t="str">
            <v xml:space="preserve"> GROUP CREDIT ASSURANCE ADMIN.</v>
          </cell>
          <cell r="D26">
            <v>0.1</v>
          </cell>
          <cell r="E26">
            <v>1380900</v>
          </cell>
          <cell r="F26">
            <v>1688400</v>
          </cell>
          <cell r="G26">
            <v>1380900</v>
          </cell>
          <cell r="H26">
            <v>1380900</v>
          </cell>
          <cell r="I26">
            <v>1530900</v>
          </cell>
          <cell r="J26">
            <v>1463900</v>
          </cell>
          <cell r="K26">
            <v>1380900</v>
          </cell>
          <cell r="L26">
            <v>1700900</v>
          </cell>
          <cell r="M26">
            <v>1380900</v>
          </cell>
          <cell r="N26">
            <v>1380900</v>
          </cell>
          <cell r="O26">
            <v>1530900</v>
          </cell>
          <cell r="P26">
            <v>1440900</v>
          </cell>
          <cell r="Q26">
            <v>17641300</v>
          </cell>
        </row>
        <row r="27">
          <cell r="A27" t="str">
            <v>Adm</v>
          </cell>
          <cell r="B27" t="str">
            <v>COP</v>
          </cell>
          <cell r="C27" t="str">
            <v xml:space="preserve"> GROUP DISABILITY COVER ADMIN.</v>
          </cell>
          <cell r="D27">
            <v>0.1</v>
          </cell>
          <cell r="E27">
            <v>0</v>
          </cell>
          <cell r="F27">
            <v>2500</v>
          </cell>
          <cell r="G27">
            <v>0</v>
          </cell>
          <cell r="H27">
            <v>0</v>
          </cell>
          <cell r="I27">
            <v>7500</v>
          </cell>
          <cell r="J27">
            <v>500000</v>
          </cell>
          <cell r="K27">
            <v>0</v>
          </cell>
          <cell r="L27">
            <v>11800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521800</v>
          </cell>
        </row>
        <row r="28">
          <cell r="B28" t="str">
            <v>COP</v>
          </cell>
          <cell r="C28" t="str">
            <v>ALL PLANS - MONTHLY ADMIN EXP.</v>
          </cell>
          <cell r="E28">
            <v>1939600</v>
          </cell>
          <cell r="F28">
            <v>5064150</v>
          </cell>
          <cell r="G28">
            <v>2074500</v>
          </cell>
          <cell r="H28">
            <v>1961400</v>
          </cell>
          <cell r="I28">
            <v>3549350</v>
          </cell>
          <cell r="J28">
            <v>11094700</v>
          </cell>
          <cell r="K28">
            <v>2142200</v>
          </cell>
          <cell r="L28">
            <v>5856300</v>
          </cell>
          <cell r="M28">
            <v>2879700</v>
          </cell>
          <cell r="N28">
            <v>2605900</v>
          </cell>
          <cell r="O28">
            <v>3518300</v>
          </cell>
          <cell r="P28">
            <v>2654300</v>
          </cell>
          <cell r="Q28">
            <v>45340400</v>
          </cell>
        </row>
        <row r="29">
          <cell r="B29" t="str">
            <v>COP</v>
          </cell>
        </row>
        <row r="30">
          <cell r="A30" t="str">
            <v>590-20-010</v>
          </cell>
          <cell r="B30" t="str">
            <v>COP</v>
          </cell>
          <cell r="C30" t="str">
            <v xml:space="preserve"> GROUP LIFE R/A PREMIUM</v>
          </cell>
          <cell r="D30">
            <v>0.62</v>
          </cell>
          <cell r="E30">
            <v>942400</v>
          </cell>
          <cell r="F30">
            <v>14694310</v>
          </cell>
          <cell r="G30">
            <v>1779400</v>
          </cell>
          <cell r="H30">
            <v>942400</v>
          </cell>
          <cell r="I30">
            <v>9940150</v>
          </cell>
          <cell r="J30">
            <v>51491000</v>
          </cell>
          <cell r="K30">
            <v>1925100</v>
          </cell>
          <cell r="L30">
            <v>22692000</v>
          </cell>
          <cell r="M30">
            <v>6739400</v>
          </cell>
          <cell r="N30">
            <v>4848400</v>
          </cell>
          <cell r="O30">
            <v>9809640</v>
          </cell>
          <cell r="P30">
            <v>4925900</v>
          </cell>
          <cell r="Q30">
            <v>130730100</v>
          </cell>
        </row>
        <row r="31">
          <cell r="B31" t="str">
            <v>COP</v>
          </cell>
          <cell r="C31" t="str">
            <v>GROUP DEPOSIT R/A PREM.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</row>
        <row r="32">
          <cell r="A32" t="str">
            <v>590-20-030</v>
          </cell>
          <cell r="B32" t="str">
            <v>COP</v>
          </cell>
          <cell r="C32" t="str">
            <v xml:space="preserve"> GROUP LAST EXPENSE R/A PREM.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</row>
        <row r="33">
          <cell r="A33" t="str">
            <v>590-20-020</v>
          </cell>
          <cell r="B33" t="str">
            <v>COP</v>
          </cell>
          <cell r="C33" t="str">
            <v xml:space="preserve"> GROUP MORT. PROT. R/A PREM.</v>
          </cell>
          <cell r="D33">
            <v>0.65</v>
          </cell>
          <cell r="E33">
            <v>598000</v>
          </cell>
          <cell r="F33">
            <v>3185000</v>
          </cell>
          <cell r="G33">
            <v>598000</v>
          </cell>
          <cell r="H33">
            <v>598000</v>
          </cell>
          <cell r="I33">
            <v>598000</v>
          </cell>
          <cell r="J33">
            <v>598000</v>
          </cell>
          <cell r="K33">
            <v>598000</v>
          </cell>
          <cell r="L33">
            <v>598000</v>
          </cell>
          <cell r="M33">
            <v>598000</v>
          </cell>
          <cell r="N33">
            <v>598000</v>
          </cell>
          <cell r="O33">
            <v>598000</v>
          </cell>
          <cell r="P33">
            <v>598000</v>
          </cell>
          <cell r="Q33">
            <v>9763000</v>
          </cell>
        </row>
        <row r="34">
          <cell r="A34" t="str">
            <v>590-20-040</v>
          </cell>
          <cell r="B34" t="str">
            <v>COP</v>
          </cell>
          <cell r="C34" t="str">
            <v xml:space="preserve"> GROUP CREDIT ASSUR. R/A PREM.</v>
          </cell>
          <cell r="D34">
            <v>0.2</v>
          </cell>
          <cell r="E34">
            <v>2761800</v>
          </cell>
          <cell r="F34">
            <v>3376800</v>
          </cell>
          <cell r="G34">
            <v>2761800</v>
          </cell>
          <cell r="H34">
            <v>2761800</v>
          </cell>
          <cell r="I34">
            <v>3061800</v>
          </cell>
          <cell r="J34">
            <v>2927800</v>
          </cell>
          <cell r="K34">
            <v>2761800</v>
          </cell>
          <cell r="L34">
            <v>3401800</v>
          </cell>
          <cell r="M34">
            <v>2761800</v>
          </cell>
          <cell r="N34">
            <v>2761800</v>
          </cell>
          <cell r="O34">
            <v>3061800</v>
          </cell>
          <cell r="P34">
            <v>2881800</v>
          </cell>
          <cell r="Q34">
            <v>35282600</v>
          </cell>
        </row>
        <row r="35">
          <cell r="A35" t="str">
            <v>590-20-090</v>
          </cell>
          <cell r="B35" t="str">
            <v>COP</v>
          </cell>
          <cell r="C35" t="str">
            <v xml:space="preserve"> GROUP DISABILITY COVER R/A PREM.</v>
          </cell>
          <cell r="D35">
            <v>0.45</v>
          </cell>
          <cell r="E35">
            <v>0</v>
          </cell>
          <cell r="F35">
            <v>11250</v>
          </cell>
          <cell r="G35">
            <v>0</v>
          </cell>
          <cell r="H35">
            <v>0</v>
          </cell>
          <cell r="I35">
            <v>33750</v>
          </cell>
          <cell r="J35">
            <v>2250000</v>
          </cell>
          <cell r="K35">
            <v>0</v>
          </cell>
          <cell r="L35">
            <v>53100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2348100</v>
          </cell>
        </row>
        <row r="36">
          <cell r="B36" t="str">
            <v>COP</v>
          </cell>
          <cell r="C36" t="str">
            <v>ALL PLANS - REASSURANCE PREM.</v>
          </cell>
          <cell r="E36">
            <v>4302200</v>
          </cell>
          <cell r="F36">
            <v>21267360</v>
          </cell>
          <cell r="G36">
            <v>5139200</v>
          </cell>
          <cell r="H36">
            <v>4302200</v>
          </cell>
          <cell r="I36">
            <v>13633700</v>
          </cell>
          <cell r="J36">
            <v>57266800</v>
          </cell>
          <cell r="K36">
            <v>5284900</v>
          </cell>
          <cell r="L36">
            <v>26744900</v>
          </cell>
          <cell r="M36">
            <v>10099200</v>
          </cell>
          <cell r="N36">
            <v>8208200</v>
          </cell>
          <cell r="O36">
            <v>13469440</v>
          </cell>
          <cell r="P36">
            <v>8405700</v>
          </cell>
          <cell r="Q36">
            <v>178123800</v>
          </cell>
        </row>
        <row r="37">
          <cell r="B37" t="str">
            <v>COP</v>
          </cell>
        </row>
        <row r="38">
          <cell r="A38" t="str">
            <v>590-20-050</v>
          </cell>
          <cell r="B38" t="str">
            <v>COP</v>
          </cell>
          <cell r="C38" t="str">
            <v xml:space="preserve"> GROUP LIFE R/A COMM.</v>
          </cell>
          <cell r="D38">
            <v>0.25</v>
          </cell>
          <cell r="E38">
            <v>235600</v>
          </cell>
          <cell r="F38">
            <v>3673577.5</v>
          </cell>
          <cell r="G38">
            <v>444850</v>
          </cell>
          <cell r="H38">
            <v>235600</v>
          </cell>
          <cell r="I38">
            <v>2485037.5</v>
          </cell>
          <cell r="J38">
            <v>12872750</v>
          </cell>
          <cell r="K38">
            <v>481275</v>
          </cell>
          <cell r="L38">
            <v>5673000</v>
          </cell>
          <cell r="M38">
            <v>1684850</v>
          </cell>
          <cell r="N38">
            <v>1212100</v>
          </cell>
          <cell r="O38">
            <v>2452410</v>
          </cell>
          <cell r="P38">
            <v>1231475</v>
          </cell>
          <cell r="Q38">
            <v>32682525</v>
          </cell>
        </row>
        <row r="39">
          <cell r="B39" t="str">
            <v>COP</v>
          </cell>
          <cell r="C39" t="str">
            <v>GROUP DEPOSIT R/A COMM.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</row>
        <row r="40">
          <cell r="A40" t="str">
            <v>590-20-070</v>
          </cell>
          <cell r="B40" t="str">
            <v>COP</v>
          </cell>
          <cell r="C40" t="str">
            <v xml:space="preserve"> GROUP LAST EXPENSE R/A COMM.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</row>
        <row r="41">
          <cell r="A41" t="str">
            <v>590-20-060</v>
          </cell>
          <cell r="B41" t="str">
            <v>COP</v>
          </cell>
          <cell r="C41" t="str">
            <v xml:space="preserve"> GROUP MORT. PROT. R/A COMM.</v>
          </cell>
          <cell r="D41">
            <v>0.25</v>
          </cell>
          <cell r="E41">
            <v>149500</v>
          </cell>
          <cell r="F41">
            <v>796250</v>
          </cell>
          <cell r="G41">
            <v>149500</v>
          </cell>
          <cell r="H41">
            <v>149500</v>
          </cell>
          <cell r="I41">
            <v>149500</v>
          </cell>
          <cell r="J41">
            <v>149500</v>
          </cell>
          <cell r="K41">
            <v>149500</v>
          </cell>
          <cell r="L41">
            <v>149500</v>
          </cell>
          <cell r="M41">
            <v>149500</v>
          </cell>
          <cell r="N41">
            <v>149500</v>
          </cell>
          <cell r="O41">
            <v>149500</v>
          </cell>
          <cell r="P41">
            <v>149500</v>
          </cell>
          <cell r="Q41">
            <v>2440750</v>
          </cell>
        </row>
        <row r="42">
          <cell r="A42" t="str">
            <v>590-20-080</v>
          </cell>
          <cell r="B42" t="str">
            <v>COP</v>
          </cell>
          <cell r="C42" t="str">
            <v xml:space="preserve"> GROUP CREDIT ASSUR. R/A COMM.</v>
          </cell>
          <cell r="D42">
            <v>0.25</v>
          </cell>
          <cell r="E42">
            <v>690450</v>
          </cell>
          <cell r="F42">
            <v>844200</v>
          </cell>
          <cell r="G42">
            <v>690450</v>
          </cell>
          <cell r="H42">
            <v>690450</v>
          </cell>
          <cell r="I42">
            <v>765450</v>
          </cell>
          <cell r="J42">
            <v>731950</v>
          </cell>
          <cell r="K42">
            <v>690450</v>
          </cell>
          <cell r="L42">
            <v>850450</v>
          </cell>
          <cell r="M42">
            <v>690450</v>
          </cell>
          <cell r="N42">
            <v>690450</v>
          </cell>
          <cell r="O42">
            <v>765450</v>
          </cell>
          <cell r="P42">
            <v>720450</v>
          </cell>
          <cell r="Q42">
            <v>8820650</v>
          </cell>
        </row>
        <row r="43">
          <cell r="A43" t="str">
            <v>590-20-100</v>
          </cell>
          <cell r="B43" t="str">
            <v>COP</v>
          </cell>
          <cell r="C43" t="str">
            <v xml:space="preserve"> GROUP DISABILITY COVER R/A COMM.</v>
          </cell>
          <cell r="D43">
            <v>0.25</v>
          </cell>
          <cell r="E43">
            <v>0</v>
          </cell>
          <cell r="F43">
            <v>2812.5</v>
          </cell>
          <cell r="G43">
            <v>0</v>
          </cell>
          <cell r="H43">
            <v>0</v>
          </cell>
          <cell r="I43">
            <v>8437.5</v>
          </cell>
          <cell r="J43">
            <v>562500</v>
          </cell>
          <cell r="K43">
            <v>0</v>
          </cell>
          <cell r="L43">
            <v>13275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587025</v>
          </cell>
        </row>
        <row r="44">
          <cell r="B44" t="str">
            <v>COP</v>
          </cell>
          <cell r="C44" t="str">
            <v>ALL PLANS - REASSURANCE COMM.</v>
          </cell>
          <cell r="E44">
            <v>1075550</v>
          </cell>
          <cell r="F44">
            <v>5316840</v>
          </cell>
          <cell r="G44">
            <v>1284800</v>
          </cell>
          <cell r="H44">
            <v>1075550</v>
          </cell>
          <cell r="I44">
            <v>3408425</v>
          </cell>
          <cell r="J44">
            <v>14316700</v>
          </cell>
          <cell r="K44">
            <v>1321225</v>
          </cell>
          <cell r="L44">
            <v>6686225</v>
          </cell>
          <cell r="M44">
            <v>2524800</v>
          </cell>
          <cell r="N44">
            <v>2052050</v>
          </cell>
          <cell r="O44">
            <v>3367360</v>
          </cell>
          <cell r="P44">
            <v>2101425</v>
          </cell>
          <cell r="Q44">
            <v>44530950</v>
          </cell>
        </row>
        <row r="45">
          <cell r="B45" t="str">
            <v>COP</v>
          </cell>
        </row>
        <row r="46">
          <cell r="A46" t="str">
            <v>590-10-030</v>
          </cell>
          <cell r="B46" t="str">
            <v>COP</v>
          </cell>
          <cell r="C46" t="str">
            <v xml:space="preserve"> GROUP LIFE CLAIMS.</v>
          </cell>
          <cell r="E46">
            <v>11000000</v>
          </cell>
          <cell r="F46">
            <v>11000000</v>
          </cell>
          <cell r="G46">
            <v>11000000</v>
          </cell>
          <cell r="H46">
            <v>11000000</v>
          </cell>
          <cell r="I46">
            <v>11000000</v>
          </cell>
          <cell r="J46">
            <v>11000000</v>
          </cell>
          <cell r="K46">
            <v>11000000</v>
          </cell>
          <cell r="L46">
            <v>11000000</v>
          </cell>
          <cell r="M46">
            <v>11000000</v>
          </cell>
          <cell r="N46">
            <v>11000000</v>
          </cell>
          <cell r="O46">
            <v>11000000</v>
          </cell>
          <cell r="P46">
            <v>11000000</v>
          </cell>
          <cell r="Q46">
            <v>132000000</v>
          </cell>
        </row>
        <row r="47">
          <cell r="A47" t="str">
            <v>590-10-020</v>
          </cell>
          <cell r="B47" t="str">
            <v>COP</v>
          </cell>
          <cell r="C47" t="str">
            <v>GROUP DEPOSIT CLAIMS.</v>
          </cell>
          <cell r="E47">
            <v>1000000</v>
          </cell>
          <cell r="F47">
            <v>1000000</v>
          </cell>
          <cell r="G47">
            <v>1000000</v>
          </cell>
          <cell r="H47">
            <v>1000000</v>
          </cell>
          <cell r="I47">
            <v>1000000</v>
          </cell>
          <cell r="J47">
            <v>1000000</v>
          </cell>
          <cell r="K47">
            <v>1000000</v>
          </cell>
          <cell r="L47">
            <v>1000000</v>
          </cell>
          <cell r="M47">
            <v>1000000</v>
          </cell>
          <cell r="N47">
            <v>1000000</v>
          </cell>
          <cell r="O47">
            <v>1000000</v>
          </cell>
          <cell r="P47">
            <v>1000000</v>
          </cell>
          <cell r="Q47">
            <v>12000000</v>
          </cell>
        </row>
        <row r="48">
          <cell r="A48" t="str">
            <v>590-10-010</v>
          </cell>
          <cell r="B48" t="str">
            <v>COP</v>
          </cell>
          <cell r="C48" t="str">
            <v xml:space="preserve"> GROUP LAST EXPENSE CLAIMS.</v>
          </cell>
          <cell r="E48">
            <v>1000000</v>
          </cell>
          <cell r="F48">
            <v>1000000</v>
          </cell>
          <cell r="G48">
            <v>1000000</v>
          </cell>
          <cell r="H48">
            <v>1000000</v>
          </cell>
          <cell r="I48">
            <v>1000000</v>
          </cell>
          <cell r="J48">
            <v>1000000</v>
          </cell>
          <cell r="K48">
            <v>1000000</v>
          </cell>
          <cell r="L48">
            <v>1000000</v>
          </cell>
          <cell r="M48">
            <v>1000000</v>
          </cell>
          <cell r="N48">
            <v>1000000</v>
          </cell>
          <cell r="O48">
            <v>1000000</v>
          </cell>
          <cell r="P48">
            <v>1000000</v>
          </cell>
          <cell r="Q48">
            <v>12000000</v>
          </cell>
        </row>
        <row r="49">
          <cell r="A49" t="str">
            <v>590-10-055</v>
          </cell>
          <cell r="B49" t="str">
            <v>COP</v>
          </cell>
          <cell r="C49" t="str">
            <v xml:space="preserve"> GROUP MORT. PROT. CLAIMS.</v>
          </cell>
          <cell r="E49">
            <v>500000</v>
          </cell>
          <cell r="F49">
            <v>500000</v>
          </cell>
          <cell r="G49">
            <v>500000</v>
          </cell>
          <cell r="H49">
            <v>500000</v>
          </cell>
          <cell r="I49">
            <v>500000</v>
          </cell>
          <cell r="J49">
            <v>500000</v>
          </cell>
          <cell r="K49">
            <v>500000</v>
          </cell>
          <cell r="L49">
            <v>500000</v>
          </cell>
          <cell r="M49">
            <v>500000</v>
          </cell>
          <cell r="N49">
            <v>500000</v>
          </cell>
          <cell r="O49">
            <v>500000</v>
          </cell>
          <cell r="P49">
            <v>500000</v>
          </cell>
          <cell r="Q49">
            <v>6000000</v>
          </cell>
        </row>
        <row r="50">
          <cell r="A50" t="str">
            <v>590-10-060</v>
          </cell>
          <cell r="B50" t="str">
            <v>COP</v>
          </cell>
          <cell r="C50" t="str">
            <v xml:space="preserve"> GROUP CREDIT ASSUR. CLAIMS.</v>
          </cell>
          <cell r="E50">
            <v>4000000</v>
          </cell>
          <cell r="F50">
            <v>4000000</v>
          </cell>
          <cell r="G50">
            <v>4000000</v>
          </cell>
          <cell r="H50">
            <v>4000000</v>
          </cell>
          <cell r="I50">
            <v>4000000</v>
          </cell>
          <cell r="J50">
            <v>4000000</v>
          </cell>
          <cell r="K50">
            <v>4000000</v>
          </cell>
          <cell r="L50">
            <v>4000000</v>
          </cell>
          <cell r="M50">
            <v>4000000</v>
          </cell>
          <cell r="N50">
            <v>4000000</v>
          </cell>
          <cell r="O50">
            <v>4000000</v>
          </cell>
          <cell r="P50">
            <v>4000000</v>
          </cell>
          <cell r="Q50">
            <v>48000000</v>
          </cell>
        </row>
        <row r="51">
          <cell r="A51" t="str">
            <v>590-10-030</v>
          </cell>
          <cell r="B51" t="str">
            <v>COP</v>
          </cell>
          <cell r="C51" t="str">
            <v xml:space="preserve"> GROUP DISABILITY COVER CLAIMS.</v>
          </cell>
          <cell r="E51">
            <v>300000</v>
          </cell>
          <cell r="F51">
            <v>300000</v>
          </cell>
          <cell r="G51">
            <v>300000</v>
          </cell>
          <cell r="H51">
            <v>300000</v>
          </cell>
          <cell r="I51">
            <v>300000</v>
          </cell>
          <cell r="J51">
            <v>300000</v>
          </cell>
          <cell r="K51">
            <v>300000</v>
          </cell>
          <cell r="L51">
            <v>300000</v>
          </cell>
          <cell r="M51">
            <v>300000</v>
          </cell>
          <cell r="N51">
            <v>300000</v>
          </cell>
          <cell r="O51">
            <v>300000</v>
          </cell>
          <cell r="P51">
            <v>300000</v>
          </cell>
          <cell r="Q51">
            <v>3600000</v>
          </cell>
        </row>
        <row r="52">
          <cell r="B52" t="str">
            <v>COP</v>
          </cell>
          <cell r="C52" t="str">
            <v>ALL PLANS - GROSS CLAIMS</v>
          </cell>
          <cell r="E52">
            <v>17800000</v>
          </cell>
          <cell r="F52">
            <v>17800000</v>
          </cell>
          <cell r="G52">
            <v>17800000</v>
          </cell>
          <cell r="H52">
            <v>17800000</v>
          </cell>
          <cell r="I52">
            <v>17800000</v>
          </cell>
          <cell r="J52">
            <v>17800000</v>
          </cell>
          <cell r="K52">
            <v>17800000</v>
          </cell>
          <cell r="L52">
            <v>17800000</v>
          </cell>
          <cell r="M52">
            <v>17800000</v>
          </cell>
          <cell r="N52">
            <v>17800000</v>
          </cell>
          <cell r="O52">
            <v>17800000</v>
          </cell>
          <cell r="P52">
            <v>17800000</v>
          </cell>
          <cell r="Q52">
            <v>213600000</v>
          </cell>
        </row>
        <row r="53">
          <cell r="B53" t="str">
            <v>COP</v>
          </cell>
        </row>
        <row r="54">
          <cell r="A54" t="str">
            <v>590-10-080</v>
          </cell>
          <cell r="B54" t="str">
            <v>COP</v>
          </cell>
          <cell r="C54" t="str">
            <v xml:space="preserve"> GROUP LIFE CLAIMS-RECOVERY</v>
          </cell>
          <cell r="D54">
            <v>0.65</v>
          </cell>
          <cell r="E54">
            <v>7150000</v>
          </cell>
          <cell r="F54">
            <v>7150000</v>
          </cell>
          <cell r="G54">
            <v>7150000</v>
          </cell>
          <cell r="H54">
            <v>7150000</v>
          </cell>
          <cell r="I54">
            <v>7150000</v>
          </cell>
          <cell r="J54">
            <v>7150000</v>
          </cell>
          <cell r="K54">
            <v>7150000</v>
          </cell>
          <cell r="L54">
            <v>7150000</v>
          </cell>
          <cell r="M54">
            <v>7150000</v>
          </cell>
          <cell r="N54">
            <v>7150000</v>
          </cell>
          <cell r="O54">
            <v>7150000</v>
          </cell>
          <cell r="P54">
            <v>7150000</v>
          </cell>
          <cell r="Q54">
            <v>85800000</v>
          </cell>
        </row>
        <row r="55">
          <cell r="A55" t="str">
            <v>CLMrec</v>
          </cell>
          <cell r="B55" t="str">
            <v>COP</v>
          </cell>
          <cell r="C55" t="str">
            <v>GROUP DEPOSIT CLAIMS-REC.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</row>
        <row r="56">
          <cell r="A56" t="str">
            <v>590-10-100</v>
          </cell>
          <cell r="B56" t="str">
            <v>COP</v>
          </cell>
          <cell r="C56" t="str">
            <v xml:space="preserve"> GROUP LAST EXPENSE CLAIMS-REC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</row>
        <row r="57">
          <cell r="A57" t="str">
            <v>590-10-090</v>
          </cell>
          <cell r="B57" t="str">
            <v>COP</v>
          </cell>
          <cell r="C57" t="str">
            <v xml:space="preserve"> GROUP MORT. PROT. CLAIMS-REC</v>
          </cell>
          <cell r="D57">
            <v>0.6</v>
          </cell>
          <cell r="E57">
            <v>300000</v>
          </cell>
          <cell r="F57">
            <v>300000</v>
          </cell>
          <cell r="G57">
            <v>300000</v>
          </cell>
          <cell r="H57">
            <v>300000</v>
          </cell>
          <cell r="I57">
            <v>300000</v>
          </cell>
          <cell r="J57">
            <v>300000</v>
          </cell>
          <cell r="K57">
            <v>300000</v>
          </cell>
          <cell r="L57">
            <v>300000</v>
          </cell>
          <cell r="M57">
            <v>300000</v>
          </cell>
          <cell r="N57">
            <v>300000</v>
          </cell>
          <cell r="O57">
            <v>300000</v>
          </cell>
          <cell r="P57">
            <v>300000</v>
          </cell>
          <cell r="Q57">
            <v>3600000</v>
          </cell>
        </row>
        <row r="58">
          <cell r="A58" t="str">
            <v>590-10-080</v>
          </cell>
          <cell r="B58" t="str">
            <v>COP</v>
          </cell>
          <cell r="C58" t="str">
            <v xml:space="preserve"> GROUP CREDIT ASS. CLAIMS-REC</v>
          </cell>
          <cell r="D58">
            <v>0.3</v>
          </cell>
          <cell r="E58">
            <v>1200000</v>
          </cell>
          <cell r="F58">
            <v>1200000</v>
          </cell>
          <cell r="G58">
            <v>1200000</v>
          </cell>
          <cell r="H58">
            <v>1200000</v>
          </cell>
          <cell r="I58">
            <v>1200000</v>
          </cell>
          <cell r="J58">
            <v>1200000</v>
          </cell>
          <cell r="K58">
            <v>1200000</v>
          </cell>
          <cell r="L58">
            <v>1200000</v>
          </cell>
          <cell r="M58">
            <v>1200000</v>
          </cell>
          <cell r="N58">
            <v>1200000</v>
          </cell>
          <cell r="O58">
            <v>1200000</v>
          </cell>
          <cell r="P58">
            <v>1200000</v>
          </cell>
          <cell r="Q58">
            <v>14400000</v>
          </cell>
        </row>
        <row r="59">
          <cell r="A59" t="str">
            <v>590-10-080</v>
          </cell>
          <cell r="B59" t="str">
            <v>COP</v>
          </cell>
          <cell r="C59" t="str">
            <v xml:space="preserve"> GROUP DIS. COVER CLAIMS-REC</v>
          </cell>
          <cell r="D59">
            <v>0.5</v>
          </cell>
          <cell r="E59">
            <v>150000</v>
          </cell>
          <cell r="F59">
            <v>150000</v>
          </cell>
          <cell r="G59">
            <v>150000</v>
          </cell>
          <cell r="H59">
            <v>150000</v>
          </cell>
          <cell r="I59">
            <v>150000</v>
          </cell>
          <cell r="J59">
            <v>150000</v>
          </cell>
          <cell r="K59">
            <v>150000</v>
          </cell>
          <cell r="L59">
            <v>150000</v>
          </cell>
          <cell r="M59">
            <v>150000</v>
          </cell>
          <cell r="N59">
            <v>150000</v>
          </cell>
          <cell r="O59">
            <v>150000</v>
          </cell>
          <cell r="P59">
            <v>150000</v>
          </cell>
          <cell r="Q59">
            <v>1800000</v>
          </cell>
        </row>
        <row r="60">
          <cell r="B60" t="str">
            <v>COP</v>
          </cell>
          <cell r="C60" t="str">
            <v>ALL PLANS - CLAIMS RECOVERY</v>
          </cell>
          <cell r="E60">
            <v>8800000</v>
          </cell>
          <cell r="F60">
            <v>8800000</v>
          </cell>
          <cell r="G60">
            <v>8800000</v>
          </cell>
          <cell r="H60">
            <v>8800000</v>
          </cell>
          <cell r="I60">
            <v>8800000</v>
          </cell>
          <cell r="J60">
            <v>8800000</v>
          </cell>
          <cell r="K60">
            <v>8800000</v>
          </cell>
          <cell r="L60">
            <v>8800000</v>
          </cell>
          <cell r="M60">
            <v>8800000</v>
          </cell>
          <cell r="N60">
            <v>8800000</v>
          </cell>
          <cell r="O60">
            <v>8800000</v>
          </cell>
          <cell r="P60">
            <v>8800000</v>
          </cell>
          <cell r="Q60">
            <v>105600000</v>
          </cell>
        </row>
        <row r="61">
          <cell r="B61" t="str">
            <v>COP</v>
          </cell>
        </row>
        <row r="62">
          <cell r="B62" t="str">
            <v>COP</v>
          </cell>
          <cell r="C62" t="str">
            <v xml:space="preserve"> GROUP LIFE -U/W SURPLUS</v>
          </cell>
          <cell r="E62">
            <v>-3340800</v>
          </cell>
          <cell r="F62">
            <v>4089667.5</v>
          </cell>
          <cell r="G62">
            <v>-2888550</v>
          </cell>
          <cell r="H62">
            <v>-3340800</v>
          </cell>
          <cell r="I62">
            <v>1520887.5</v>
          </cell>
          <cell r="J62">
            <v>23971750</v>
          </cell>
          <cell r="K62">
            <v>-2809825</v>
          </cell>
          <cell r="L62">
            <v>8411000</v>
          </cell>
          <cell r="M62">
            <v>-208550</v>
          </cell>
          <cell r="N62">
            <v>-1230300</v>
          </cell>
          <cell r="O62">
            <v>1450370</v>
          </cell>
          <cell r="P62">
            <v>-1188425</v>
          </cell>
          <cell r="Q62">
            <v>24436424.900000006</v>
          </cell>
        </row>
        <row r="63">
          <cell r="B63" t="str">
            <v>COP</v>
          </cell>
          <cell r="C63" t="str">
            <v>GROUP DEPOSIT -U/W SURPLUS</v>
          </cell>
          <cell r="E63">
            <v>1021400</v>
          </cell>
          <cell r="F63">
            <v>1552400</v>
          </cell>
          <cell r="G63">
            <v>1012400</v>
          </cell>
          <cell r="H63">
            <v>1012400</v>
          </cell>
          <cell r="I63">
            <v>1012400</v>
          </cell>
          <cell r="J63">
            <v>1012400</v>
          </cell>
          <cell r="K63">
            <v>1012400</v>
          </cell>
          <cell r="L63">
            <v>1012400</v>
          </cell>
          <cell r="M63">
            <v>1012400</v>
          </cell>
          <cell r="N63">
            <v>1012400</v>
          </cell>
          <cell r="O63">
            <v>1012400</v>
          </cell>
          <cell r="P63">
            <v>1012400</v>
          </cell>
          <cell r="Q63">
            <v>12697800</v>
          </cell>
        </row>
        <row r="64">
          <cell r="B64" t="str">
            <v>COP</v>
          </cell>
          <cell r="C64" t="str">
            <v xml:space="preserve"> GROUP LAST EXPENSE-U/W SURP.</v>
          </cell>
          <cell r="E64">
            <v>-279200</v>
          </cell>
          <cell r="F64">
            <v>836800</v>
          </cell>
          <cell r="G64">
            <v>-272000</v>
          </cell>
          <cell r="H64">
            <v>-96800</v>
          </cell>
          <cell r="I64">
            <v>-263200</v>
          </cell>
          <cell r="J64">
            <v>3081600</v>
          </cell>
          <cell r="K64">
            <v>81600</v>
          </cell>
          <cell r="L64">
            <v>344000</v>
          </cell>
          <cell r="M64">
            <v>-230400</v>
          </cell>
          <cell r="N64">
            <v>19200</v>
          </cell>
          <cell r="O64">
            <v>-283200</v>
          </cell>
          <cell r="P64">
            <v>-173600</v>
          </cell>
          <cell r="Q64">
            <v>2764799.9000000004</v>
          </cell>
        </row>
        <row r="65">
          <cell r="B65" t="str">
            <v>COP</v>
          </cell>
          <cell r="C65" t="str">
            <v xml:space="preserve"> GROUP MORT. PROT-U/W SURPLUS</v>
          </cell>
          <cell r="E65">
            <v>87500</v>
          </cell>
          <cell r="F65">
            <v>1331250</v>
          </cell>
          <cell r="G65">
            <v>87500</v>
          </cell>
          <cell r="H65">
            <v>87500</v>
          </cell>
          <cell r="I65">
            <v>87500</v>
          </cell>
          <cell r="J65">
            <v>87500</v>
          </cell>
          <cell r="K65">
            <v>87500</v>
          </cell>
          <cell r="L65">
            <v>87500</v>
          </cell>
          <cell r="M65">
            <v>87500</v>
          </cell>
          <cell r="N65">
            <v>87500</v>
          </cell>
          <cell r="O65">
            <v>87500</v>
          </cell>
          <cell r="P65">
            <v>87500</v>
          </cell>
          <cell r="Q65">
            <v>2293749.9000000004</v>
          </cell>
        </row>
        <row r="66">
          <cell r="B66" t="str">
            <v>COP</v>
          </cell>
          <cell r="C66" t="str">
            <v xml:space="preserve"> GROUP CREDIT ASS-U/W SURPLUS</v>
          </cell>
          <cell r="E66">
            <v>6175850</v>
          </cell>
          <cell r="F66">
            <v>8174600</v>
          </cell>
          <cell r="G66">
            <v>6175850</v>
          </cell>
          <cell r="H66">
            <v>6175850</v>
          </cell>
          <cell r="I66">
            <v>7150850</v>
          </cell>
          <cell r="J66">
            <v>6715350</v>
          </cell>
          <cell r="K66">
            <v>6175850</v>
          </cell>
          <cell r="L66">
            <v>8255850</v>
          </cell>
          <cell r="M66">
            <v>6175850</v>
          </cell>
          <cell r="N66">
            <v>6175850</v>
          </cell>
          <cell r="O66">
            <v>7150850</v>
          </cell>
          <cell r="P66">
            <v>6565850</v>
          </cell>
          <cell r="Q66">
            <v>81068449.900000006</v>
          </cell>
        </row>
        <row r="67">
          <cell r="B67" t="str">
            <v>COP</v>
          </cell>
          <cell r="C67" t="str">
            <v xml:space="preserve"> GROUP DIS. COVER -U/W SURPLUS</v>
          </cell>
          <cell r="E67">
            <v>-150000</v>
          </cell>
          <cell r="F67">
            <v>-140937.5</v>
          </cell>
          <cell r="G67">
            <v>-150000</v>
          </cell>
          <cell r="H67">
            <v>-150000</v>
          </cell>
          <cell r="I67">
            <v>-122812.5</v>
          </cell>
          <cell r="J67">
            <v>1662500</v>
          </cell>
          <cell r="K67">
            <v>-150000</v>
          </cell>
          <cell r="L67">
            <v>-107225</v>
          </cell>
          <cell r="M67">
            <v>-150000</v>
          </cell>
          <cell r="N67">
            <v>-150000</v>
          </cell>
          <cell r="O67">
            <v>-150000</v>
          </cell>
          <cell r="P67">
            <v>-150000</v>
          </cell>
          <cell r="Q67">
            <v>91524.799999999814</v>
          </cell>
        </row>
        <row r="69">
          <cell r="C69" t="str">
            <v>ALL PLANS - U/WRITING SURPLUS</v>
          </cell>
          <cell r="E69">
            <v>3514750</v>
          </cell>
          <cell r="F69">
            <v>15843780</v>
          </cell>
          <cell r="G69">
            <v>3965200</v>
          </cell>
          <cell r="H69">
            <v>3688150</v>
          </cell>
          <cell r="I69">
            <v>9385625</v>
          </cell>
          <cell r="J69">
            <v>36531100</v>
          </cell>
          <cell r="K69">
            <v>4397525</v>
          </cell>
          <cell r="L69">
            <v>18003525</v>
          </cell>
          <cell r="M69">
            <v>6686800</v>
          </cell>
          <cell r="N69">
            <v>5914650</v>
          </cell>
          <cell r="O69">
            <v>9267920</v>
          </cell>
          <cell r="P69">
            <v>6153725</v>
          </cell>
          <cell r="Q69">
            <v>123352750</v>
          </cell>
        </row>
      </sheetData>
      <sheetData sheetId="14"/>
      <sheetData sheetId="15"/>
      <sheetData sheetId="16"/>
      <sheetData sheetId="17"/>
      <sheetData sheetId="18" refreshError="1">
        <row r="65">
          <cell r="A65" t="str">
            <v>Account</v>
          </cell>
          <cell r="B65" t="str">
            <v>Branch code</v>
          </cell>
          <cell r="C65" t="str">
            <v>Details</v>
          </cell>
          <cell r="D65" t="str">
            <v>Budget</v>
          </cell>
          <cell r="F65" t="str">
            <v>Actuals</v>
          </cell>
          <cell r="G65" t="str">
            <v>Projected</v>
          </cell>
          <cell r="H65" t="str">
            <v>% -Age</v>
          </cell>
        </row>
        <row r="66">
          <cell r="A66" t="str">
            <v>GL Code</v>
          </cell>
          <cell r="B66" t="str">
            <v>account</v>
          </cell>
          <cell r="C66" t="str">
            <v>Details</v>
          </cell>
          <cell r="D66" t="str">
            <v>Budget</v>
          </cell>
          <cell r="F66" t="str">
            <v>Actuals</v>
          </cell>
          <cell r="G66" t="str">
            <v>Projected</v>
          </cell>
          <cell r="H66" t="str">
            <v>% -Age</v>
          </cell>
        </row>
        <row r="67">
          <cell r="A67" t="str">
            <v/>
          </cell>
        </row>
        <row r="68">
          <cell r="A68" t="str">
            <v/>
          </cell>
          <cell r="C68" t="str">
            <v/>
          </cell>
        </row>
        <row r="69">
          <cell r="A69" t="str">
            <v>090-20-030</v>
          </cell>
          <cell r="B69">
            <v>7</v>
          </cell>
          <cell r="C69" t="str">
            <v>Reinsurance premium- Individual life</v>
          </cell>
          <cell r="H69" t="str">
            <v/>
          </cell>
        </row>
        <row r="70">
          <cell r="A70" t="str">
            <v>105-10-010</v>
          </cell>
          <cell r="B70">
            <v>6</v>
          </cell>
          <cell r="C70" t="str">
            <v>BASIC SALARY</v>
          </cell>
          <cell r="D70">
            <v>4210800</v>
          </cell>
          <cell r="F70">
            <v>1917452</v>
          </cell>
          <cell r="G70">
            <v>3834904</v>
          </cell>
          <cell r="H70">
            <v>1.0980196635952295</v>
          </cell>
        </row>
        <row r="71">
          <cell r="A71" t="str">
            <v>105-10-010</v>
          </cell>
          <cell r="B71">
            <v>4</v>
          </cell>
          <cell r="C71" t="str">
            <v>BASIC SALARY</v>
          </cell>
          <cell r="D71">
            <v>3066360</v>
          </cell>
          <cell r="F71">
            <v>1393800</v>
          </cell>
          <cell r="G71">
            <v>2787600</v>
          </cell>
          <cell r="H71">
            <v>1.1000000000000001</v>
          </cell>
        </row>
        <row r="72">
          <cell r="A72" t="str">
            <v>105-10-010</v>
          </cell>
          <cell r="B72">
            <v>1</v>
          </cell>
          <cell r="C72" t="str">
            <v>BASIC SALARY</v>
          </cell>
          <cell r="D72">
            <v>17791210.800000001</v>
          </cell>
          <cell r="F72">
            <v>6368934</v>
          </cell>
          <cell r="G72">
            <v>12737868</v>
          </cell>
          <cell r="H72">
            <v>1.3967181007057068</v>
          </cell>
        </row>
        <row r="73">
          <cell r="A73" t="str">
            <v>105-10-010</v>
          </cell>
          <cell r="B73">
            <v>8</v>
          </cell>
          <cell r="C73" t="str">
            <v>BASIC SALARY</v>
          </cell>
          <cell r="D73">
            <v>8181850.8000000007</v>
          </cell>
          <cell r="F73">
            <v>3702490</v>
          </cell>
          <cell r="G73">
            <v>7404980</v>
          </cell>
          <cell r="H73">
            <v>1.1049119376419654</v>
          </cell>
        </row>
        <row r="74">
          <cell r="A74" t="str">
            <v>105-10-010</v>
          </cell>
          <cell r="B74">
            <v>9</v>
          </cell>
          <cell r="C74" t="str">
            <v>BASIC SALARY</v>
          </cell>
          <cell r="D74">
            <v>5429160.0000000009</v>
          </cell>
          <cell r="F74">
            <v>2408880</v>
          </cell>
          <cell r="G74">
            <v>4817760</v>
          </cell>
          <cell r="H74">
            <v>1.1269054498356084</v>
          </cell>
        </row>
        <row r="75">
          <cell r="A75" t="str">
            <v>105-10-010</v>
          </cell>
          <cell r="B75">
            <v>7</v>
          </cell>
          <cell r="C75" t="str">
            <v>BASIC SALARY</v>
          </cell>
          <cell r="D75">
            <v>2283840</v>
          </cell>
          <cell r="F75">
            <v>903795</v>
          </cell>
          <cell r="G75">
            <v>1807590</v>
          </cell>
          <cell r="H75">
            <v>1.2634723582228273</v>
          </cell>
        </row>
        <row r="76">
          <cell r="A76" t="str">
            <v>105-10-010</v>
          </cell>
          <cell r="B76">
            <v>2</v>
          </cell>
          <cell r="C76" t="str">
            <v>BASIC SALARY</v>
          </cell>
          <cell r="D76">
            <v>2678293.2000000002</v>
          </cell>
          <cell r="F76">
            <v>1194570</v>
          </cell>
          <cell r="G76">
            <v>2389140</v>
          </cell>
          <cell r="H76">
            <v>1.1210281523895629</v>
          </cell>
        </row>
        <row r="77">
          <cell r="A77" t="str">
            <v>105-10-010</v>
          </cell>
          <cell r="B77">
            <v>5</v>
          </cell>
          <cell r="C77" t="str">
            <v>BASIC SALARY</v>
          </cell>
          <cell r="D77">
            <v>3526020</v>
          </cell>
          <cell r="F77">
            <v>1778419</v>
          </cell>
          <cell r="G77">
            <v>3556838</v>
          </cell>
          <cell r="H77">
            <v>0.99133556265424516</v>
          </cell>
        </row>
        <row r="78">
          <cell r="A78" t="str">
            <v>105-10-010</v>
          </cell>
          <cell r="B78">
            <v>3</v>
          </cell>
          <cell r="C78" t="str">
            <v>BASIC SALARY</v>
          </cell>
          <cell r="D78">
            <v>2937660</v>
          </cell>
          <cell r="F78">
            <v>1362326</v>
          </cell>
          <cell r="G78">
            <v>2724652</v>
          </cell>
          <cell r="H78">
            <v>1.0781780572344652</v>
          </cell>
        </row>
        <row r="79">
          <cell r="A79" t="str">
            <v>105-10-010</v>
          </cell>
          <cell r="B79">
            <v>10</v>
          </cell>
          <cell r="C79" t="str">
            <v>BASIC SALARY</v>
          </cell>
          <cell r="D79">
            <v>3020160</v>
          </cell>
          <cell r="F79">
            <v>1456153</v>
          </cell>
          <cell r="G79">
            <v>2912306</v>
          </cell>
          <cell r="H79">
            <v>1.0370338831153045</v>
          </cell>
        </row>
        <row r="80">
          <cell r="A80" t="str">
            <v>105-10-011</v>
          </cell>
          <cell r="B80">
            <v>4</v>
          </cell>
          <cell r="C80" t="str">
            <v>PROV. FOR EDUC. ALLOW.</v>
          </cell>
          <cell r="D80">
            <v>0</v>
          </cell>
          <cell r="H80">
            <v>0</v>
          </cell>
        </row>
        <row r="81">
          <cell r="A81" t="str">
            <v>105-10-011</v>
          </cell>
          <cell r="B81">
            <v>1</v>
          </cell>
          <cell r="C81" t="str">
            <v>PROVISION FOR EDUCATION ALLOWANCE</v>
          </cell>
          <cell r="D81">
            <v>0</v>
          </cell>
          <cell r="G81">
            <v>0</v>
          </cell>
          <cell r="H81" t="str">
            <v/>
          </cell>
        </row>
        <row r="82">
          <cell r="A82" t="str">
            <v>105-10-011</v>
          </cell>
          <cell r="B82">
            <v>8</v>
          </cell>
          <cell r="C82" t="str">
            <v>CASH IN LIEU OF LEAVE</v>
          </cell>
          <cell r="D82">
            <v>0</v>
          </cell>
          <cell r="F82">
            <v>0</v>
          </cell>
          <cell r="H82" t="str">
            <v/>
          </cell>
        </row>
        <row r="83">
          <cell r="A83" t="str">
            <v>105-10-011</v>
          </cell>
          <cell r="B83">
            <v>9</v>
          </cell>
          <cell r="C83" t="str">
            <v>CASH IN LIEU OF LEAVE</v>
          </cell>
          <cell r="D83">
            <v>0</v>
          </cell>
          <cell r="H83">
            <v>0</v>
          </cell>
        </row>
        <row r="84">
          <cell r="A84" t="str">
            <v>105-10-011</v>
          </cell>
          <cell r="B84">
            <v>7</v>
          </cell>
          <cell r="C84" t="str">
            <v>CASH IN LIEU OF LEAVE</v>
          </cell>
          <cell r="D84">
            <v>0</v>
          </cell>
          <cell r="H84" t="str">
            <v/>
          </cell>
        </row>
        <row r="85">
          <cell r="A85" t="str">
            <v>105-10-011</v>
          </cell>
          <cell r="B85">
            <v>2</v>
          </cell>
          <cell r="C85" t="str">
            <v>CASH IN LIUE OF LEAVE</v>
          </cell>
          <cell r="D85">
            <v>0</v>
          </cell>
          <cell r="H85" t="str">
            <v/>
          </cell>
        </row>
        <row r="86">
          <cell r="A86" t="str">
            <v>105-10-011</v>
          </cell>
          <cell r="B86">
            <v>5</v>
          </cell>
          <cell r="C86" t="str">
            <v>CASH IN LIEU OF LEAVE</v>
          </cell>
          <cell r="D86">
            <v>0</v>
          </cell>
          <cell r="G86">
            <v>0</v>
          </cell>
        </row>
        <row r="87">
          <cell r="A87" t="str">
            <v>105-10-011</v>
          </cell>
          <cell r="B87">
            <v>3</v>
          </cell>
          <cell r="C87" t="str">
            <v>CASH IN LIEU OF LEAVE</v>
          </cell>
          <cell r="D87">
            <v>0</v>
          </cell>
          <cell r="H87" t="str">
            <v xml:space="preserve"> </v>
          </cell>
        </row>
        <row r="88">
          <cell r="A88" t="str">
            <v>105-10-011</v>
          </cell>
          <cell r="B88">
            <v>10</v>
          </cell>
          <cell r="C88" t="str">
            <v>Cash in lieu of leave</v>
          </cell>
          <cell r="D88">
            <v>0</v>
          </cell>
          <cell r="H88" t="str">
            <v/>
          </cell>
        </row>
        <row r="89">
          <cell r="A89" t="str">
            <v>105-10-012</v>
          </cell>
          <cell r="B89">
            <v>6</v>
          </cell>
          <cell r="C89" t="str">
            <v>PROVISION FOR MORT. RATE ADJUSTMENTS</v>
          </cell>
          <cell r="D89">
            <v>54229</v>
          </cell>
          <cell r="F89">
            <v>23660</v>
          </cell>
          <cell r="G89">
            <v>54229</v>
          </cell>
          <cell r="H89">
            <v>1</v>
          </cell>
        </row>
        <row r="90">
          <cell r="A90" t="str">
            <v>105-10-012</v>
          </cell>
          <cell r="B90">
            <v>4</v>
          </cell>
          <cell r="C90" t="str">
            <v>PROVISION FOR MORT. RATE ADJUSTMENTS</v>
          </cell>
          <cell r="D90">
            <v>0</v>
          </cell>
          <cell r="F90">
            <v>0</v>
          </cell>
          <cell r="G90">
            <v>0</v>
          </cell>
          <cell r="H90" t="str">
            <v/>
          </cell>
        </row>
        <row r="91">
          <cell r="A91" t="str">
            <v>105-10-012</v>
          </cell>
          <cell r="B91">
            <v>1</v>
          </cell>
          <cell r="C91" t="str">
            <v>PROVISION FOR MORT. RATE ADJUSTMENTS</v>
          </cell>
          <cell r="D91">
            <v>763680</v>
          </cell>
          <cell r="F91">
            <v>10360</v>
          </cell>
          <cell r="G91">
            <v>20720</v>
          </cell>
          <cell r="H91">
            <v>36.857142857142854</v>
          </cell>
        </row>
        <row r="92">
          <cell r="A92" t="str">
            <v>105-10-012</v>
          </cell>
          <cell r="B92">
            <v>8</v>
          </cell>
          <cell r="C92" t="str">
            <v>PROVISION FOR MORT. RATE ADJUSTMENTS</v>
          </cell>
          <cell r="D92">
            <v>354000</v>
          </cell>
          <cell r="F92">
            <v>177000</v>
          </cell>
          <cell r="G92">
            <v>354000</v>
          </cell>
          <cell r="H92">
            <v>1</v>
          </cell>
        </row>
        <row r="93">
          <cell r="A93" t="str">
            <v>105-10-012</v>
          </cell>
          <cell r="B93">
            <v>9</v>
          </cell>
          <cell r="C93" t="str">
            <v>PROVISION FOR MORT. RATE ADJUSTMENTS</v>
          </cell>
          <cell r="D93">
            <v>277440</v>
          </cell>
          <cell r="F93">
            <v>92480</v>
          </cell>
          <cell r="G93">
            <v>277440</v>
          </cell>
          <cell r="H93">
            <v>1</v>
          </cell>
        </row>
        <row r="94">
          <cell r="A94" t="str">
            <v>105-10-012</v>
          </cell>
          <cell r="B94">
            <v>7</v>
          </cell>
          <cell r="C94" t="str">
            <v>PROVISION FOR MORT. RATE ADJUSTMENTS</v>
          </cell>
          <cell r="D94">
            <v>56100</v>
          </cell>
          <cell r="F94">
            <v>18700</v>
          </cell>
          <cell r="G94">
            <v>37400</v>
          </cell>
          <cell r="H94">
            <v>1.5</v>
          </cell>
        </row>
        <row r="95">
          <cell r="A95" t="str">
            <v>105-10-012</v>
          </cell>
          <cell r="B95">
            <v>2</v>
          </cell>
          <cell r="C95" t="str">
            <v>PROVISION FOR MORT. RATE ADJUSTMENTS</v>
          </cell>
          <cell r="D95">
            <v>0</v>
          </cell>
          <cell r="F95">
            <v>0</v>
          </cell>
          <cell r="G95">
            <v>0</v>
          </cell>
          <cell r="H95" t="str">
            <v/>
          </cell>
        </row>
        <row r="96">
          <cell r="A96" t="str">
            <v>105-10-012</v>
          </cell>
          <cell r="B96">
            <v>5</v>
          </cell>
          <cell r="C96" t="str">
            <v>PROVISION FOR MORT. RATE ADJUSTMENTS</v>
          </cell>
          <cell r="D96">
            <v>0</v>
          </cell>
          <cell r="F96">
            <v>0</v>
          </cell>
          <cell r="G96">
            <v>0</v>
          </cell>
        </row>
        <row r="97">
          <cell r="A97" t="str">
            <v>105-10-012</v>
          </cell>
          <cell r="B97">
            <v>3</v>
          </cell>
          <cell r="C97" t="str">
            <v>PROVISION FOR MORT. RATE ADJUSTMENTS</v>
          </cell>
          <cell r="D97">
            <v>17700</v>
          </cell>
          <cell r="F97">
            <v>5900</v>
          </cell>
          <cell r="G97">
            <v>11800</v>
          </cell>
          <cell r="H97">
            <v>1.5</v>
          </cell>
        </row>
        <row r="98">
          <cell r="A98" t="str">
            <v>105-10-012</v>
          </cell>
          <cell r="B98">
            <v>10</v>
          </cell>
          <cell r="C98" t="str">
            <v>PROVISION FOR MORT. RATE ADJUSTMENTS</v>
          </cell>
          <cell r="D98">
            <v>60060</v>
          </cell>
          <cell r="F98">
            <v>30030</v>
          </cell>
          <cell r="G98">
            <v>60060</v>
          </cell>
          <cell r="H98">
            <v>1</v>
          </cell>
        </row>
        <row r="99">
          <cell r="A99" t="str">
            <v>105-10-013</v>
          </cell>
          <cell r="B99">
            <v>6</v>
          </cell>
          <cell r="C99" t="str">
            <v>PROVISION FOR CAR LOAN ADJUST</v>
          </cell>
          <cell r="D99">
            <v>0</v>
          </cell>
          <cell r="G99">
            <v>0</v>
          </cell>
          <cell r="H99" t="str">
            <v/>
          </cell>
        </row>
        <row r="100">
          <cell r="A100" t="str">
            <v>105-10-013</v>
          </cell>
          <cell r="B100">
            <v>4</v>
          </cell>
          <cell r="C100" t="str">
            <v>PROVISION FOR CAR LOAN ADJUST</v>
          </cell>
          <cell r="D100">
            <v>0</v>
          </cell>
          <cell r="G100">
            <v>0</v>
          </cell>
          <cell r="H100" t="str">
            <v/>
          </cell>
        </row>
        <row r="101">
          <cell r="A101" t="str">
            <v>105-10-013</v>
          </cell>
          <cell r="B101">
            <v>1</v>
          </cell>
          <cell r="C101" t="str">
            <v>PROVISION FOR CAR LOAN ADJUST</v>
          </cell>
          <cell r="D101">
            <v>0</v>
          </cell>
          <cell r="G101">
            <v>0</v>
          </cell>
          <cell r="H101" t="str">
            <v/>
          </cell>
        </row>
        <row r="102">
          <cell r="A102" t="str">
            <v>105-10-013</v>
          </cell>
          <cell r="B102">
            <v>8</v>
          </cell>
          <cell r="C102" t="str">
            <v>PROVISION FOR CAR LOAN ADJUST</v>
          </cell>
          <cell r="D102">
            <v>0</v>
          </cell>
          <cell r="G102">
            <v>0</v>
          </cell>
          <cell r="H102" t="str">
            <v/>
          </cell>
        </row>
        <row r="103">
          <cell r="A103" t="str">
            <v>105-10-013</v>
          </cell>
          <cell r="B103">
            <v>9</v>
          </cell>
          <cell r="C103" t="str">
            <v>PROVISION FOR CAR LOAN ADJUST</v>
          </cell>
          <cell r="D103">
            <v>0</v>
          </cell>
          <cell r="G103">
            <v>0</v>
          </cell>
          <cell r="H103" t="str">
            <v/>
          </cell>
        </row>
        <row r="104">
          <cell r="A104" t="str">
            <v>105-10-013</v>
          </cell>
          <cell r="B104">
            <v>7</v>
          </cell>
          <cell r="C104" t="str">
            <v>PROVISION FOR CAR LOAN ADJUST</v>
          </cell>
          <cell r="D104">
            <v>0</v>
          </cell>
          <cell r="G104">
            <v>0</v>
          </cell>
          <cell r="H104" t="str">
            <v/>
          </cell>
        </row>
        <row r="105">
          <cell r="A105" t="str">
            <v>105-10-013</v>
          </cell>
          <cell r="B105">
            <v>2</v>
          </cell>
          <cell r="C105" t="str">
            <v>PROVISION FOR CAR LOAN ADJUST</v>
          </cell>
          <cell r="D105">
            <v>0</v>
          </cell>
          <cell r="G105">
            <v>0</v>
          </cell>
          <cell r="H105" t="str">
            <v/>
          </cell>
        </row>
        <row r="106">
          <cell r="A106" t="str">
            <v>105-10-013</v>
          </cell>
          <cell r="B106">
            <v>5</v>
          </cell>
          <cell r="C106" t="str">
            <v>PROVISION FOR CAR LOAN ADJUST</v>
          </cell>
          <cell r="D106">
            <v>0</v>
          </cell>
          <cell r="G106">
            <v>0</v>
          </cell>
        </row>
        <row r="107">
          <cell r="A107" t="str">
            <v>105-10-013</v>
          </cell>
          <cell r="B107">
            <v>3</v>
          </cell>
          <cell r="C107" t="str">
            <v>PROVISION FOR CAR LOAN ADJUST</v>
          </cell>
          <cell r="D107">
            <v>0</v>
          </cell>
          <cell r="G107">
            <v>0</v>
          </cell>
          <cell r="H107" t="str">
            <v xml:space="preserve"> </v>
          </cell>
        </row>
        <row r="108">
          <cell r="A108" t="str">
            <v>105-10-013</v>
          </cell>
          <cell r="B108">
            <v>10</v>
          </cell>
          <cell r="C108" t="str">
            <v>PROVISION FOR CAR LOAN ADJUST</v>
          </cell>
          <cell r="D108">
            <v>0</v>
          </cell>
          <cell r="G108">
            <v>0</v>
          </cell>
          <cell r="H108" t="str">
            <v/>
          </cell>
        </row>
        <row r="109">
          <cell r="A109" t="str">
            <v>105-10-020</v>
          </cell>
          <cell r="B109">
            <v>6</v>
          </cell>
          <cell r="C109" t="str">
            <v>HOUSE ALLOWANCE</v>
          </cell>
          <cell r="D109">
            <v>639600</v>
          </cell>
          <cell r="F109">
            <v>319800</v>
          </cell>
          <cell r="G109">
            <v>639600</v>
          </cell>
          <cell r="H109">
            <v>1</v>
          </cell>
        </row>
        <row r="110">
          <cell r="A110" t="str">
            <v>105-10-020</v>
          </cell>
          <cell r="B110">
            <v>4</v>
          </cell>
          <cell r="C110" t="str">
            <v>HOUSE ALLOWANCE</v>
          </cell>
          <cell r="D110">
            <v>421200</v>
          </cell>
          <cell r="F110">
            <v>210600</v>
          </cell>
          <cell r="G110">
            <v>421200</v>
          </cell>
          <cell r="H110">
            <v>1</v>
          </cell>
        </row>
        <row r="111">
          <cell r="A111" t="str">
            <v>105-10-020</v>
          </cell>
          <cell r="B111">
            <v>1</v>
          </cell>
          <cell r="C111" t="str">
            <v>HOUSE ALLOWANCE</v>
          </cell>
          <cell r="D111">
            <v>2395200</v>
          </cell>
          <cell r="F111">
            <v>963600</v>
          </cell>
          <cell r="G111">
            <v>1927200</v>
          </cell>
          <cell r="H111">
            <v>1.2428393524283936</v>
          </cell>
        </row>
        <row r="112">
          <cell r="A112" t="str">
            <v>105-10-020</v>
          </cell>
          <cell r="B112">
            <v>8</v>
          </cell>
          <cell r="C112" t="str">
            <v>HOUSE ALLOWANCE</v>
          </cell>
          <cell r="D112">
            <v>1108680</v>
          </cell>
          <cell r="F112">
            <v>543950</v>
          </cell>
          <cell r="G112">
            <v>1087900</v>
          </cell>
          <cell r="H112">
            <v>1.0191010203143671</v>
          </cell>
        </row>
        <row r="113">
          <cell r="A113" t="str">
            <v>105-10-020</v>
          </cell>
          <cell r="B113">
            <v>9</v>
          </cell>
          <cell r="C113" t="str">
            <v>HOUSE ALLOWANCE</v>
          </cell>
          <cell r="D113">
            <v>436800</v>
          </cell>
          <cell r="F113">
            <v>198900</v>
          </cell>
          <cell r="G113">
            <v>397800</v>
          </cell>
          <cell r="H113">
            <v>1.0980392156862746</v>
          </cell>
        </row>
        <row r="114">
          <cell r="A114" t="str">
            <v>105-10-020</v>
          </cell>
          <cell r="B114">
            <v>7</v>
          </cell>
          <cell r="C114" t="str">
            <v>HOUSE ALLOWANCE</v>
          </cell>
          <cell r="D114">
            <v>343200</v>
          </cell>
          <cell r="F114">
            <v>163800</v>
          </cell>
          <cell r="G114">
            <v>327600</v>
          </cell>
          <cell r="H114">
            <v>1.0476190476190477</v>
          </cell>
        </row>
        <row r="115">
          <cell r="A115" t="str">
            <v>105-10-020</v>
          </cell>
          <cell r="B115">
            <v>2</v>
          </cell>
          <cell r="C115" t="str">
            <v>HOUSE ALLOWANCE</v>
          </cell>
          <cell r="D115">
            <v>374400</v>
          </cell>
          <cell r="F115">
            <v>183300</v>
          </cell>
          <cell r="G115">
            <v>366600</v>
          </cell>
          <cell r="H115">
            <v>1.0212765957446808</v>
          </cell>
        </row>
        <row r="116">
          <cell r="A116" t="str">
            <v>105-10-020</v>
          </cell>
          <cell r="B116">
            <v>5</v>
          </cell>
          <cell r="C116" t="str">
            <v>HOUSE ALLOWANCE</v>
          </cell>
          <cell r="D116">
            <v>546000</v>
          </cell>
          <cell r="F116">
            <v>304200</v>
          </cell>
          <cell r="G116">
            <v>608400</v>
          </cell>
          <cell r="H116">
            <v>0.89743589743589747</v>
          </cell>
        </row>
        <row r="117">
          <cell r="A117" t="str">
            <v>105-10-020</v>
          </cell>
          <cell r="B117">
            <v>3</v>
          </cell>
          <cell r="C117" t="str">
            <v>HOUSE ALLOWANCE</v>
          </cell>
          <cell r="D117">
            <v>475800</v>
          </cell>
          <cell r="F117">
            <v>241800</v>
          </cell>
          <cell r="G117">
            <v>483600</v>
          </cell>
          <cell r="H117">
            <v>0.9838709677419355</v>
          </cell>
        </row>
        <row r="118">
          <cell r="A118" t="str">
            <v>105-10-020</v>
          </cell>
          <cell r="B118">
            <v>10</v>
          </cell>
          <cell r="C118" t="str">
            <v>HOUSE ALLOWANCE</v>
          </cell>
          <cell r="D118">
            <v>468000</v>
          </cell>
          <cell r="F118">
            <v>245700</v>
          </cell>
          <cell r="G118">
            <v>491400</v>
          </cell>
          <cell r="H118">
            <v>0.95238095238095233</v>
          </cell>
        </row>
        <row r="119">
          <cell r="A119" t="str">
            <v>105-10-030</v>
          </cell>
          <cell r="B119">
            <v>6</v>
          </cell>
          <cell r="C119" t="str">
            <v>TELEPHONE ALLOWANCE</v>
          </cell>
          <cell r="D119">
            <v>42000</v>
          </cell>
          <cell r="F119">
            <v>21000</v>
          </cell>
          <cell r="G119">
            <v>42000</v>
          </cell>
          <cell r="H119">
            <v>1</v>
          </cell>
        </row>
        <row r="120">
          <cell r="A120" t="str">
            <v>105-10-030</v>
          </cell>
          <cell r="B120">
            <v>4</v>
          </cell>
          <cell r="C120" t="str">
            <v>TELEPHONE ALLOWANCE</v>
          </cell>
          <cell r="D120">
            <v>0</v>
          </cell>
          <cell r="F120">
            <v>0</v>
          </cell>
          <cell r="G120">
            <v>0</v>
          </cell>
          <cell r="H120" t="str">
            <v/>
          </cell>
        </row>
        <row r="121">
          <cell r="A121" t="str">
            <v>105-10-030</v>
          </cell>
          <cell r="B121">
            <v>1</v>
          </cell>
          <cell r="C121" t="str">
            <v>TELEPHONE ALLOWANCE</v>
          </cell>
          <cell r="D121">
            <v>102000</v>
          </cell>
          <cell r="F121">
            <v>30000</v>
          </cell>
          <cell r="G121">
            <v>60000</v>
          </cell>
          <cell r="H121">
            <v>1.7</v>
          </cell>
        </row>
        <row r="122">
          <cell r="A122" t="str">
            <v>105-10-030</v>
          </cell>
          <cell r="B122">
            <v>8</v>
          </cell>
          <cell r="C122" t="str">
            <v>TELEPHONE ALLOWANCE</v>
          </cell>
          <cell r="D122">
            <v>72000</v>
          </cell>
          <cell r="F122">
            <v>36000</v>
          </cell>
          <cell r="G122">
            <v>72000</v>
          </cell>
          <cell r="H122">
            <v>1</v>
          </cell>
        </row>
        <row r="123">
          <cell r="A123" t="str">
            <v>105-10-030</v>
          </cell>
          <cell r="B123">
            <v>9</v>
          </cell>
          <cell r="C123" t="str">
            <v>TELEPHONE ALLOWANCE</v>
          </cell>
          <cell r="D123">
            <v>84000</v>
          </cell>
          <cell r="F123">
            <v>42000</v>
          </cell>
          <cell r="G123">
            <v>84000</v>
          </cell>
          <cell r="H123">
            <v>1</v>
          </cell>
        </row>
        <row r="124">
          <cell r="A124" t="str">
            <v>105-10-030</v>
          </cell>
          <cell r="B124">
            <v>7</v>
          </cell>
          <cell r="C124" t="str">
            <v>TELEPHONE ALLOWANCE</v>
          </cell>
          <cell r="D124">
            <v>0</v>
          </cell>
          <cell r="F124">
            <v>0</v>
          </cell>
          <cell r="G124">
            <v>0</v>
          </cell>
          <cell r="H124" t="str">
            <v/>
          </cell>
        </row>
        <row r="125">
          <cell r="A125" t="str">
            <v>105-10-030</v>
          </cell>
          <cell r="B125">
            <v>2</v>
          </cell>
          <cell r="C125" t="str">
            <v>TELEPHONE ALLOWANCE</v>
          </cell>
          <cell r="D125">
            <v>30000</v>
          </cell>
          <cell r="F125">
            <v>24000</v>
          </cell>
          <cell r="G125">
            <v>48000</v>
          </cell>
          <cell r="H125">
            <v>0.625</v>
          </cell>
        </row>
        <row r="126">
          <cell r="A126" t="str">
            <v>105-10-030</v>
          </cell>
          <cell r="B126">
            <v>5</v>
          </cell>
          <cell r="C126" t="str">
            <v>TELEPHONE ALLOWANCE</v>
          </cell>
          <cell r="D126">
            <v>0</v>
          </cell>
          <cell r="F126">
            <v>0</v>
          </cell>
          <cell r="G126">
            <v>0</v>
          </cell>
        </row>
        <row r="127">
          <cell r="A127" t="str">
            <v>105-10-030</v>
          </cell>
          <cell r="B127">
            <v>3</v>
          </cell>
          <cell r="C127" t="str">
            <v>TELEPHONE ALLOWANCE</v>
          </cell>
          <cell r="D127">
            <v>30000</v>
          </cell>
          <cell r="F127">
            <v>15000</v>
          </cell>
          <cell r="G127">
            <v>30000</v>
          </cell>
          <cell r="H127">
            <v>1</v>
          </cell>
        </row>
        <row r="128">
          <cell r="A128" t="str">
            <v>105-10-030</v>
          </cell>
          <cell r="B128">
            <v>10</v>
          </cell>
          <cell r="C128" t="str">
            <v>TELEPHONE ALLOWANCE</v>
          </cell>
          <cell r="D128">
            <v>18000</v>
          </cell>
          <cell r="F128">
            <v>9000</v>
          </cell>
          <cell r="G128">
            <v>18000</v>
          </cell>
          <cell r="H128">
            <v>1</v>
          </cell>
        </row>
        <row r="129">
          <cell r="A129" t="str">
            <v>105-10-040</v>
          </cell>
          <cell r="B129">
            <v>6</v>
          </cell>
          <cell r="C129" t="str">
            <v>SECURITY ALLOWANCE</v>
          </cell>
          <cell r="D129">
            <v>0</v>
          </cell>
          <cell r="F129">
            <v>0</v>
          </cell>
          <cell r="G129">
            <v>0</v>
          </cell>
          <cell r="H129" t="str">
            <v/>
          </cell>
        </row>
        <row r="130">
          <cell r="A130" t="str">
            <v>105-10-040</v>
          </cell>
          <cell r="B130">
            <v>4</v>
          </cell>
          <cell r="C130" t="str">
            <v>SECURITY ALLOWANCE</v>
          </cell>
          <cell r="D130">
            <v>0</v>
          </cell>
          <cell r="G130">
            <v>0</v>
          </cell>
          <cell r="H130" t="str">
            <v/>
          </cell>
        </row>
        <row r="131">
          <cell r="A131" t="str">
            <v>105-10-040</v>
          </cell>
          <cell r="B131">
            <v>1</v>
          </cell>
          <cell r="C131" t="str">
            <v>SECURITY ALLOWANCE</v>
          </cell>
          <cell r="D131">
            <v>300000</v>
          </cell>
          <cell r="G131">
            <v>0</v>
          </cell>
          <cell r="H131" t="str">
            <v/>
          </cell>
        </row>
        <row r="132">
          <cell r="A132" t="str">
            <v>105-10-040</v>
          </cell>
          <cell r="B132">
            <v>8</v>
          </cell>
          <cell r="C132" t="str">
            <v>SECURITY ALLOWANCE</v>
          </cell>
          <cell r="D132">
            <v>300000</v>
          </cell>
          <cell r="F132">
            <v>150000</v>
          </cell>
          <cell r="G132">
            <v>300000</v>
          </cell>
          <cell r="H132">
            <v>1</v>
          </cell>
        </row>
        <row r="133">
          <cell r="A133" t="str">
            <v>105-10-040</v>
          </cell>
          <cell r="B133">
            <v>9</v>
          </cell>
          <cell r="C133" t="str">
            <v>SECURITY ALLOWANCE</v>
          </cell>
          <cell r="D133">
            <v>0</v>
          </cell>
          <cell r="F133">
            <v>0</v>
          </cell>
          <cell r="G133">
            <v>0</v>
          </cell>
          <cell r="H133" t="str">
            <v/>
          </cell>
        </row>
        <row r="134">
          <cell r="A134" t="str">
            <v>105-10-040</v>
          </cell>
          <cell r="B134">
            <v>7</v>
          </cell>
          <cell r="C134" t="str">
            <v>SECURITY ALLOWANCE</v>
          </cell>
          <cell r="D134">
            <v>0</v>
          </cell>
          <cell r="F134">
            <v>0</v>
          </cell>
          <cell r="G134">
            <v>0</v>
          </cell>
          <cell r="H134" t="str">
            <v/>
          </cell>
        </row>
        <row r="135">
          <cell r="A135" t="str">
            <v>105-10-040</v>
          </cell>
          <cell r="B135">
            <v>2</v>
          </cell>
          <cell r="C135" t="str">
            <v>SECURITY ALLOWANCE</v>
          </cell>
          <cell r="D135">
            <v>0</v>
          </cell>
          <cell r="G135">
            <v>0</v>
          </cell>
          <cell r="H135" t="str">
            <v/>
          </cell>
        </row>
        <row r="136">
          <cell r="A136" t="str">
            <v>105-10-040</v>
          </cell>
          <cell r="B136">
            <v>5</v>
          </cell>
          <cell r="C136" t="str">
            <v>SECURITY ALLOWANCE</v>
          </cell>
          <cell r="D136">
            <v>0</v>
          </cell>
          <cell r="G136">
            <v>0</v>
          </cell>
        </row>
        <row r="137">
          <cell r="A137" t="str">
            <v>105-10-040</v>
          </cell>
          <cell r="B137">
            <v>3</v>
          </cell>
          <cell r="C137" t="str">
            <v>SECURITY ALLOWANCE</v>
          </cell>
          <cell r="D137">
            <v>0</v>
          </cell>
          <cell r="G137">
            <v>0</v>
          </cell>
          <cell r="H137" t="str">
            <v xml:space="preserve"> </v>
          </cell>
        </row>
        <row r="138">
          <cell r="A138" t="str">
            <v>105-10-040</v>
          </cell>
          <cell r="B138">
            <v>10</v>
          </cell>
          <cell r="C138" t="str">
            <v>SECURITY ALLOWANCE</v>
          </cell>
          <cell r="D138">
            <v>0</v>
          </cell>
          <cell r="F138">
            <v>0</v>
          </cell>
          <cell r="G138">
            <v>0</v>
          </cell>
          <cell r="H138" t="str">
            <v/>
          </cell>
        </row>
        <row r="139">
          <cell r="A139" t="str">
            <v>105-10-050</v>
          </cell>
          <cell r="B139">
            <v>6</v>
          </cell>
          <cell r="C139" t="str">
            <v>EDUCATION ALLOWANCE</v>
          </cell>
          <cell r="D139">
            <v>0</v>
          </cell>
          <cell r="G139">
            <v>0</v>
          </cell>
          <cell r="H139" t="str">
            <v/>
          </cell>
        </row>
        <row r="140">
          <cell r="A140" t="str">
            <v>105-10-050</v>
          </cell>
          <cell r="B140">
            <v>4</v>
          </cell>
          <cell r="C140" t="str">
            <v>EDUCATION ALLOWANCE</v>
          </cell>
          <cell r="D140">
            <v>0</v>
          </cell>
          <cell r="G140">
            <v>0</v>
          </cell>
          <cell r="H140" t="str">
            <v/>
          </cell>
        </row>
        <row r="141">
          <cell r="A141" t="str">
            <v>105-10-050</v>
          </cell>
          <cell r="B141">
            <v>1</v>
          </cell>
          <cell r="C141" t="str">
            <v>EDUCATION ALLOWANCE</v>
          </cell>
          <cell r="D141">
            <v>0</v>
          </cell>
          <cell r="G141">
            <v>0</v>
          </cell>
          <cell r="H141" t="str">
            <v/>
          </cell>
        </row>
        <row r="142">
          <cell r="A142" t="str">
            <v>105-10-050</v>
          </cell>
          <cell r="B142">
            <v>8</v>
          </cell>
          <cell r="C142" t="str">
            <v>EDUCATION ALLOWANCE</v>
          </cell>
          <cell r="G142">
            <v>0</v>
          </cell>
          <cell r="H142" t="str">
            <v/>
          </cell>
        </row>
        <row r="143">
          <cell r="A143" t="str">
            <v>105-10-050</v>
          </cell>
          <cell r="B143">
            <v>9</v>
          </cell>
          <cell r="C143" t="str">
            <v>EDUCATION ALLOWANCE</v>
          </cell>
          <cell r="D143">
            <v>0</v>
          </cell>
          <cell r="G143">
            <v>0</v>
          </cell>
          <cell r="H143" t="str">
            <v/>
          </cell>
        </row>
        <row r="144">
          <cell r="A144" t="str">
            <v>105-10-050</v>
          </cell>
          <cell r="B144">
            <v>7</v>
          </cell>
          <cell r="C144" t="str">
            <v>EDUCATION ALLOWANCE</v>
          </cell>
          <cell r="D144">
            <v>0</v>
          </cell>
          <cell r="G144">
            <v>0</v>
          </cell>
          <cell r="H144" t="str">
            <v/>
          </cell>
        </row>
        <row r="145">
          <cell r="A145" t="str">
            <v>105-10-050</v>
          </cell>
          <cell r="B145">
            <v>2</v>
          </cell>
          <cell r="C145" t="str">
            <v>EDUCATION ALLOWANCE</v>
          </cell>
          <cell r="D145">
            <v>0</v>
          </cell>
          <cell r="G145">
            <v>0</v>
          </cell>
          <cell r="H145" t="str">
            <v/>
          </cell>
        </row>
        <row r="146">
          <cell r="A146" t="str">
            <v>105-10-050</v>
          </cell>
          <cell r="B146">
            <v>5</v>
          </cell>
          <cell r="C146" t="str">
            <v>EDUCATION ALLOWANCE</v>
          </cell>
          <cell r="D146">
            <v>0</v>
          </cell>
          <cell r="G146">
            <v>0</v>
          </cell>
        </row>
        <row r="147">
          <cell r="A147" t="str">
            <v>105-10-050</v>
          </cell>
          <cell r="B147">
            <v>3</v>
          </cell>
          <cell r="C147" t="str">
            <v>EDUCATION ALLOWANCE</v>
          </cell>
          <cell r="D147">
            <v>0</v>
          </cell>
          <cell r="G147">
            <v>0</v>
          </cell>
          <cell r="H147" t="str">
            <v xml:space="preserve"> </v>
          </cell>
        </row>
        <row r="148">
          <cell r="A148" t="str">
            <v>105-10-050</v>
          </cell>
          <cell r="B148">
            <v>10</v>
          </cell>
          <cell r="C148" t="str">
            <v>EDUCATION ALLOWANCE</v>
          </cell>
          <cell r="D148">
            <v>0</v>
          </cell>
          <cell r="G148">
            <v>0</v>
          </cell>
          <cell r="H148" t="str">
            <v/>
          </cell>
        </row>
        <row r="149">
          <cell r="A149" t="str">
            <v>105-10-060</v>
          </cell>
          <cell r="B149">
            <v>6</v>
          </cell>
          <cell r="C149" t="str">
            <v>TRAVEL ALLOWANCE</v>
          </cell>
          <cell r="D149">
            <v>93600</v>
          </cell>
          <cell r="F149">
            <v>46800</v>
          </cell>
          <cell r="G149">
            <v>93600</v>
          </cell>
          <cell r="H149">
            <v>1</v>
          </cell>
        </row>
        <row r="150">
          <cell r="A150" t="str">
            <v>105-10-060</v>
          </cell>
          <cell r="B150">
            <v>4</v>
          </cell>
          <cell r="C150" t="str">
            <v>TRAVEL ALLOWANCE</v>
          </cell>
          <cell r="D150">
            <v>0</v>
          </cell>
          <cell r="F150">
            <v>0</v>
          </cell>
          <cell r="G150">
            <v>0</v>
          </cell>
          <cell r="H150" t="str">
            <v/>
          </cell>
        </row>
        <row r="151">
          <cell r="A151" t="str">
            <v>105-10-060</v>
          </cell>
          <cell r="B151">
            <v>1</v>
          </cell>
          <cell r="C151" t="str">
            <v>TRAVEL ALLOWANCE</v>
          </cell>
          <cell r="D151">
            <v>160800</v>
          </cell>
          <cell r="F151">
            <v>350000</v>
          </cell>
          <cell r="G151">
            <v>700000</v>
          </cell>
          <cell r="H151">
            <v>0.2297142857142857</v>
          </cell>
        </row>
        <row r="152">
          <cell r="A152" t="str">
            <v>105-10-060</v>
          </cell>
          <cell r="B152">
            <v>8</v>
          </cell>
          <cell r="C152" t="str">
            <v>TRAVEL ALLOWANCE</v>
          </cell>
          <cell r="D152">
            <v>286800</v>
          </cell>
          <cell r="F152">
            <v>142800</v>
          </cell>
          <cell r="G152">
            <v>285600</v>
          </cell>
          <cell r="H152">
            <v>1.0042016806722689</v>
          </cell>
        </row>
        <row r="153">
          <cell r="A153" t="str">
            <v>105-10-060</v>
          </cell>
          <cell r="B153">
            <v>9</v>
          </cell>
          <cell r="C153" t="str">
            <v>TRAVEL ALLOWANCE</v>
          </cell>
          <cell r="D153">
            <v>187200</v>
          </cell>
          <cell r="F153">
            <v>93600</v>
          </cell>
          <cell r="G153">
            <v>187200</v>
          </cell>
          <cell r="H153">
            <v>1</v>
          </cell>
        </row>
        <row r="154">
          <cell r="A154" t="str">
            <v>105-10-060</v>
          </cell>
          <cell r="B154">
            <v>7</v>
          </cell>
          <cell r="C154" t="str">
            <v>TRAVEL ALLOWANCE</v>
          </cell>
          <cell r="D154">
            <v>0</v>
          </cell>
          <cell r="F154">
            <v>0</v>
          </cell>
          <cell r="G154">
            <v>0</v>
          </cell>
          <cell r="H154" t="str">
            <v/>
          </cell>
        </row>
        <row r="155">
          <cell r="A155" t="str">
            <v>105-10-060</v>
          </cell>
          <cell r="B155">
            <v>2</v>
          </cell>
          <cell r="C155" t="str">
            <v>TRAVEL ALLOWANCE</v>
          </cell>
          <cell r="D155">
            <v>24960</v>
          </cell>
          <cell r="F155">
            <v>12480</v>
          </cell>
          <cell r="G155">
            <v>24960</v>
          </cell>
          <cell r="H155">
            <v>1</v>
          </cell>
        </row>
        <row r="156">
          <cell r="A156" t="str">
            <v>105-10-060</v>
          </cell>
          <cell r="B156">
            <v>5</v>
          </cell>
          <cell r="C156" t="str">
            <v>TRAVEL ALLOWANCE</v>
          </cell>
          <cell r="D156">
            <v>0</v>
          </cell>
          <cell r="F156">
            <v>0</v>
          </cell>
          <cell r="G156">
            <v>0</v>
          </cell>
        </row>
        <row r="157">
          <cell r="A157" t="str">
            <v>105-10-060</v>
          </cell>
          <cell r="B157">
            <v>3</v>
          </cell>
          <cell r="C157" t="str">
            <v>TRAVEL ALLOWANCE</v>
          </cell>
          <cell r="D157">
            <v>124800</v>
          </cell>
          <cell r="F157">
            <v>62400</v>
          </cell>
          <cell r="G157">
            <v>124800</v>
          </cell>
          <cell r="H157">
            <v>1</v>
          </cell>
        </row>
        <row r="158">
          <cell r="A158" t="str">
            <v>105-10-060</v>
          </cell>
          <cell r="B158">
            <v>10</v>
          </cell>
          <cell r="C158" t="str">
            <v>TRAVEL ALLOWANCE</v>
          </cell>
          <cell r="D158">
            <v>93600</v>
          </cell>
          <cell r="F158">
            <v>46800</v>
          </cell>
          <cell r="G158">
            <v>93600</v>
          </cell>
          <cell r="H158">
            <v>1</v>
          </cell>
        </row>
        <row r="159">
          <cell r="A159" t="str">
            <v>105-20-010</v>
          </cell>
          <cell r="B159">
            <v>6</v>
          </cell>
          <cell r="C159" t="str">
            <v>NSSF</v>
          </cell>
          <cell r="D159">
            <v>19200</v>
          </cell>
          <cell r="F159">
            <v>8000</v>
          </cell>
          <cell r="G159">
            <v>16000</v>
          </cell>
          <cell r="H159">
            <v>1.2</v>
          </cell>
        </row>
        <row r="160">
          <cell r="A160" t="str">
            <v>105-20-010</v>
          </cell>
          <cell r="B160">
            <v>4</v>
          </cell>
          <cell r="C160" t="str">
            <v>NSSF</v>
          </cell>
          <cell r="D160">
            <v>16800</v>
          </cell>
          <cell r="F160">
            <v>8400</v>
          </cell>
          <cell r="G160">
            <v>16800</v>
          </cell>
          <cell r="H160">
            <v>1</v>
          </cell>
        </row>
        <row r="161">
          <cell r="A161" t="str">
            <v>105-20-010</v>
          </cell>
          <cell r="B161">
            <v>1</v>
          </cell>
          <cell r="C161" t="str">
            <v>NSSF</v>
          </cell>
          <cell r="D161">
            <v>7200</v>
          </cell>
          <cell r="F161">
            <v>2400</v>
          </cell>
          <cell r="G161">
            <v>4800</v>
          </cell>
          <cell r="H161">
            <v>1.5</v>
          </cell>
        </row>
        <row r="162">
          <cell r="A162" t="str">
            <v>105-20-010</v>
          </cell>
          <cell r="B162">
            <v>8</v>
          </cell>
          <cell r="C162" t="str">
            <v>NSSF</v>
          </cell>
          <cell r="D162">
            <v>21600</v>
          </cell>
          <cell r="F162">
            <v>10000</v>
          </cell>
          <cell r="G162">
            <v>20000</v>
          </cell>
          <cell r="H162">
            <v>1.08</v>
          </cell>
        </row>
        <row r="163">
          <cell r="A163" t="str">
            <v>105-20-010</v>
          </cell>
          <cell r="B163">
            <v>9</v>
          </cell>
          <cell r="C163" t="str">
            <v>NSSF</v>
          </cell>
          <cell r="D163">
            <v>12000</v>
          </cell>
          <cell r="F163">
            <v>5400</v>
          </cell>
          <cell r="G163">
            <v>10800</v>
          </cell>
          <cell r="H163">
            <v>1.1111111111111112</v>
          </cell>
        </row>
        <row r="164">
          <cell r="A164" t="str">
            <v>105-20-010</v>
          </cell>
          <cell r="B164">
            <v>7</v>
          </cell>
          <cell r="C164" t="str">
            <v>NSSF</v>
          </cell>
          <cell r="D164">
            <v>12000</v>
          </cell>
          <cell r="F164">
            <v>5000</v>
          </cell>
          <cell r="G164">
            <v>10000</v>
          </cell>
          <cell r="H164">
            <v>1.2</v>
          </cell>
        </row>
        <row r="165">
          <cell r="A165" t="str">
            <v>105-20-010</v>
          </cell>
          <cell r="B165">
            <v>2</v>
          </cell>
          <cell r="C165" t="str">
            <v>NSSF</v>
          </cell>
          <cell r="D165">
            <v>9600</v>
          </cell>
          <cell r="F165">
            <v>4800</v>
          </cell>
          <cell r="G165">
            <v>9600</v>
          </cell>
          <cell r="H165">
            <v>1</v>
          </cell>
        </row>
        <row r="166">
          <cell r="A166" t="str">
            <v>105-20-010</v>
          </cell>
          <cell r="B166">
            <v>5</v>
          </cell>
          <cell r="C166" t="str">
            <v>NSSF</v>
          </cell>
          <cell r="D166">
            <v>19200</v>
          </cell>
          <cell r="F166">
            <v>9000</v>
          </cell>
          <cell r="G166">
            <v>18000</v>
          </cell>
          <cell r="H166">
            <v>1.0666666666666667</v>
          </cell>
        </row>
        <row r="167">
          <cell r="A167" t="str">
            <v>105-20-010</v>
          </cell>
          <cell r="B167">
            <v>3</v>
          </cell>
          <cell r="C167" t="str">
            <v>NSSF</v>
          </cell>
          <cell r="D167">
            <v>12000</v>
          </cell>
          <cell r="F167">
            <v>5000</v>
          </cell>
          <cell r="G167">
            <v>10000</v>
          </cell>
          <cell r="H167">
            <v>1.2</v>
          </cell>
        </row>
        <row r="168">
          <cell r="A168" t="str">
            <v>105-20-010</v>
          </cell>
          <cell r="B168">
            <v>10</v>
          </cell>
          <cell r="C168" t="str">
            <v>NSSF</v>
          </cell>
          <cell r="D168">
            <v>12000</v>
          </cell>
          <cell r="F168">
            <v>7200</v>
          </cell>
          <cell r="G168">
            <v>14400</v>
          </cell>
          <cell r="H168">
            <v>0.83333333333333337</v>
          </cell>
        </row>
        <row r="169">
          <cell r="A169" t="str">
            <v>105-20-020</v>
          </cell>
          <cell r="B169">
            <v>6</v>
          </cell>
          <cell r="C169" t="str">
            <v>NHIF</v>
          </cell>
          <cell r="D169">
            <v>23040</v>
          </cell>
          <cell r="F169">
            <v>10080</v>
          </cell>
          <cell r="G169">
            <v>20160</v>
          </cell>
          <cell r="H169">
            <v>1.1428571428571428</v>
          </cell>
        </row>
        <row r="170">
          <cell r="A170" t="str">
            <v>105-20-020</v>
          </cell>
          <cell r="B170">
            <v>4</v>
          </cell>
          <cell r="C170" t="str">
            <v>NHIF</v>
          </cell>
          <cell r="D170">
            <v>20160</v>
          </cell>
          <cell r="F170">
            <v>7200</v>
          </cell>
          <cell r="G170">
            <v>14400</v>
          </cell>
          <cell r="H170">
            <v>1.4</v>
          </cell>
        </row>
        <row r="171">
          <cell r="A171" t="str">
            <v>105-20-020</v>
          </cell>
          <cell r="B171">
            <v>1</v>
          </cell>
          <cell r="C171" t="str">
            <v>NHIF</v>
          </cell>
          <cell r="D171">
            <v>8640</v>
          </cell>
          <cell r="F171">
            <v>4080</v>
          </cell>
          <cell r="G171">
            <v>8160</v>
          </cell>
          <cell r="H171">
            <v>1.0588235294117647</v>
          </cell>
        </row>
        <row r="172">
          <cell r="A172" t="str">
            <v>105-20-020</v>
          </cell>
          <cell r="B172">
            <v>8</v>
          </cell>
          <cell r="C172" t="str">
            <v>NHIF</v>
          </cell>
          <cell r="D172">
            <v>25920</v>
          </cell>
          <cell r="F172">
            <v>9120</v>
          </cell>
          <cell r="G172">
            <v>18240</v>
          </cell>
          <cell r="H172">
            <v>1.4210526315789473</v>
          </cell>
        </row>
        <row r="173">
          <cell r="A173" t="str">
            <v>105-20-020</v>
          </cell>
          <cell r="B173">
            <v>9</v>
          </cell>
          <cell r="C173" t="str">
            <v>NHIF</v>
          </cell>
          <cell r="D173">
            <v>14400</v>
          </cell>
          <cell r="F173">
            <v>6480</v>
          </cell>
          <cell r="G173">
            <v>12960</v>
          </cell>
          <cell r="H173">
            <v>1.1111111111111112</v>
          </cell>
        </row>
        <row r="174">
          <cell r="A174" t="str">
            <v>105-20-020</v>
          </cell>
          <cell r="B174">
            <v>7</v>
          </cell>
          <cell r="C174" t="str">
            <v>NHIF</v>
          </cell>
          <cell r="D174">
            <v>14400</v>
          </cell>
          <cell r="F174">
            <v>7200</v>
          </cell>
          <cell r="G174">
            <v>14400</v>
          </cell>
          <cell r="H174">
            <v>1</v>
          </cell>
        </row>
        <row r="175">
          <cell r="A175" t="str">
            <v>105-20-020</v>
          </cell>
          <cell r="B175">
            <v>2</v>
          </cell>
          <cell r="C175" t="str">
            <v>NHIF</v>
          </cell>
          <cell r="D175">
            <v>11520</v>
          </cell>
          <cell r="F175">
            <v>5760</v>
          </cell>
          <cell r="G175">
            <v>11520</v>
          </cell>
          <cell r="H175">
            <v>1</v>
          </cell>
        </row>
        <row r="176">
          <cell r="A176" t="str">
            <v>105-20-020</v>
          </cell>
          <cell r="B176">
            <v>5</v>
          </cell>
          <cell r="C176" t="str">
            <v>NHIF</v>
          </cell>
          <cell r="D176">
            <v>23040</v>
          </cell>
          <cell r="F176">
            <v>8640</v>
          </cell>
          <cell r="G176">
            <v>17280</v>
          </cell>
          <cell r="H176">
            <v>1.3333333333333333</v>
          </cell>
        </row>
        <row r="177">
          <cell r="A177" t="str">
            <v>105-20-020</v>
          </cell>
          <cell r="B177">
            <v>3</v>
          </cell>
          <cell r="C177" t="str">
            <v>NHIF</v>
          </cell>
          <cell r="D177">
            <v>14400</v>
          </cell>
          <cell r="F177">
            <v>7020</v>
          </cell>
          <cell r="G177">
            <v>14040</v>
          </cell>
          <cell r="H177">
            <v>1.0256410256410255</v>
          </cell>
        </row>
        <row r="178">
          <cell r="A178" t="str">
            <v>105-20-020</v>
          </cell>
          <cell r="B178">
            <v>10</v>
          </cell>
          <cell r="C178" t="str">
            <v>NHIF</v>
          </cell>
          <cell r="D178">
            <v>14400</v>
          </cell>
          <cell r="F178">
            <v>8460</v>
          </cell>
          <cell r="G178">
            <v>16920</v>
          </cell>
          <cell r="H178">
            <v>0.85106382978723405</v>
          </cell>
        </row>
        <row r="179">
          <cell r="A179" t="str">
            <v>105-30-010</v>
          </cell>
          <cell r="B179">
            <v>6</v>
          </cell>
          <cell r="C179" t="str">
            <v xml:space="preserve">PENSION </v>
          </cell>
          <cell r="D179">
            <v>526350</v>
          </cell>
          <cell r="F179">
            <v>244867</v>
          </cell>
          <cell r="G179">
            <v>489734</v>
          </cell>
          <cell r="H179">
            <v>1.0747671184765608</v>
          </cell>
        </row>
        <row r="180">
          <cell r="A180" t="str">
            <v>105-30-010</v>
          </cell>
          <cell r="B180">
            <v>4</v>
          </cell>
          <cell r="C180" t="str">
            <v xml:space="preserve">PENSION </v>
          </cell>
          <cell r="D180">
            <v>383295</v>
          </cell>
          <cell r="F180">
            <v>173700</v>
          </cell>
          <cell r="G180">
            <v>347400</v>
          </cell>
          <cell r="H180">
            <v>1.1033246977547495</v>
          </cell>
        </row>
        <row r="181">
          <cell r="A181" t="str">
            <v>105-30-010</v>
          </cell>
          <cell r="B181">
            <v>1</v>
          </cell>
          <cell r="C181" t="str">
            <v xml:space="preserve">PENSION </v>
          </cell>
          <cell r="D181">
            <v>598339.5</v>
          </cell>
          <cell r="F181">
            <v>57150</v>
          </cell>
          <cell r="G181">
            <v>114300</v>
          </cell>
          <cell r="H181">
            <v>5.2348162729658796</v>
          </cell>
        </row>
        <row r="182">
          <cell r="A182" t="str">
            <v>105-30-010</v>
          </cell>
          <cell r="B182">
            <v>8</v>
          </cell>
          <cell r="C182" t="str">
            <v xml:space="preserve">PENSION </v>
          </cell>
          <cell r="D182">
            <v>1022731.35</v>
          </cell>
          <cell r="F182">
            <v>461550</v>
          </cell>
          <cell r="G182">
            <v>923100</v>
          </cell>
          <cell r="H182">
            <v>1.1079312642183947</v>
          </cell>
        </row>
        <row r="183">
          <cell r="A183" t="str">
            <v>105-30-010</v>
          </cell>
          <cell r="B183">
            <v>9</v>
          </cell>
          <cell r="C183" t="str">
            <v xml:space="preserve">PENSION </v>
          </cell>
          <cell r="D183">
            <v>678645</v>
          </cell>
          <cell r="F183">
            <v>301475</v>
          </cell>
          <cell r="G183">
            <v>602950</v>
          </cell>
          <cell r="H183">
            <v>1.1255410896425908</v>
          </cell>
        </row>
        <row r="184">
          <cell r="A184" t="str">
            <v>105-30-010</v>
          </cell>
          <cell r="B184">
            <v>7</v>
          </cell>
          <cell r="C184" t="str">
            <v xml:space="preserve">PENSION </v>
          </cell>
          <cell r="D184">
            <v>285480</v>
          </cell>
          <cell r="F184">
            <v>112500</v>
          </cell>
          <cell r="G184">
            <v>225000</v>
          </cell>
          <cell r="H184">
            <v>1.2688000000000001</v>
          </cell>
        </row>
        <row r="185">
          <cell r="A185" t="str">
            <v>105-30-010</v>
          </cell>
          <cell r="B185">
            <v>2</v>
          </cell>
          <cell r="C185" t="str">
            <v xml:space="preserve">PENSION </v>
          </cell>
          <cell r="D185">
            <v>334786.65000000002</v>
          </cell>
          <cell r="F185">
            <v>151950</v>
          </cell>
          <cell r="G185">
            <v>303900</v>
          </cell>
          <cell r="H185">
            <v>1.1016342546890425</v>
          </cell>
        </row>
        <row r="186">
          <cell r="A186" t="str">
            <v>105-30-010</v>
          </cell>
          <cell r="B186">
            <v>5</v>
          </cell>
          <cell r="C186" t="str">
            <v xml:space="preserve">PENSION </v>
          </cell>
          <cell r="D186">
            <v>440752.5</v>
          </cell>
          <cell r="F186">
            <v>221850</v>
          </cell>
          <cell r="G186">
            <v>443700</v>
          </cell>
          <cell r="H186">
            <v>0.99335699797160248</v>
          </cell>
        </row>
        <row r="187">
          <cell r="A187" t="str">
            <v>105-30-010</v>
          </cell>
          <cell r="B187">
            <v>3</v>
          </cell>
          <cell r="C187" t="str">
            <v xml:space="preserve">PENSION </v>
          </cell>
          <cell r="D187">
            <v>367207.5</v>
          </cell>
          <cell r="F187">
            <v>166650</v>
          </cell>
          <cell r="G187">
            <v>333300</v>
          </cell>
          <cell r="H187">
            <v>1.1017326732673267</v>
          </cell>
        </row>
        <row r="188">
          <cell r="A188" t="str">
            <v>105-30-010</v>
          </cell>
          <cell r="B188">
            <v>10</v>
          </cell>
          <cell r="C188" t="str">
            <v xml:space="preserve">PENSION </v>
          </cell>
          <cell r="D188">
            <v>377520</v>
          </cell>
          <cell r="F188">
            <v>181243.2</v>
          </cell>
          <cell r="G188">
            <v>362486.4</v>
          </cell>
          <cell r="H188">
            <v>1.0414735559734103</v>
          </cell>
        </row>
        <row r="189">
          <cell r="A189" t="str">
            <v>105-30-020</v>
          </cell>
          <cell r="B189">
            <v>6</v>
          </cell>
          <cell r="C189" t="str">
            <v>LAST EXPENSE</v>
          </cell>
          <cell r="D189">
            <v>5253</v>
          </cell>
          <cell r="F189">
            <v>5000</v>
          </cell>
          <cell r="G189">
            <v>5000</v>
          </cell>
          <cell r="H189">
            <v>1.0506</v>
          </cell>
        </row>
        <row r="190">
          <cell r="A190" t="str">
            <v>105-30-020</v>
          </cell>
          <cell r="B190">
            <v>4</v>
          </cell>
          <cell r="C190" t="str">
            <v>LAST EXPENSE</v>
          </cell>
          <cell r="D190">
            <v>3250</v>
          </cell>
          <cell r="F190">
            <v>3250</v>
          </cell>
          <cell r="G190">
            <v>3250</v>
          </cell>
          <cell r="H190">
            <v>1</v>
          </cell>
        </row>
        <row r="191">
          <cell r="A191" t="str">
            <v>105-30-020</v>
          </cell>
          <cell r="B191">
            <v>1</v>
          </cell>
          <cell r="C191" t="str">
            <v>LAST EXPENSE</v>
          </cell>
          <cell r="D191">
            <v>4000</v>
          </cell>
          <cell r="F191">
            <v>2250</v>
          </cell>
          <cell r="G191">
            <v>2250</v>
          </cell>
          <cell r="H191">
            <v>1.7777777777777779</v>
          </cell>
        </row>
        <row r="192">
          <cell r="A192" t="str">
            <v>105-30-020</v>
          </cell>
          <cell r="B192">
            <v>8</v>
          </cell>
          <cell r="C192" t="str">
            <v>LAST EXPENSE</v>
          </cell>
          <cell r="D192">
            <v>6132</v>
          </cell>
          <cell r="F192">
            <v>6375</v>
          </cell>
          <cell r="G192">
            <v>6375</v>
          </cell>
          <cell r="H192">
            <v>0.96188235294117652</v>
          </cell>
        </row>
        <row r="193">
          <cell r="A193" t="str">
            <v>105-30-020</v>
          </cell>
          <cell r="B193">
            <v>9</v>
          </cell>
          <cell r="C193" t="str">
            <v>LAST EXPENSE</v>
          </cell>
          <cell r="D193">
            <v>3250</v>
          </cell>
          <cell r="F193">
            <v>2750</v>
          </cell>
          <cell r="G193">
            <v>2750</v>
          </cell>
          <cell r="H193">
            <v>1.1818181818181819</v>
          </cell>
        </row>
        <row r="194">
          <cell r="A194" t="str">
            <v>105-30-020</v>
          </cell>
          <cell r="B194">
            <v>7</v>
          </cell>
          <cell r="C194" t="str">
            <v>LAST EXPENSE</v>
          </cell>
          <cell r="D194">
            <v>3506</v>
          </cell>
          <cell r="F194">
            <v>3000</v>
          </cell>
          <cell r="G194">
            <v>3000</v>
          </cell>
          <cell r="H194">
            <v>1.168666666666667</v>
          </cell>
        </row>
        <row r="195">
          <cell r="A195" t="str">
            <v>105-30-020</v>
          </cell>
          <cell r="B195">
            <v>2</v>
          </cell>
          <cell r="C195" t="str">
            <v>LAST EXPENSE</v>
          </cell>
          <cell r="D195">
            <v>3000</v>
          </cell>
          <cell r="F195">
            <v>3625</v>
          </cell>
          <cell r="G195">
            <v>3625</v>
          </cell>
          <cell r="H195">
            <v>0.82758620689655171</v>
          </cell>
        </row>
        <row r="196">
          <cell r="A196" t="str">
            <v>105-30-020</v>
          </cell>
          <cell r="B196">
            <v>5</v>
          </cell>
          <cell r="C196" t="str">
            <v>LAST EXPENSE</v>
          </cell>
          <cell r="D196">
            <v>4625</v>
          </cell>
          <cell r="F196">
            <v>5000</v>
          </cell>
          <cell r="G196">
            <v>5000</v>
          </cell>
          <cell r="H196">
            <v>0.92500000000000004</v>
          </cell>
        </row>
        <row r="197">
          <cell r="A197" t="str">
            <v>105-30-020</v>
          </cell>
          <cell r="B197">
            <v>3</v>
          </cell>
          <cell r="C197" t="str">
            <v>LAST EXPENSE</v>
          </cell>
          <cell r="D197">
            <v>3750</v>
          </cell>
          <cell r="F197">
            <v>3750</v>
          </cell>
          <cell r="G197">
            <v>3750</v>
          </cell>
          <cell r="H197">
            <v>1</v>
          </cell>
        </row>
        <row r="198">
          <cell r="A198" t="str">
            <v>105-30-020</v>
          </cell>
          <cell r="B198">
            <v>10</v>
          </cell>
          <cell r="C198" t="str">
            <v>LAST EXPENSE</v>
          </cell>
          <cell r="D198">
            <v>3761</v>
          </cell>
          <cell r="F198">
            <v>3500</v>
          </cell>
          <cell r="G198">
            <v>3500</v>
          </cell>
          <cell r="H198">
            <v>1.0745714285714285</v>
          </cell>
        </row>
        <row r="199">
          <cell r="A199" t="str">
            <v>105-30-030</v>
          </cell>
          <cell r="B199">
            <v>6</v>
          </cell>
          <cell r="C199" t="str">
            <v>GROUP LIFE ASSURANCE</v>
          </cell>
          <cell r="D199">
            <v>67680</v>
          </cell>
          <cell r="F199">
            <v>58878</v>
          </cell>
          <cell r="G199">
            <v>58878</v>
          </cell>
          <cell r="H199">
            <v>1.149495567104861</v>
          </cell>
        </row>
        <row r="200">
          <cell r="A200" t="str">
            <v>105-30-030</v>
          </cell>
          <cell r="B200">
            <v>4</v>
          </cell>
          <cell r="C200" t="str">
            <v>GROUP LIFE ASSURANCE</v>
          </cell>
          <cell r="D200">
            <v>35580</v>
          </cell>
          <cell r="F200">
            <v>27811</v>
          </cell>
          <cell r="G200">
            <v>27811</v>
          </cell>
          <cell r="H200">
            <v>1.279349897522563</v>
          </cell>
        </row>
        <row r="201">
          <cell r="A201" t="str">
            <v>105-30-030</v>
          </cell>
          <cell r="B201">
            <v>1</v>
          </cell>
          <cell r="C201" t="str">
            <v>GROUP LIFE ASSURANCE</v>
          </cell>
          <cell r="D201">
            <v>281052</v>
          </cell>
          <cell r="F201">
            <v>170254</v>
          </cell>
          <cell r="G201">
            <v>170254</v>
          </cell>
          <cell r="H201">
            <v>1.6507805984000377</v>
          </cell>
        </row>
        <row r="202">
          <cell r="A202" t="str">
            <v>105-30-030</v>
          </cell>
          <cell r="B202">
            <v>8</v>
          </cell>
          <cell r="C202" t="str">
            <v>GROUP LIFE ASSURANCE</v>
          </cell>
          <cell r="D202">
            <v>119388</v>
          </cell>
          <cell r="F202">
            <v>104520</v>
          </cell>
          <cell r="G202">
            <v>104520</v>
          </cell>
          <cell r="H202">
            <v>1.1422502870264064</v>
          </cell>
        </row>
        <row r="203">
          <cell r="A203" t="str">
            <v>105-30-030</v>
          </cell>
          <cell r="B203">
            <v>9</v>
          </cell>
          <cell r="C203" t="str">
            <v>GROUP LIFE ASSURANCE</v>
          </cell>
          <cell r="D203">
            <v>62700</v>
          </cell>
          <cell r="F203">
            <v>51521</v>
          </cell>
          <cell r="G203">
            <v>51521</v>
          </cell>
          <cell r="H203">
            <v>1.2169794840938646</v>
          </cell>
        </row>
        <row r="204">
          <cell r="A204" t="str">
            <v>105-30-030</v>
          </cell>
          <cell r="B204">
            <v>7</v>
          </cell>
          <cell r="C204" t="str">
            <v>GROUP LIFE ASSURANCE</v>
          </cell>
          <cell r="D204">
            <v>29400</v>
          </cell>
          <cell r="F204">
            <v>18996</v>
          </cell>
          <cell r="G204">
            <v>18996</v>
          </cell>
          <cell r="H204">
            <v>1.5476942514213519</v>
          </cell>
        </row>
        <row r="205">
          <cell r="A205" t="str">
            <v>105-30-030</v>
          </cell>
          <cell r="B205">
            <v>2</v>
          </cell>
          <cell r="C205" t="str">
            <v>GROUP LIFE ASSURANCE</v>
          </cell>
          <cell r="D205">
            <v>83592</v>
          </cell>
          <cell r="F205">
            <v>71787</v>
          </cell>
          <cell r="G205">
            <v>71787</v>
          </cell>
          <cell r="H205">
            <v>1.1644448159137448</v>
          </cell>
        </row>
        <row r="206">
          <cell r="A206" t="str">
            <v>105-30-030</v>
          </cell>
          <cell r="B206">
            <v>5</v>
          </cell>
          <cell r="C206" t="str">
            <v>GROUP LIFE ASSURANCE</v>
          </cell>
          <cell r="D206">
            <v>55704</v>
          </cell>
          <cell r="F206">
            <v>70350</v>
          </cell>
          <cell r="G206">
            <v>70350</v>
          </cell>
          <cell r="H206">
            <v>0.79181236673773991</v>
          </cell>
        </row>
        <row r="207">
          <cell r="A207" t="str">
            <v>105-30-030</v>
          </cell>
          <cell r="B207">
            <v>3</v>
          </cell>
          <cell r="C207" t="str">
            <v>GROUP LIFE ASSURANCE</v>
          </cell>
          <cell r="D207">
            <v>51276</v>
          </cell>
          <cell r="F207">
            <v>26837</v>
          </cell>
          <cell r="G207">
            <v>26837</v>
          </cell>
          <cell r="H207">
            <v>1.9106457502701495</v>
          </cell>
        </row>
        <row r="208">
          <cell r="A208" t="str">
            <v>105-30-030</v>
          </cell>
          <cell r="B208">
            <v>10</v>
          </cell>
          <cell r="C208" t="str">
            <v>GROUP LIFE ASSURANCE</v>
          </cell>
          <cell r="D208">
            <v>38460</v>
          </cell>
          <cell r="F208">
            <v>29727</v>
          </cell>
          <cell r="G208">
            <v>29727</v>
          </cell>
          <cell r="H208">
            <v>1.2937733373700677</v>
          </cell>
        </row>
        <row r="209">
          <cell r="A209" t="str">
            <v>105-30-040</v>
          </cell>
          <cell r="B209">
            <v>6</v>
          </cell>
          <cell r="C209" t="str">
            <v>STAFF MEDICAL</v>
          </cell>
          <cell r="D209">
            <v>0</v>
          </cell>
          <cell r="G209">
            <v>0</v>
          </cell>
          <cell r="H209" t="str">
            <v/>
          </cell>
        </row>
        <row r="210">
          <cell r="A210" t="str">
            <v>105-30-040</v>
          </cell>
          <cell r="B210">
            <v>4</v>
          </cell>
          <cell r="C210" t="str">
            <v>STAFF MEDICAL</v>
          </cell>
          <cell r="D210">
            <v>0</v>
          </cell>
          <cell r="G210">
            <v>0</v>
          </cell>
          <cell r="H210" t="str">
            <v/>
          </cell>
        </row>
        <row r="211">
          <cell r="A211" t="str">
            <v>105-30-040</v>
          </cell>
          <cell r="B211">
            <v>1</v>
          </cell>
          <cell r="C211" t="str">
            <v>STAFF MEDICAL</v>
          </cell>
          <cell r="D211">
            <v>0</v>
          </cell>
          <cell r="G211">
            <v>0</v>
          </cell>
          <cell r="H211" t="str">
            <v/>
          </cell>
        </row>
        <row r="212">
          <cell r="A212" t="str">
            <v>105-30-040</v>
          </cell>
          <cell r="B212">
            <v>8</v>
          </cell>
          <cell r="C212" t="str">
            <v>STAFF MEDICAL</v>
          </cell>
          <cell r="D212">
            <v>7500000</v>
          </cell>
          <cell r="F212">
            <v>677302.6</v>
          </cell>
          <cell r="G212">
            <v>6500000</v>
          </cell>
          <cell r="H212">
            <v>1.1538461538461537</v>
          </cell>
        </row>
        <row r="213">
          <cell r="A213" t="str">
            <v>105-30-040</v>
          </cell>
          <cell r="B213">
            <v>9</v>
          </cell>
          <cell r="C213" t="str">
            <v>STAFF MEDICAL</v>
          </cell>
          <cell r="D213">
            <v>0</v>
          </cell>
          <cell r="F213">
            <v>0</v>
          </cell>
          <cell r="G213">
            <v>0</v>
          </cell>
          <cell r="H213" t="str">
            <v/>
          </cell>
        </row>
        <row r="214">
          <cell r="A214" t="str">
            <v>105-30-040</v>
          </cell>
          <cell r="B214">
            <v>7</v>
          </cell>
          <cell r="C214" t="str">
            <v>STAFF MEDICAL</v>
          </cell>
          <cell r="D214">
            <v>0</v>
          </cell>
          <cell r="G214">
            <v>0</v>
          </cell>
          <cell r="H214" t="str">
            <v/>
          </cell>
        </row>
        <row r="215">
          <cell r="A215" t="str">
            <v>105-30-040</v>
          </cell>
          <cell r="B215">
            <v>2</v>
          </cell>
          <cell r="C215" t="str">
            <v>STAFF MEDICAL</v>
          </cell>
          <cell r="D215">
            <v>0</v>
          </cell>
          <cell r="H215" t="str">
            <v/>
          </cell>
        </row>
        <row r="216">
          <cell r="A216" t="str">
            <v>105-30-040</v>
          </cell>
          <cell r="B216">
            <v>5</v>
          </cell>
          <cell r="C216" t="str">
            <v>STAFF MEDICAL</v>
          </cell>
          <cell r="D216">
            <v>0</v>
          </cell>
        </row>
        <row r="217">
          <cell r="A217" t="str">
            <v>105-30-040</v>
          </cell>
          <cell r="B217">
            <v>3</v>
          </cell>
          <cell r="C217" t="str">
            <v>STAFF MEDICAL</v>
          </cell>
          <cell r="D217">
            <v>0</v>
          </cell>
          <cell r="G217">
            <v>0</v>
          </cell>
          <cell r="H217" t="str">
            <v xml:space="preserve"> </v>
          </cell>
        </row>
        <row r="218">
          <cell r="A218" t="str">
            <v>105-30-040</v>
          </cell>
          <cell r="B218">
            <v>10</v>
          </cell>
          <cell r="C218" t="str">
            <v>STAFF MEDICAL</v>
          </cell>
          <cell r="H218" t="str">
            <v/>
          </cell>
        </row>
        <row r="219">
          <cell r="A219" t="str">
            <v>105-30-050</v>
          </cell>
          <cell r="B219">
            <v>6</v>
          </cell>
          <cell r="C219" t="str">
            <v>CASH IN LIEU OF LEAVE</v>
          </cell>
          <cell r="D219">
            <v>87725</v>
          </cell>
          <cell r="G219">
            <v>87725</v>
          </cell>
          <cell r="H219">
            <v>1</v>
          </cell>
        </row>
        <row r="220">
          <cell r="A220" t="str">
            <v>105-30-050</v>
          </cell>
          <cell r="B220">
            <v>4</v>
          </cell>
          <cell r="C220" t="str">
            <v>CASH IN LIEU OF LEAVE</v>
          </cell>
          <cell r="D220">
            <v>63882.5</v>
          </cell>
          <cell r="G220">
            <v>63882.5</v>
          </cell>
          <cell r="H220">
            <v>1</v>
          </cell>
        </row>
        <row r="221">
          <cell r="A221" t="str">
            <v>105-30-050</v>
          </cell>
          <cell r="B221">
            <v>1</v>
          </cell>
          <cell r="C221" t="str">
            <v>CASH IN LIEU OF LEAVE</v>
          </cell>
          <cell r="D221">
            <v>0</v>
          </cell>
          <cell r="H221" t="str">
            <v/>
          </cell>
        </row>
        <row r="222">
          <cell r="A222" t="str">
            <v>105-30-050</v>
          </cell>
          <cell r="B222">
            <v>8</v>
          </cell>
          <cell r="C222" t="str">
            <v>CASH IN LIEU OF LEAVE</v>
          </cell>
          <cell r="D222">
            <v>95787.5</v>
          </cell>
          <cell r="G222">
            <v>170455</v>
          </cell>
          <cell r="H222">
            <v>0.56195183479510724</v>
          </cell>
        </row>
        <row r="223">
          <cell r="A223" t="str">
            <v>105-30-050</v>
          </cell>
          <cell r="B223">
            <v>9</v>
          </cell>
          <cell r="C223" t="str">
            <v>CASH IN LIEU OF LEAVE</v>
          </cell>
          <cell r="D223">
            <v>113107.5</v>
          </cell>
          <cell r="G223">
            <v>113107.5</v>
          </cell>
          <cell r="H223">
            <v>1</v>
          </cell>
        </row>
        <row r="224">
          <cell r="A224" t="str">
            <v>105-30-050</v>
          </cell>
          <cell r="B224">
            <v>7</v>
          </cell>
          <cell r="C224" t="str">
            <v>CASH IN LIEU OF LEAVE</v>
          </cell>
          <cell r="D224">
            <v>47580</v>
          </cell>
          <cell r="G224">
            <v>55032.5</v>
          </cell>
          <cell r="H224">
            <v>0.86458002089674302</v>
          </cell>
        </row>
        <row r="225">
          <cell r="A225" t="str">
            <v>105-30-050</v>
          </cell>
          <cell r="B225">
            <v>2</v>
          </cell>
          <cell r="C225" t="str">
            <v>CASH IN LIEU OF LEAVE</v>
          </cell>
          <cell r="D225">
            <v>27898.887500000004</v>
          </cell>
          <cell r="G225">
            <v>27899</v>
          </cell>
          <cell r="H225">
            <v>0.99999596759740506</v>
          </cell>
        </row>
        <row r="226">
          <cell r="A226" t="str">
            <v>105-30-050</v>
          </cell>
          <cell r="B226">
            <v>5</v>
          </cell>
          <cell r="C226" t="str">
            <v>CASH IN LIEU OF LEAVE</v>
          </cell>
          <cell r="D226">
            <v>73458.75</v>
          </cell>
          <cell r="G226">
            <v>73459</v>
          </cell>
          <cell r="H226">
            <v>0.99999659674103925</v>
          </cell>
        </row>
        <row r="227">
          <cell r="A227" t="str">
            <v>105-30-050</v>
          </cell>
          <cell r="B227">
            <v>3</v>
          </cell>
          <cell r="C227" t="str">
            <v>CASH IN LIEU OF LEAVE</v>
          </cell>
          <cell r="D227">
            <v>61201.25</v>
          </cell>
          <cell r="G227">
            <v>61201.5</v>
          </cell>
          <cell r="H227">
            <v>0.99999591513279906</v>
          </cell>
        </row>
        <row r="228">
          <cell r="A228" t="str">
            <v>105-30-050</v>
          </cell>
          <cell r="B228">
            <v>10</v>
          </cell>
          <cell r="C228" t="str">
            <v>CASH IN LIEU OF LEAVE</v>
          </cell>
          <cell r="D228">
            <v>62920</v>
          </cell>
          <cell r="G228">
            <v>90475</v>
          </cell>
          <cell r="H228">
            <v>0.69544072948328273</v>
          </cell>
        </row>
        <row r="229">
          <cell r="A229" t="str">
            <v>105-30-060</v>
          </cell>
          <cell r="B229">
            <v>6</v>
          </cell>
          <cell r="C229" t="str">
            <v>GRATUITY</v>
          </cell>
          <cell r="D229">
            <v>0</v>
          </cell>
          <cell r="F229">
            <v>0</v>
          </cell>
          <cell r="G229">
            <v>0</v>
          </cell>
          <cell r="H229" t="str">
            <v/>
          </cell>
        </row>
        <row r="230">
          <cell r="A230" t="str">
            <v>105-30-060</v>
          </cell>
          <cell r="B230">
            <v>4</v>
          </cell>
          <cell r="C230" t="str">
            <v>GRATUITY</v>
          </cell>
          <cell r="D230">
            <v>0</v>
          </cell>
          <cell r="F230">
            <v>0</v>
          </cell>
          <cell r="H230" t="str">
            <v/>
          </cell>
        </row>
        <row r="231">
          <cell r="A231" t="str">
            <v>105-30-060</v>
          </cell>
          <cell r="B231">
            <v>1</v>
          </cell>
          <cell r="C231" t="str">
            <v>GRATUITY</v>
          </cell>
          <cell r="D231">
            <v>4226460.8099999996</v>
          </cell>
          <cell r="F231">
            <v>1698086.7</v>
          </cell>
          <cell r="G231">
            <v>3396173.4</v>
          </cell>
          <cell r="H231">
            <v>1.2444773314578108</v>
          </cell>
        </row>
        <row r="232">
          <cell r="A232" t="str">
            <v>105-30-060</v>
          </cell>
          <cell r="B232">
            <v>8</v>
          </cell>
          <cell r="C232" t="str">
            <v>GRATUITY</v>
          </cell>
          <cell r="G232">
            <v>0</v>
          </cell>
          <cell r="H232" t="str">
            <v/>
          </cell>
        </row>
        <row r="233">
          <cell r="A233" t="str">
            <v>105-30-060</v>
          </cell>
          <cell r="B233">
            <v>9</v>
          </cell>
          <cell r="C233" t="str">
            <v>GRATUITY</v>
          </cell>
          <cell r="F233">
            <v>0</v>
          </cell>
          <cell r="G233">
            <v>0</v>
          </cell>
          <cell r="H233" t="str">
            <v/>
          </cell>
        </row>
        <row r="234">
          <cell r="A234" t="str">
            <v>105-30-060</v>
          </cell>
          <cell r="B234">
            <v>7</v>
          </cell>
          <cell r="C234" t="str">
            <v>GRATUITY</v>
          </cell>
          <cell r="F234">
            <v>0</v>
          </cell>
          <cell r="H234" t="str">
            <v/>
          </cell>
        </row>
        <row r="235">
          <cell r="A235" t="str">
            <v>105-30-060</v>
          </cell>
          <cell r="B235">
            <v>2</v>
          </cell>
          <cell r="C235" t="str">
            <v>GRATUITY</v>
          </cell>
          <cell r="F235">
            <v>0</v>
          </cell>
          <cell r="G235">
            <v>0</v>
          </cell>
          <cell r="H235" t="str">
            <v/>
          </cell>
        </row>
        <row r="236">
          <cell r="A236" t="str">
            <v>105-30-060</v>
          </cell>
          <cell r="B236">
            <v>5</v>
          </cell>
          <cell r="C236" t="str">
            <v>GRATUITY</v>
          </cell>
          <cell r="F236">
            <v>0</v>
          </cell>
          <cell r="G236">
            <v>0</v>
          </cell>
        </row>
        <row r="237">
          <cell r="A237" t="str">
            <v>105-30-060</v>
          </cell>
          <cell r="B237">
            <v>3</v>
          </cell>
          <cell r="C237" t="str">
            <v>GRATUITY</v>
          </cell>
          <cell r="F237">
            <v>0</v>
          </cell>
          <cell r="G237">
            <v>0</v>
          </cell>
          <cell r="H237" t="str">
            <v xml:space="preserve"> </v>
          </cell>
        </row>
        <row r="238">
          <cell r="A238" t="str">
            <v>105-30-060</v>
          </cell>
          <cell r="B238">
            <v>10</v>
          </cell>
          <cell r="C238" t="str">
            <v>GRATUITY</v>
          </cell>
          <cell r="F238">
            <v>0</v>
          </cell>
          <cell r="G238">
            <v>0</v>
          </cell>
          <cell r="H238" t="str">
            <v/>
          </cell>
        </row>
        <row r="239">
          <cell r="A239" t="str">
            <v>105-30-070</v>
          </cell>
          <cell r="B239">
            <v>6</v>
          </cell>
          <cell r="C239" t="str">
            <v>LONG SERVICE AWARDS</v>
          </cell>
          <cell r="D239">
            <v>64878</v>
          </cell>
          <cell r="G239">
            <v>0</v>
          </cell>
          <cell r="H239" t="str">
            <v/>
          </cell>
        </row>
        <row r="240">
          <cell r="A240" t="str">
            <v>105-30-070</v>
          </cell>
          <cell r="B240">
            <v>4</v>
          </cell>
          <cell r="C240" t="str">
            <v>LONG SERVICE AWARDS</v>
          </cell>
          <cell r="D240">
            <v>20000</v>
          </cell>
          <cell r="G240">
            <v>0</v>
          </cell>
          <cell r="H240" t="str">
            <v/>
          </cell>
        </row>
        <row r="241">
          <cell r="A241" t="str">
            <v>105-30-070</v>
          </cell>
          <cell r="B241">
            <v>1</v>
          </cell>
          <cell r="C241" t="str">
            <v>LONG SERVICE AWARDS</v>
          </cell>
          <cell r="D241">
            <v>182739</v>
          </cell>
          <cell r="G241">
            <v>0</v>
          </cell>
          <cell r="H241" t="str">
            <v/>
          </cell>
        </row>
        <row r="242">
          <cell r="A242" t="str">
            <v>105-30-070</v>
          </cell>
          <cell r="B242">
            <v>8</v>
          </cell>
          <cell r="C242" t="str">
            <v>LONG SERVICE AWARDS</v>
          </cell>
          <cell r="D242">
            <v>0</v>
          </cell>
          <cell r="G242">
            <v>0</v>
          </cell>
          <cell r="H242" t="str">
            <v/>
          </cell>
        </row>
        <row r="243">
          <cell r="A243" t="str">
            <v>105-30-070</v>
          </cell>
          <cell r="B243">
            <v>9</v>
          </cell>
          <cell r="C243" t="str">
            <v>LONG SERVICE AWARDS</v>
          </cell>
          <cell r="D243">
            <v>77586</v>
          </cell>
          <cell r="G243">
            <v>0</v>
          </cell>
          <cell r="H243" t="str">
            <v/>
          </cell>
        </row>
        <row r="244">
          <cell r="A244" t="str">
            <v>105-30-070</v>
          </cell>
          <cell r="B244">
            <v>7</v>
          </cell>
          <cell r="C244" t="str">
            <v>LONG SERVICE AWARDS</v>
          </cell>
          <cell r="D244">
            <v>51084</v>
          </cell>
          <cell r="G244">
            <v>0</v>
          </cell>
          <cell r="H244" t="str">
            <v/>
          </cell>
        </row>
        <row r="245">
          <cell r="A245" t="str">
            <v>105-30-070</v>
          </cell>
          <cell r="B245">
            <v>2</v>
          </cell>
          <cell r="C245" t="str">
            <v>LONG SERVICE AWARDS</v>
          </cell>
          <cell r="D245">
            <v>222152</v>
          </cell>
          <cell r="G245">
            <v>0</v>
          </cell>
          <cell r="H245" t="str">
            <v/>
          </cell>
        </row>
        <row r="246">
          <cell r="A246" t="str">
            <v>105-30-070</v>
          </cell>
          <cell r="B246">
            <v>5</v>
          </cell>
          <cell r="C246" t="str">
            <v>LONG SERVICE AWARDS</v>
          </cell>
          <cell r="D246">
            <v>70008</v>
          </cell>
          <cell r="G246">
            <v>0</v>
          </cell>
        </row>
        <row r="247">
          <cell r="A247" t="str">
            <v>105-30-070</v>
          </cell>
          <cell r="B247">
            <v>3</v>
          </cell>
          <cell r="C247" t="str">
            <v>LONG SERVICE AWARDS</v>
          </cell>
          <cell r="D247">
            <v>68550</v>
          </cell>
          <cell r="G247">
            <v>0</v>
          </cell>
          <cell r="H247" t="str">
            <v xml:space="preserve"> </v>
          </cell>
        </row>
        <row r="248">
          <cell r="A248" t="str">
            <v>105-30-070</v>
          </cell>
          <cell r="B248">
            <v>10</v>
          </cell>
          <cell r="C248" t="str">
            <v>LONG SERVICE AWARDS</v>
          </cell>
          <cell r="D248">
            <v>0</v>
          </cell>
          <cell r="G248">
            <v>0</v>
          </cell>
          <cell r="H248" t="str">
            <v/>
          </cell>
        </row>
        <row r="249">
          <cell r="A249" t="str">
            <v>105-30-080</v>
          </cell>
          <cell r="B249">
            <v>6</v>
          </cell>
          <cell r="C249" t="str">
            <v>STAFF RECRUITMENT &amp; REMOVALS</v>
          </cell>
          <cell r="D249">
            <v>0</v>
          </cell>
          <cell r="G249">
            <v>0</v>
          </cell>
          <cell r="H249" t="str">
            <v/>
          </cell>
        </row>
        <row r="250">
          <cell r="A250" t="str">
            <v>105-30-080</v>
          </cell>
          <cell r="B250">
            <v>4</v>
          </cell>
          <cell r="C250" t="str">
            <v>STAFF RECRUITMENT &amp; REMOVALS</v>
          </cell>
          <cell r="D250">
            <v>0</v>
          </cell>
          <cell r="G250">
            <v>0</v>
          </cell>
          <cell r="H250" t="str">
            <v/>
          </cell>
        </row>
        <row r="251">
          <cell r="A251" t="str">
            <v>105-30-080</v>
          </cell>
          <cell r="B251">
            <v>1</v>
          </cell>
          <cell r="C251" t="str">
            <v>STAFF RECRUITMENT &amp; REMOVALS</v>
          </cell>
          <cell r="D251">
            <v>0</v>
          </cell>
          <cell r="G251">
            <v>0</v>
          </cell>
          <cell r="H251" t="str">
            <v/>
          </cell>
        </row>
        <row r="252">
          <cell r="A252" t="str">
            <v>105-30-080</v>
          </cell>
          <cell r="B252">
            <v>8</v>
          </cell>
          <cell r="C252" t="str">
            <v>STAFF RECRUITMENT &amp; REMOVALS</v>
          </cell>
          <cell r="D252">
            <v>0</v>
          </cell>
          <cell r="G252">
            <v>0</v>
          </cell>
          <cell r="H252" t="str">
            <v/>
          </cell>
        </row>
        <row r="253">
          <cell r="A253" t="str">
            <v>105-30-080</v>
          </cell>
          <cell r="B253">
            <v>9</v>
          </cell>
          <cell r="C253" t="str">
            <v>STAFF RECRUITMENT &amp; REMOVALS</v>
          </cell>
          <cell r="D253">
            <v>0</v>
          </cell>
          <cell r="G253">
            <v>0</v>
          </cell>
          <cell r="H253" t="str">
            <v/>
          </cell>
        </row>
        <row r="254">
          <cell r="A254" t="str">
            <v>105-30-080</v>
          </cell>
          <cell r="B254">
            <v>7</v>
          </cell>
          <cell r="C254" t="str">
            <v>STAFF RECRUITMENT &amp; REMOVALS</v>
          </cell>
          <cell r="D254">
            <v>0</v>
          </cell>
          <cell r="G254">
            <v>0</v>
          </cell>
          <cell r="H254" t="str">
            <v/>
          </cell>
        </row>
        <row r="255">
          <cell r="A255" t="str">
            <v>105-30-080</v>
          </cell>
          <cell r="B255">
            <v>2</v>
          </cell>
          <cell r="C255" t="str">
            <v>STAFF RECRUITMENT &amp; REMOVALS</v>
          </cell>
          <cell r="D255">
            <v>0</v>
          </cell>
          <cell r="G255">
            <v>0</v>
          </cell>
          <cell r="H255" t="str">
            <v/>
          </cell>
        </row>
        <row r="256">
          <cell r="A256" t="str">
            <v>105-30-080</v>
          </cell>
          <cell r="B256">
            <v>5</v>
          </cell>
          <cell r="C256" t="str">
            <v>STAFF RECRUITMENT &amp; REMOVALS</v>
          </cell>
          <cell r="D256">
            <v>0</v>
          </cell>
          <cell r="G256">
            <v>0</v>
          </cell>
        </row>
        <row r="257">
          <cell r="A257" t="str">
            <v>105-30-080</v>
          </cell>
          <cell r="B257">
            <v>3</v>
          </cell>
          <cell r="C257" t="str">
            <v>STAFF RECRUITMENT &amp; REMOVALS</v>
          </cell>
          <cell r="D257">
            <v>0</v>
          </cell>
          <cell r="G257">
            <v>0</v>
          </cell>
          <cell r="H257" t="str">
            <v xml:space="preserve"> </v>
          </cell>
        </row>
        <row r="258">
          <cell r="A258" t="str">
            <v>105-30-080</v>
          </cell>
          <cell r="B258">
            <v>10</v>
          </cell>
          <cell r="C258" t="str">
            <v>STAFF RECRUITMENT &amp; REMOVALS</v>
          </cell>
          <cell r="D258">
            <v>3600000</v>
          </cell>
          <cell r="G258">
            <v>0</v>
          </cell>
          <cell r="H258" t="str">
            <v/>
          </cell>
        </row>
        <row r="259">
          <cell r="A259" t="str">
            <v>115-10-010</v>
          </cell>
          <cell r="B259">
            <v>6</v>
          </cell>
          <cell r="C259" t="str">
            <v>Carried Forward Depreciation</v>
          </cell>
          <cell r="D259">
            <v>0</v>
          </cell>
          <cell r="G259">
            <v>0</v>
          </cell>
          <cell r="H259" t="str">
            <v/>
          </cell>
        </row>
        <row r="260">
          <cell r="A260" t="str">
            <v>115-10-010</v>
          </cell>
          <cell r="B260">
            <v>6</v>
          </cell>
          <cell r="C260" t="str">
            <v>Additions as per Capex budget</v>
          </cell>
          <cell r="D260">
            <v>0</v>
          </cell>
          <cell r="G260">
            <v>0</v>
          </cell>
          <cell r="H260" t="str">
            <v/>
          </cell>
        </row>
        <row r="261">
          <cell r="A261" t="str">
            <v>115-10-010</v>
          </cell>
          <cell r="B261">
            <v>4</v>
          </cell>
          <cell r="C261" t="str">
            <v>Carried Forward Depreciation</v>
          </cell>
          <cell r="D261">
            <v>0</v>
          </cell>
          <cell r="G261">
            <v>0</v>
          </cell>
          <cell r="H261" t="str">
            <v/>
          </cell>
        </row>
        <row r="262">
          <cell r="A262" t="str">
            <v>115-10-010</v>
          </cell>
          <cell r="B262">
            <v>4</v>
          </cell>
          <cell r="C262" t="str">
            <v>Additions as per Capex budget</v>
          </cell>
          <cell r="D262">
            <v>0</v>
          </cell>
          <cell r="G262">
            <v>0</v>
          </cell>
          <cell r="H262" t="str">
            <v/>
          </cell>
        </row>
        <row r="263">
          <cell r="A263" t="str">
            <v>115-10-010</v>
          </cell>
          <cell r="B263">
            <v>1</v>
          </cell>
          <cell r="C263" t="str">
            <v>Carried Forward Depreciation</v>
          </cell>
          <cell r="D263">
            <v>0</v>
          </cell>
          <cell r="G263">
            <v>0</v>
          </cell>
          <cell r="H263" t="str">
            <v/>
          </cell>
        </row>
        <row r="264">
          <cell r="A264" t="str">
            <v>115-10-010</v>
          </cell>
          <cell r="B264">
            <v>1</v>
          </cell>
          <cell r="C264" t="str">
            <v>Additions as per Capex budget</v>
          </cell>
          <cell r="D264">
            <v>0</v>
          </cell>
          <cell r="G264">
            <v>0</v>
          </cell>
          <cell r="H264" t="str">
            <v/>
          </cell>
        </row>
        <row r="265">
          <cell r="A265" t="str">
            <v>115-10-010</v>
          </cell>
          <cell r="B265">
            <v>8</v>
          </cell>
          <cell r="C265" t="str">
            <v>Carried Forward Depreciation</v>
          </cell>
          <cell r="D265">
            <v>3839909</v>
          </cell>
          <cell r="F265">
            <v>1092919.81</v>
          </cell>
          <cell r="G265">
            <v>3839909</v>
          </cell>
          <cell r="H265">
            <v>1</v>
          </cell>
        </row>
        <row r="266">
          <cell r="A266" t="str">
            <v>115-10-010</v>
          </cell>
          <cell r="B266">
            <v>8</v>
          </cell>
          <cell r="C266" t="str">
            <v>Additions as per Capex budget</v>
          </cell>
          <cell r="D266">
            <v>477625</v>
          </cell>
          <cell r="H266" t="str">
            <v/>
          </cell>
        </row>
        <row r="267">
          <cell r="A267" t="str">
            <v>115-10-010</v>
          </cell>
          <cell r="B267">
            <v>9</v>
          </cell>
          <cell r="C267" t="str">
            <v>Carried Forward Depreciation</v>
          </cell>
          <cell r="D267">
            <v>0</v>
          </cell>
          <cell r="G267">
            <v>0</v>
          </cell>
          <cell r="H267" t="str">
            <v/>
          </cell>
        </row>
        <row r="268">
          <cell r="A268" t="str">
            <v>115-10-010</v>
          </cell>
          <cell r="B268">
            <v>9</v>
          </cell>
          <cell r="C268" t="str">
            <v>Additions as per Capex budget</v>
          </cell>
          <cell r="D268">
            <v>0</v>
          </cell>
          <cell r="G268">
            <v>0</v>
          </cell>
          <cell r="H268" t="str">
            <v/>
          </cell>
        </row>
        <row r="269">
          <cell r="A269" t="str">
            <v>115-10-010</v>
          </cell>
          <cell r="B269">
            <v>7</v>
          </cell>
          <cell r="C269" t="str">
            <v>Carried Forward Depreciation</v>
          </cell>
          <cell r="D269">
            <v>0</v>
          </cell>
          <cell r="G269">
            <v>0</v>
          </cell>
          <cell r="H269" t="str">
            <v/>
          </cell>
        </row>
        <row r="270">
          <cell r="A270" t="str">
            <v>115-10-010</v>
          </cell>
          <cell r="B270">
            <v>7</v>
          </cell>
          <cell r="C270" t="str">
            <v>Additions as per Capex budget</v>
          </cell>
          <cell r="D270">
            <v>0</v>
          </cell>
          <cell r="G270">
            <v>0</v>
          </cell>
          <cell r="H270" t="str">
            <v/>
          </cell>
        </row>
        <row r="271">
          <cell r="A271" t="str">
            <v>115-10-010</v>
          </cell>
          <cell r="B271">
            <v>2</v>
          </cell>
          <cell r="C271" t="str">
            <v>Carried Forward Depreciation</v>
          </cell>
          <cell r="D271">
            <v>0</v>
          </cell>
          <cell r="G271">
            <v>0</v>
          </cell>
          <cell r="H271" t="str">
            <v/>
          </cell>
        </row>
        <row r="272">
          <cell r="A272" t="str">
            <v>115-10-010</v>
          </cell>
          <cell r="B272">
            <v>2</v>
          </cell>
          <cell r="C272" t="str">
            <v>Additions as per Capex budget</v>
          </cell>
          <cell r="D272">
            <v>0</v>
          </cell>
          <cell r="G272">
            <v>0</v>
          </cell>
          <cell r="H272" t="str">
            <v/>
          </cell>
        </row>
        <row r="273">
          <cell r="A273" t="str">
            <v>115-10-010</v>
          </cell>
          <cell r="B273">
            <v>5</v>
          </cell>
          <cell r="C273" t="str">
            <v>Carried Forward Depreciation</v>
          </cell>
          <cell r="D273">
            <v>0</v>
          </cell>
          <cell r="G273">
            <v>0</v>
          </cell>
        </row>
        <row r="274">
          <cell r="A274" t="str">
            <v>115-10-010</v>
          </cell>
          <cell r="B274">
            <v>5</v>
          </cell>
          <cell r="C274" t="str">
            <v>Additions as per Capex budget</v>
          </cell>
          <cell r="D274">
            <v>0</v>
          </cell>
          <cell r="G274">
            <v>0</v>
          </cell>
        </row>
        <row r="275">
          <cell r="A275" t="str">
            <v>115-10-010</v>
          </cell>
          <cell r="B275">
            <v>3</v>
          </cell>
          <cell r="C275" t="str">
            <v>Carried Forward Depreciation</v>
          </cell>
          <cell r="D275">
            <v>0</v>
          </cell>
          <cell r="G275">
            <v>0</v>
          </cell>
          <cell r="H275" t="str">
            <v xml:space="preserve"> </v>
          </cell>
        </row>
        <row r="276">
          <cell r="A276" t="str">
            <v>115-10-010</v>
          </cell>
          <cell r="B276">
            <v>3</v>
          </cell>
          <cell r="C276" t="str">
            <v>Additions as per Capex budget</v>
          </cell>
          <cell r="D276">
            <v>0</v>
          </cell>
          <cell r="G276">
            <v>0</v>
          </cell>
          <cell r="H276" t="str">
            <v xml:space="preserve"> </v>
          </cell>
        </row>
        <row r="277">
          <cell r="A277" t="str">
            <v>115-10-010</v>
          </cell>
          <cell r="B277">
            <v>10</v>
          </cell>
          <cell r="C277" t="str">
            <v>Carried Forward Depreciation</v>
          </cell>
          <cell r="D277">
            <v>0</v>
          </cell>
          <cell r="G277">
            <v>0</v>
          </cell>
          <cell r="H277" t="str">
            <v/>
          </cell>
        </row>
        <row r="278">
          <cell r="A278" t="str">
            <v>115-10-010</v>
          </cell>
          <cell r="B278">
            <v>10</v>
          </cell>
          <cell r="C278" t="str">
            <v>Additions as per Capex budget</v>
          </cell>
          <cell r="D278">
            <v>0</v>
          </cell>
          <cell r="G278">
            <v>0</v>
          </cell>
          <cell r="H278" t="str">
            <v/>
          </cell>
        </row>
        <row r="279">
          <cell r="A279" t="str">
            <v>115-10-020</v>
          </cell>
          <cell r="B279">
            <v>6</v>
          </cell>
          <cell r="C279" t="str">
            <v>Carried Forward Depreciation</v>
          </cell>
          <cell r="D279">
            <v>0</v>
          </cell>
          <cell r="G279">
            <v>0</v>
          </cell>
          <cell r="H279" t="str">
            <v/>
          </cell>
        </row>
        <row r="280">
          <cell r="A280" t="str">
            <v>115-10-020</v>
          </cell>
          <cell r="B280">
            <v>6</v>
          </cell>
          <cell r="C280" t="str">
            <v>Additions as per Capex budget</v>
          </cell>
          <cell r="D280">
            <v>0</v>
          </cell>
          <cell r="G280">
            <v>0</v>
          </cell>
          <cell r="H280" t="str">
            <v/>
          </cell>
        </row>
        <row r="281">
          <cell r="A281" t="str">
            <v>115-10-020</v>
          </cell>
          <cell r="B281">
            <v>4</v>
          </cell>
          <cell r="C281" t="str">
            <v>Carried Forward Depreciation</v>
          </cell>
          <cell r="D281">
            <v>0</v>
          </cell>
          <cell r="G281">
            <v>0</v>
          </cell>
          <cell r="H281" t="str">
            <v/>
          </cell>
        </row>
        <row r="282">
          <cell r="A282" t="str">
            <v>115-10-020</v>
          </cell>
          <cell r="B282">
            <v>4</v>
          </cell>
          <cell r="C282" t="str">
            <v>Additions as per Capex budget</v>
          </cell>
          <cell r="D282">
            <v>0</v>
          </cell>
          <cell r="G282">
            <v>0</v>
          </cell>
          <cell r="H282" t="str">
            <v/>
          </cell>
        </row>
        <row r="283">
          <cell r="A283" t="str">
            <v>115-10-020</v>
          </cell>
          <cell r="B283">
            <v>1</v>
          </cell>
          <cell r="C283" t="str">
            <v>Carried Forward Depreciation</v>
          </cell>
          <cell r="D283">
            <v>0</v>
          </cell>
          <cell r="G283">
            <v>0</v>
          </cell>
          <cell r="H283" t="str">
            <v/>
          </cell>
        </row>
        <row r="284">
          <cell r="A284" t="str">
            <v>115-10-020</v>
          </cell>
          <cell r="B284">
            <v>1</v>
          </cell>
          <cell r="C284" t="str">
            <v>Additions as per Capex budget</v>
          </cell>
          <cell r="G284">
            <v>0</v>
          </cell>
          <cell r="H284" t="str">
            <v/>
          </cell>
        </row>
        <row r="285">
          <cell r="A285" t="str">
            <v>115-10-020</v>
          </cell>
          <cell r="B285">
            <v>8</v>
          </cell>
          <cell r="C285" t="str">
            <v>Carried Forward Depreciation</v>
          </cell>
          <cell r="D285">
            <v>4857404</v>
          </cell>
          <cell r="F285">
            <v>2268854.6</v>
          </cell>
          <cell r="G285">
            <v>4857404</v>
          </cell>
          <cell r="H285">
            <v>1</v>
          </cell>
        </row>
        <row r="286">
          <cell r="A286" t="str">
            <v>115-10-020</v>
          </cell>
          <cell r="B286">
            <v>8</v>
          </cell>
          <cell r="C286" t="str">
            <v>Additions as per Capex budget</v>
          </cell>
          <cell r="D286">
            <v>1474215</v>
          </cell>
          <cell r="H286" t="str">
            <v/>
          </cell>
        </row>
        <row r="287">
          <cell r="A287" t="str">
            <v>115-10-020</v>
          </cell>
          <cell r="B287">
            <v>9</v>
          </cell>
          <cell r="C287" t="str">
            <v>Carried Forward Depreciation</v>
          </cell>
          <cell r="D287">
            <v>0</v>
          </cell>
          <cell r="G287">
            <v>0</v>
          </cell>
          <cell r="H287" t="str">
            <v/>
          </cell>
        </row>
        <row r="288">
          <cell r="A288" t="str">
            <v>115-10-020</v>
          </cell>
          <cell r="B288">
            <v>9</v>
          </cell>
          <cell r="C288" t="str">
            <v>Additions as per Capex budget</v>
          </cell>
          <cell r="G288">
            <v>0</v>
          </cell>
          <cell r="H288" t="str">
            <v/>
          </cell>
        </row>
        <row r="289">
          <cell r="A289" t="str">
            <v>115-10-020</v>
          </cell>
          <cell r="B289">
            <v>7</v>
          </cell>
          <cell r="C289" t="str">
            <v>Carried Forward Depreciation</v>
          </cell>
          <cell r="D289">
            <v>0</v>
          </cell>
          <cell r="G289">
            <v>0</v>
          </cell>
          <cell r="H289" t="str">
            <v/>
          </cell>
        </row>
        <row r="290">
          <cell r="A290" t="str">
            <v>115-10-020</v>
          </cell>
          <cell r="B290">
            <v>7</v>
          </cell>
          <cell r="C290" t="str">
            <v>Additions as per Capex budget</v>
          </cell>
          <cell r="D290">
            <v>0</v>
          </cell>
          <cell r="G290">
            <v>0</v>
          </cell>
          <cell r="H290" t="str">
            <v/>
          </cell>
        </row>
        <row r="291">
          <cell r="A291" t="str">
            <v>115-10-020</v>
          </cell>
          <cell r="B291">
            <v>2</v>
          </cell>
          <cell r="C291" t="str">
            <v>Carried Forward Depreciation</v>
          </cell>
          <cell r="D291">
            <v>0</v>
          </cell>
          <cell r="G291">
            <v>0</v>
          </cell>
          <cell r="H291" t="str">
            <v/>
          </cell>
        </row>
        <row r="292">
          <cell r="A292" t="str">
            <v>115-10-020</v>
          </cell>
          <cell r="B292">
            <v>2</v>
          </cell>
          <cell r="C292" t="str">
            <v>Additions as per Capex budget</v>
          </cell>
          <cell r="D292">
            <v>0</v>
          </cell>
          <cell r="G292">
            <v>0</v>
          </cell>
          <cell r="H292" t="str">
            <v/>
          </cell>
        </row>
        <row r="293">
          <cell r="A293" t="str">
            <v>115-10-020</v>
          </cell>
          <cell r="B293">
            <v>5</v>
          </cell>
          <cell r="C293" t="str">
            <v>Carried Forward Depreciation</v>
          </cell>
          <cell r="D293">
            <v>0</v>
          </cell>
          <cell r="G293">
            <v>0</v>
          </cell>
          <cell r="H293" t="e">
            <v>#DIV/0!</v>
          </cell>
        </row>
        <row r="294">
          <cell r="A294" t="str">
            <v>115-10-020</v>
          </cell>
          <cell r="B294">
            <v>5</v>
          </cell>
          <cell r="C294" t="str">
            <v>Additions as per Capex budget</v>
          </cell>
          <cell r="G294">
            <v>0</v>
          </cell>
          <cell r="H294" t="e">
            <v>#DIV/0!</v>
          </cell>
        </row>
        <row r="295">
          <cell r="A295" t="str">
            <v>115-10-020</v>
          </cell>
          <cell r="B295">
            <v>3</v>
          </cell>
          <cell r="C295" t="str">
            <v>Carried Forward Depreciation</v>
          </cell>
          <cell r="D295">
            <v>0</v>
          </cell>
          <cell r="G295">
            <v>0</v>
          </cell>
          <cell r="H295" t="str">
            <v xml:space="preserve"> </v>
          </cell>
        </row>
        <row r="296">
          <cell r="A296" t="str">
            <v>115-10-020</v>
          </cell>
          <cell r="B296">
            <v>3</v>
          </cell>
          <cell r="C296" t="str">
            <v>Additions as per Capex budget</v>
          </cell>
          <cell r="D296">
            <v>0</v>
          </cell>
          <cell r="G296">
            <v>0</v>
          </cell>
          <cell r="H296" t="str">
            <v xml:space="preserve"> </v>
          </cell>
        </row>
        <row r="297">
          <cell r="A297" t="str">
            <v>115-10-020</v>
          </cell>
          <cell r="B297">
            <v>10</v>
          </cell>
          <cell r="C297" t="str">
            <v>Carried Forward Depreciation</v>
          </cell>
          <cell r="D297">
            <v>0</v>
          </cell>
          <cell r="G297">
            <v>0</v>
          </cell>
          <cell r="H297" t="str">
            <v/>
          </cell>
        </row>
        <row r="298">
          <cell r="A298" t="str">
            <v>115-10-020</v>
          </cell>
          <cell r="B298">
            <v>10</v>
          </cell>
          <cell r="C298" t="str">
            <v>Additions as per Capex budget</v>
          </cell>
          <cell r="D298">
            <v>0</v>
          </cell>
          <cell r="G298">
            <v>0</v>
          </cell>
          <cell r="H298" t="str">
            <v/>
          </cell>
        </row>
        <row r="299">
          <cell r="A299" t="str">
            <v>115-10-030</v>
          </cell>
          <cell r="B299">
            <v>6</v>
          </cell>
          <cell r="C299" t="str">
            <v>Carried Forward Depreciation</v>
          </cell>
          <cell r="D299">
            <v>0</v>
          </cell>
          <cell r="F299">
            <v>0</v>
          </cell>
          <cell r="G299">
            <v>0</v>
          </cell>
          <cell r="H299" t="str">
            <v/>
          </cell>
        </row>
        <row r="300">
          <cell r="A300" t="str">
            <v>115-10-030</v>
          </cell>
          <cell r="B300">
            <v>6</v>
          </cell>
          <cell r="C300" t="str">
            <v>Additions as per Capex budget</v>
          </cell>
          <cell r="D300">
            <v>0</v>
          </cell>
          <cell r="G300">
            <v>0</v>
          </cell>
          <cell r="H300" t="str">
            <v/>
          </cell>
        </row>
        <row r="301">
          <cell r="A301" t="str">
            <v>115-10-030</v>
          </cell>
          <cell r="B301">
            <v>4</v>
          </cell>
          <cell r="C301" t="str">
            <v>Carried Forward Depreciation</v>
          </cell>
          <cell r="D301">
            <v>0</v>
          </cell>
          <cell r="F301">
            <v>0</v>
          </cell>
          <cell r="G301">
            <v>0</v>
          </cell>
          <cell r="H301" t="str">
            <v/>
          </cell>
        </row>
        <row r="302">
          <cell r="A302" t="str">
            <v>115-10-030</v>
          </cell>
          <cell r="B302">
            <v>4</v>
          </cell>
          <cell r="C302" t="str">
            <v>Additions as per Capex budget</v>
          </cell>
          <cell r="D302">
            <v>0</v>
          </cell>
          <cell r="G302">
            <v>0</v>
          </cell>
          <cell r="H302" t="str">
            <v/>
          </cell>
        </row>
        <row r="303">
          <cell r="A303" t="str">
            <v>115-10-030</v>
          </cell>
          <cell r="B303">
            <v>1</v>
          </cell>
          <cell r="C303" t="str">
            <v>Carried Forward Depreciation</v>
          </cell>
          <cell r="D303">
            <v>0</v>
          </cell>
          <cell r="H303" t="str">
            <v/>
          </cell>
        </row>
        <row r="304">
          <cell r="A304" t="str">
            <v>115-10-030</v>
          </cell>
          <cell r="B304">
            <v>1</v>
          </cell>
          <cell r="C304" t="str">
            <v>Additions as per Capex budget</v>
          </cell>
          <cell r="D304">
            <v>0</v>
          </cell>
          <cell r="G304">
            <v>0</v>
          </cell>
          <cell r="H304" t="str">
            <v/>
          </cell>
        </row>
        <row r="305">
          <cell r="A305" t="str">
            <v>115-10-030</v>
          </cell>
          <cell r="B305">
            <v>8</v>
          </cell>
          <cell r="C305" t="str">
            <v>Carried Forward Depreciation</v>
          </cell>
          <cell r="D305">
            <v>1195552</v>
          </cell>
          <cell r="F305">
            <v>597776</v>
          </cell>
          <cell r="G305">
            <v>1195552</v>
          </cell>
          <cell r="H305">
            <v>1</v>
          </cell>
        </row>
        <row r="306">
          <cell r="A306" t="str">
            <v>115-10-030</v>
          </cell>
          <cell r="B306">
            <v>8</v>
          </cell>
          <cell r="C306" t="str">
            <v>Additions as per Capex budget</v>
          </cell>
          <cell r="D306">
            <v>850000</v>
          </cell>
          <cell r="G306">
            <v>0</v>
          </cell>
          <cell r="H306" t="str">
            <v/>
          </cell>
        </row>
        <row r="307">
          <cell r="A307" t="str">
            <v>115-10-030</v>
          </cell>
          <cell r="B307">
            <v>9</v>
          </cell>
          <cell r="C307" t="str">
            <v>Carried Forward Depreciation</v>
          </cell>
          <cell r="D307">
            <v>0</v>
          </cell>
          <cell r="F307">
            <v>0</v>
          </cell>
          <cell r="G307">
            <v>0</v>
          </cell>
          <cell r="H307" t="str">
            <v/>
          </cell>
        </row>
        <row r="308">
          <cell r="A308" t="str">
            <v>115-10-030</v>
          </cell>
          <cell r="B308">
            <v>9</v>
          </cell>
          <cell r="C308" t="str">
            <v>Additions as per Capex budget</v>
          </cell>
          <cell r="D308">
            <v>0</v>
          </cell>
          <cell r="G308">
            <v>0</v>
          </cell>
          <cell r="H308" t="str">
            <v/>
          </cell>
        </row>
        <row r="309">
          <cell r="A309" t="str">
            <v>115-10-030</v>
          </cell>
          <cell r="B309">
            <v>7</v>
          </cell>
          <cell r="C309" t="str">
            <v>Carried Forward Depreciation</v>
          </cell>
          <cell r="D309">
            <v>0</v>
          </cell>
          <cell r="F309">
            <v>0</v>
          </cell>
          <cell r="G309">
            <v>0</v>
          </cell>
          <cell r="H309" t="str">
            <v/>
          </cell>
        </row>
        <row r="310">
          <cell r="A310" t="str">
            <v>115-10-030</v>
          </cell>
          <cell r="B310">
            <v>7</v>
          </cell>
          <cell r="C310" t="str">
            <v>Additions as per Capex budget</v>
          </cell>
          <cell r="D310">
            <v>0</v>
          </cell>
          <cell r="G310">
            <v>0</v>
          </cell>
          <cell r="H310" t="str">
            <v/>
          </cell>
        </row>
        <row r="311">
          <cell r="A311" t="str">
            <v>115-10-030</v>
          </cell>
          <cell r="B311">
            <v>2</v>
          </cell>
          <cell r="C311" t="str">
            <v>Carried Forward Depreciation</v>
          </cell>
          <cell r="D311">
            <v>0</v>
          </cell>
          <cell r="F311">
            <v>0</v>
          </cell>
          <cell r="G311">
            <v>0</v>
          </cell>
          <cell r="H311" t="str">
            <v/>
          </cell>
        </row>
        <row r="312">
          <cell r="A312" t="str">
            <v>115-10-030</v>
          </cell>
          <cell r="B312">
            <v>2</v>
          </cell>
          <cell r="C312" t="str">
            <v>Additions as per Capex budget</v>
          </cell>
          <cell r="D312">
            <v>0</v>
          </cell>
          <cell r="G312">
            <v>0</v>
          </cell>
          <cell r="H312" t="str">
            <v/>
          </cell>
        </row>
        <row r="313">
          <cell r="A313" t="str">
            <v>115-10-030</v>
          </cell>
          <cell r="B313">
            <v>5</v>
          </cell>
          <cell r="C313" t="str">
            <v>Carried Forward Depreciation</v>
          </cell>
          <cell r="D313">
            <v>0</v>
          </cell>
          <cell r="F313">
            <v>0</v>
          </cell>
          <cell r="G313">
            <v>0</v>
          </cell>
          <cell r="H313" t="e">
            <v>#DIV/0!</v>
          </cell>
        </row>
        <row r="314">
          <cell r="A314" t="str">
            <v>115-10-030</v>
          </cell>
          <cell r="B314">
            <v>5</v>
          </cell>
          <cell r="C314" t="str">
            <v>Additions as per Capex budget</v>
          </cell>
          <cell r="D314">
            <v>0</v>
          </cell>
          <cell r="G314">
            <v>0</v>
          </cell>
          <cell r="H314" t="e">
            <v>#DIV/0!</v>
          </cell>
        </row>
        <row r="315">
          <cell r="A315" t="str">
            <v>115-10-030</v>
          </cell>
          <cell r="B315">
            <v>3</v>
          </cell>
          <cell r="C315" t="str">
            <v>Carried Forward Depreciation</v>
          </cell>
          <cell r="D315">
            <v>0</v>
          </cell>
          <cell r="F315">
            <v>0</v>
          </cell>
          <cell r="G315">
            <v>0</v>
          </cell>
          <cell r="H315" t="str">
            <v xml:space="preserve"> </v>
          </cell>
        </row>
        <row r="316">
          <cell r="A316" t="str">
            <v>115-10-030</v>
          </cell>
          <cell r="B316">
            <v>3</v>
          </cell>
          <cell r="C316" t="str">
            <v>Additions as per Capex budget</v>
          </cell>
          <cell r="D316">
            <v>0</v>
          </cell>
          <cell r="G316">
            <v>0</v>
          </cell>
          <cell r="H316" t="str">
            <v xml:space="preserve"> </v>
          </cell>
        </row>
        <row r="317">
          <cell r="A317" t="str">
            <v>115-10-030</v>
          </cell>
          <cell r="B317">
            <v>10</v>
          </cell>
          <cell r="C317" t="str">
            <v>Carried Forward Depreciation</v>
          </cell>
          <cell r="D317">
            <v>0</v>
          </cell>
          <cell r="F317">
            <v>0</v>
          </cell>
          <cell r="G317">
            <v>0</v>
          </cell>
          <cell r="H317" t="str">
            <v/>
          </cell>
        </row>
        <row r="318">
          <cell r="A318" t="str">
            <v>115-10-030</v>
          </cell>
          <cell r="B318">
            <v>10</v>
          </cell>
          <cell r="C318" t="str">
            <v>Additions as per Capex budget</v>
          </cell>
          <cell r="D318">
            <v>0</v>
          </cell>
          <cell r="G318">
            <v>0</v>
          </cell>
          <cell r="H318" t="str">
            <v/>
          </cell>
        </row>
        <row r="319">
          <cell r="A319" t="str">
            <v>115-10-040</v>
          </cell>
          <cell r="B319">
            <v>6</v>
          </cell>
          <cell r="C319" t="str">
            <v>For actual space occupied</v>
          </cell>
          <cell r="D319">
            <v>426988.79999999999</v>
          </cell>
          <cell r="F319">
            <v>220618.25</v>
          </cell>
          <cell r="G319">
            <v>441236.5</v>
          </cell>
          <cell r="H319">
            <v>0.96770960697947705</v>
          </cell>
        </row>
        <row r="320">
          <cell r="A320" t="str">
            <v>115-10-040</v>
          </cell>
          <cell r="B320">
            <v>6</v>
          </cell>
          <cell r="C320" t="str">
            <v>for parking space occupied</v>
          </cell>
          <cell r="D320">
            <v>60000</v>
          </cell>
          <cell r="G320">
            <v>0</v>
          </cell>
          <cell r="H320" t="str">
            <v/>
          </cell>
        </row>
        <row r="321">
          <cell r="A321" t="str">
            <v>115-10-040</v>
          </cell>
          <cell r="B321">
            <v>4</v>
          </cell>
          <cell r="C321" t="str">
            <v>For actual space occupied</v>
          </cell>
          <cell r="D321">
            <v>700358.4</v>
          </cell>
          <cell r="F321">
            <v>354441.59</v>
          </cell>
          <cell r="G321">
            <v>708883.18</v>
          </cell>
          <cell r="H321">
            <v>0.98797435142980805</v>
          </cell>
        </row>
        <row r="322">
          <cell r="A322" t="str">
            <v>115-10-040</v>
          </cell>
          <cell r="B322">
            <v>4</v>
          </cell>
          <cell r="C322" t="str">
            <v>for parking space occupied</v>
          </cell>
          <cell r="D322">
            <v>0</v>
          </cell>
          <cell r="G322">
            <v>0</v>
          </cell>
          <cell r="H322" t="str">
            <v/>
          </cell>
        </row>
        <row r="323">
          <cell r="A323" t="str">
            <v>115-10-040</v>
          </cell>
          <cell r="B323">
            <v>1</v>
          </cell>
          <cell r="C323" t="str">
            <v>For actual space occupied</v>
          </cell>
          <cell r="D323">
            <v>412715.52000000002</v>
          </cell>
          <cell r="F323">
            <v>135206.5</v>
          </cell>
          <cell r="G323">
            <v>270413</v>
          </cell>
          <cell r="H323">
            <v>1.5262414159082589</v>
          </cell>
        </row>
        <row r="324">
          <cell r="A324" t="str">
            <v>115-10-040</v>
          </cell>
          <cell r="B324">
            <v>1</v>
          </cell>
          <cell r="C324" t="str">
            <v>for parking space occupied</v>
          </cell>
          <cell r="D324">
            <v>180000</v>
          </cell>
          <cell r="G324">
            <v>0</v>
          </cell>
          <cell r="H324" t="str">
            <v/>
          </cell>
        </row>
        <row r="325">
          <cell r="A325" t="str">
            <v>115-10-040</v>
          </cell>
          <cell r="B325">
            <v>8</v>
          </cell>
          <cell r="C325" t="str">
            <v>For actual space occupied</v>
          </cell>
          <cell r="D325">
            <v>539481.59999999998</v>
          </cell>
          <cell r="F325">
            <v>299459.95</v>
          </cell>
          <cell r="G325">
            <v>598919.9</v>
          </cell>
          <cell r="H325">
            <v>0.90075751365082368</v>
          </cell>
        </row>
        <row r="326">
          <cell r="A326" t="str">
            <v>115-10-040</v>
          </cell>
          <cell r="B326">
            <v>8</v>
          </cell>
          <cell r="C326" t="str">
            <v>for parking space occupied</v>
          </cell>
          <cell r="D326">
            <v>120000</v>
          </cell>
          <cell r="G326">
            <v>0</v>
          </cell>
          <cell r="H326" t="str">
            <v/>
          </cell>
        </row>
        <row r="327">
          <cell r="A327" t="str">
            <v>115-10-040</v>
          </cell>
          <cell r="B327">
            <v>9</v>
          </cell>
          <cell r="C327" t="str">
            <v>For actual space occupied</v>
          </cell>
          <cell r="D327">
            <v>414288</v>
          </cell>
          <cell r="F327">
            <v>172552.55</v>
          </cell>
          <cell r="G327">
            <v>345105.1</v>
          </cell>
          <cell r="H327">
            <v>1.2004690744935385</v>
          </cell>
        </row>
        <row r="328">
          <cell r="A328" t="str">
            <v>115-10-040</v>
          </cell>
          <cell r="B328">
            <v>9</v>
          </cell>
          <cell r="C328" t="str">
            <v>for parking space occupied</v>
          </cell>
          <cell r="D328">
            <v>60000</v>
          </cell>
          <cell r="G328">
            <v>0</v>
          </cell>
          <cell r="H328" t="str">
            <v/>
          </cell>
        </row>
        <row r="329">
          <cell r="A329" t="str">
            <v>115-10-040</v>
          </cell>
          <cell r="B329">
            <v>7</v>
          </cell>
          <cell r="C329" t="str">
            <v>For actual space occupied</v>
          </cell>
          <cell r="D329">
            <v>258249.60000000001</v>
          </cell>
          <cell r="F329">
            <v>124832.6</v>
          </cell>
          <cell r="G329">
            <v>249665.2</v>
          </cell>
          <cell r="H329">
            <v>1.0343836465794991</v>
          </cell>
        </row>
        <row r="330">
          <cell r="A330" t="str">
            <v>115-10-040</v>
          </cell>
          <cell r="B330">
            <v>7</v>
          </cell>
          <cell r="C330" t="str">
            <v>for parking space occupied</v>
          </cell>
          <cell r="D330">
            <v>0</v>
          </cell>
          <cell r="G330">
            <v>0</v>
          </cell>
          <cell r="H330" t="str">
            <v/>
          </cell>
        </row>
        <row r="331">
          <cell r="A331" t="str">
            <v>115-10-040</v>
          </cell>
          <cell r="B331">
            <v>2</v>
          </cell>
          <cell r="C331" t="str">
            <v>For actual space occupied</v>
          </cell>
          <cell r="D331">
            <v>898732.8</v>
          </cell>
          <cell r="F331">
            <v>468554.5</v>
          </cell>
          <cell r="G331">
            <v>877109</v>
          </cell>
          <cell r="H331">
            <v>1.0246534923253552</v>
          </cell>
        </row>
        <row r="332">
          <cell r="A332" t="str">
            <v>115-10-040</v>
          </cell>
          <cell r="B332">
            <v>2</v>
          </cell>
          <cell r="C332" t="str">
            <v>for parking space occupied</v>
          </cell>
          <cell r="D332">
            <v>60000</v>
          </cell>
          <cell r="G332">
            <v>60000</v>
          </cell>
          <cell r="H332">
            <v>1</v>
          </cell>
        </row>
        <row r="333">
          <cell r="A333" t="str">
            <v>115-10-040</v>
          </cell>
          <cell r="B333">
            <v>5</v>
          </cell>
          <cell r="C333" t="str">
            <v>For actual space occupied</v>
          </cell>
          <cell r="D333">
            <v>411868.8</v>
          </cell>
          <cell r="F333">
            <v>159354.67000000001</v>
          </cell>
          <cell r="G333">
            <v>318709.34000000003</v>
          </cell>
          <cell r="H333">
            <v>1.2923022588544157</v>
          </cell>
        </row>
        <row r="334">
          <cell r="A334" t="str">
            <v>115-10-040</v>
          </cell>
          <cell r="B334">
            <v>5</v>
          </cell>
          <cell r="C334" t="str">
            <v>for parking space occupied</v>
          </cell>
          <cell r="D334">
            <v>0</v>
          </cell>
          <cell r="G334">
            <v>0</v>
          </cell>
        </row>
        <row r="335">
          <cell r="A335" t="str">
            <v>115-10-040</v>
          </cell>
          <cell r="B335">
            <v>3</v>
          </cell>
          <cell r="C335" t="str">
            <v>For actual space occupied</v>
          </cell>
          <cell r="D335">
            <v>178404.48000000001</v>
          </cell>
          <cell r="F335">
            <v>72041</v>
          </cell>
          <cell r="G335">
            <v>144082</v>
          </cell>
          <cell r="H335">
            <v>1.2382149054010909</v>
          </cell>
        </row>
        <row r="336">
          <cell r="A336" t="str">
            <v>115-10-040</v>
          </cell>
          <cell r="B336">
            <v>3</v>
          </cell>
          <cell r="C336" t="str">
            <v>for parking space occupied</v>
          </cell>
          <cell r="D336">
            <v>0</v>
          </cell>
          <cell r="G336">
            <v>0</v>
          </cell>
          <cell r="H336" t="str">
            <v xml:space="preserve"> </v>
          </cell>
        </row>
        <row r="337">
          <cell r="A337" t="str">
            <v>115-10-040</v>
          </cell>
          <cell r="B337">
            <v>10</v>
          </cell>
          <cell r="C337" t="str">
            <v>For actual space occupied</v>
          </cell>
          <cell r="D337">
            <v>250387.20000000001</v>
          </cell>
          <cell r="F337">
            <v>123804.19</v>
          </cell>
          <cell r="G337">
            <v>247608.38</v>
          </cell>
          <cell r="H337">
            <v>1.0112226411723222</v>
          </cell>
        </row>
        <row r="338">
          <cell r="A338" t="str">
            <v>115-10-040</v>
          </cell>
          <cell r="B338">
            <v>10</v>
          </cell>
          <cell r="C338" t="str">
            <v>for parking space occupied</v>
          </cell>
          <cell r="D338">
            <v>0</v>
          </cell>
          <cell r="G338">
            <v>0</v>
          </cell>
          <cell r="H338" t="str">
            <v/>
          </cell>
        </row>
        <row r="339">
          <cell r="A339" t="str">
            <v>115-10-050</v>
          </cell>
          <cell r="B339">
            <v>6</v>
          </cell>
          <cell r="C339" t="str">
            <v>OFFICE CATERING &amp; STAFF WELFARE</v>
          </cell>
          <cell r="D339">
            <v>0</v>
          </cell>
          <cell r="G339">
            <v>0</v>
          </cell>
          <cell r="H339" t="str">
            <v/>
          </cell>
        </row>
        <row r="340">
          <cell r="A340" t="str">
            <v>115-10-050</v>
          </cell>
          <cell r="B340">
            <v>4</v>
          </cell>
          <cell r="C340" t="str">
            <v>OFFICE CATERING &amp; STAFF WELFARE</v>
          </cell>
          <cell r="D340">
            <v>42000</v>
          </cell>
          <cell r="F340">
            <v>15436.68</v>
          </cell>
          <cell r="G340">
            <v>30873.360000000001</v>
          </cell>
          <cell r="H340">
            <v>1.3603961473581108</v>
          </cell>
        </row>
        <row r="341">
          <cell r="A341" t="str">
            <v>115-10-050</v>
          </cell>
          <cell r="B341">
            <v>1</v>
          </cell>
          <cell r="C341" t="str">
            <v>OFFICE CATERING &amp; STAFF WELFARE</v>
          </cell>
          <cell r="D341">
            <v>0</v>
          </cell>
          <cell r="F341">
            <v>39621.4</v>
          </cell>
          <cell r="G341">
            <v>79242.8</v>
          </cell>
          <cell r="H341">
            <v>0</v>
          </cell>
        </row>
        <row r="342">
          <cell r="A342" t="str">
            <v>115-10-050</v>
          </cell>
          <cell r="B342">
            <v>8</v>
          </cell>
          <cell r="C342" t="str">
            <v>OFFICE CATERING &amp; STAFF WELFARE</v>
          </cell>
          <cell r="D342">
            <v>0</v>
          </cell>
          <cell r="F342">
            <v>0</v>
          </cell>
          <cell r="G342">
            <v>0</v>
          </cell>
          <cell r="H342" t="str">
            <v/>
          </cell>
        </row>
        <row r="343">
          <cell r="A343" t="str">
            <v>115-10-050</v>
          </cell>
          <cell r="B343">
            <v>9</v>
          </cell>
          <cell r="C343" t="str">
            <v>OFFICE CATERING &amp; STAFF WELFARE</v>
          </cell>
          <cell r="D343">
            <v>0</v>
          </cell>
          <cell r="H343" t="str">
            <v/>
          </cell>
        </row>
        <row r="344">
          <cell r="A344" t="str">
            <v>115-10-050</v>
          </cell>
          <cell r="B344">
            <v>7</v>
          </cell>
          <cell r="C344" t="str">
            <v>OFFICE CATERING &amp; STAFF WELFARE</v>
          </cell>
          <cell r="D344">
            <v>0</v>
          </cell>
          <cell r="H344" t="str">
            <v/>
          </cell>
        </row>
        <row r="345">
          <cell r="A345" t="str">
            <v>115-10-050</v>
          </cell>
          <cell r="B345">
            <v>2</v>
          </cell>
          <cell r="C345" t="str">
            <v>OFFICE CATERING &amp; STAFF WELFARE</v>
          </cell>
          <cell r="D345">
            <v>0</v>
          </cell>
          <cell r="H345" t="str">
            <v/>
          </cell>
        </row>
        <row r="346">
          <cell r="A346" t="str">
            <v>115-10-050</v>
          </cell>
          <cell r="B346">
            <v>5</v>
          </cell>
          <cell r="C346" t="str">
            <v>OFFICE CATERING &amp; STAFF WELFARE</v>
          </cell>
          <cell r="D346">
            <v>0</v>
          </cell>
        </row>
        <row r="347">
          <cell r="A347" t="str">
            <v>115-10-050</v>
          </cell>
          <cell r="B347">
            <v>3</v>
          </cell>
          <cell r="C347" t="str">
            <v>OFFICE CATERING &amp; STAFF WELFARE</v>
          </cell>
          <cell r="H347" t="str">
            <v xml:space="preserve"> </v>
          </cell>
        </row>
        <row r="348">
          <cell r="A348" t="str">
            <v>115-10-050</v>
          </cell>
          <cell r="B348">
            <v>10</v>
          </cell>
          <cell r="C348" t="str">
            <v>OFFICE CATERING &amp; STAFF WELFARE</v>
          </cell>
          <cell r="D348">
            <v>1467300</v>
          </cell>
          <cell r="F348">
            <v>235036.82</v>
          </cell>
          <cell r="G348">
            <v>1500000</v>
          </cell>
          <cell r="H348">
            <v>0.97819999999999996</v>
          </cell>
        </row>
        <row r="349">
          <cell r="A349" t="str">
            <v>115-10-051</v>
          </cell>
          <cell r="B349">
            <v>6</v>
          </cell>
          <cell r="C349" t="str">
            <v>OFFICE CLEANING</v>
          </cell>
          <cell r="D349">
            <v>0</v>
          </cell>
          <cell r="F349">
            <v>0</v>
          </cell>
          <cell r="G349">
            <v>0</v>
          </cell>
          <cell r="H349" t="str">
            <v/>
          </cell>
        </row>
        <row r="350">
          <cell r="A350" t="str">
            <v>115-10-051</v>
          </cell>
          <cell r="B350">
            <v>4</v>
          </cell>
          <cell r="C350" t="str">
            <v>OFFICE CLEANING</v>
          </cell>
          <cell r="D350">
            <v>0</v>
          </cell>
          <cell r="F350">
            <v>0</v>
          </cell>
          <cell r="G350">
            <v>0</v>
          </cell>
          <cell r="H350" t="str">
            <v/>
          </cell>
        </row>
        <row r="351">
          <cell r="A351" t="str">
            <v>115-10-051</v>
          </cell>
          <cell r="B351">
            <v>1</v>
          </cell>
          <cell r="C351" t="str">
            <v>OFFICE CLEANING</v>
          </cell>
          <cell r="D351">
            <v>0</v>
          </cell>
          <cell r="F351">
            <v>0</v>
          </cell>
          <cell r="G351">
            <v>0</v>
          </cell>
          <cell r="H351" t="str">
            <v/>
          </cell>
        </row>
        <row r="352">
          <cell r="A352" t="str">
            <v>115-10-051</v>
          </cell>
          <cell r="B352">
            <v>8</v>
          </cell>
          <cell r="C352" t="str">
            <v>OFFICE CLEANING</v>
          </cell>
          <cell r="D352">
            <v>0</v>
          </cell>
          <cell r="H352" t="str">
            <v/>
          </cell>
        </row>
        <row r="353">
          <cell r="A353" t="str">
            <v>115-10-051</v>
          </cell>
          <cell r="B353">
            <v>9</v>
          </cell>
          <cell r="C353" t="str">
            <v>OFFICE CLEANING</v>
          </cell>
          <cell r="D353">
            <v>0</v>
          </cell>
          <cell r="F353">
            <v>0</v>
          </cell>
          <cell r="G353">
            <v>0</v>
          </cell>
          <cell r="H353" t="str">
            <v/>
          </cell>
        </row>
        <row r="354">
          <cell r="A354" t="str">
            <v>115-10-051</v>
          </cell>
          <cell r="B354">
            <v>7</v>
          </cell>
          <cell r="C354" t="str">
            <v>OFFICE CLEANING</v>
          </cell>
          <cell r="D354">
            <v>0</v>
          </cell>
          <cell r="F354">
            <v>0</v>
          </cell>
          <cell r="G354">
            <v>0</v>
          </cell>
          <cell r="H354" t="str">
            <v/>
          </cell>
        </row>
        <row r="355">
          <cell r="A355" t="str">
            <v>115-10-051</v>
          </cell>
          <cell r="B355">
            <v>2</v>
          </cell>
          <cell r="C355" t="str">
            <v>OFFICE CLEANING</v>
          </cell>
          <cell r="D355">
            <v>0</v>
          </cell>
          <cell r="F355">
            <v>0</v>
          </cell>
          <cell r="G355">
            <v>0</v>
          </cell>
          <cell r="H355" t="str">
            <v/>
          </cell>
        </row>
        <row r="356">
          <cell r="A356" t="str">
            <v>115-10-051</v>
          </cell>
          <cell r="B356">
            <v>5</v>
          </cell>
          <cell r="C356" t="str">
            <v>OFFICE CLEANING</v>
          </cell>
          <cell r="D356">
            <v>0</v>
          </cell>
          <cell r="F356">
            <v>0</v>
          </cell>
          <cell r="G356">
            <v>0</v>
          </cell>
        </row>
        <row r="357">
          <cell r="A357" t="str">
            <v>115-10-051</v>
          </cell>
          <cell r="B357">
            <v>3</v>
          </cell>
          <cell r="C357" t="str">
            <v>OFFICE CLEANING</v>
          </cell>
          <cell r="D357">
            <v>0</v>
          </cell>
          <cell r="F357">
            <v>0</v>
          </cell>
          <cell r="G357">
            <v>0</v>
          </cell>
          <cell r="H357" t="str">
            <v xml:space="preserve"> </v>
          </cell>
        </row>
        <row r="358">
          <cell r="A358" t="str">
            <v>115-10-051</v>
          </cell>
          <cell r="B358">
            <v>10</v>
          </cell>
          <cell r="C358" t="str">
            <v>OFFICE CLEANING</v>
          </cell>
          <cell r="D358">
            <v>0</v>
          </cell>
          <cell r="F358">
            <v>0</v>
          </cell>
          <cell r="G358">
            <v>0</v>
          </cell>
          <cell r="H358" t="str">
            <v/>
          </cell>
        </row>
        <row r="359">
          <cell r="A359" t="str">
            <v>115-10-060</v>
          </cell>
          <cell r="B359">
            <v>6</v>
          </cell>
          <cell r="C359" t="str">
            <v>OFFICE WATER</v>
          </cell>
          <cell r="D359">
            <v>0</v>
          </cell>
          <cell r="G359">
            <v>0</v>
          </cell>
          <cell r="H359" t="str">
            <v/>
          </cell>
        </row>
        <row r="360">
          <cell r="A360" t="str">
            <v>115-10-060</v>
          </cell>
          <cell r="B360">
            <v>4</v>
          </cell>
          <cell r="C360" t="str">
            <v>OFFICE WATER</v>
          </cell>
          <cell r="D360">
            <v>0</v>
          </cell>
          <cell r="H360" t="str">
            <v/>
          </cell>
        </row>
        <row r="361">
          <cell r="A361" t="str">
            <v>115-10-060</v>
          </cell>
          <cell r="B361">
            <v>1</v>
          </cell>
          <cell r="C361" t="str">
            <v>OFFICE WATER</v>
          </cell>
          <cell r="D361">
            <v>0</v>
          </cell>
          <cell r="F361">
            <v>849.6</v>
          </cell>
          <cell r="G361">
            <v>1699.2</v>
          </cell>
          <cell r="H361">
            <v>0</v>
          </cell>
        </row>
        <row r="362">
          <cell r="A362" t="str">
            <v>115-10-060</v>
          </cell>
          <cell r="B362">
            <v>8</v>
          </cell>
          <cell r="C362" t="str">
            <v>OFFICE WATER</v>
          </cell>
          <cell r="D362">
            <v>0</v>
          </cell>
          <cell r="H362" t="str">
            <v/>
          </cell>
        </row>
        <row r="363">
          <cell r="A363" t="str">
            <v>115-10-060</v>
          </cell>
          <cell r="B363">
            <v>9</v>
          </cell>
          <cell r="C363" t="str">
            <v>OFFICE WATER</v>
          </cell>
          <cell r="H363" t="str">
            <v/>
          </cell>
        </row>
        <row r="364">
          <cell r="A364" t="str">
            <v>115-10-060</v>
          </cell>
          <cell r="B364">
            <v>7</v>
          </cell>
          <cell r="C364" t="str">
            <v>OFFICE WATER</v>
          </cell>
          <cell r="D364">
            <v>0</v>
          </cell>
          <cell r="H364" t="str">
            <v/>
          </cell>
        </row>
        <row r="365">
          <cell r="A365" t="str">
            <v>115-10-060</v>
          </cell>
          <cell r="B365">
            <v>2</v>
          </cell>
          <cell r="C365" t="str">
            <v>OFFICE WATER</v>
          </cell>
          <cell r="D365">
            <v>0</v>
          </cell>
          <cell r="H365" t="str">
            <v/>
          </cell>
        </row>
        <row r="366">
          <cell r="A366" t="str">
            <v>115-10-060</v>
          </cell>
          <cell r="B366">
            <v>5</v>
          </cell>
          <cell r="C366" t="str">
            <v>OFFICE WATER</v>
          </cell>
        </row>
        <row r="367">
          <cell r="A367" t="str">
            <v>115-10-060</v>
          </cell>
          <cell r="B367">
            <v>3</v>
          </cell>
          <cell r="C367" t="str">
            <v>OFFICE WATER</v>
          </cell>
          <cell r="H367" t="str">
            <v xml:space="preserve"> </v>
          </cell>
        </row>
        <row r="368">
          <cell r="A368" t="str">
            <v>115-10-060</v>
          </cell>
          <cell r="B368">
            <v>10</v>
          </cell>
          <cell r="C368" t="str">
            <v>OFFICE WATER</v>
          </cell>
          <cell r="D368">
            <v>0</v>
          </cell>
          <cell r="H368" t="str">
            <v/>
          </cell>
        </row>
        <row r="369">
          <cell r="A369" t="str">
            <v>115-10-070</v>
          </cell>
          <cell r="B369">
            <v>6</v>
          </cell>
          <cell r="C369" t="str">
            <v>OFFICE ELECTRICITY</v>
          </cell>
          <cell r="D369">
            <v>0</v>
          </cell>
          <cell r="F369">
            <v>0</v>
          </cell>
          <cell r="G369">
            <v>0</v>
          </cell>
          <cell r="H369" t="str">
            <v/>
          </cell>
        </row>
        <row r="370">
          <cell r="A370" t="str">
            <v>115-10-070</v>
          </cell>
          <cell r="B370">
            <v>4</v>
          </cell>
          <cell r="C370" t="str">
            <v>OFFICE ELECTRICITY</v>
          </cell>
          <cell r="D370">
            <v>0</v>
          </cell>
          <cell r="F370">
            <v>0</v>
          </cell>
          <cell r="G370">
            <v>0</v>
          </cell>
          <cell r="H370" t="str">
            <v/>
          </cell>
        </row>
        <row r="371">
          <cell r="A371" t="str">
            <v>115-10-070</v>
          </cell>
          <cell r="B371">
            <v>1</v>
          </cell>
          <cell r="C371" t="str">
            <v>OFFICE ELECTRICITY</v>
          </cell>
          <cell r="D371">
            <v>0</v>
          </cell>
          <cell r="F371">
            <v>0</v>
          </cell>
          <cell r="G371">
            <v>0</v>
          </cell>
          <cell r="H371" t="str">
            <v/>
          </cell>
        </row>
        <row r="372">
          <cell r="A372" t="str">
            <v>115-10-070</v>
          </cell>
          <cell r="B372">
            <v>8</v>
          </cell>
          <cell r="C372" t="str">
            <v>OFFICE ELECTRICITY</v>
          </cell>
          <cell r="D372">
            <v>0</v>
          </cell>
          <cell r="G372">
            <v>0</v>
          </cell>
          <cell r="H372" t="str">
            <v/>
          </cell>
        </row>
        <row r="373">
          <cell r="A373" t="str">
            <v>115-10-070</v>
          </cell>
          <cell r="B373">
            <v>9</v>
          </cell>
          <cell r="C373" t="str">
            <v>OFFICE ELECTRICITY</v>
          </cell>
          <cell r="D373">
            <v>0</v>
          </cell>
          <cell r="F373">
            <v>0</v>
          </cell>
          <cell r="G373">
            <v>0</v>
          </cell>
          <cell r="H373" t="str">
            <v/>
          </cell>
        </row>
        <row r="374">
          <cell r="A374" t="str">
            <v>115-10-070</v>
          </cell>
          <cell r="B374">
            <v>7</v>
          </cell>
          <cell r="C374" t="str">
            <v>OFFICE ELECTRICITY</v>
          </cell>
          <cell r="D374">
            <v>0</v>
          </cell>
          <cell r="F374">
            <v>0</v>
          </cell>
          <cell r="G374">
            <v>0</v>
          </cell>
          <cell r="H374" t="str">
            <v/>
          </cell>
        </row>
        <row r="375">
          <cell r="A375" t="str">
            <v>115-10-070</v>
          </cell>
          <cell r="B375">
            <v>2</v>
          </cell>
          <cell r="C375" t="str">
            <v>OFFICE ELECTRICITY</v>
          </cell>
          <cell r="D375">
            <v>0</v>
          </cell>
          <cell r="F375">
            <v>0</v>
          </cell>
          <cell r="G375">
            <v>0</v>
          </cell>
          <cell r="H375" t="str">
            <v/>
          </cell>
        </row>
        <row r="376">
          <cell r="A376" t="str">
            <v>115-10-070</v>
          </cell>
          <cell r="B376">
            <v>5</v>
          </cell>
          <cell r="C376" t="str">
            <v>OFFICE ELECTRICITY</v>
          </cell>
          <cell r="D376">
            <v>0</v>
          </cell>
          <cell r="F376">
            <v>0</v>
          </cell>
          <cell r="G376">
            <v>0</v>
          </cell>
        </row>
        <row r="377">
          <cell r="A377" t="str">
            <v>115-10-070</v>
          </cell>
          <cell r="B377">
            <v>3</v>
          </cell>
          <cell r="C377" t="str">
            <v>OFFICE ELECTRICITY</v>
          </cell>
          <cell r="D377">
            <v>0</v>
          </cell>
          <cell r="F377">
            <v>0</v>
          </cell>
          <cell r="G377">
            <v>0</v>
          </cell>
          <cell r="H377" t="str">
            <v xml:space="preserve"> </v>
          </cell>
        </row>
        <row r="378">
          <cell r="A378" t="str">
            <v>115-10-070</v>
          </cell>
          <cell r="B378">
            <v>10</v>
          </cell>
          <cell r="C378" t="str">
            <v>OFFICE ELECTRICITY</v>
          </cell>
          <cell r="D378">
            <v>0</v>
          </cell>
          <cell r="F378">
            <v>0</v>
          </cell>
          <cell r="G378">
            <v>0</v>
          </cell>
          <cell r="H378" t="str">
            <v/>
          </cell>
        </row>
        <row r="379">
          <cell r="A379" t="str">
            <v>115-10-080</v>
          </cell>
          <cell r="B379">
            <v>6</v>
          </cell>
          <cell r="C379" t="str">
            <v>OFFICE SECURITY</v>
          </cell>
          <cell r="D379">
            <v>0</v>
          </cell>
          <cell r="G379">
            <v>0</v>
          </cell>
          <cell r="H379" t="str">
            <v/>
          </cell>
        </row>
        <row r="380">
          <cell r="A380" t="str">
            <v>115-10-080</v>
          </cell>
          <cell r="B380">
            <v>4</v>
          </cell>
          <cell r="C380" t="str">
            <v>OFFICE SECURITY</v>
          </cell>
          <cell r="D380">
            <v>0</v>
          </cell>
          <cell r="G380">
            <v>0</v>
          </cell>
          <cell r="H380" t="str">
            <v/>
          </cell>
        </row>
        <row r="381">
          <cell r="A381" t="str">
            <v>115-10-080</v>
          </cell>
          <cell r="B381">
            <v>1</v>
          </cell>
          <cell r="C381" t="str">
            <v>OFFICE SECURITY</v>
          </cell>
          <cell r="D381">
            <v>0</v>
          </cell>
          <cell r="G381">
            <v>0</v>
          </cell>
          <cell r="H381" t="str">
            <v/>
          </cell>
        </row>
        <row r="382">
          <cell r="A382" t="str">
            <v>115-10-080</v>
          </cell>
          <cell r="B382">
            <v>8</v>
          </cell>
          <cell r="C382" t="str">
            <v>OFFICE SECURITY</v>
          </cell>
          <cell r="D382">
            <v>0</v>
          </cell>
          <cell r="G382">
            <v>0</v>
          </cell>
          <cell r="H382" t="str">
            <v/>
          </cell>
        </row>
        <row r="383">
          <cell r="A383" t="str">
            <v>115-10-080</v>
          </cell>
          <cell r="B383">
            <v>9</v>
          </cell>
          <cell r="C383" t="str">
            <v>OFFICE SECURITY</v>
          </cell>
          <cell r="D383">
            <v>0</v>
          </cell>
          <cell r="G383">
            <v>0</v>
          </cell>
          <cell r="H383" t="str">
            <v/>
          </cell>
        </row>
        <row r="384">
          <cell r="A384" t="str">
            <v>115-10-080</v>
          </cell>
          <cell r="B384">
            <v>7</v>
          </cell>
          <cell r="C384" t="str">
            <v>OFFICE SECURITY</v>
          </cell>
          <cell r="D384">
            <v>0</v>
          </cell>
          <cell r="G384">
            <v>0</v>
          </cell>
          <cell r="H384" t="str">
            <v/>
          </cell>
        </row>
        <row r="385">
          <cell r="A385" t="str">
            <v>115-10-080</v>
          </cell>
          <cell r="B385">
            <v>2</v>
          </cell>
          <cell r="C385" t="str">
            <v>OFFICE SECURITY</v>
          </cell>
          <cell r="D385">
            <v>0</v>
          </cell>
          <cell r="G385">
            <v>0</v>
          </cell>
          <cell r="H385" t="str">
            <v/>
          </cell>
        </row>
        <row r="386">
          <cell r="A386" t="str">
            <v>115-10-080</v>
          </cell>
          <cell r="B386">
            <v>5</v>
          </cell>
          <cell r="C386" t="str">
            <v>OFFICE SECURITY</v>
          </cell>
          <cell r="D386">
            <v>0</v>
          </cell>
          <cell r="G386">
            <v>0</v>
          </cell>
        </row>
        <row r="387">
          <cell r="A387" t="str">
            <v>115-10-080</v>
          </cell>
          <cell r="B387">
            <v>3</v>
          </cell>
          <cell r="C387" t="str">
            <v>OFFICE SECURITY</v>
          </cell>
          <cell r="D387">
            <v>0</v>
          </cell>
          <cell r="G387">
            <v>0</v>
          </cell>
          <cell r="H387" t="str">
            <v xml:space="preserve"> </v>
          </cell>
        </row>
        <row r="388">
          <cell r="A388" t="str">
            <v>115-10-080</v>
          </cell>
          <cell r="B388">
            <v>10</v>
          </cell>
          <cell r="C388" t="str">
            <v>OFFICE SECURITY</v>
          </cell>
          <cell r="D388">
            <v>0</v>
          </cell>
          <cell r="G388">
            <v>0</v>
          </cell>
          <cell r="H388" t="str">
            <v/>
          </cell>
        </row>
        <row r="389">
          <cell r="A389" t="str">
            <v>125-10-010</v>
          </cell>
          <cell r="B389">
            <v>6</v>
          </cell>
          <cell r="C389" t="str">
            <v>BANK CHARGES</v>
          </cell>
          <cell r="D389">
            <v>0</v>
          </cell>
          <cell r="F389">
            <v>0</v>
          </cell>
          <cell r="G389">
            <v>0</v>
          </cell>
          <cell r="H389" t="str">
            <v/>
          </cell>
        </row>
        <row r="390">
          <cell r="A390" t="str">
            <v>125-10-010</v>
          </cell>
          <cell r="B390">
            <v>4</v>
          </cell>
          <cell r="C390" t="str">
            <v>BANK CHARGES</v>
          </cell>
          <cell r="D390">
            <v>0</v>
          </cell>
          <cell r="F390">
            <v>0</v>
          </cell>
          <cell r="G390">
            <v>0</v>
          </cell>
          <cell r="H390" t="str">
            <v/>
          </cell>
        </row>
        <row r="391">
          <cell r="A391" t="str">
            <v>125-10-010</v>
          </cell>
          <cell r="B391">
            <v>1</v>
          </cell>
          <cell r="C391" t="str">
            <v>BANK CHARGES</v>
          </cell>
          <cell r="D391">
            <v>0</v>
          </cell>
          <cell r="F391">
            <v>0</v>
          </cell>
          <cell r="G391">
            <v>0</v>
          </cell>
          <cell r="H391" t="str">
            <v/>
          </cell>
        </row>
        <row r="392">
          <cell r="A392" t="str">
            <v>125-10-010</v>
          </cell>
          <cell r="B392">
            <v>8</v>
          </cell>
          <cell r="C392" t="str">
            <v>BANK CHARGES</v>
          </cell>
          <cell r="D392">
            <v>3000000</v>
          </cell>
          <cell r="F392">
            <v>1256366.18</v>
          </cell>
          <cell r="G392">
            <v>2812732.36</v>
          </cell>
          <cell r="H392">
            <v>1.0665785492651707</v>
          </cell>
        </row>
        <row r="393">
          <cell r="A393" t="str">
            <v>125-10-010</v>
          </cell>
          <cell r="B393">
            <v>9</v>
          </cell>
          <cell r="C393" t="str">
            <v>BANK CHARGES</v>
          </cell>
          <cell r="D393">
            <v>0</v>
          </cell>
          <cell r="F393">
            <v>0</v>
          </cell>
          <cell r="G393">
            <v>0</v>
          </cell>
          <cell r="H393" t="str">
            <v/>
          </cell>
        </row>
        <row r="394">
          <cell r="A394" t="str">
            <v>125-10-010</v>
          </cell>
          <cell r="B394">
            <v>7</v>
          </cell>
          <cell r="C394" t="str">
            <v>BANK CHARGES</v>
          </cell>
          <cell r="D394">
            <v>0</v>
          </cell>
          <cell r="F394">
            <v>0</v>
          </cell>
          <cell r="G394">
            <v>0</v>
          </cell>
          <cell r="H394" t="str">
            <v/>
          </cell>
        </row>
        <row r="395">
          <cell r="A395" t="str">
            <v>125-10-010</v>
          </cell>
          <cell r="B395">
            <v>2</v>
          </cell>
          <cell r="C395" t="str">
            <v>BANK CHARGES</v>
          </cell>
          <cell r="D395">
            <v>0</v>
          </cell>
          <cell r="F395">
            <v>0</v>
          </cell>
          <cell r="G395">
            <v>0</v>
          </cell>
          <cell r="H395" t="str">
            <v/>
          </cell>
        </row>
        <row r="396">
          <cell r="A396" t="str">
            <v>125-10-010</v>
          </cell>
          <cell r="B396">
            <v>5</v>
          </cell>
          <cell r="C396" t="str">
            <v>BANK CHARGES</v>
          </cell>
          <cell r="D396">
            <v>0</v>
          </cell>
          <cell r="F396">
            <v>0</v>
          </cell>
          <cell r="G396">
            <v>0</v>
          </cell>
        </row>
        <row r="397">
          <cell r="A397" t="str">
            <v>125-10-010</v>
          </cell>
          <cell r="B397">
            <v>3</v>
          </cell>
          <cell r="C397" t="str">
            <v>BANK CHARGES</v>
          </cell>
          <cell r="D397">
            <v>0</v>
          </cell>
          <cell r="F397">
            <v>0</v>
          </cell>
          <cell r="G397">
            <v>0</v>
          </cell>
          <cell r="H397" t="str">
            <v xml:space="preserve"> </v>
          </cell>
        </row>
        <row r="398">
          <cell r="A398" t="str">
            <v>125-10-010</v>
          </cell>
          <cell r="B398">
            <v>10</v>
          </cell>
          <cell r="C398" t="str">
            <v>BANK CHARGES</v>
          </cell>
          <cell r="D398">
            <v>0</v>
          </cell>
          <cell r="F398">
            <v>0</v>
          </cell>
          <cell r="G398">
            <v>0</v>
          </cell>
          <cell r="H398" t="str">
            <v/>
          </cell>
        </row>
        <row r="399">
          <cell r="A399" t="str">
            <v>125-10-020</v>
          </cell>
          <cell r="B399">
            <v>6</v>
          </cell>
          <cell r="C399" t="str">
            <v>BANK OVERDRART CHARGES</v>
          </cell>
          <cell r="G399">
            <v>0</v>
          </cell>
          <cell r="H399" t="str">
            <v/>
          </cell>
        </row>
        <row r="400">
          <cell r="A400" t="str">
            <v>125-10-020</v>
          </cell>
          <cell r="B400">
            <v>4</v>
          </cell>
          <cell r="C400" t="str">
            <v>BANK OVERDRART CHARGES</v>
          </cell>
          <cell r="G400">
            <v>0</v>
          </cell>
          <cell r="H400" t="str">
            <v/>
          </cell>
        </row>
        <row r="401">
          <cell r="A401" t="str">
            <v>125-10-020</v>
          </cell>
          <cell r="B401">
            <v>1</v>
          </cell>
          <cell r="C401" t="str">
            <v>BANK OVERDRART CHARGES</v>
          </cell>
          <cell r="G401">
            <v>0</v>
          </cell>
          <cell r="H401" t="str">
            <v/>
          </cell>
        </row>
        <row r="402">
          <cell r="A402" t="str">
            <v>125-10-020</v>
          </cell>
          <cell r="B402">
            <v>8</v>
          </cell>
          <cell r="C402" t="str">
            <v>BANK OVERDRART CHARGES</v>
          </cell>
          <cell r="G402">
            <v>0</v>
          </cell>
          <cell r="H402" t="str">
            <v/>
          </cell>
        </row>
        <row r="403">
          <cell r="A403" t="str">
            <v>125-10-020</v>
          </cell>
          <cell r="B403">
            <v>9</v>
          </cell>
          <cell r="C403" t="str">
            <v>BANK OVERDRART CHARGES</v>
          </cell>
          <cell r="G403">
            <v>0</v>
          </cell>
          <cell r="H403" t="str">
            <v/>
          </cell>
        </row>
        <row r="404">
          <cell r="A404" t="str">
            <v>125-10-020</v>
          </cell>
          <cell r="B404">
            <v>7</v>
          </cell>
          <cell r="C404" t="str">
            <v>BANK OVERDRART CHARGES</v>
          </cell>
          <cell r="G404">
            <v>0</v>
          </cell>
          <cell r="H404" t="str">
            <v/>
          </cell>
        </row>
        <row r="405">
          <cell r="A405" t="str">
            <v>125-10-020</v>
          </cell>
          <cell r="B405">
            <v>2</v>
          </cell>
          <cell r="C405" t="str">
            <v>BANK OVERDRART CHARGES</v>
          </cell>
          <cell r="G405">
            <v>0</v>
          </cell>
          <cell r="H405" t="str">
            <v/>
          </cell>
        </row>
        <row r="406">
          <cell r="A406" t="str">
            <v>125-10-020</v>
          </cell>
          <cell r="B406">
            <v>5</v>
          </cell>
          <cell r="C406" t="str">
            <v>BANK OVERDRART CHARGES</v>
          </cell>
          <cell r="G406">
            <v>0</v>
          </cell>
        </row>
        <row r="407">
          <cell r="A407" t="str">
            <v>125-10-020</v>
          </cell>
          <cell r="B407">
            <v>3</v>
          </cell>
          <cell r="C407" t="str">
            <v>BANK OVERDRART CHARGES</v>
          </cell>
          <cell r="G407">
            <v>0</v>
          </cell>
          <cell r="H407" t="str">
            <v xml:space="preserve"> </v>
          </cell>
        </row>
        <row r="408">
          <cell r="A408" t="str">
            <v>125-10-020</v>
          </cell>
          <cell r="B408">
            <v>10</v>
          </cell>
          <cell r="C408" t="str">
            <v>BANK OVERDRART CHARGES</v>
          </cell>
          <cell r="G408">
            <v>0</v>
          </cell>
          <cell r="H408" t="str">
            <v/>
          </cell>
        </row>
        <row r="409">
          <cell r="A409" t="str">
            <v>145-10-010</v>
          </cell>
          <cell r="B409">
            <v>6</v>
          </cell>
          <cell r="C409" t="str">
            <v>ALA Group charges- Individual life</v>
          </cell>
          <cell r="D409">
            <v>0</v>
          </cell>
          <cell r="H409" t="str">
            <v/>
          </cell>
        </row>
        <row r="410">
          <cell r="A410" t="str">
            <v>145-10-010</v>
          </cell>
          <cell r="B410">
            <v>4</v>
          </cell>
          <cell r="C410" t="str">
            <v>ALA Group charges- Individual life</v>
          </cell>
          <cell r="D410">
            <v>0</v>
          </cell>
          <cell r="H410" t="str">
            <v/>
          </cell>
        </row>
        <row r="411">
          <cell r="A411" t="str">
            <v>145-10-010</v>
          </cell>
          <cell r="B411">
            <v>1</v>
          </cell>
          <cell r="C411" t="str">
            <v>ALA Group charges- Individual life</v>
          </cell>
          <cell r="D411">
            <v>0</v>
          </cell>
          <cell r="H411" t="str">
            <v/>
          </cell>
        </row>
        <row r="412">
          <cell r="A412" t="str">
            <v>145-10-010</v>
          </cell>
          <cell r="B412">
            <v>8</v>
          </cell>
          <cell r="C412" t="str">
            <v>ALA Group charges- Individual life</v>
          </cell>
          <cell r="D412">
            <v>4060000</v>
          </cell>
          <cell r="F412">
            <v>1794273</v>
          </cell>
          <cell r="G412">
            <v>4048947.26</v>
          </cell>
          <cell r="H412">
            <v>1.002729781172798</v>
          </cell>
        </row>
        <row r="413">
          <cell r="A413" t="str">
            <v>145-10-010</v>
          </cell>
          <cell r="B413">
            <v>9</v>
          </cell>
          <cell r="C413" t="str">
            <v>ALA Group charges- Individual life</v>
          </cell>
          <cell r="D413">
            <v>0</v>
          </cell>
          <cell r="H413" t="str">
            <v/>
          </cell>
        </row>
        <row r="414">
          <cell r="A414" t="str">
            <v>145-10-010</v>
          </cell>
          <cell r="B414">
            <v>7</v>
          </cell>
          <cell r="C414" t="str">
            <v>ALA Group charges- Individual life</v>
          </cell>
          <cell r="D414">
            <v>0</v>
          </cell>
          <cell r="H414" t="str">
            <v/>
          </cell>
        </row>
        <row r="415">
          <cell r="A415" t="str">
            <v>145-10-010</v>
          </cell>
          <cell r="B415">
            <v>2</v>
          </cell>
          <cell r="C415" t="str">
            <v>ALA Group charges- Individual life</v>
          </cell>
          <cell r="D415">
            <v>0</v>
          </cell>
          <cell r="H415" t="str">
            <v/>
          </cell>
        </row>
        <row r="416">
          <cell r="A416" t="str">
            <v>145-10-010</v>
          </cell>
          <cell r="B416">
            <v>5</v>
          </cell>
          <cell r="C416" t="str">
            <v>ALA Group charges- Individual life</v>
          </cell>
          <cell r="D416">
            <v>0</v>
          </cell>
        </row>
        <row r="417">
          <cell r="A417" t="str">
            <v>145-10-010</v>
          </cell>
          <cell r="B417">
            <v>3</v>
          </cell>
          <cell r="C417" t="str">
            <v>ALA Group charges- Individual life</v>
          </cell>
          <cell r="D417">
            <v>0</v>
          </cell>
          <cell r="H417" t="str">
            <v xml:space="preserve"> </v>
          </cell>
        </row>
        <row r="418">
          <cell r="A418" t="str">
            <v>145-10-010</v>
          </cell>
          <cell r="B418">
            <v>10</v>
          </cell>
          <cell r="C418" t="str">
            <v>ALA Group charges- Individual life</v>
          </cell>
          <cell r="D418">
            <v>0</v>
          </cell>
          <cell r="H418" t="str">
            <v/>
          </cell>
        </row>
        <row r="419">
          <cell r="A419" t="str">
            <v>145-10-020</v>
          </cell>
          <cell r="B419">
            <v>6</v>
          </cell>
          <cell r="C419" t="str">
            <v>Actuarial fees- Individual life</v>
          </cell>
          <cell r="D419">
            <v>0</v>
          </cell>
          <cell r="H419" t="str">
            <v/>
          </cell>
        </row>
        <row r="420">
          <cell r="A420" t="str">
            <v>145-10-020</v>
          </cell>
          <cell r="B420">
            <v>4</v>
          </cell>
          <cell r="C420" t="str">
            <v>Actuarial fees- Individual life</v>
          </cell>
          <cell r="D420">
            <v>0</v>
          </cell>
          <cell r="H420" t="str">
            <v/>
          </cell>
        </row>
        <row r="421">
          <cell r="A421" t="str">
            <v>145-10-020</v>
          </cell>
          <cell r="B421">
            <v>1</v>
          </cell>
          <cell r="C421" t="str">
            <v>Actuarial fees- Individual life</v>
          </cell>
          <cell r="D421">
            <v>0</v>
          </cell>
          <cell r="H421" t="str">
            <v/>
          </cell>
        </row>
        <row r="422">
          <cell r="A422" t="str">
            <v>145-10-020</v>
          </cell>
          <cell r="B422">
            <v>8</v>
          </cell>
          <cell r="C422" t="str">
            <v>Actuarial fees- Individual life</v>
          </cell>
          <cell r="D422">
            <v>0</v>
          </cell>
          <cell r="G422">
            <v>0</v>
          </cell>
          <cell r="H422" t="str">
            <v/>
          </cell>
        </row>
        <row r="423">
          <cell r="A423" t="str">
            <v>145-10-020</v>
          </cell>
          <cell r="B423">
            <v>9</v>
          </cell>
          <cell r="C423" t="str">
            <v>Actuarial fees- Individual life</v>
          </cell>
          <cell r="D423">
            <v>0</v>
          </cell>
          <cell r="H423" t="str">
            <v/>
          </cell>
        </row>
        <row r="424">
          <cell r="A424" t="str">
            <v>145-10-020</v>
          </cell>
          <cell r="B424">
            <v>7</v>
          </cell>
          <cell r="C424" t="str">
            <v>Actuarial fees- Individual life</v>
          </cell>
          <cell r="D424">
            <v>0</v>
          </cell>
          <cell r="H424" t="str">
            <v/>
          </cell>
        </row>
        <row r="425">
          <cell r="A425" t="str">
            <v>145-10-020</v>
          </cell>
          <cell r="B425">
            <v>2</v>
          </cell>
          <cell r="C425" t="str">
            <v>Actuarial fees- Individual life</v>
          </cell>
          <cell r="D425">
            <v>4500000</v>
          </cell>
          <cell r="F425">
            <v>2103310</v>
          </cell>
          <cell r="G425">
            <v>4206620</v>
          </cell>
          <cell r="H425">
            <v>1.0697424535612914</v>
          </cell>
        </row>
        <row r="426">
          <cell r="A426" t="str">
            <v>145-10-020</v>
          </cell>
          <cell r="B426">
            <v>5</v>
          </cell>
          <cell r="C426" t="str">
            <v>Actuarial fees- Individual life</v>
          </cell>
          <cell r="D426">
            <v>0</v>
          </cell>
        </row>
        <row r="427">
          <cell r="A427" t="str">
            <v>145-10-020</v>
          </cell>
          <cell r="B427">
            <v>3</v>
          </cell>
          <cell r="C427" t="str">
            <v>Actuarial fees- Individual life</v>
          </cell>
          <cell r="D427">
            <v>0</v>
          </cell>
          <cell r="H427" t="str">
            <v xml:space="preserve"> </v>
          </cell>
        </row>
        <row r="428">
          <cell r="A428" t="str">
            <v>145-10-020</v>
          </cell>
          <cell r="B428">
            <v>10</v>
          </cell>
          <cell r="C428" t="str">
            <v>Actuarial fees- Individual life</v>
          </cell>
          <cell r="D428">
            <v>0</v>
          </cell>
          <cell r="H428" t="str">
            <v/>
          </cell>
        </row>
        <row r="429">
          <cell r="A429" t="str">
            <v>145-10-030</v>
          </cell>
          <cell r="B429">
            <v>6</v>
          </cell>
          <cell r="C429" t="str">
            <v>Audit fee -individual life</v>
          </cell>
          <cell r="D429">
            <v>0</v>
          </cell>
          <cell r="H429" t="str">
            <v/>
          </cell>
        </row>
        <row r="430">
          <cell r="A430" t="str">
            <v>145-10-030</v>
          </cell>
          <cell r="B430">
            <v>4</v>
          </cell>
          <cell r="C430" t="str">
            <v>Audit fee -individual life</v>
          </cell>
          <cell r="D430">
            <v>0</v>
          </cell>
          <cell r="H430" t="str">
            <v/>
          </cell>
        </row>
        <row r="431">
          <cell r="A431" t="str">
            <v>145-10-030</v>
          </cell>
          <cell r="B431">
            <v>1</v>
          </cell>
          <cell r="C431" t="str">
            <v>Audit fee -individual life</v>
          </cell>
          <cell r="D431">
            <v>0</v>
          </cell>
          <cell r="H431" t="str">
            <v/>
          </cell>
        </row>
        <row r="432">
          <cell r="A432" t="str">
            <v>145-10-030</v>
          </cell>
          <cell r="B432">
            <v>8</v>
          </cell>
          <cell r="C432" t="str">
            <v>Audit fee -individual life</v>
          </cell>
          <cell r="D432">
            <v>1200000</v>
          </cell>
          <cell r="F432">
            <v>475002</v>
          </cell>
          <cell r="G432">
            <v>950004</v>
          </cell>
          <cell r="H432">
            <v>1.2631525761996791</v>
          </cell>
        </row>
        <row r="433">
          <cell r="A433" t="str">
            <v>145-10-030</v>
          </cell>
          <cell r="B433">
            <v>9</v>
          </cell>
          <cell r="C433" t="str">
            <v>Audit fee -individual life</v>
          </cell>
          <cell r="D433">
            <v>0</v>
          </cell>
          <cell r="H433" t="str">
            <v/>
          </cell>
        </row>
        <row r="434">
          <cell r="A434" t="str">
            <v>145-10-030</v>
          </cell>
          <cell r="B434">
            <v>7</v>
          </cell>
          <cell r="C434" t="str">
            <v>Audit fee -individual life</v>
          </cell>
          <cell r="D434">
            <v>0</v>
          </cell>
          <cell r="H434" t="str">
            <v/>
          </cell>
        </row>
        <row r="435">
          <cell r="A435" t="str">
            <v>145-10-030</v>
          </cell>
          <cell r="B435">
            <v>2</v>
          </cell>
          <cell r="C435" t="str">
            <v>Audit fee -individual life</v>
          </cell>
          <cell r="H435" t="str">
            <v/>
          </cell>
        </row>
        <row r="436">
          <cell r="A436" t="str">
            <v>145-10-030</v>
          </cell>
          <cell r="B436">
            <v>5</v>
          </cell>
          <cell r="C436" t="str">
            <v>Audit fee -individual life</v>
          </cell>
          <cell r="D436">
            <v>0</v>
          </cell>
        </row>
        <row r="437">
          <cell r="A437" t="str">
            <v>145-10-030</v>
          </cell>
          <cell r="B437">
            <v>3</v>
          </cell>
          <cell r="C437" t="str">
            <v>Audit fee -individual life</v>
          </cell>
          <cell r="D437">
            <v>0</v>
          </cell>
          <cell r="H437" t="str">
            <v xml:space="preserve"> </v>
          </cell>
        </row>
        <row r="438">
          <cell r="A438" t="str">
            <v>145-10-030</v>
          </cell>
          <cell r="B438">
            <v>10</v>
          </cell>
          <cell r="C438" t="str">
            <v>Audit fee -individual life</v>
          </cell>
          <cell r="D438">
            <v>0</v>
          </cell>
          <cell r="H438" t="str">
            <v/>
          </cell>
        </row>
        <row r="439">
          <cell r="A439" t="str">
            <v>145-10-031</v>
          </cell>
          <cell r="B439">
            <v>6</v>
          </cell>
          <cell r="C439" t="str">
            <v>Tax filing returns</v>
          </cell>
          <cell r="D439">
            <v>0</v>
          </cell>
          <cell r="H439" t="str">
            <v/>
          </cell>
        </row>
        <row r="440">
          <cell r="A440" t="str">
            <v>145-10-031</v>
          </cell>
          <cell r="B440">
            <v>4</v>
          </cell>
          <cell r="C440" t="str">
            <v>Tax filing returns</v>
          </cell>
          <cell r="D440">
            <v>0</v>
          </cell>
          <cell r="H440" t="str">
            <v/>
          </cell>
        </row>
        <row r="441">
          <cell r="A441" t="str">
            <v>145-10-031</v>
          </cell>
          <cell r="B441">
            <v>1</v>
          </cell>
          <cell r="C441" t="str">
            <v>Tax filing returns</v>
          </cell>
          <cell r="D441">
            <v>0</v>
          </cell>
          <cell r="H441" t="str">
            <v/>
          </cell>
        </row>
        <row r="442">
          <cell r="A442" t="str">
            <v>145-10-031</v>
          </cell>
          <cell r="B442">
            <v>8</v>
          </cell>
          <cell r="C442" t="str">
            <v>Tax filing returns</v>
          </cell>
          <cell r="D442">
            <v>400000</v>
          </cell>
          <cell r="G442">
            <v>250000</v>
          </cell>
          <cell r="H442">
            <v>1.6</v>
          </cell>
        </row>
        <row r="443">
          <cell r="A443" t="str">
            <v>145-10-031</v>
          </cell>
          <cell r="B443">
            <v>9</v>
          </cell>
          <cell r="C443" t="str">
            <v>Tax filing returns</v>
          </cell>
          <cell r="D443">
            <v>0</v>
          </cell>
          <cell r="H443" t="str">
            <v/>
          </cell>
        </row>
        <row r="444">
          <cell r="A444" t="str">
            <v>145-10-031</v>
          </cell>
          <cell r="B444">
            <v>7</v>
          </cell>
          <cell r="C444" t="str">
            <v>Tax filing returns</v>
          </cell>
          <cell r="D444">
            <v>0</v>
          </cell>
          <cell r="H444" t="str">
            <v/>
          </cell>
        </row>
        <row r="445">
          <cell r="A445" t="str">
            <v>145-10-031</v>
          </cell>
          <cell r="B445">
            <v>2</v>
          </cell>
          <cell r="C445" t="str">
            <v>Tax filing returns</v>
          </cell>
          <cell r="D445">
            <v>0</v>
          </cell>
          <cell r="H445" t="str">
            <v/>
          </cell>
        </row>
        <row r="446">
          <cell r="A446" t="str">
            <v>145-10-031</v>
          </cell>
          <cell r="B446">
            <v>5</v>
          </cell>
          <cell r="C446" t="str">
            <v>Tax filing returns</v>
          </cell>
          <cell r="D446">
            <v>0</v>
          </cell>
        </row>
        <row r="447">
          <cell r="A447" t="str">
            <v>145-10-031</v>
          </cell>
          <cell r="B447">
            <v>3</v>
          </cell>
          <cell r="C447" t="str">
            <v>Tax filing returns</v>
          </cell>
          <cell r="D447">
            <v>0</v>
          </cell>
          <cell r="H447" t="str">
            <v xml:space="preserve"> </v>
          </cell>
        </row>
        <row r="448">
          <cell r="A448" t="str">
            <v>145-10-031</v>
          </cell>
          <cell r="B448">
            <v>10</v>
          </cell>
          <cell r="C448" t="str">
            <v>Tax filing returns</v>
          </cell>
          <cell r="D448">
            <v>0</v>
          </cell>
          <cell r="H448" t="str">
            <v/>
          </cell>
        </row>
        <row r="449">
          <cell r="A449" t="str">
            <v>145-10-040</v>
          </cell>
          <cell r="B449">
            <v>6</v>
          </cell>
          <cell r="C449" t="str">
            <v>Legal fees</v>
          </cell>
          <cell r="D449">
            <v>0</v>
          </cell>
          <cell r="F449">
            <v>0</v>
          </cell>
          <cell r="G449">
            <v>0</v>
          </cell>
          <cell r="H449" t="str">
            <v/>
          </cell>
        </row>
        <row r="450">
          <cell r="A450" t="str">
            <v>145-10-040</v>
          </cell>
          <cell r="B450">
            <v>1</v>
          </cell>
          <cell r="C450" t="str">
            <v>Legal fees</v>
          </cell>
          <cell r="D450">
            <v>50000</v>
          </cell>
          <cell r="F450">
            <v>0</v>
          </cell>
          <cell r="G450">
            <v>0</v>
          </cell>
          <cell r="H450" t="str">
            <v/>
          </cell>
        </row>
        <row r="451">
          <cell r="A451" t="str">
            <v>165-10-040</v>
          </cell>
          <cell r="B451">
            <v>1</v>
          </cell>
          <cell r="C451" t="str">
            <v>exceptional item</v>
          </cell>
          <cell r="D451">
            <v>2050000</v>
          </cell>
          <cell r="F451">
            <v>10000</v>
          </cell>
          <cell r="G451">
            <v>20000</v>
          </cell>
          <cell r="H451">
            <v>105</v>
          </cell>
        </row>
        <row r="452">
          <cell r="A452" t="str">
            <v>145-10-040</v>
          </cell>
          <cell r="B452">
            <v>8</v>
          </cell>
          <cell r="C452" t="str">
            <v>Legal fees</v>
          </cell>
          <cell r="D452">
            <v>0</v>
          </cell>
          <cell r="F452">
            <v>0</v>
          </cell>
          <cell r="G452">
            <v>0</v>
          </cell>
          <cell r="H452" t="str">
            <v/>
          </cell>
        </row>
        <row r="453">
          <cell r="A453" t="str">
            <v>145-10-040</v>
          </cell>
          <cell r="B453">
            <v>9</v>
          </cell>
          <cell r="C453" t="str">
            <v>Legal fees</v>
          </cell>
          <cell r="D453">
            <v>0</v>
          </cell>
          <cell r="F453">
            <v>0</v>
          </cell>
          <cell r="G453">
            <v>0</v>
          </cell>
          <cell r="H453" t="str">
            <v/>
          </cell>
        </row>
        <row r="454">
          <cell r="A454" t="str">
            <v>145-10-040</v>
          </cell>
          <cell r="B454">
            <v>7</v>
          </cell>
          <cell r="C454" t="str">
            <v>Legal fees</v>
          </cell>
          <cell r="D454">
            <v>0</v>
          </cell>
          <cell r="F454">
            <v>0</v>
          </cell>
          <cell r="G454">
            <v>0</v>
          </cell>
          <cell r="H454" t="str">
            <v/>
          </cell>
        </row>
        <row r="455">
          <cell r="A455" t="str">
            <v>145-10-040</v>
          </cell>
          <cell r="B455">
            <v>2</v>
          </cell>
          <cell r="C455" t="str">
            <v>Legal fees</v>
          </cell>
          <cell r="D455">
            <v>150000</v>
          </cell>
          <cell r="F455">
            <v>168519.15</v>
          </cell>
          <cell r="G455">
            <v>168519</v>
          </cell>
          <cell r="H455">
            <v>0.89010734694604166</v>
          </cell>
        </row>
        <row r="456">
          <cell r="A456" t="str">
            <v>145-10-040</v>
          </cell>
          <cell r="B456">
            <v>5</v>
          </cell>
          <cell r="C456" t="str">
            <v>Legal fees</v>
          </cell>
          <cell r="D456">
            <v>0</v>
          </cell>
          <cell r="F456">
            <v>0</v>
          </cell>
          <cell r="G456">
            <v>0</v>
          </cell>
        </row>
        <row r="457">
          <cell r="A457" t="str">
            <v>145-10-040</v>
          </cell>
          <cell r="B457">
            <v>3</v>
          </cell>
          <cell r="C457" t="str">
            <v>Legal fees</v>
          </cell>
          <cell r="D457">
            <v>0</v>
          </cell>
          <cell r="F457">
            <v>0</v>
          </cell>
          <cell r="G457">
            <v>0</v>
          </cell>
          <cell r="H457" t="str">
            <v xml:space="preserve"> </v>
          </cell>
        </row>
        <row r="458">
          <cell r="A458" t="str">
            <v>145-10-040</v>
          </cell>
          <cell r="B458">
            <v>10</v>
          </cell>
          <cell r="C458" t="str">
            <v>Legal fees</v>
          </cell>
          <cell r="D458">
            <v>0</v>
          </cell>
          <cell r="F458">
            <v>0</v>
          </cell>
          <cell r="G458">
            <v>0</v>
          </cell>
          <cell r="H458" t="str">
            <v/>
          </cell>
        </row>
        <row r="459">
          <cell r="A459" t="str">
            <v>145-10-060</v>
          </cell>
          <cell r="B459">
            <v>6</v>
          </cell>
          <cell r="C459" t="str">
            <v>Intra company charges- individual life</v>
          </cell>
          <cell r="D459">
            <v>0</v>
          </cell>
          <cell r="H459" t="str">
            <v/>
          </cell>
        </row>
        <row r="460">
          <cell r="A460" t="str">
            <v>145-10-060</v>
          </cell>
          <cell r="B460">
            <v>4</v>
          </cell>
          <cell r="C460" t="str">
            <v>Intra company charges- individual life</v>
          </cell>
          <cell r="D460">
            <v>0</v>
          </cell>
          <cell r="H460" t="str">
            <v/>
          </cell>
        </row>
        <row r="461">
          <cell r="A461" t="str">
            <v>145-10-060</v>
          </cell>
          <cell r="B461">
            <v>1</v>
          </cell>
          <cell r="C461" t="str">
            <v>Intra company charges- individual life</v>
          </cell>
          <cell r="D461">
            <v>0</v>
          </cell>
          <cell r="H461" t="str">
            <v/>
          </cell>
        </row>
        <row r="462">
          <cell r="A462" t="str">
            <v>145-10-060</v>
          </cell>
          <cell r="B462">
            <v>8</v>
          </cell>
          <cell r="C462" t="str">
            <v>Intra company charges- individual life</v>
          </cell>
          <cell r="H462" t="str">
            <v/>
          </cell>
        </row>
        <row r="463">
          <cell r="A463" t="str">
            <v>145-10-060</v>
          </cell>
          <cell r="B463">
            <v>8</v>
          </cell>
          <cell r="C463" t="str">
            <v>Share of Holding Co. expenses</v>
          </cell>
          <cell r="D463">
            <v>7764481.4879249996</v>
          </cell>
          <cell r="G463">
            <v>4874373</v>
          </cell>
          <cell r="H463">
            <v>1.242421587338002</v>
          </cell>
        </row>
        <row r="464">
          <cell r="A464" t="str">
            <v>145-10-060</v>
          </cell>
          <cell r="B464">
            <v>9</v>
          </cell>
          <cell r="C464" t="str">
            <v>Intra company charges- individual life</v>
          </cell>
          <cell r="D464">
            <v>0</v>
          </cell>
          <cell r="H464" t="str">
            <v/>
          </cell>
        </row>
        <row r="465">
          <cell r="A465" t="str">
            <v>145-10-060</v>
          </cell>
          <cell r="B465">
            <v>7</v>
          </cell>
          <cell r="C465" t="str">
            <v>Intra company charges- individual life</v>
          </cell>
          <cell r="D465">
            <v>0</v>
          </cell>
          <cell r="H465" t="str">
            <v/>
          </cell>
        </row>
        <row r="466">
          <cell r="A466" t="str">
            <v>145-10-060</v>
          </cell>
          <cell r="B466">
            <v>2</v>
          </cell>
          <cell r="C466" t="str">
            <v>Intra company charges- individual life</v>
          </cell>
          <cell r="D466">
            <v>0</v>
          </cell>
          <cell r="H466" t="str">
            <v/>
          </cell>
        </row>
        <row r="467">
          <cell r="A467" t="str">
            <v>145-10-060</v>
          </cell>
          <cell r="B467">
            <v>5</v>
          </cell>
          <cell r="C467" t="str">
            <v>Intra company charges- individual life</v>
          </cell>
          <cell r="D467">
            <v>0</v>
          </cell>
        </row>
        <row r="468">
          <cell r="A468" t="str">
            <v>145-10-060</v>
          </cell>
          <cell r="B468">
            <v>3</v>
          </cell>
          <cell r="C468" t="str">
            <v>Intra company charges- individual life</v>
          </cell>
          <cell r="D468">
            <v>0</v>
          </cell>
          <cell r="H468" t="str">
            <v xml:space="preserve"> </v>
          </cell>
        </row>
        <row r="469">
          <cell r="A469" t="str">
            <v>145-10-080</v>
          </cell>
          <cell r="B469">
            <v>8</v>
          </cell>
          <cell r="C469" t="str">
            <v>40% Excutive recharge</v>
          </cell>
          <cell r="G469">
            <v>0</v>
          </cell>
          <cell r="H469" t="str">
            <v/>
          </cell>
        </row>
        <row r="470">
          <cell r="A470" t="str">
            <v>145-10-080</v>
          </cell>
          <cell r="B470">
            <v>8</v>
          </cell>
          <cell r="C470" t="str">
            <v xml:space="preserve">Recharges: 10% recharge to Corporate </v>
          </cell>
          <cell r="D470">
            <v>-4451186.2750000004</v>
          </cell>
          <cell r="G470">
            <v>-3224000</v>
          </cell>
          <cell r="H470" t="str">
            <v/>
          </cell>
        </row>
        <row r="471">
          <cell r="A471" t="str">
            <v>145-10-090</v>
          </cell>
          <cell r="B471">
            <v>1</v>
          </cell>
          <cell r="C471" t="str">
            <v>15% from executive</v>
          </cell>
          <cell r="D471">
            <v>-7169620.925999999</v>
          </cell>
          <cell r="G471">
            <v>-933000</v>
          </cell>
          <cell r="H471">
            <v>2.0709613562344913</v>
          </cell>
        </row>
        <row r="472">
          <cell r="A472" t="str">
            <v>145-10-100</v>
          </cell>
          <cell r="B472">
            <v>1</v>
          </cell>
          <cell r="C472" t="str">
            <v>Share of holding company expenses</v>
          </cell>
          <cell r="D472">
            <v>-1792405.2314999998</v>
          </cell>
          <cell r="G472">
            <v>-1627000</v>
          </cell>
          <cell r="H472">
            <v>9.6056014549839208</v>
          </cell>
        </row>
        <row r="473">
          <cell r="A473" t="str">
            <v>145-10-100</v>
          </cell>
          <cell r="B473">
            <v>8</v>
          </cell>
          <cell r="C473" t="str">
            <v xml:space="preserve">10% finance recharge to Hoilding Company </v>
          </cell>
          <cell r="D473">
            <v>-4451186.2750000004</v>
          </cell>
          <cell r="G473">
            <v>-1623000</v>
          </cell>
          <cell r="H473">
            <v>1.1016627114320834</v>
          </cell>
        </row>
        <row r="474">
          <cell r="A474" t="str">
            <v>145-10-110</v>
          </cell>
          <cell r="B474">
            <v>10</v>
          </cell>
          <cell r="C474" t="str">
            <v>OUT SOURCING PAYROLL</v>
          </cell>
          <cell r="D474">
            <v>360000</v>
          </cell>
          <cell r="H474">
            <v>2.7425670209488602</v>
          </cell>
        </row>
        <row r="475">
          <cell r="A475" t="str">
            <v>155-10-007</v>
          </cell>
          <cell r="B475">
            <v>6</v>
          </cell>
          <cell r="C475" t="str">
            <v>NEWSPAPERS &amp; JOURNALS</v>
          </cell>
          <cell r="D475">
            <v>15840</v>
          </cell>
          <cell r="F475">
            <v>1020</v>
          </cell>
          <cell r="G475">
            <v>8154</v>
          </cell>
          <cell r="H475">
            <v>1.9426048565121412</v>
          </cell>
        </row>
        <row r="476">
          <cell r="A476" t="str">
            <v>155-10-007</v>
          </cell>
          <cell r="B476">
            <v>4</v>
          </cell>
          <cell r="C476" t="str">
            <v>NEWSPAPERS &amp; JOURNALS</v>
          </cell>
          <cell r="D476">
            <v>13140</v>
          </cell>
          <cell r="F476">
            <v>6570</v>
          </cell>
          <cell r="G476">
            <v>13140</v>
          </cell>
          <cell r="H476">
            <v>1</v>
          </cell>
        </row>
        <row r="477">
          <cell r="A477" t="str">
            <v>155-10-007</v>
          </cell>
          <cell r="B477">
            <v>1</v>
          </cell>
          <cell r="C477" t="str">
            <v>NEWSPAPERS &amp; JOURNALS</v>
          </cell>
          <cell r="D477">
            <v>79680</v>
          </cell>
          <cell r="F477">
            <v>8885</v>
          </cell>
          <cell r="G477">
            <v>17770</v>
          </cell>
          <cell r="H477">
            <v>4.4839617332583002</v>
          </cell>
        </row>
        <row r="478">
          <cell r="A478" t="str">
            <v>155-10-007</v>
          </cell>
          <cell r="B478">
            <v>8</v>
          </cell>
          <cell r="C478" t="str">
            <v>NEWSPAPERS &amp; JOURNALS</v>
          </cell>
          <cell r="D478">
            <v>45600</v>
          </cell>
          <cell r="F478">
            <v>10575</v>
          </cell>
          <cell r="G478">
            <v>21150</v>
          </cell>
          <cell r="H478">
            <v>2.1560283687943262</v>
          </cell>
        </row>
        <row r="479">
          <cell r="A479" t="str">
            <v>155-10-007</v>
          </cell>
          <cell r="B479">
            <v>9</v>
          </cell>
          <cell r="C479" t="str">
            <v>NEWSPAPERS &amp; JOURNALS</v>
          </cell>
          <cell r="D479">
            <v>12000</v>
          </cell>
          <cell r="F479">
            <v>6815</v>
          </cell>
          <cell r="G479">
            <v>13630</v>
          </cell>
          <cell r="H479">
            <v>0.88041085840058697</v>
          </cell>
        </row>
        <row r="480">
          <cell r="A480" t="str">
            <v>155-10-007</v>
          </cell>
          <cell r="B480">
            <v>7</v>
          </cell>
          <cell r="C480" t="str">
            <v>NEWSPAPERS &amp; JOURNALS</v>
          </cell>
          <cell r="D480">
            <v>2640</v>
          </cell>
          <cell r="F480">
            <v>0</v>
          </cell>
          <cell r="G480">
            <v>2640</v>
          </cell>
          <cell r="H480">
            <v>1</v>
          </cell>
        </row>
        <row r="481">
          <cell r="A481" t="str">
            <v>155-10-007</v>
          </cell>
          <cell r="B481">
            <v>2</v>
          </cell>
          <cell r="C481" t="str">
            <v>NEWSPAPERS &amp; JOURNALS</v>
          </cell>
          <cell r="D481">
            <v>21120</v>
          </cell>
          <cell r="F481">
            <v>9280.4</v>
          </cell>
          <cell r="G481">
            <v>18560.8</v>
          </cell>
          <cell r="H481">
            <v>1.1378819878453514</v>
          </cell>
        </row>
        <row r="482">
          <cell r="A482" t="str">
            <v>155-10-007</v>
          </cell>
          <cell r="B482">
            <v>5</v>
          </cell>
          <cell r="C482" t="str">
            <v>NEWSPAPERS &amp; JOURNALS</v>
          </cell>
          <cell r="D482">
            <v>2880</v>
          </cell>
          <cell r="F482">
            <v>720</v>
          </cell>
          <cell r="G482">
            <v>1440</v>
          </cell>
          <cell r="H482">
            <v>2</v>
          </cell>
        </row>
        <row r="483">
          <cell r="A483" t="str">
            <v>155-10-007</v>
          </cell>
          <cell r="B483">
            <v>3</v>
          </cell>
          <cell r="C483" t="str">
            <v>NEWSPAPERS &amp; JOURNALS</v>
          </cell>
          <cell r="D483">
            <v>0</v>
          </cell>
          <cell r="F483">
            <v>1740</v>
          </cell>
          <cell r="G483">
            <v>3480</v>
          </cell>
          <cell r="H483">
            <v>0</v>
          </cell>
        </row>
        <row r="484">
          <cell r="A484" t="str">
            <v>155-10-007</v>
          </cell>
          <cell r="B484">
            <v>10</v>
          </cell>
          <cell r="C484" t="str">
            <v>NEWSPAPERS &amp; JOURNALS</v>
          </cell>
          <cell r="D484">
            <v>12000</v>
          </cell>
          <cell r="F484">
            <v>1740</v>
          </cell>
          <cell r="G484">
            <v>3480</v>
          </cell>
          <cell r="H484">
            <v>3.4482758620689653</v>
          </cell>
        </row>
        <row r="485">
          <cell r="A485" t="str">
            <v>155-10-008</v>
          </cell>
          <cell r="B485">
            <v>6</v>
          </cell>
          <cell r="C485" t="str">
            <v>DONATIONS</v>
          </cell>
          <cell r="D485">
            <v>0</v>
          </cell>
          <cell r="F485">
            <v>0</v>
          </cell>
          <cell r="G485">
            <v>0</v>
          </cell>
          <cell r="H485" t="str">
            <v/>
          </cell>
        </row>
        <row r="486">
          <cell r="A486" t="str">
            <v>155-10-008</v>
          </cell>
          <cell r="B486">
            <v>6</v>
          </cell>
          <cell r="C486" t="str">
            <v>ENTERTAINMENT</v>
          </cell>
          <cell r="D486">
            <v>4000</v>
          </cell>
          <cell r="F486">
            <v>500</v>
          </cell>
          <cell r="G486">
            <v>1000</v>
          </cell>
          <cell r="H486">
            <v>4</v>
          </cell>
        </row>
        <row r="487">
          <cell r="A487" t="str">
            <v>155-10-008</v>
          </cell>
          <cell r="B487">
            <v>4</v>
          </cell>
          <cell r="C487" t="str">
            <v>DONATIONS</v>
          </cell>
          <cell r="D487">
            <v>0</v>
          </cell>
          <cell r="F487">
            <v>0</v>
          </cell>
          <cell r="G487">
            <v>0</v>
          </cell>
          <cell r="H487" t="str">
            <v/>
          </cell>
        </row>
        <row r="488">
          <cell r="A488" t="str">
            <v>155-10-008</v>
          </cell>
          <cell r="B488">
            <v>4</v>
          </cell>
          <cell r="C488" t="str">
            <v>ENTERTAINMENT</v>
          </cell>
          <cell r="F488">
            <v>1500</v>
          </cell>
          <cell r="G488">
            <v>3000</v>
          </cell>
          <cell r="H488">
            <v>0</v>
          </cell>
        </row>
        <row r="489">
          <cell r="A489" t="str">
            <v>155-10-008</v>
          </cell>
          <cell r="B489">
            <v>1</v>
          </cell>
          <cell r="C489" t="str">
            <v>DONATIONS</v>
          </cell>
          <cell r="D489">
            <v>100000</v>
          </cell>
          <cell r="G489">
            <v>0</v>
          </cell>
          <cell r="H489" t="str">
            <v/>
          </cell>
        </row>
        <row r="490">
          <cell r="A490" t="str">
            <v>155-10-008</v>
          </cell>
          <cell r="B490">
            <v>1</v>
          </cell>
          <cell r="C490" t="str">
            <v>ENTERTAINMENT</v>
          </cell>
          <cell r="D490">
            <v>612000</v>
          </cell>
          <cell r="F490">
            <v>91575.48</v>
          </cell>
          <cell r="G490">
            <v>183150.96</v>
          </cell>
          <cell r="H490">
            <v>3.341505826668886</v>
          </cell>
        </row>
        <row r="491">
          <cell r="A491" t="str">
            <v>155-10-008</v>
          </cell>
          <cell r="B491">
            <v>8</v>
          </cell>
          <cell r="C491" t="str">
            <v>DONATIONS</v>
          </cell>
          <cell r="D491">
            <v>0</v>
          </cell>
          <cell r="G491">
            <v>0</v>
          </cell>
          <cell r="H491" t="str">
            <v/>
          </cell>
        </row>
        <row r="492">
          <cell r="A492" t="str">
            <v>155-10-008</v>
          </cell>
          <cell r="B492">
            <v>8</v>
          </cell>
          <cell r="C492" t="str">
            <v>ENTERTAINMENT</v>
          </cell>
          <cell r="D492">
            <v>49500</v>
          </cell>
          <cell r="F492">
            <v>12650</v>
          </cell>
          <cell r="G492">
            <v>25300</v>
          </cell>
          <cell r="H492">
            <v>1.9565217391304348</v>
          </cell>
        </row>
        <row r="493">
          <cell r="A493" t="str">
            <v>155-10-008</v>
          </cell>
          <cell r="B493">
            <v>9</v>
          </cell>
          <cell r="C493" t="str">
            <v>DONATIONS</v>
          </cell>
          <cell r="D493">
            <v>0</v>
          </cell>
          <cell r="F493">
            <v>0</v>
          </cell>
          <cell r="G493">
            <v>0</v>
          </cell>
          <cell r="H493" t="str">
            <v/>
          </cell>
        </row>
        <row r="494">
          <cell r="A494" t="str">
            <v>155-10-008</v>
          </cell>
          <cell r="B494">
            <v>9</v>
          </cell>
          <cell r="C494" t="str">
            <v>ENTERTAINMENT</v>
          </cell>
          <cell r="D494">
            <v>5000</v>
          </cell>
          <cell r="F494">
            <v>0</v>
          </cell>
          <cell r="G494">
            <v>0</v>
          </cell>
          <cell r="H494" t="str">
            <v/>
          </cell>
        </row>
        <row r="495">
          <cell r="A495" t="str">
            <v>155-10-008</v>
          </cell>
          <cell r="B495">
            <v>7</v>
          </cell>
          <cell r="C495" t="str">
            <v>DONATIONS</v>
          </cell>
          <cell r="D495">
            <v>0</v>
          </cell>
          <cell r="F495">
            <v>0</v>
          </cell>
          <cell r="G495">
            <v>0</v>
          </cell>
          <cell r="H495" t="str">
            <v/>
          </cell>
        </row>
        <row r="496">
          <cell r="A496" t="str">
            <v>155-10-008</v>
          </cell>
          <cell r="B496">
            <v>7</v>
          </cell>
          <cell r="C496" t="str">
            <v>ENTERTAINMENT</v>
          </cell>
          <cell r="D496">
            <v>1000</v>
          </cell>
          <cell r="F496">
            <v>500</v>
          </cell>
          <cell r="G496">
            <v>1000</v>
          </cell>
          <cell r="H496">
            <v>1</v>
          </cell>
        </row>
        <row r="497">
          <cell r="A497" t="str">
            <v>155-10-008</v>
          </cell>
          <cell r="B497">
            <v>2</v>
          </cell>
          <cell r="C497" t="str">
            <v>DONATIONS</v>
          </cell>
          <cell r="D497">
            <v>0</v>
          </cell>
          <cell r="F497">
            <v>0</v>
          </cell>
          <cell r="G497">
            <v>0</v>
          </cell>
          <cell r="H497" t="str">
            <v/>
          </cell>
        </row>
        <row r="498">
          <cell r="A498" t="str">
            <v>155-10-008</v>
          </cell>
          <cell r="B498">
            <v>2</v>
          </cell>
          <cell r="C498" t="str">
            <v>ENTERTAINMENT</v>
          </cell>
          <cell r="D498">
            <v>20000</v>
          </cell>
          <cell r="F498">
            <v>0</v>
          </cell>
          <cell r="G498">
            <v>0</v>
          </cell>
          <cell r="H498" t="str">
            <v/>
          </cell>
        </row>
        <row r="499">
          <cell r="A499" t="str">
            <v>155-10-008</v>
          </cell>
          <cell r="B499">
            <v>5</v>
          </cell>
          <cell r="C499" t="str">
            <v>DONATIONS</v>
          </cell>
          <cell r="D499">
            <v>0</v>
          </cell>
          <cell r="F499">
            <v>0</v>
          </cell>
          <cell r="G499">
            <v>0</v>
          </cell>
        </row>
        <row r="500">
          <cell r="A500" t="str">
            <v>155-10-008</v>
          </cell>
          <cell r="B500">
            <v>5</v>
          </cell>
          <cell r="C500" t="str">
            <v>ENTERTAINMENT</v>
          </cell>
          <cell r="D500">
            <v>18000</v>
          </cell>
          <cell r="F500">
            <v>4500</v>
          </cell>
          <cell r="G500">
            <v>9000</v>
          </cell>
          <cell r="H500">
            <v>2</v>
          </cell>
        </row>
        <row r="501">
          <cell r="A501" t="str">
            <v>155-10-008</v>
          </cell>
          <cell r="B501">
            <v>3</v>
          </cell>
          <cell r="C501" t="str">
            <v>DONATIONS</v>
          </cell>
          <cell r="D501">
            <v>0</v>
          </cell>
          <cell r="F501">
            <v>0</v>
          </cell>
          <cell r="G501">
            <v>0</v>
          </cell>
          <cell r="H501" t="str">
            <v xml:space="preserve"> </v>
          </cell>
        </row>
        <row r="502">
          <cell r="A502" t="str">
            <v>155-10-008</v>
          </cell>
          <cell r="B502">
            <v>3</v>
          </cell>
          <cell r="C502" t="str">
            <v>ENTERTAINMENT</v>
          </cell>
          <cell r="D502">
            <v>30000</v>
          </cell>
          <cell r="F502">
            <v>8525</v>
          </cell>
          <cell r="G502">
            <v>17050</v>
          </cell>
          <cell r="H502">
            <v>1.7595307917888563</v>
          </cell>
        </row>
        <row r="503">
          <cell r="A503" t="str">
            <v>155-10-008</v>
          </cell>
          <cell r="B503">
            <v>10</v>
          </cell>
          <cell r="C503" t="str">
            <v>DONATIONS</v>
          </cell>
          <cell r="D503">
            <v>0</v>
          </cell>
          <cell r="F503">
            <v>0</v>
          </cell>
          <cell r="G503">
            <v>0</v>
          </cell>
          <cell r="H503" t="str">
            <v/>
          </cell>
        </row>
        <row r="504">
          <cell r="A504" t="str">
            <v>155-10-008</v>
          </cell>
          <cell r="B504">
            <v>10</v>
          </cell>
          <cell r="C504" t="str">
            <v>ENTERTAINMENT</v>
          </cell>
          <cell r="D504">
            <v>4800</v>
          </cell>
          <cell r="F504">
            <v>0</v>
          </cell>
          <cell r="G504">
            <v>2000</v>
          </cell>
          <cell r="H504">
            <v>2.4</v>
          </cell>
        </row>
        <row r="505">
          <cell r="A505" t="str">
            <v>155-10-009</v>
          </cell>
          <cell r="B505">
            <v>6</v>
          </cell>
          <cell r="C505" t="str">
            <v>COURIER &amp; FREIGHT CHARGES</v>
          </cell>
          <cell r="D505">
            <v>0</v>
          </cell>
          <cell r="H505" t="str">
            <v/>
          </cell>
        </row>
        <row r="506">
          <cell r="A506" t="str">
            <v>155-10-009</v>
          </cell>
          <cell r="B506">
            <v>4</v>
          </cell>
          <cell r="C506" t="str">
            <v>COURIER &amp; FREIGHT CHARGES</v>
          </cell>
          <cell r="D506">
            <v>0</v>
          </cell>
          <cell r="F506">
            <v>0</v>
          </cell>
          <cell r="G506">
            <v>0</v>
          </cell>
          <cell r="H506" t="str">
            <v/>
          </cell>
        </row>
        <row r="507">
          <cell r="A507" t="str">
            <v>155-10-009</v>
          </cell>
          <cell r="B507">
            <v>1</v>
          </cell>
          <cell r="C507" t="str">
            <v>COURIER &amp; FREIGHT CHARGES</v>
          </cell>
          <cell r="D507">
            <v>95076</v>
          </cell>
          <cell r="F507">
            <v>3026.7</v>
          </cell>
          <cell r="G507">
            <v>6053.4</v>
          </cell>
          <cell r="H507">
            <v>15.706214689265538</v>
          </cell>
        </row>
        <row r="508">
          <cell r="A508" t="str">
            <v>155-10-009</v>
          </cell>
          <cell r="B508">
            <v>8</v>
          </cell>
          <cell r="C508" t="str">
            <v>COURIER &amp; FREIGHT CHARGES</v>
          </cell>
          <cell r="D508">
            <v>15846</v>
          </cell>
          <cell r="F508">
            <v>2801.52</v>
          </cell>
          <cell r="G508">
            <v>5603.04</v>
          </cell>
          <cell r="H508">
            <v>2.8281075987321169</v>
          </cell>
        </row>
        <row r="509">
          <cell r="A509" t="str">
            <v>155-10-009</v>
          </cell>
          <cell r="B509">
            <v>9</v>
          </cell>
          <cell r="C509" t="str">
            <v>COURIER &amp; FREIGHT CHARGES</v>
          </cell>
          <cell r="D509">
            <v>0</v>
          </cell>
          <cell r="F509">
            <v>0</v>
          </cell>
          <cell r="G509">
            <v>0</v>
          </cell>
          <cell r="H509" t="str">
            <v/>
          </cell>
        </row>
        <row r="510">
          <cell r="A510" t="str">
            <v>155-10-009</v>
          </cell>
          <cell r="B510">
            <v>7</v>
          </cell>
          <cell r="C510" t="str">
            <v>COURIER &amp; FREIGHT CHARGES</v>
          </cell>
          <cell r="D510">
            <v>0</v>
          </cell>
          <cell r="G510">
            <v>0</v>
          </cell>
          <cell r="H510" t="str">
            <v/>
          </cell>
        </row>
        <row r="511">
          <cell r="A511" t="str">
            <v>155-10-009</v>
          </cell>
          <cell r="B511">
            <v>2</v>
          </cell>
          <cell r="C511" t="str">
            <v>COURIER &amp; FREIGHT CHARGES</v>
          </cell>
          <cell r="D511">
            <v>563076</v>
          </cell>
          <cell r="F511">
            <v>0</v>
          </cell>
          <cell r="G511">
            <v>400000</v>
          </cell>
          <cell r="H511">
            <v>1.4076900000000001</v>
          </cell>
        </row>
        <row r="512">
          <cell r="A512" t="str">
            <v>155-10-009</v>
          </cell>
          <cell r="B512">
            <v>5</v>
          </cell>
          <cell r="C512" t="str">
            <v>COURIER &amp; FREIGHT CHARGES</v>
          </cell>
          <cell r="D512">
            <v>0</v>
          </cell>
          <cell r="G512">
            <v>0</v>
          </cell>
        </row>
        <row r="513">
          <cell r="A513" t="str">
            <v>155-10-009</v>
          </cell>
          <cell r="B513">
            <v>3</v>
          </cell>
          <cell r="C513" t="str">
            <v>COURIER &amp; FREIGHT CHARGES</v>
          </cell>
          <cell r="D513">
            <v>6864</v>
          </cell>
          <cell r="F513">
            <v>400.22</v>
          </cell>
          <cell r="G513">
            <v>800.44</v>
          </cell>
          <cell r="H513">
            <v>8.5752835940232863</v>
          </cell>
        </row>
        <row r="514">
          <cell r="A514" t="str">
            <v>155-10-009</v>
          </cell>
          <cell r="B514">
            <v>10</v>
          </cell>
          <cell r="C514" t="str">
            <v>COURIER &amp; FREIGHT CHARGES</v>
          </cell>
          <cell r="D514">
            <v>2436</v>
          </cell>
          <cell r="F514">
            <v>4253.8999999999996</v>
          </cell>
          <cell r="G514">
            <v>8507.7999999999993</v>
          </cell>
          <cell r="H514">
            <v>0.2863254895507652</v>
          </cell>
        </row>
        <row r="515">
          <cell r="A515" t="str">
            <v>155-10-010</v>
          </cell>
          <cell r="B515">
            <v>6</v>
          </cell>
          <cell r="C515" t="str">
            <v>ADVERTISING &amp; PUBLICITY</v>
          </cell>
          <cell r="D515">
            <v>0</v>
          </cell>
          <cell r="F515">
            <v>0</v>
          </cell>
          <cell r="G515">
            <v>0</v>
          </cell>
          <cell r="H515" t="str">
            <v/>
          </cell>
        </row>
        <row r="516">
          <cell r="A516" t="str">
            <v>155-10-010</v>
          </cell>
          <cell r="B516">
            <v>4</v>
          </cell>
          <cell r="C516" t="str">
            <v>ADVERTISING &amp; PUBLICITY</v>
          </cell>
          <cell r="D516">
            <v>0</v>
          </cell>
          <cell r="F516">
            <v>0</v>
          </cell>
          <cell r="G516">
            <v>0</v>
          </cell>
          <cell r="H516" t="str">
            <v/>
          </cell>
        </row>
        <row r="517">
          <cell r="A517" t="str">
            <v>155-10-010</v>
          </cell>
          <cell r="B517">
            <v>1</v>
          </cell>
          <cell r="C517" t="str">
            <v>ADVERTISING &amp; PUBLICITY</v>
          </cell>
          <cell r="D517">
            <v>0</v>
          </cell>
          <cell r="F517">
            <v>0</v>
          </cell>
          <cell r="G517">
            <v>0</v>
          </cell>
          <cell r="H517" t="str">
            <v/>
          </cell>
        </row>
        <row r="518">
          <cell r="A518" t="str">
            <v>155-10-010</v>
          </cell>
          <cell r="B518">
            <v>8</v>
          </cell>
          <cell r="C518" t="str">
            <v>ADVERTISING &amp; PUBLICITY</v>
          </cell>
          <cell r="D518">
            <v>90000</v>
          </cell>
          <cell r="G518">
            <v>0</v>
          </cell>
          <cell r="H518" t="str">
            <v/>
          </cell>
        </row>
        <row r="519">
          <cell r="A519" t="str">
            <v>155-10-010</v>
          </cell>
          <cell r="B519">
            <v>9</v>
          </cell>
          <cell r="C519" t="str">
            <v>ADVERTISING &amp; PUBLICITY</v>
          </cell>
          <cell r="D519">
            <v>0</v>
          </cell>
          <cell r="F519">
            <v>0</v>
          </cell>
          <cell r="G519">
            <v>0</v>
          </cell>
          <cell r="H519" t="str">
            <v/>
          </cell>
        </row>
        <row r="520">
          <cell r="A520" t="str">
            <v>155-10-010</v>
          </cell>
          <cell r="B520">
            <v>7</v>
          </cell>
          <cell r="C520" t="str">
            <v>ADVERTISING &amp; PUBLICITY</v>
          </cell>
          <cell r="D520">
            <v>0</v>
          </cell>
          <cell r="F520">
            <v>0</v>
          </cell>
          <cell r="G520">
            <v>0</v>
          </cell>
          <cell r="H520" t="str">
            <v/>
          </cell>
        </row>
        <row r="521">
          <cell r="A521" t="str">
            <v>155-10-010</v>
          </cell>
          <cell r="B521">
            <v>2</v>
          </cell>
          <cell r="C521" t="str">
            <v>ADVERTISING &amp; PUBLICITY</v>
          </cell>
          <cell r="D521">
            <v>0</v>
          </cell>
          <cell r="F521">
            <v>0</v>
          </cell>
          <cell r="G521">
            <v>0</v>
          </cell>
          <cell r="H521" t="str">
            <v/>
          </cell>
        </row>
        <row r="522">
          <cell r="A522" t="str">
            <v>155-10-010</v>
          </cell>
          <cell r="B522">
            <v>5</v>
          </cell>
          <cell r="C522" t="str">
            <v>ADVERTISING &amp; PUBLICITY</v>
          </cell>
          <cell r="D522">
            <v>0</v>
          </cell>
          <cell r="F522">
            <v>0</v>
          </cell>
          <cell r="G522">
            <v>0</v>
          </cell>
        </row>
        <row r="523">
          <cell r="A523" t="str">
            <v>155-10-010</v>
          </cell>
          <cell r="B523">
            <v>3</v>
          </cell>
          <cell r="C523" t="str">
            <v>ADVERTISING &amp; PUBLICITY</v>
          </cell>
          <cell r="D523">
            <v>600000</v>
          </cell>
          <cell r="F523">
            <v>435000</v>
          </cell>
          <cell r="G523">
            <v>870000</v>
          </cell>
          <cell r="H523">
            <v>0.68965517241379315</v>
          </cell>
        </row>
        <row r="524">
          <cell r="A524" t="str">
            <v>155-10-010</v>
          </cell>
          <cell r="B524">
            <v>10</v>
          </cell>
          <cell r="C524" t="str">
            <v>ADVERTISING &amp; PUBLICITY</v>
          </cell>
          <cell r="D524">
            <v>0</v>
          </cell>
          <cell r="F524">
            <v>0</v>
          </cell>
          <cell r="G524">
            <v>0</v>
          </cell>
          <cell r="H524" t="str">
            <v/>
          </cell>
        </row>
        <row r="525">
          <cell r="A525" t="str">
            <v>155-10-012</v>
          </cell>
          <cell r="B525">
            <v>6</v>
          </cell>
          <cell r="C525" t="str">
            <v>TRADE LICENCES</v>
          </cell>
          <cell r="D525">
            <v>0</v>
          </cell>
          <cell r="F525">
            <v>0</v>
          </cell>
          <cell r="G525">
            <v>0</v>
          </cell>
          <cell r="H525" t="str">
            <v/>
          </cell>
        </row>
        <row r="526">
          <cell r="A526" t="str">
            <v>155-10-012</v>
          </cell>
          <cell r="B526">
            <v>4</v>
          </cell>
          <cell r="C526" t="str">
            <v>TRADE LICENCES</v>
          </cell>
          <cell r="D526">
            <v>0</v>
          </cell>
          <cell r="F526">
            <v>0</v>
          </cell>
          <cell r="G526">
            <v>0</v>
          </cell>
          <cell r="H526" t="str">
            <v/>
          </cell>
        </row>
        <row r="527">
          <cell r="A527" t="str">
            <v>155-10-012</v>
          </cell>
          <cell r="B527">
            <v>1</v>
          </cell>
          <cell r="C527" t="str">
            <v>TRADE LICENCES</v>
          </cell>
          <cell r="D527">
            <v>0</v>
          </cell>
          <cell r="F527">
            <v>0</v>
          </cell>
          <cell r="G527">
            <v>0</v>
          </cell>
          <cell r="H527" t="str">
            <v/>
          </cell>
        </row>
        <row r="528">
          <cell r="A528" t="str">
            <v>155-10-012</v>
          </cell>
          <cell r="B528">
            <v>8</v>
          </cell>
          <cell r="C528" t="str">
            <v>TRADE LICENCES</v>
          </cell>
          <cell r="G528">
            <v>0</v>
          </cell>
          <cell r="H528" t="str">
            <v/>
          </cell>
        </row>
        <row r="529">
          <cell r="A529" t="str">
            <v>155-10-012</v>
          </cell>
          <cell r="B529">
            <v>9</v>
          </cell>
          <cell r="C529" t="str">
            <v>TRADE LICENCES</v>
          </cell>
          <cell r="D529">
            <v>0</v>
          </cell>
          <cell r="F529">
            <v>0</v>
          </cell>
          <cell r="G529">
            <v>0</v>
          </cell>
          <cell r="H529" t="str">
            <v/>
          </cell>
        </row>
        <row r="530">
          <cell r="A530" t="str">
            <v>155-10-012</v>
          </cell>
          <cell r="B530">
            <v>7</v>
          </cell>
          <cell r="C530" t="str">
            <v>TRADE LICENCES</v>
          </cell>
          <cell r="D530">
            <v>0</v>
          </cell>
          <cell r="F530">
            <v>0</v>
          </cell>
          <cell r="G530">
            <v>0</v>
          </cell>
          <cell r="H530" t="str">
            <v/>
          </cell>
        </row>
        <row r="531">
          <cell r="A531" t="str">
            <v>155-10-012</v>
          </cell>
          <cell r="B531">
            <v>2</v>
          </cell>
          <cell r="C531" t="str">
            <v>TRADE LICENCES</v>
          </cell>
          <cell r="D531">
            <v>0</v>
          </cell>
          <cell r="F531">
            <v>0</v>
          </cell>
          <cell r="G531">
            <v>0</v>
          </cell>
          <cell r="H531" t="str">
            <v/>
          </cell>
        </row>
        <row r="532">
          <cell r="A532" t="str">
            <v>155-10-012</v>
          </cell>
          <cell r="B532">
            <v>5</v>
          </cell>
          <cell r="C532" t="str">
            <v>TRADE LICENCES</v>
          </cell>
          <cell r="D532">
            <v>0</v>
          </cell>
          <cell r="F532">
            <v>0</v>
          </cell>
          <cell r="G532">
            <v>0</v>
          </cell>
        </row>
        <row r="533">
          <cell r="A533" t="str">
            <v>155-10-012</v>
          </cell>
          <cell r="B533">
            <v>3</v>
          </cell>
          <cell r="C533" t="str">
            <v>TRADE LICENCES</v>
          </cell>
          <cell r="D533">
            <v>0</v>
          </cell>
          <cell r="F533">
            <v>0</v>
          </cell>
          <cell r="G533">
            <v>0</v>
          </cell>
          <cell r="H533" t="str">
            <v xml:space="preserve"> </v>
          </cell>
        </row>
        <row r="534">
          <cell r="A534" t="str">
            <v>155-10-012</v>
          </cell>
          <cell r="B534">
            <v>10</v>
          </cell>
          <cell r="C534" t="str">
            <v>TRADE LICENCES</v>
          </cell>
          <cell r="D534">
            <v>150000</v>
          </cell>
          <cell r="F534">
            <v>0</v>
          </cell>
          <cell r="G534">
            <v>150000</v>
          </cell>
          <cell r="H534">
            <v>1</v>
          </cell>
        </row>
        <row r="535">
          <cell r="A535" t="str">
            <v>155-10-013</v>
          </cell>
          <cell r="B535">
            <v>6</v>
          </cell>
          <cell r="C535" t="str">
            <v>INSURANCES</v>
          </cell>
          <cell r="D535">
            <v>0</v>
          </cell>
          <cell r="F535">
            <v>0</v>
          </cell>
          <cell r="G535">
            <v>0</v>
          </cell>
          <cell r="H535" t="str">
            <v/>
          </cell>
        </row>
        <row r="536">
          <cell r="A536" t="str">
            <v>155-10-013</v>
          </cell>
          <cell r="B536">
            <v>4</v>
          </cell>
          <cell r="C536" t="str">
            <v>INSURANCES</v>
          </cell>
          <cell r="D536">
            <v>0</v>
          </cell>
          <cell r="F536">
            <v>0</v>
          </cell>
          <cell r="G536">
            <v>0</v>
          </cell>
          <cell r="H536" t="str">
            <v/>
          </cell>
        </row>
        <row r="537">
          <cell r="A537" t="str">
            <v>155-10-013</v>
          </cell>
          <cell r="B537">
            <v>1</v>
          </cell>
          <cell r="C537" t="str">
            <v>INSURANCES</v>
          </cell>
          <cell r="D537">
            <v>0</v>
          </cell>
          <cell r="F537">
            <v>0</v>
          </cell>
          <cell r="G537">
            <v>0</v>
          </cell>
          <cell r="H537" t="str">
            <v/>
          </cell>
        </row>
        <row r="538">
          <cell r="A538" t="str">
            <v>155-10-013</v>
          </cell>
          <cell r="B538">
            <v>8</v>
          </cell>
          <cell r="C538" t="str">
            <v>INSURANCES</v>
          </cell>
          <cell r="D538">
            <v>1122829</v>
          </cell>
          <cell r="F538">
            <v>778951</v>
          </cell>
          <cell r="G538">
            <v>778951</v>
          </cell>
          <cell r="H538">
            <v>1.4414629418281766</v>
          </cell>
        </row>
        <row r="539">
          <cell r="A539" t="str">
            <v>155-10-013</v>
          </cell>
          <cell r="B539">
            <v>9</v>
          </cell>
          <cell r="C539" t="str">
            <v>INSURANCES</v>
          </cell>
          <cell r="D539">
            <v>0</v>
          </cell>
          <cell r="F539">
            <v>0</v>
          </cell>
          <cell r="G539">
            <v>0</v>
          </cell>
          <cell r="H539" t="str">
            <v/>
          </cell>
        </row>
        <row r="540">
          <cell r="A540" t="str">
            <v>155-10-013</v>
          </cell>
          <cell r="B540">
            <v>7</v>
          </cell>
          <cell r="C540" t="str">
            <v>INSURANCES</v>
          </cell>
          <cell r="D540">
            <v>0</v>
          </cell>
          <cell r="F540">
            <v>0</v>
          </cell>
          <cell r="G540">
            <v>0</v>
          </cell>
          <cell r="H540" t="str">
            <v/>
          </cell>
        </row>
        <row r="541">
          <cell r="A541" t="str">
            <v>155-10-013</v>
          </cell>
          <cell r="B541">
            <v>2</v>
          </cell>
          <cell r="C541" t="str">
            <v>INSURANCES</v>
          </cell>
          <cell r="D541">
            <v>0</v>
          </cell>
          <cell r="H541" t="str">
            <v/>
          </cell>
        </row>
        <row r="542">
          <cell r="A542" t="str">
            <v>155-10-013</v>
          </cell>
          <cell r="B542">
            <v>5</v>
          </cell>
          <cell r="C542" t="str">
            <v>INSURANCES</v>
          </cell>
          <cell r="D542">
            <v>0</v>
          </cell>
          <cell r="F542">
            <v>0</v>
          </cell>
          <cell r="G542">
            <v>0</v>
          </cell>
        </row>
        <row r="543">
          <cell r="A543" t="str">
            <v>155-10-013</v>
          </cell>
          <cell r="B543">
            <v>3</v>
          </cell>
          <cell r="C543" t="str">
            <v>INSURANCES</v>
          </cell>
          <cell r="D543">
            <v>0</v>
          </cell>
          <cell r="F543">
            <v>0</v>
          </cell>
          <cell r="G543">
            <v>0</v>
          </cell>
          <cell r="H543" t="str">
            <v xml:space="preserve"> </v>
          </cell>
        </row>
        <row r="544">
          <cell r="A544" t="str">
            <v>155-10-013</v>
          </cell>
          <cell r="B544">
            <v>10</v>
          </cell>
          <cell r="C544" t="str">
            <v>INSURANCES</v>
          </cell>
          <cell r="D544">
            <v>0</v>
          </cell>
          <cell r="F544">
            <v>0</v>
          </cell>
          <cell r="G544">
            <v>0</v>
          </cell>
          <cell r="H544" t="str">
            <v/>
          </cell>
        </row>
        <row r="545">
          <cell r="A545" t="str">
            <v>155-10-014</v>
          </cell>
          <cell r="B545">
            <v>6</v>
          </cell>
          <cell r="C545" t="str">
            <v>PHOTOCOPY</v>
          </cell>
          <cell r="D545">
            <v>0</v>
          </cell>
          <cell r="F545">
            <v>0</v>
          </cell>
          <cell r="G545">
            <v>0</v>
          </cell>
          <cell r="H545" t="str">
            <v/>
          </cell>
        </row>
        <row r="546">
          <cell r="A546" t="str">
            <v>155-10-014</v>
          </cell>
          <cell r="B546">
            <v>4</v>
          </cell>
          <cell r="C546" t="str">
            <v>PHOTOCOPY</v>
          </cell>
          <cell r="D546">
            <v>0</v>
          </cell>
          <cell r="F546">
            <v>0</v>
          </cell>
          <cell r="G546">
            <v>0</v>
          </cell>
          <cell r="H546" t="str">
            <v/>
          </cell>
        </row>
        <row r="547">
          <cell r="A547" t="str">
            <v>155-10-014</v>
          </cell>
          <cell r="B547">
            <v>1</v>
          </cell>
          <cell r="C547" t="str">
            <v>PHOTOCOPY</v>
          </cell>
          <cell r="D547">
            <v>0</v>
          </cell>
          <cell r="F547">
            <v>0</v>
          </cell>
          <cell r="G547">
            <v>0</v>
          </cell>
          <cell r="H547" t="str">
            <v/>
          </cell>
        </row>
        <row r="548">
          <cell r="A548" t="str">
            <v>155-10-014</v>
          </cell>
          <cell r="B548">
            <v>8</v>
          </cell>
          <cell r="C548" t="str">
            <v>PHOTOCOPY</v>
          </cell>
          <cell r="D548">
            <v>62400</v>
          </cell>
          <cell r="G548">
            <v>0</v>
          </cell>
          <cell r="H548" t="str">
            <v/>
          </cell>
        </row>
        <row r="549">
          <cell r="A549" t="str">
            <v>155-10-014</v>
          </cell>
          <cell r="B549">
            <v>9</v>
          </cell>
          <cell r="C549" t="str">
            <v>PHOTOCOPY</v>
          </cell>
          <cell r="D549">
            <v>0</v>
          </cell>
          <cell r="F549">
            <v>0</v>
          </cell>
          <cell r="G549">
            <v>0</v>
          </cell>
          <cell r="H549" t="str">
            <v/>
          </cell>
        </row>
        <row r="550">
          <cell r="A550" t="str">
            <v>155-10-014</v>
          </cell>
          <cell r="B550">
            <v>7</v>
          </cell>
          <cell r="C550" t="str">
            <v>PHOTOCOPY</v>
          </cell>
          <cell r="D550">
            <v>0</v>
          </cell>
          <cell r="F550">
            <v>0</v>
          </cell>
          <cell r="G550">
            <v>0</v>
          </cell>
          <cell r="H550" t="str">
            <v/>
          </cell>
        </row>
        <row r="551">
          <cell r="A551" t="str">
            <v>155-10-014</v>
          </cell>
          <cell r="B551">
            <v>2</v>
          </cell>
          <cell r="C551" t="str">
            <v>PHOTOCOPY</v>
          </cell>
          <cell r="D551">
            <v>0</v>
          </cell>
          <cell r="F551">
            <v>0</v>
          </cell>
          <cell r="G551">
            <v>0</v>
          </cell>
          <cell r="H551" t="str">
            <v/>
          </cell>
        </row>
        <row r="552">
          <cell r="A552" t="str">
            <v>155-10-014</v>
          </cell>
          <cell r="B552">
            <v>5</v>
          </cell>
          <cell r="C552" t="str">
            <v>PHOTOCOPY</v>
          </cell>
          <cell r="D552">
            <v>0</v>
          </cell>
        </row>
        <row r="553">
          <cell r="A553" t="str">
            <v>155-10-014</v>
          </cell>
          <cell r="B553">
            <v>3</v>
          </cell>
          <cell r="C553" t="str">
            <v>PHOTOCOPY</v>
          </cell>
          <cell r="D553">
            <v>0</v>
          </cell>
          <cell r="F553">
            <v>0</v>
          </cell>
          <cell r="G553">
            <v>0</v>
          </cell>
          <cell r="H553" t="str">
            <v xml:space="preserve"> </v>
          </cell>
        </row>
        <row r="554">
          <cell r="A554" t="str">
            <v>155-10-014</v>
          </cell>
          <cell r="B554">
            <v>10</v>
          </cell>
          <cell r="C554" t="str">
            <v>PHOTOCOPY</v>
          </cell>
          <cell r="D554">
            <v>0</v>
          </cell>
          <cell r="F554">
            <v>0</v>
          </cell>
          <cell r="G554">
            <v>0</v>
          </cell>
          <cell r="H554" t="str">
            <v/>
          </cell>
        </row>
        <row r="555">
          <cell r="A555" t="str">
            <v>155-10-015</v>
          </cell>
          <cell r="B555">
            <v>6</v>
          </cell>
          <cell r="C555" t="str">
            <v>COMPUTER MAINTAINANCE</v>
          </cell>
          <cell r="D555">
            <v>0</v>
          </cell>
          <cell r="F555">
            <v>0</v>
          </cell>
          <cell r="G555">
            <v>0</v>
          </cell>
          <cell r="H555" t="str">
            <v/>
          </cell>
        </row>
        <row r="556">
          <cell r="A556" t="str">
            <v>155-10-015</v>
          </cell>
          <cell r="B556">
            <v>4</v>
          </cell>
          <cell r="C556" t="str">
            <v>COMPUTER MAINTAINANCE</v>
          </cell>
          <cell r="D556">
            <v>0</v>
          </cell>
          <cell r="F556">
            <v>0</v>
          </cell>
          <cell r="G556">
            <v>0</v>
          </cell>
          <cell r="H556" t="str">
            <v/>
          </cell>
        </row>
        <row r="557">
          <cell r="A557" t="str">
            <v>155-10-015</v>
          </cell>
          <cell r="B557">
            <v>1</v>
          </cell>
          <cell r="C557" t="str">
            <v>COMPUTER MAINTAINANCE</v>
          </cell>
          <cell r="D557">
            <v>0</v>
          </cell>
          <cell r="F557">
            <v>0</v>
          </cell>
          <cell r="G557">
            <v>0</v>
          </cell>
          <cell r="H557" t="str">
            <v/>
          </cell>
        </row>
        <row r="558">
          <cell r="A558" t="str">
            <v>155-10-015</v>
          </cell>
          <cell r="B558">
            <v>8</v>
          </cell>
          <cell r="C558" t="str">
            <v>COMPUTER MAINTAINANCE</v>
          </cell>
          <cell r="D558">
            <v>0</v>
          </cell>
          <cell r="H558" t="str">
            <v/>
          </cell>
        </row>
        <row r="559">
          <cell r="A559" t="str">
            <v>155-10-015</v>
          </cell>
          <cell r="B559">
            <v>9</v>
          </cell>
          <cell r="C559" t="str">
            <v>COMPUTER MAINTAINANCE</v>
          </cell>
          <cell r="D559">
            <v>300000</v>
          </cell>
          <cell r="F559">
            <v>230000</v>
          </cell>
          <cell r="G559">
            <v>250000</v>
          </cell>
          <cell r="H559">
            <v>1.2</v>
          </cell>
        </row>
        <row r="560">
          <cell r="A560" t="str">
            <v>155-10-015</v>
          </cell>
          <cell r="B560">
            <v>7</v>
          </cell>
          <cell r="C560" t="str">
            <v>COMPUTER MAINTAINANCE</v>
          </cell>
          <cell r="D560">
            <v>0</v>
          </cell>
          <cell r="F560">
            <v>0</v>
          </cell>
          <cell r="G560">
            <v>0</v>
          </cell>
          <cell r="H560" t="str">
            <v/>
          </cell>
        </row>
        <row r="561">
          <cell r="A561" t="str">
            <v>155-10-015</v>
          </cell>
          <cell r="B561">
            <v>2</v>
          </cell>
          <cell r="C561" t="str">
            <v>COMPUTER MAINTAINANCE</v>
          </cell>
          <cell r="D561">
            <v>0</v>
          </cell>
          <cell r="F561">
            <v>0</v>
          </cell>
          <cell r="G561">
            <v>0</v>
          </cell>
          <cell r="H561" t="str">
            <v/>
          </cell>
        </row>
        <row r="562">
          <cell r="A562" t="str">
            <v>155-10-015</v>
          </cell>
          <cell r="B562">
            <v>5</v>
          </cell>
          <cell r="C562" t="str">
            <v>COMPUTER MAINTAINANCE</v>
          </cell>
          <cell r="D562">
            <v>0</v>
          </cell>
          <cell r="F562">
            <v>0</v>
          </cell>
          <cell r="G562">
            <v>0</v>
          </cell>
        </row>
        <row r="563">
          <cell r="A563" t="str">
            <v>155-10-015</v>
          </cell>
          <cell r="B563">
            <v>3</v>
          </cell>
          <cell r="C563" t="str">
            <v>COMPUTER MAINTAINANCE</v>
          </cell>
          <cell r="D563">
            <v>0</v>
          </cell>
          <cell r="F563">
            <v>0</v>
          </cell>
          <cell r="G563">
            <v>0</v>
          </cell>
          <cell r="H563" t="str">
            <v xml:space="preserve"> </v>
          </cell>
        </row>
        <row r="564">
          <cell r="A564" t="str">
            <v>155-10-015</v>
          </cell>
          <cell r="B564">
            <v>10</v>
          </cell>
          <cell r="C564" t="str">
            <v>COMPUTER MAINTAINANCE</v>
          </cell>
          <cell r="D564">
            <v>0</v>
          </cell>
          <cell r="F564">
            <v>0</v>
          </cell>
          <cell r="G564">
            <v>0</v>
          </cell>
          <cell r="H564" t="str">
            <v/>
          </cell>
        </row>
        <row r="565">
          <cell r="A565" t="str">
            <v>155-10-016</v>
          </cell>
          <cell r="B565">
            <v>6</v>
          </cell>
          <cell r="C565" t="str">
            <v>EQUIPMENT&amp; FURNITURE REPAIRS &amp; MAINTENANCE</v>
          </cell>
          <cell r="D565">
            <v>4000</v>
          </cell>
          <cell r="F565">
            <v>11636.68</v>
          </cell>
          <cell r="G565">
            <v>23273.360000000001</v>
          </cell>
          <cell r="H565">
            <v>0.17187032727547719</v>
          </cell>
        </row>
        <row r="566">
          <cell r="A566" t="str">
            <v>155-10-016</v>
          </cell>
          <cell r="B566">
            <v>4</v>
          </cell>
          <cell r="C566" t="str">
            <v>EQUIPMENT&amp; FURNITURE REPAIRS &amp; MAINTENANCE</v>
          </cell>
          <cell r="D566">
            <v>20000</v>
          </cell>
          <cell r="F566">
            <v>19975.810000000001</v>
          </cell>
          <cell r="G566">
            <v>25000</v>
          </cell>
          <cell r="H566">
            <v>0.8</v>
          </cell>
        </row>
        <row r="567">
          <cell r="A567" t="str">
            <v>155-10-016</v>
          </cell>
          <cell r="B567">
            <v>1</v>
          </cell>
          <cell r="C567" t="str">
            <v>EQUIPMENT&amp; FURNITURE REPAIRS &amp; MAINTENANCE</v>
          </cell>
          <cell r="D567">
            <v>225000</v>
          </cell>
          <cell r="F567">
            <v>43797.48</v>
          </cell>
          <cell r="G567">
            <v>87594.96</v>
          </cell>
          <cell r="H567">
            <v>2.5686409355058784</v>
          </cell>
        </row>
        <row r="568">
          <cell r="A568" t="str">
            <v>155-10-016</v>
          </cell>
          <cell r="B568">
            <v>8</v>
          </cell>
          <cell r="C568" t="str">
            <v>EQUIPMENT&amp; FURNITURE REPAIRS &amp; MAINTENANCE</v>
          </cell>
          <cell r="D568">
            <v>8100</v>
          </cell>
          <cell r="F568">
            <v>8481.93</v>
          </cell>
          <cell r="G568">
            <v>16963.86</v>
          </cell>
          <cell r="H568">
            <v>0.47748566658767522</v>
          </cell>
        </row>
        <row r="569">
          <cell r="A569" t="str">
            <v>155-10-016</v>
          </cell>
          <cell r="B569">
            <v>9</v>
          </cell>
          <cell r="C569" t="str">
            <v>EQUIPMENT&amp; FURNITURE REPAIRS &amp; MAINTENANCE</v>
          </cell>
          <cell r="D569">
            <v>36000</v>
          </cell>
          <cell r="F569">
            <v>45332.66</v>
          </cell>
          <cell r="G569">
            <v>90665.32</v>
          </cell>
          <cell r="H569">
            <v>0.39706472110835761</v>
          </cell>
        </row>
        <row r="570">
          <cell r="A570" t="str">
            <v>155-10-016</v>
          </cell>
          <cell r="B570">
            <v>7</v>
          </cell>
          <cell r="C570" t="str">
            <v>EQUIPMENT&amp; FURNITURE REPAIRS &amp; MAINTENANCE</v>
          </cell>
          <cell r="D570">
            <v>4000</v>
          </cell>
          <cell r="F570">
            <v>19625.900000000001</v>
          </cell>
          <cell r="G570">
            <v>39251.800000000003</v>
          </cell>
          <cell r="H570">
            <v>0.10190615462220839</v>
          </cell>
        </row>
        <row r="571">
          <cell r="A571" t="str">
            <v>155-10-016</v>
          </cell>
          <cell r="B571">
            <v>2</v>
          </cell>
          <cell r="C571" t="str">
            <v>EQUIPMENT&amp; FURNITURE REPAIRS &amp; MAINTENANCE</v>
          </cell>
          <cell r="D571">
            <v>358227.92</v>
          </cell>
          <cell r="F571">
            <v>40588.639999999999</v>
          </cell>
          <cell r="G571">
            <v>385000</v>
          </cell>
          <cell r="H571">
            <v>0.93046212987012999</v>
          </cell>
        </row>
        <row r="572">
          <cell r="A572" t="str">
            <v>155-10-016</v>
          </cell>
          <cell r="B572">
            <v>5</v>
          </cell>
          <cell r="C572" t="str">
            <v>EQUIPMENT&amp; FURNITURE REPAIRS &amp; MAINTENANCE</v>
          </cell>
          <cell r="D572">
            <v>5000</v>
          </cell>
          <cell r="F572">
            <v>11528.93</v>
          </cell>
          <cell r="G572">
            <v>23057.86</v>
          </cell>
          <cell r="H572">
            <v>0.21684579575034282</v>
          </cell>
        </row>
        <row r="573">
          <cell r="A573" t="str">
            <v>155-10-016</v>
          </cell>
          <cell r="B573">
            <v>3</v>
          </cell>
          <cell r="C573" t="str">
            <v>EQUIPMENT&amp; FURNITURE REPAIRS &amp; MAINTENANCE</v>
          </cell>
          <cell r="D573">
            <v>8400</v>
          </cell>
          <cell r="F573">
            <v>5995.88</v>
          </cell>
          <cell r="G573">
            <v>11991.76</v>
          </cell>
          <cell r="H573">
            <v>0.70048099695123989</v>
          </cell>
        </row>
        <row r="574">
          <cell r="A574" t="str">
            <v>155-10-016</v>
          </cell>
          <cell r="B574">
            <v>10</v>
          </cell>
          <cell r="C574" t="str">
            <v>EQUIPMENT&amp; FURNITURE REPAIRS &amp; MAINTENANCE</v>
          </cell>
          <cell r="D574">
            <v>7500</v>
          </cell>
          <cell r="F574">
            <v>8009.85</v>
          </cell>
          <cell r="G574">
            <v>16019.7</v>
          </cell>
          <cell r="H574">
            <v>0.46817356130264609</v>
          </cell>
        </row>
        <row r="575">
          <cell r="A575" t="str">
            <v>155-10-017</v>
          </cell>
          <cell r="B575">
            <v>6</v>
          </cell>
          <cell r="C575" t="str">
            <v>SEMINARS &amp; SHORT TERM COURSES</v>
          </cell>
          <cell r="D575">
            <v>0</v>
          </cell>
          <cell r="F575">
            <v>1000</v>
          </cell>
          <cell r="G575">
            <v>2000</v>
          </cell>
          <cell r="H575">
            <v>0</v>
          </cell>
        </row>
        <row r="576">
          <cell r="A576" t="str">
            <v>155-10-017</v>
          </cell>
          <cell r="B576">
            <v>4</v>
          </cell>
          <cell r="C576" t="str">
            <v>SEMINARS &amp; SHORT TERM COURSES</v>
          </cell>
          <cell r="D576">
            <v>0</v>
          </cell>
          <cell r="F576">
            <v>0</v>
          </cell>
          <cell r="G576">
            <v>0</v>
          </cell>
          <cell r="H576" t="str">
            <v/>
          </cell>
        </row>
        <row r="577">
          <cell r="A577" t="str">
            <v>155-10-017</v>
          </cell>
          <cell r="B577">
            <v>1</v>
          </cell>
          <cell r="C577" t="str">
            <v>SEMINARS &amp; SHORT TERM COURSES</v>
          </cell>
          <cell r="D577">
            <v>68000</v>
          </cell>
          <cell r="F577">
            <v>0</v>
          </cell>
          <cell r="G577">
            <v>0</v>
          </cell>
          <cell r="H577" t="str">
            <v/>
          </cell>
        </row>
        <row r="578">
          <cell r="A578" t="str">
            <v>155-10-017</v>
          </cell>
          <cell r="B578">
            <v>8</v>
          </cell>
          <cell r="C578" t="str">
            <v>SEMINARS &amp; SHORT TERM COURSES</v>
          </cell>
          <cell r="D578">
            <v>90000</v>
          </cell>
          <cell r="F578">
            <v>1000</v>
          </cell>
          <cell r="G578">
            <v>2000</v>
          </cell>
          <cell r="H578">
            <v>45</v>
          </cell>
        </row>
        <row r="579">
          <cell r="A579" t="str">
            <v>155-10-017</v>
          </cell>
          <cell r="B579">
            <v>9</v>
          </cell>
          <cell r="C579" t="str">
            <v>SEMINARS &amp; SHORT TERM COURSES</v>
          </cell>
          <cell r="D579">
            <v>50000</v>
          </cell>
          <cell r="F579">
            <v>0</v>
          </cell>
          <cell r="G579">
            <v>0</v>
          </cell>
          <cell r="H579" t="str">
            <v/>
          </cell>
        </row>
        <row r="580">
          <cell r="A580" t="str">
            <v>155-10-017</v>
          </cell>
          <cell r="B580">
            <v>7</v>
          </cell>
          <cell r="C580" t="str">
            <v>SEMINARS &amp; SHORT TERM COURSES</v>
          </cell>
          <cell r="D580">
            <v>10000</v>
          </cell>
          <cell r="F580">
            <v>1000</v>
          </cell>
          <cell r="G580">
            <v>2000</v>
          </cell>
          <cell r="H580">
            <v>5</v>
          </cell>
        </row>
        <row r="581">
          <cell r="A581" t="str">
            <v>155-10-017</v>
          </cell>
          <cell r="B581">
            <v>2</v>
          </cell>
          <cell r="C581" t="str">
            <v>SEMINARS &amp; SHORT TERM COURSES</v>
          </cell>
          <cell r="D581">
            <v>0</v>
          </cell>
          <cell r="F581">
            <v>1000</v>
          </cell>
          <cell r="G581">
            <v>2000</v>
          </cell>
          <cell r="H581">
            <v>0</v>
          </cell>
        </row>
        <row r="582">
          <cell r="A582" t="str">
            <v>155-10-017</v>
          </cell>
          <cell r="B582">
            <v>5</v>
          </cell>
          <cell r="C582" t="str">
            <v>SEMINARS &amp; SHORT TERM COURSES</v>
          </cell>
          <cell r="D582">
            <v>0</v>
          </cell>
          <cell r="F582">
            <v>0</v>
          </cell>
          <cell r="G582">
            <v>0</v>
          </cell>
        </row>
        <row r="583">
          <cell r="A583" t="str">
            <v>155-10-017</v>
          </cell>
          <cell r="B583">
            <v>3</v>
          </cell>
          <cell r="C583" t="str">
            <v>SEMINARS &amp; SHORT TERM COURSES</v>
          </cell>
          <cell r="D583">
            <v>0</v>
          </cell>
          <cell r="F583">
            <v>0</v>
          </cell>
          <cell r="G583">
            <v>0</v>
          </cell>
          <cell r="H583" t="str">
            <v xml:space="preserve"> </v>
          </cell>
        </row>
        <row r="584">
          <cell r="A584" t="str">
            <v>155-10-017</v>
          </cell>
          <cell r="B584">
            <v>10</v>
          </cell>
          <cell r="C584" t="str">
            <v>SEMINARS &amp; SHORT TERM COURSES</v>
          </cell>
          <cell r="D584">
            <v>0</v>
          </cell>
          <cell r="F584">
            <v>0</v>
          </cell>
          <cell r="G584">
            <v>0</v>
          </cell>
          <cell r="H584" t="str">
            <v/>
          </cell>
        </row>
        <row r="585">
          <cell r="A585" t="str">
            <v>155-10-022</v>
          </cell>
          <cell r="B585">
            <v>6</v>
          </cell>
          <cell r="C585" t="str">
            <v>PRINTING &amp; STATIONERY</v>
          </cell>
          <cell r="D585">
            <v>337994.5</v>
          </cell>
          <cell r="F585">
            <v>164928.56</v>
          </cell>
          <cell r="G585">
            <v>329857.12</v>
          </cell>
          <cell r="H585">
            <v>1.0246694083789976</v>
          </cell>
        </row>
        <row r="586">
          <cell r="A586" t="str">
            <v>155-10-022</v>
          </cell>
          <cell r="B586">
            <v>4</v>
          </cell>
          <cell r="C586" t="str">
            <v>PRINTING &amp; STATIONERY</v>
          </cell>
          <cell r="D586">
            <v>667196</v>
          </cell>
          <cell r="F586">
            <v>390988.55</v>
          </cell>
          <cell r="G586">
            <v>781977.1</v>
          </cell>
          <cell r="H586">
            <v>0.85321680136157441</v>
          </cell>
        </row>
        <row r="587">
          <cell r="A587" t="str">
            <v>155-10-022</v>
          </cell>
          <cell r="B587">
            <v>1</v>
          </cell>
          <cell r="C587" t="str">
            <v>PRINTING &amp; STATIONERY</v>
          </cell>
          <cell r="D587">
            <v>128796</v>
          </cell>
          <cell r="F587">
            <v>59730.14</v>
          </cell>
          <cell r="G587">
            <v>119460.28</v>
          </cell>
          <cell r="H587">
            <v>1.0781491555184703</v>
          </cell>
        </row>
        <row r="588">
          <cell r="A588" t="str">
            <v>155-10-022</v>
          </cell>
          <cell r="B588">
            <v>8</v>
          </cell>
          <cell r="C588" t="str">
            <v>PRINTING &amp; STATIONERY</v>
          </cell>
          <cell r="D588">
            <v>225181.5</v>
          </cell>
          <cell r="F588">
            <v>98991.6</v>
          </cell>
          <cell r="G588">
            <v>197983.2</v>
          </cell>
          <cell r="H588">
            <v>1.1373768077291406</v>
          </cell>
        </row>
        <row r="589">
          <cell r="A589" t="str">
            <v>155-10-022</v>
          </cell>
          <cell r="B589">
            <v>9</v>
          </cell>
          <cell r="C589" t="str">
            <v>PRINTING &amp; STATIONERY</v>
          </cell>
          <cell r="D589">
            <v>149294.5</v>
          </cell>
          <cell r="F589">
            <v>69211.399999999994</v>
          </cell>
          <cell r="G589">
            <v>138422.79999999999</v>
          </cell>
          <cell r="H589">
            <v>1.0785398070260102</v>
          </cell>
        </row>
        <row r="590">
          <cell r="A590" t="str">
            <v>155-10-022</v>
          </cell>
          <cell r="B590">
            <v>7</v>
          </cell>
          <cell r="C590" t="str">
            <v>PRINTING &amp; STATIONERY</v>
          </cell>
          <cell r="D590">
            <v>2520250</v>
          </cell>
          <cell r="F590">
            <v>802227.74</v>
          </cell>
          <cell r="G590">
            <v>2004455.48</v>
          </cell>
          <cell r="H590">
            <v>1.2573240090121633</v>
          </cell>
        </row>
        <row r="591">
          <cell r="A591" t="str">
            <v>155-10-022</v>
          </cell>
          <cell r="B591">
            <v>2</v>
          </cell>
          <cell r="C591" t="str">
            <v>PRINTING &amp; STATIONERY</v>
          </cell>
          <cell r="D591">
            <v>39853.5</v>
          </cell>
          <cell r="F591">
            <v>17169.349999999999</v>
          </cell>
          <cell r="G591">
            <v>34338.699999999997</v>
          </cell>
          <cell r="H591">
            <v>1.1606001392015424</v>
          </cell>
        </row>
        <row r="592">
          <cell r="A592" t="str">
            <v>155-10-022</v>
          </cell>
          <cell r="B592">
            <v>5</v>
          </cell>
          <cell r="C592" t="str">
            <v>PRINTING &amp; STATIONERY</v>
          </cell>
          <cell r="D592">
            <v>247607</v>
          </cell>
          <cell r="F592">
            <v>94151.37</v>
          </cell>
          <cell r="G592">
            <v>188302.74</v>
          </cell>
          <cell r="H592">
            <v>1.3149410359084526</v>
          </cell>
        </row>
        <row r="593">
          <cell r="A593" t="str">
            <v>155-10-022</v>
          </cell>
          <cell r="B593">
            <v>3</v>
          </cell>
          <cell r="C593" t="str">
            <v>PRINTING &amp; STATIONERY</v>
          </cell>
          <cell r="D593">
            <v>367074.5</v>
          </cell>
          <cell r="F593">
            <v>41301</v>
          </cell>
          <cell r="G593">
            <v>282602</v>
          </cell>
          <cell r="H593">
            <v>1.2989097741700342</v>
          </cell>
        </row>
        <row r="594">
          <cell r="A594" t="str">
            <v>155-10-022</v>
          </cell>
          <cell r="B594">
            <v>10</v>
          </cell>
          <cell r="C594" t="str">
            <v>PRINTING &amp; STATIONERY</v>
          </cell>
          <cell r="D594">
            <v>823510</v>
          </cell>
          <cell r="F594">
            <v>17470.64</v>
          </cell>
          <cell r="G594">
            <v>784941.28</v>
          </cell>
          <cell r="H594">
            <v>1.0491358028717765</v>
          </cell>
        </row>
        <row r="595">
          <cell r="A595" t="str">
            <v>155-10-025</v>
          </cell>
          <cell r="B595">
            <v>6</v>
          </cell>
          <cell r="C595" t="str">
            <v>STRATEGIC PLANNING</v>
          </cell>
          <cell r="D595">
            <v>0</v>
          </cell>
          <cell r="F595">
            <v>0</v>
          </cell>
          <cell r="G595">
            <v>0</v>
          </cell>
          <cell r="H595" t="str">
            <v/>
          </cell>
        </row>
        <row r="596">
          <cell r="A596" t="str">
            <v>155-10-025</v>
          </cell>
          <cell r="B596">
            <v>4</v>
          </cell>
          <cell r="C596" t="str">
            <v>STRATEGIC PLANNING</v>
          </cell>
          <cell r="D596">
            <v>0</v>
          </cell>
          <cell r="F596">
            <v>0</v>
          </cell>
          <cell r="G596">
            <v>0</v>
          </cell>
          <cell r="H596" t="str">
            <v/>
          </cell>
        </row>
        <row r="597">
          <cell r="A597" t="str">
            <v>155-10-025</v>
          </cell>
          <cell r="B597">
            <v>1</v>
          </cell>
          <cell r="C597" t="str">
            <v>STRATEGIC PLANNING</v>
          </cell>
          <cell r="D597">
            <v>1000000</v>
          </cell>
          <cell r="F597">
            <v>711170</v>
          </cell>
          <cell r="G597">
            <v>711170</v>
          </cell>
          <cell r="H597">
            <v>1.4061335545650127</v>
          </cell>
        </row>
        <row r="598">
          <cell r="A598" t="str">
            <v>155-10-025</v>
          </cell>
          <cell r="B598">
            <v>8</v>
          </cell>
          <cell r="C598" t="str">
            <v>STRATEGIC PLANNING</v>
          </cell>
          <cell r="D598">
            <v>0</v>
          </cell>
          <cell r="G598">
            <v>0</v>
          </cell>
          <cell r="H598" t="str">
            <v/>
          </cell>
        </row>
        <row r="599">
          <cell r="A599" t="str">
            <v>155-10-025</v>
          </cell>
          <cell r="B599">
            <v>9</v>
          </cell>
          <cell r="C599" t="str">
            <v>STRATEGIC PLANNING</v>
          </cell>
          <cell r="D599">
            <v>0</v>
          </cell>
          <cell r="F599">
            <v>0</v>
          </cell>
          <cell r="G599">
            <v>0</v>
          </cell>
          <cell r="H599" t="str">
            <v/>
          </cell>
        </row>
        <row r="600">
          <cell r="A600" t="str">
            <v>155-10-025</v>
          </cell>
          <cell r="B600">
            <v>7</v>
          </cell>
          <cell r="C600" t="str">
            <v>STRATEGIC PLANNING</v>
          </cell>
          <cell r="D600">
            <v>0</v>
          </cell>
          <cell r="F600">
            <v>0</v>
          </cell>
          <cell r="G600">
            <v>0</v>
          </cell>
          <cell r="H600" t="str">
            <v/>
          </cell>
        </row>
        <row r="601">
          <cell r="A601" t="str">
            <v>155-10-025</v>
          </cell>
          <cell r="B601">
            <v>2</v>
          </cell>
          <cell r="C601" t="str">
            <v>STRATEGIC PLANNING</v>
          </cell>
          <cell r="D601">
            <v>0</v>
          </cell>
          <cell r="F601">
            <v>0</v>
          </cell>
          <cell r="G601">
            <v>0</v>
          </cell>
          <cell r="H601" t="str">
            <v/>
          </cell>
        </row>
        <row r="602">
          <cell r="A602" t="str">
            <v>155-10-025</v>
          </cell>
          <cell r="B602">
            <v>5</v>
          </cell>
          <cell r="C602" t="str">
            <v>STRATEGIC PLANNING</v>
          </cell>
          <cell r="D602">
            <v>0</v>
          </cell>
          <cell r="F602">
            <v>0</v>
          </cell>
          <cell r="G602">
            <v>0</v>
          </cell>
        </row>
        <row r="603">
          <cell r="A603" t="str">
            <v>155-10-025</v>
          </cell>
          <cell r="B603">
            <v>3</v>
          </cell>
          <cell r="C603" t="str">
            <v>STRATEGIC PLANNING</v>
          </cell>
          <cell r="D603">
            <v>0</v>
          </cell>
          <cell r="F603">
            <v>0</v>
          </cell>
          <cell r="G603">
            <v>0</v>
          </cell>
          <cell r="H603" t="str">
            <v xml:space="preserve"> </v>
          </cell>
        </row>
        <row r="604">
          <cell r="A604" t="str">
            <v>155-10-025</v>
          </cell>
          <cell r="B604">
            <v>10</v>
          </cell>
          <cell r="C604" t="str">
            <v>STRATEGIC PLANNING</v>
          </cell>
          <cell r="D604">
            <v>0</v>
          </cell>
          <cell r="F604">
            <v>0</v>
          </cell>
          <cell r="G604">
            <v>0</v>
          </cell>
          <cell r="H604" t="str">
            <v/>
          </cell>
        </row>
        <row r="605">
          <cell r="A605" t="str">
            <v>155-10-027</v>
          </cell>
          <cell r="B605">
            <v>6</v>
          </cell>
          <cell r="C605" t="str">
            <v>PROFESSIONAL SUBSCRIPTIONS</v>
          </cell>
          <cell r="D605">
            <v>17500</v>
          </cell>
          <cell r="F605">
            <v>5000</v>
          </cell>
          <cell r="G605">
            <v>10000</v>
          </cell>
          <cell r="H605">
            <v>1.75</v>
          </cell>
        </row>
        <row r="606">
          <cell r="A606" t="str">
            <v>155-10-027</v>
          </cell>
          <cell r="B606">
            <v>4</v>
          </cell>
          <cell r="C606" t="str">
            <v>PROFESSIONAL SUBSCRIPTIONS</v>
          </cell>
          <cell r="D606">
            <v>3500</v>
          </cell>
          <cell r="F606">
            <v>500</v>
          </cell>
          <cell r="G606">
            <v>1000</v>
          </cell>
          <cell r="H606">
            <v>3.5</v>
          </cell>
        </row>
        <row r="607">
          <cell r="A607" t="str">
            <v>155-10-027</v>
          </cell>
          <cell r="B607">
            <v>1</v>
          </cell>
          <cell r="C607" t="str">
            <v>PROFESSIONAL SUBSCRIPTIONS</v>
          </cell>
          <cell r="D607">
            <v>83900</v>
          </cell>
          <cell r="F607">
            <v>1000</v>
          </cell>
          <cell r="G607">
            <v>2000</v>
          </cell>
          <cell r="H607">
            <v>41.95</v>
          </cell>
        </row>
        <row r="608">
          <cell r="A608" t="str">
            <v>155-10-027</v>
          </cell>
          <cell r="B608">
            <v>8</v>
          </cell>
          <cell r="C608" t="str">
            <v>PROFESSIONAL SUBSCRIPTIONS</v>
          </cell>
          <cell r="D608">
            <v>37125</v>
          </cell>
          <cell r="F608">
            <v>10500</v>
          </cell>
          <cell r="G608">
            <v>21000</v>
          </cell>
          <cell r="H608">
            <v>1.7678571428571428</v>
          </cell>
        </row>
        <row r="609">
          <cell r="A609" t="str">
            <v>155-10-027</v>
          </cell>
          <cell r="B609">
            <v>9</v>
          </cell>
          <cell r="C609" t="str">
            <v>PROFESSIONAL SUBSCRIPTIONS</v>
          </cell>
          <cell r="D609">
            <v>35000</v>
          </cell>
          <cell r="F609">
            <v>17000</v>
          </cell>
          <cell r="G609">
            <v>34000</v>
          </cell>
          <cell r="H609">
            <v>1.0294117647058822</v>
          </cell>
        </row>
        <row r="610">
          <cell r="A610" t="str">
            <v>155-10-027</v>
          </cell>
          <cell r="B610">
            <v>7</v>
          </cell>
          <cell r="C610" t="str">
            <v>PROFESSIONAL SUBSCRIPTIONS</v>
          </cell>
          <cell r="D610">
            <v>22000</v>
          </cell>
          <cell r="F610">
            <v>0</v>
          </cell>
          <cell r="G610">
            <v>2000</v>
          </cell>
          <cell r="H610">
            <v>11</v>
          </cell>
        </row>
        <row r="611">
          <cell r="A611" t="str">
            <v>155-10-027</v>
          </cell>
          <cell r="B611">
            <v>2</v>
          </cell>
          <cell r="C611" t="str">
            <v>PROFESSIONAL SUBSCRIPTIONS</v>
          </cell>
          <cell r="D611">
            <v>0</v>
          </cell>
          <cell r="F611">
            <v>6000</v>
          </cell>
          <cell r="G611">
            <v>12000</v>
          </cell>
          <cell r="H611">
            <v>0</v>
          </cell>
        </row>
        <row r="612">
          <cell r="A612" t="str">
            <v>155-10-027</v>
          </cell>
          <cell r="B612">
            <v>5</v>
          </cell>
          <cell r="C612" t="str">
            <v>PROFESSIONAL SUBSCRIPTIONS</v>
          </cell>
          <cell r="D612">
            <v>0</v>
          </cell>
          <cell r="F612">
            <v>0</v>
          </cell>
          <cell r="G612">
            <v>0</v>
          </cell>
        </row>
        <row r="613">
          <cell r="A613" t="str">
            <v>155-10-027</v>
          </cell>
          <cell r="B613">
            <v>3</v>
          </cell>
          <cell r="C613" t="str">
            <v>PROFESSIONAL SUBSCRIPTIONS</v>
          </cell>
          <cell r="D613">
            <v>14125</v>
          </cell>
          <cell r="F613">
            <v>2500</v>
          </cell>
          <cell r="G613">
            <v>5000</v>
          </cell>
          <cell r="H613">
            <v>2.8250000000000002</v>
          </cell>
        </row>
        <row r="614">
          <cell r="A614" t="str">
            <v>155-10-027</v>
          </cell>
          <cell r="B614">
            <v>10</v>
          </cell>
          <cell r="C614" t="str">
            <v>PROFESSIONAL SUBSCRIPTIONS</v>
          </cell>
          <cell r="D614">
            <v>8500</v>
          </cell>
          <cell r="F614">
            <v>0</v>
          </cell>
          <cell r="G614">
            <v>8500</v>
          </cell>
          <cell r="H614">
            <v>1</v>
          </cell>
        </row>
        <row r="615">
          <cell r="A615" t="str">
            <v>155-10-028</v>
          </cell>
          <cell r="B615">
            <v>6</v>
          </cell>
          <cell r="C615" t="str">
            <v xml:space="preserve"> SUBSCRIPTIONS -COMPANY MEMBERSHIP</v>
          </cell>
          <cell r="D615">
            <v>0</v>
          </cell>
          <cell r="F615">
            <v>0</v>
          </cell>
          <cell r="G615">
            <v>0</v>
          </cell>
          <cell r="H615" t="str">
            <v/>
          </cell>
        </row>
        <row r="616">
          <cell r="A616" t="str">
            <v>155-10-028</v>
          </cell>
          <cell r="B616">
            <v>4</v>
          </cell>
          <cell r="C616" t="str">
            <v xml:space="preserve"> SUBSCRIPTIONS -COMPANY MEMBERSHIP</v>
          </cell>
          <cell r="D616">
            <v>0</v>
          </cell>
          <cell r="F616">
            <v>0</v>
          </cell>
          <cell r="G616">
            <v>0</v>
          </cell>
          <cell r="H616" t="str">
            <v/>
          </cell>
        </row>
        <row r="617">
          <cell r="A617" t="str">
            <v>155-10-028</v>
          </cell>
          <cell r="B617">
            <v>1</v>
          </cell>
          <cell r="C617" t="str">
            <v xml:space="preserve"> SUBSCRIPTIONS -COMPANY MEMBERSHIP</v>
          </cell>
          <cell r="D617">
            <v>30000</v>
          </cell>
          <cell r="F617">
            <v>20000</v>
          </cell>
          <cell r="G617">
            <v>40000</v>
          </cell>
          <cell r="H617">
            <v>0.75</v>
          </cell>
        </row>
        <row r="618">
          <cell r="A618" t="str">
            <v>155-10-028</v>
          </cell>
          <cell r="B618">
            <v>8</v>
          </cell>
          <cell r="C618" t="str">
            <v xml:space="preserve"> SUBSCRIPTIONS -COMPANY MEMBERSHIP</v>
          </cell>
          <cell r="D618">
            <v>0</v>
          </cell>
          <cell r="G618">
            <v>0</v>
          </cell>
          <cell r="H618" t="str">
            <v/>
          </cell>
        </row>
        <row r="619">
          <cell r="A619" t="str">
            <v>155-10-028</v>
          </cell>
          <cell r="B619">
            <v>9</v>
          </cell>
          <cell r="C619" t="str">
            <v>SUBSCRIPTIONS -COMPANY MEMBERSHIP</v>
          </cell>
          <cell r="D619">
            <v>0</v>
          </cell>
          <cell r="F619">
            <v>0</v>
          </cell>
          <cell r="G619">
            <v>0</v>
          </cell>
          <cell r="H619" t="str">
            <v/>
          </cell>
        </row>
        <row r="620">
          <cell r="A620" t="str">
            <v>155-10-028</v>
          </cell>
          <cell r="B620">
            <v>7</v>
          </cell>
          <cell r="C620" t="str">
            <v xml:space="preserve"> SUBSCRIPTIONS -COMPANY MEMBERSHIP</v>
          </cell>
          <cell r="D620">
            <v>0</v>
          </cell>
          <cell r="F620">
            <v>0</v>
          </cell>
          <cell r="G620">
            <v>0</v>
          </cell>
          <cell r="H620" t="str">
            <v/>
          </cell>
        </row>
        <row r="621">
          <cell r="A621" t="str">
            <v>155-10-028</v>
          </cell>
          <cell r="B621">
            <v>2</v>
          </cell>
          <cell r="C621" t="str">
            <v xml:space="preserve"> SUBSCRIPTIONS -COMPANY MEMBERSHIP</v>
          </cell>
          <cell r="D621">
            <v>0</v>
          </cell>
          <cell r="F621">
            <v>0</v>
          </cell>
          <cell r="G621">
            <v>0</v>
          </cell>
          <cell r="H621" t="str">
            <v/>
          </cell>
        </row>
        <row r="622">
          <cell r="A622" t="str">
            <v>155-10-028</v>
          </cell>
          <cell r="B622">
            <v>5</v>
          </cell>
          <cell r="C622" t="str">
            <v xml:space="preserve"> SUBSCRIPTIONS -COMPANY MEMBERSHIP</v>
          </cell>
          <cell r="D622">
            <v>0</v>
          </cell>
          <cell r="F622">
            <v>0</v>
          </cell>
          <cell r="G622">
            <v>0</v>
          </cell>
        </row>
        <row r="623">
          <cell r="A623" t="str">
            <v>155-10-028</v>
          </cell>
          <cell r="B623">
            <v>3</v>
          </cell>
          <cell r="C623" t="str">
            <v xml:space="preserve"> SUBSCRIPTIONS -COMPANY MEMBERSHIP</v>
          </cell>
          <cell r="D623">
            <v>0</v>
          </cell>
          <cell r="F623">
            <v>0</v>
          </cell>
          <cell r="G623">
            <v>0</v>
          </cell>
          <cell r="H623" t="str">
            <v xml:space="preserve"> </v>
          </cell>
        </row>
        <row r="624">
          <cell r="A624" t="str">
            <v>155-10-028</v>
          </cell>
          <cell r="B624">
            <v>10</v>
          </cell>
          <cell r="C624" t="str">
            <v xml:space="preserve"> SUBSCRIPTIONS -COMPANY MEMBERSHIP</v>
          </cell>
          <cell r="D624">
            <v>55600</v>
          </cell>
          <cell r="F624">
            <v>0</v>
          </cell>
          <cell r="G624">
            <v>0</v>
          </cell>
          <cell r="H624" t="str">
            <v/>
          </cell>
        </row>
        <row r="625">
          <cell r="A625" t="str">
            <v>155-10-030</v>
          </cell>
          <cell r="B625">
            <v>6</v>
          </cell>
          <cell r="C625" t="str">
            <v>TRAVELLING &amp; ACCOMMODATION</v>
          </cell>
          <cell r="D625">
            <v>7000</v>
          </cell>
          <cell r="F625">
            <v>1265</v>
          </cell>
          <cell r="G625">
            <v>2530</v>
          </cell>
          <cell r="H625">
            <v>2.766798418972332</v>
          </cell>
        </row>
        <row r="626">
          <cell r="A626" t="str">
            <v>155-10-030</v>
          </cell>
          <cell r="B626">
            <v>4</v>
          </cell>
          <cell r="C626" t="str">
            <v>TRAVELLING &amp; ACCOMMODATION</v>
          </cell>
          <cell r="D626">
            <v>9000</v>
          </cell>
          <cell r="F626">
            <v>0</v>
          </cell>
          <cell r="G626">
            <v>3000</v>
          </cell>
          <cell r="H626">
            <v>3</v>
          </cell>
        </row>
        <row r="627">
          <cell r="A627" t="str">
            <v>155-10-030</v>
          </cell>
          <cell r="B627">
            <v>1</v>
          </cell>
          <cell r="C627" t="str">
            <v>TRAVELLING &amp; ACCOMMODATION</v>
          </cell>
          <cell r="D627">
            <v>1096305</v>
          </cell>
          <cell r="F627">
            <v>177956.57</v>
          </cell>
          <cell r="G627">
            <v>355913.14</v>
          </cell>
          <cell r="H627">
            <v>3.0802599757907223</v>
          </cell>
        </row>
        <row r="628">
          <cell r="A628" t="str">
            <v>155-10-030</v>
          </cell>
          <cell r="B628">
            <v>8</v>
          </cell>
          <cell r="C628" t="str">
            <v>TRAVELLING &amp; ACCOMMODATION</v>
          </cell>
          <cell r="D628">
            <v>24230</v>
          </cell>
          <cell r="G628">
            <v>24230</v>
          </cell>
          <cell r="H628">
            <v>1</v>
          </cell>
        </row>
        <row r="629">
          <cell r="A629" t="str">
            <v>155-10-030</v>
          </cell>
          <cell r="B629">
            <v>9</v>
          </cell>
          <cell r="C629" t="str">
            <v>TRAVELLING &amp; ACCOMMODATION</v>
          </cell>
          <cell r="D629">
            <v>27000</v>
          </cell>
          <cell r="F629">
            <v>20000</v>
          </cell>
          <cell r="G629">
            <v>40000</v>
          </cell>
          <cell r="H629">
            <v>0.67500000000000004</v>
          </cell>
        </row>
        <row r="630">
          <cell r="A630" t="str">
            <v>155-10-030</v>
          </cell>
          <cell r="B630">
            <v>7</v>
          </cell>
          <cell r="C630" t="str">
            <v>TRAVELLING &amp; ACCOMMODATION</v>
          </cell>
          <cell r="D630">
            <v>31355</v>
          </cell>
          <cell r="F630">
            <v>0</v>
          </cell>
          <cell r="G630">
            <v>0</v>
          </cell>
          <cell r="H630" t="str">
            <v/>
          </cell>
        </row>
        <row r="631">
          <cell r="A631" t="str">
            <v>155-10-030</v>
          </cell>
          <cell r="B631">
            <v>2</v>
          </cell>
          <cell r="C631" t="str">
            <v>TRAVELLING &amp; ACCOMMODATION</v>
          </cell>
          <cell r="D631">
            <v>27000</v>
          </cell>
          <cell r="F631">
            <v>0</v>
          </cell>
          <cell r="G631">
            <v>0</v>
          </cell>
          <cell r="H631" t="str">
            <v/>
          </cell>
        </row>
        <row r="632">
          <cell r="A632" t="str">
            <v>155-10-030</v>
          </cell>
          <cell r="B632">
            <v>5</v>
          </cell>
          <cell r="C632" t="str">
            <v>TRAVELLING &amp; ACCOMMODATION</v>
          </cell>
          <cell r="D632">
            <v>0</v>
          </cell>
          <cell r="F632">
            <v>0</v>
          </cell>
          <cell r="G632">
            <v>0</v>
          </cell>
        </row>
        <row r="633">
          <cell r="A633" t="str">
            <v>155-10-030</v>
          </cell>
          <cell r="B633">
            <v>3</v>
          </cell>
          <cell r="C633" t="str">
            <v>TRAVELLING &amp; ACCOMMODATION</v>
          </cell>
          <cell r="D633">
            <v>41940</v>
          </cell>
          <cell r="F633">
            <v>490</v>
          </cell>
          <cell r="G633">
            <v>980</v>
          </cell>
          <cell r="H633">
            <v>42.795918367346935</v>
          </cell>
        </row>
        <row r="634">
          <cell r="A634" t="str">
            <v>155-10-030</v>
          </cell>
          <cell r="B634">
            <v>10</v>
          </cell>
          <cell r="C634" t="str">
            <v>TRAVELLING &amp; ACCOMMODATION</v>
          </cell>
          <cell r="D634">
            <v>0</v>
          </cell>
          <cell r="F634">
            <v>0</v>
          </cell>
          <cell r="G634">
            <v>0</v>
          </cell>
          <cell r="H634" t="str">
            <v/>
          </cell>
        </row>
        <row r="635">
          <cell r="A635" t="str">
            <v>155-10-032</v>
          </cell>
          <cell r="B635">
            <v>6</v>
          </cell>
          <cell r="C635" t="str">
            <v xml:space="preserve">MOTOR CAR EXPENSES </v>
          </cell>
          <cell r="D635">
            <v>0</v>
          </cell>
          <cell r="F635">
            <v>0</v>
          </cell>
          <cell r="G635">
            <v>0</v>
          </cell>
          <cell r="H635" t="str">
            <v/>
          </cell>
        </row>
        <row r="636">
          <cell r="A636" t="str">
            <v>155-10-032</v>
          </cell>
          <cell r="B636">
            <v>4</v>
          </cell>
          <cell r="C636" t="str">
            <v xml:space="preserve">MOTOR CAR EXPENSES </v>
          </cell>
          <cell r="D636">
            <v>0</v>
          </cell>
          <cell r="F636">
            <v>0</v>
          </cell>
          <cell r="G636">
            <v>0</v>
          </cell>
          <cell r="H636" t="str">
            <v/>
          </cell>
        </row>
        <row r="637">
          <cell r="A637" t="str">
            <v>155-10-032</v>
          </cell>
          <cell r="B637">
            <v>1</v>
          </cell>
          <cell r="C637" t="str">
            <v xml:space="preserve">MOTOR CAR EXPENSES </v>
          </cell>
          <cell r="D637">
            <v>299450</v>
          </cell>
          <cell r="F637">
            <v>122672.93</v>
          </cell>
          <cell r="G637">
            <v>245345.86</v>
          </cell>
          <cell r="H637">
            <v>1.2205219195465538</v>
          </cell>
        </row>
        <row r="638">
          <cell r="A638" t="str">
            <v>155-10-032</v>
          </cell>
          <cell r="B638">
            <v>8</v>
          </cell>
          <cell r="C638" t="str">
            <v xml:space="preserve">MOTOR CAR EXPENSES </v>
          </cell>
          <cell r="D638">
            <v>0</v>
          </cell>
          <cell r="G638">
            <v>0</v>
          </cell>
          <cell r="H638" t="str">
            <v/>
          </cell>
        </row>
        <row r="639">
          <cell r="A639" t="str">
            <v>155-10-032</v>
          </cell>
          <cell r="B639">
            <v>9</v>
          </cell>
          <cell r="C639" t="str">
            <v xml:space="preserve">MOTOR CAR EXPENSES </v>
          </cell>
          <cell r="D639">
            <v>0</v>
          </cell>
          <cell r="F639">
            <v>0</v>
          </cell>
          <cell r="G639">
            <v>0</v>
          </cell>
          <cell r="H639" t="str">
            <v/>
          </cell>
        </row>
        <row r="640">
          <cell r="A640" t="str">
            <v>155-10-032</v>
          </cell>
          <cell r="B640">
            <v>7</v>
          </cell>
          <cell r="C640" t="str">
            <v xml:space="preserve">MOTOR CAR EXPENSES </v>
          </cell>
          <cell r="D640">
            <v>0</v>
          </cell>
          <cell r="F640">
            <v>0</v>
          </cell>
          <cell r="G640">
            <v>0</v>
          </cell>
          <cell r="H640" t="str">
            <v/>
          </cell>
        </row>
        <row r="641">
          <cell r="A641" t="str">
            <v>155-10-032</v>
          </cell>
          <cell r="B641">
            <v>2</v>
          </cell>
          <cell r="C641" t="str">
            <v xml:space="preserve">MOTOR CAR EXPENSES </v>
          </cell>
          <cell r="D641">
            <v>0</v>
          </cell>
          <cell r="F641">
            <v>0</v>
          </cell>
          <cell r="G641">
            <v>0</v>
          </cell>
          <cell r="H641" t="str">
            <v/>
          </cell>
        </row>
        <row r="642">
          <cell r="A642" t="str">
            <v>155-10-032</v>
          </cell>
          <cell r="B642">
            <v>5</v>
          </cell>
          <cell r="C642" t="str">
            <v xml:space="preserve">MOTOR CAR EXPENSES </v>
          </cell>
          <cell r="D642">
            <v>0</v>
          </cell>
          <cell r="F642">
            <v>0</v>
          </cell>
          <cell r="G642">
            <v>0</v>
          </cell>
        </row>
        <row r="643">
          <cell r="A643" t="str">
            <v>155-10-032</v>
          </cell>
          <cell r="B643">
            <v>3</v>
          </cell>
          <cell r="C643" t="str">
            <v xml:space="preserve">MOTOR CAR EXPENSES </v>
          </cell>
          <cell r="D643">
            <v>0</v>
          </cell>
          <cell r="F643">
            <v>0</v>
          </cell>
          <cell r="G643">
            <v>0</v>
          </cell>
          <cell r="H643" t="str">
            <v xml:space="preserve"> </v>
          </cell>
        </row>
        <row r="644">
          <cell r="A644" t="str">
            <v>155-10-032</v>
          </cell>
          <cell r="B644">
            <v>10</v>
          </cell>
          <cell r="C644" t="str">
            <v xml:space="preserve">MOTOR CAR EXPENSES </v>
          </cell>
          <cell r="D644">
            <v>0</v>
          </cell>
          <cell r="F644">
            <v>0</v>
          </cell>
          <cell r="G644">
            <v>0</v>
          </cell>
          <cell r="H644" t="str">
            <v/>
          </cell>
        </row>
        <row r="645">
          <cell r="A645" t="str">
            <v>155-10-040</v>
          </cell>
          <cell r="B645">
            <v>6</v>
          </cell>
          <cell r="C645" t="str">
            <v>POSTAGE</v>
          </cell>
          <cell r="D645">
            <v>196350</v>
          </cell>
          <cell r="F645">
            <v>93000</v>
          </cell>
          <cell r="G645">
            <v>186000</v>
          </cell>
          <cell r="H645">
            <v>1.0556451612903226</v>
          </cell>
        </row>
        <row r="646">
          <cell r="A646" t="str">
            <v>155-10-040</v>
          </cell>
          <cell r="B646">
            <v>4</v>
          </cell>
          <cell r="C646" t="str">
            <v>POSTAGE</v>
          </cell>
          <cell r="D646">
            <v>1571400</v>
          </cell>
          <cell r="F646">
            <v>491000</v>
          </cell>
          <cell r="G646">
            <v>1942000</v>
          </cell>
          <cell r="H646">
            <v>0.80916580844490216</v>
          </cell>
        </row>
        <row r="647">
          <cell r="A647" t="str">
            <v>155-10-040</v>
          </cell>
          <cell r="B647">
            <v>1</v>
          </cell>
          <cell r="C647" t="str">
            <v>POSTAGE</v>
          </cell>
          <cell r="D647">
            <v>6000</v>
          </cell>
          <cell r="F647">
            <v>2731.7</v>
          </cell>
          <cell r="G647">
            <v>5463.4</v>
          </cell>
          <cell r="H647">
            <v>1.0982172273675734</v>
          </cell>
        </row>
        <row r="648">
          <cell r="A648" t="str">
            <v>155-10-040</v>
          </cell>
          <cell r="B648">
            <v>8</v>
          </cell>
          <cell r="C648" t="str">
            <v>POSTAGE</v>
          </cell>
          <cell r="D648">
            <v>19000</v>
          </cell>
          <cell r="F648">
            <v>6572.6</v>
          </cell>
          <cell r="G648">
            <v>13145.2</v>
          </cell>
          <cell r="H648">
            <v>1.4453945166296442</v>
          </cell>
        </row>
        <row r="649">
          <cell r="A649" t="str">
            <v>155-10-040</v>
          </cell>
          <cell r="B649">
            <v>9</v>
          </cell>
          <cell r="C649" t="str">
            <v>POSTAGE</v>
          </cell>
          <cell r="D649">
            <v>0</v>
          </cell>
          <cell r="F649">
            <v>0</v>
          </cell>
          <cell r="G649">
            <v>0</v>
          </cell>
          <cell r="H649" t="str">
            <v/>
          </cell>
        </row>
        <row r="650">
          <cell r="A650" t="str">
            <v>155-10-040</v>
          </cell>
          <cell r="B650">
            <v>7</v>
          </cell>
          <cell r="C650" t="str">
            <v>POSTAGE</v>
          </cell>
          <cell r="D650">
            <v>19722</v>
          </cell>
          <cell r="F650">
            <v>9200</v>
          </cell>
          <cell r="G650">
            <v>18400</v>
          </cell>
          <cell r="H650">
            <v>1.0718478260869566</v>
          </cell>
        </row>
        <row r="651">
          <cell r="A651" t="str">
            <v>155-10-040</v>
          </cell>
          <cell r="B651">
            <v>2</v>
          </cell>
          <cell r="C651" t="str">
            <v>POSTAGE</v>
          </cell>
          <cell r="D651">
            <v>6000</v>
          </cell>
          <cell r="F651">
            <v>4334</v>
          </cell>
          <cell r="G651">
            <v>8668</v>
          </cell>
          <cell r="H651">
            <v>0.69220119981541306</v>
          </cell>
        </row>
        <row r="652">
          <cell r="A652" t="str">
            <v>155-10-040</v>
          </cell>
          <cell r="B652">
            <v>5</v>
          </cell>
          <cell r="C652" t="str">
            <v>POSTAGE</v>
          </cell>
          <cell r="D652">
            <v>251370</v>
          </cell>
          <cell r="F652">
            <v>93000</v>
          </cell>
          <cell r="G652">
            <v>186000</v>
          </cell>
          <cell r="H652">
            <v>1.3514516129032259</v>
          </cell>
        </row>
        <row r="653">
          <cell r="A653" t="str">
            <v>155-10-040</v>
          </cell>
          <cell r="B653">
            <v>3</v>
          </cell>
          <cell r="C653" t="str">
            <v>POSTAGE</v>
          </cell>
          <cell r="D653">
            <v>756000</v>
          </cell>
          <cell r="F653">
            <v>66000</v>
          </cell>
          <cell r="G653">
            <v>432000</v>
          </cell>
          <cell r="H653">
            <v>1.75</v>
          </cell>
        </row>
        <row r="654">
          <cell r="A654" t="str">
            <v>155-10-040</v>
          </cell>
          <cell r="B654">
            <v>10</v>
          </cell>
          <cell r="C654" t="str">
            <v>POSTAGE</v>
          </cell>
          <cell r="D654">
            <v>14208</v>
          </cell>
          <cell r="F654">
            <v>8602.6</v>
          </cell>
          <cell r="G654">
            <v>17205.2</v>
          </cell>
          <cell r="H654">
            <v>0.82579685211447695</v>
          </cell>
        </row>
        <row r="655">
          <cell r="A655" t="str">
            <v>155-10-041</v>
          </cell>
          <cell r="B655">
            <v>6</v>
          </cell>
          <cell r="C655" t="str">
            <v>TELEPHONE &amp; FAX</v>
          </cell>
          <cell r="D655">
            <v>120000</v>
          </cell>
          <cell r="F655">
            <v>79936.13</v>
          </cell>
          <cell r="G655">
            <v>145000</v>
          </cell>
          <cell r="H655">
            <v>0.82758620689655171</v>
          </cell>
        </row>
        <row r="656">
          <cell r="A656" t="str">
            <v>155-10-041</v>
          </cell>
          <cell r="B656">
            <v>4</v>
          </cell>
          <cell r="C656" t="str">
            <v>TELEPHONE &amp; FAX</v>
          </cell>
          <cell r="D656">
            <v>110400</v>
          </cell>
          <cell r="F656">
            <v>76016.41</v>
          </cell>
          <cell r="G656">
            <v>152032.82</v>
          </cell>
          <cell r="H656">
            <v>0.7261589964587909</v>
          </cell>
        </row>
        <row r="657">
          <cell r="A657" t="str">
            <v>155-10-041</v>
          </cell>
          <cell r="B657">
            <v>1</v>
          </cell>
          <cell r="C657" t="str">
            <v>TELEPHONE &amp; FAX</v>
          </cell>
          <cell r="D657">
            <v>384000</v>
          </cell>
          <cell r="F657">
            <v>139971.28</v>
          </cell>
          <cell r="G657">
            <v>279942.56</v>
          </cell>
          <cell r="H657">
            <v>1.371709967930564</v>
          </cell>
        </row>
        <row r="658">
          <cell r="A658" t="str">
            <v>155-10-041</v>
          </cell>
          <cell r="B658">
            <v>8</v>
          </cell>
          <cell r="C658" t="str">
            <v>TELEPHONE &amp; FAX</v>
          </cell>
          <cell r="D658">
            <v>270000</v>
          </cell>
          <cell r="F658">
            <v>112469.93</v>
          </cell>
          <cell r="G658">
            <v>224939.86</v>
          </cell>
          <cell r="H658">
            <v>1.2003208324216081</v>
          </cell>
        </row>
        <row r="659">
          <cell r="A659" t="str">
            <v>155-10-041</v>
          </cell>
          <cell r="B659">
            <v>9</v>
          </cell>
          <cell r="C659" t="str">
            <v>TELEPHONE &amp; FAX</v>
          </cell>
          <cell r="D659">
            <v>75000</v>
          </cell>
          <cell r="F659">
            <v>79825.210000000006</v>
          </cell>
          <cell r="G659">
            <v>120000</v>
          </cell>
          <cell r="H659">
            <v>0.625</v>
          </cell>
        </row>
        <row r="660">
          <cell r="A660" t="str">
            <v>155-10-041</v>
          </cell>
          <cell r="B660">
            <v>7</v>
          </cell>
          <cell r="C660" t="str">
            <v>TELEPHONE &amp; FAX</v>
          </cell>
          <cell r="D660">
            <v>100905</v>
          </cell>
          <cell r="F660">
            <v>68176.95</v>
          </cell>
          <cell r="G660">
            <v>136353.9</v>
          </cell>
          <cell r="H660">
            <v>0.74002283763060683</v>
          </cell>
        </row>
        <row r="661">
          <cell r="A661" t="str">
            <v>155-10-041</v>
          </cell>
          <cell r="B661">
            <v>2</v>
          </cell>
          <cell r="C661" t="str">
            <v>TELEPHONE &amp; FAX</v>
          </cell>
          <cell r="D661">
            <v>124000</v>
          </cell>
          <cell r="F661">
            <v>109837.59</v>
          </cell>
          <cell r="G661">
            <v>175000</v>
          </cell>
          <cell r="H661">
            <v>0.70857142857142852</v>
          </cell>
        </row>
        <row r="662">
          <cell r="A662" t="str">
            <v>155-10-041</v>
          </cell>
          <cell r="B662">
            <v>5</v>
          </cell>
          <cell r="C662" t="str">
            <v>TELEPHONE &amp; FAX</v>
          </cell>
          <cell r="D662">
            <v>180000</v>
          </cell>
          <cell r="F662">
            <v>83855.8</v>
          </cell>
          <cell r="G662">
            <v>167711.6</v>
          </cell>
          <cell r="H662">
            <v>1.073271020012927</v>
          </cell>
        </row>
        <row r="663">
          <cell r="A663" t="str">
            <v>155-10-041</v>
          </cell>
          <cell r="B663">
            <v>3</v>
          </cell>
          <cell r="C663" t="str">
            <v>TELEPHONE &amp; FAX</v>
          </cell>
          <cell r="D663">
            <v>96000</v>
          </cell>
          <cell r="F663">
            <v>68176.97</v>
          </cell>
          <cell r="G663">
            <v>136353.94</v>
          </cell>
          <cell r="H663">
            <v>0.70405006265312176</v>
          </cell>
        </row>
        <row r="664">
          <cell r="A664" t="str">
            <v>155-10-041</v>
          </cell>
          <cell r="B664">
            <v>10</v>
          </cell>
          <cell r="C664" t="str">
            <v>TELEPHONE &amp; FAX</v>
          </cell>
          <cell r="D664">
            <v>42000</v>
          </cell>
          <cell r="F664">
            <v>66411.34</v>
          </cell>
          <cell r="G664">
            <v>132822.68</v>
          </cell>
          <cell r="H664">
            <v>0.31621105672615551</v>
          </cell>
        </row>
        <row r="665">
          <cell r="A665" t="str">
            <v>155-10-044</v>
          </cell>
          <cell r="B665">
            <v>6</v>
          </cell>
          <cell r="C665" t="str">
            <v>PROFFESSIONAL TRAINING</v>
          </cell>
          <cell r="D665">
            <v>160925</v>
          </cell>
          <cell r="F665">
            <v>83390.92</v>
          </cell>
          <cell r="G665">
            <v>155000</v>
          </cell>
          <cell r="H665">
            <v>1.038225806451613</v>
          </cell>
        </row>
        <row r="666">
          <cell r="A666" t="str">
            <v>155-10-044</v>
          </cell>
          <cell r="B666">
            <v>4</v>
          </cell>
          <cell r="C666" t="str">
            <v>PROFFESSIONAL TRAINING</v>
          </cell>
          <cell r="D666">
            <v>233500</v>
          </cell>
          <cell r="F666">
            <v>4750</v>
          </cell>
          <cell r="G666">
            <v>159500</v>
          </cell>
          <cell r="H666">
            <v>1.4639498432601881</v>
          </cell>
        </row>
        <row r="667">
          <cell r="A667" t="str">
            <v>155-10-044</v>
          </cell>
          <cell r="B667">
            <v>1</v>
          </cell>
          <cell r="C667" t="str">
            <v>PROFFESSIONAL TRAINING</v>
          </cell>
          <cell r="D667">
            <v>102000</v>
          </cell>
          <cell r="F667">
            <v>23090.95</v>
          </cell>
          <cell r="G667">
            <v>46181.9</v>
          </cell>
          <cell r="H667">
            <v>2.2086575043469412</v>
          </cell>
        </row>
        <row r="668">
          <cell r="A668" t="str">
            <v>155-10-044</v>
          </cell>
          <cell r="B668">
            <v>8</v>
          </cell>
          <cell r="C668" t="str">
            <v>PROFFESSIONAL TRAINING</v>
          </cell>
          <cell r="D668">
            <v>235375</v>
          </cell>
          <cell r="F668">
            <v>97893.77</v>
          </cell>
          <cell r="G668">
            <v>195787.54</v>
          </cell>
          <cell r="H668">
            <v>1.2021960130864302</v>
          </cell>
        </row>
        <row r="669">
          <cell r="A669" t="str">
            <v>155-10-044</v>
          </cell>
          <cell r="B669">
            <v>9</v>
          </cell>
          <cell r="C669" t="str">
            <v>PROFFESSIONAL TRAINING</v>
          </cell>
          <cell r="D669">
            <v>305000</v>
          </cell>
          <cell r="F669">
            <v>212000</v>
          </cell>
          <cell r="G669">
            <v>350000</v>
          </cell>
          <cell r="H669">
            <v>0.87142857142857144</v>
          </cell>
        </row>
        <row r="670">
          <cell r="A670" t="str">
            <v>155-10-044</v>
          </cell>
          <cell r="B670">
            <v>7</v>
          </cell>
          <cell r="C670" t="str">
            <v>PROFFESSIONAL TRAINING</v>
          </cell>
          <cell r="D670">
            <v>97750</v>
          </cell>
          <cell r="F670">
            <v>48621.42</v>
          </cell>
          <cell r="G670">
            <v>95242.84</v>
          </cell>
          <cell r="H670">
            <v>1.0263238685448692</v>
          </cell>
        </row>
        <row r="671">
          <cell r="A671" t="str">
            <v>155-10-044</v>
          </cell>
          <cell r="B671">
            <v>2</v>
          </cell>
          <cell r="C671" t="str">
            <v>PROFFESSIONAL TRAINING</v>
          </cell>
          <cell r="D671">
            <v>6000</v>
          </cell>
          <cell r="F671">
            <v>9500</v>
          </cell>
          <cell r="G671">
            <v>19000</v>
          </cell>
          <cell r="H671">
            <v>0.31578947368421051</v>
          </cell>
        </row>
        <row r="672">
          <cell r="A672" t="str">
            <v>155-10-044</v>
          </cell>
          <cell r="B672">
            <v>5</v>
          </cell>
          <cell r="C672" t="str">
            <v>PROFFESSIONAL TRAINING</v>
          </cell>
          <cell r="D672">
            <v>395250</v>
          </cell>
          <cell r="F672">
            <v>182341.8</v>
          </cell>
          <cell r="G672">
            <v>364683.6</v>
          </cell>
          <cell r="H672">
            <v>1.0838162176747186</v>
          </cell>
        </row>
        <row r="673">
          <cell r="A673" t="str">
            <v>155-10-044</v>
          </cell>
          <cell r="B673">
            <v>3</v>
          </cell>
          <cell r="C673" t="str">
            <v>PROFFESSIONAL TRAINING</v>
          </cell>
          <cell r="D673">
            <v>161250</v>
          </cell>
          <cell r="F673">
            <v>108837.79</v>
          </cell>
          <cell r="G673">
            <v>217675.58</v>
          </cell>
          <cell r="H673">
            <v>0.74078130399376907</v>
          </cell>
        </row>
        <row r="674">
          <cell r="A674" t="str">
            <v>155-10-044</v>
          </cell>
          <cell r="B674">
            <v>10</v>
          </cell>
          <cell r="C674" t="str">
            <v>PROFFESSIONAL TRAINING</v>
          </cell>
          <cell r="D674">
            <v>47000</v>
          </cell>
          <cell r="F674">
            <v>28450</v>
          </cell>
          <cell r="G674">
            <v>56900</v>
          </cell>
          <cell r="H674">
            <v>0.82601054481546576</v>
          </cell>
        </row>
        <row r="675">
          <cell r="A675" t="str">
            <v>155-10-046</v>
          </cell>
          <cell r="B675">
            <v>6</v>
          </cell>
          <cell r="C675" t="str">
            <v xml:space="preserve">SUBSCRIPTION- STAFF CLUB MEMBERSHIP </v>
          </cell>
          <cell r="D675">
            <v>140000</v>
          </cell>
          <cell r="F675">
            <v>0</v>
          </cell>
          <cell r="G675">
            <v>0</v>
          </cell>
          <cell r="H675" t="str">
            <v/>
          </cell>
        </row>
        <row r="676">
          <cell r="A676" t="str">
            <v>155-10-046</v>
          </cell>
          <cell r="B676">
            <v>4</v>
          </cell>
          <cell r="C676" t="str">
            <v xml:space="preserve">SUBSCRIPTION- STAFF CLUB MEMBERSHIP </v>
          </cell>
          <cell r="D676">
            <v>0</v>
          </cell>
          <cell r="F676">
            <v>0</v>
          </cell>
          <cell r="G676">
            <v>0</v>
          </cell>
          <cell r="H676" t="str">
            <v/>
          </cell>
        </row>
        <row r="677">
          <cell r="A677" t="str">
            <v>155-10-046</v>
          </cell>
          <cell r="B677">
            <v>1</v>
          </cell>
          <cell r="C677" t="str">
            <v xml:space="preserve">SUBSCRIPTION- STAFF CLUB MEMBERSHIP </v>
          </cell>
          <cell r="D677">
            <v>414500</v>
          </cell>
          <cell r="F677">
            <v>0</v>
          </cell>
          <cell r="G677">
            <v>0</v>
          </cell>
          <cell r="H677" t="str">
            <v/>
          </cell>
        </row>
        <row r="678">
          <cell r="A678" t="str">
            <v>155-10-046</v>
          </cell>
          <cell r="B678">
            <v>8</v>
          </cell>
          <cell r="C678" t="str">
            <v xml:space="preserve">SUBSCRIPTION- STAFF CLUB MEMBERSHIP </v>
          </cell>
          <cell r="D678">
            <v>238000</v>
          </cell>
          <cell r="F678">
            <v>48792.4</v>
          </cell>
          <cell r="G678">
            <v>118792.4</v>
          </cell>
          <cell r="H678">
            <v>2.0034951730918813</v>
          </cell>
        </row>
        <row r="679">
          <cell r="A679" t="str">
            <v>155-10-046</v>
          </cell>
          <cell r="B679">
            <v>9</v>
          </cell>
          <cell r="C679" t="str">
            <v xml:space="preserve">SUBSCRIPTION- STAFF CLUB MEMBERSHIP </v>
          </cell>
          <cell r="D679">
            <v>12000</v>
          </cell>
          <cell r="F679">
            <v>0</v>
          </cell>
          <cell r="G679">
            <v>12000</v>
          </cell>
          <cell r="H679">
            <v>1</v>
          </cell>
        </row>
        <row r="680">
          <cell r="A680" t="str">
            <v>155-10-046</v>
          </cell>
          <cell r="B680">
            <v>7</v>
          </cell>
          <cell r="C680" t="str">
            <v xml:space="preserve">SUBSCRIPTION- STAFF CLUB MEMBERSHIP </v>
          </cell>
          <cell r="D680">
            <v>0</v>
          </cell>
          <cell r="F680">
            <v>0</v>
          </cell>
          <cell r="G680">
            <v>0</v>
          </cell>
          <cell r="H680" t="str">
            <v/>
          </cell>
        </row>
        <row r="681">
          <cell r="A681" t="str">
            <v>155-10-046</v>
          </cell>
          <cell r="B681">
            <v>2</v>
          </cell>
          <cell r="C681" t="str">
            <v xml:space="preserve">SUBSCRIPTION- STAFF CLUB MEMBERSHIP </v>
          </cell>
          <cell r="D681">
            <v>81500</v>
          </cell>
          <cell r="F681">
            <v>18000</v>
          </cell>
          <cell r="G681">
            <v>18000</v>
          </cell>
          <cell r="H681">
            <v>4.5277777777777777</v>
          </cell>
        </row>
        <row r="682">
          <cell r="A682" t="str">
            <v>155-10-046</v>
          </cell>
          <cell r="B682">
            <v>5</v>
          </cell>
          <cell r="C682" t="str">
            <v xml:space="preserve">SUBSCRIPTION- STAFF CLUB MEMBERSHIP </v>
          </cell>
          <cell r="D682">
            <v>0</v>
          </cell>
          <cell r="F682">
            <v>0</v>
          </cell>
          <cell r="G682">
            <v>0</v>
          </cell>
        </row>
        <row r="683">
          <cell r="A683" t="str">
            <v>155-10-046</v>
          </cell>
          <cell r="B683">
            <v>3</v>
          </cell>
          <cell r="C683" t="str">
            <v xml:space="preserve">SUBSCRIPTION- STAFF CLUB MEMBERSHIP </v>
          </cell>
          <cell r="D683">
            <v>0</v>
          </cell>
          <cell r="F683">
            <v>0</v>
          </cell>
          <cell r="G683">
            <v>0</v>
          </cell>
          <cell r="H683" t="str">
            <v xml:space="preserve"> </v>
          </cell>
        </row>
        <row r="684">
          <cell r="A684" t="str">
            <v>155-10-046</v>
          </cell>
          <cell r="B684">
            <v>10</v>
          </cell>
          <cell r="C684" t="str">
            <v xml:space="preserve">SUBSCRIPTION- STAFF CLUB MEMBERSHIP </v>
          </cell>
          <cell r="D684">
            <v>0</v>
          </cell>
          <cell r="F684">
            <v>0</v>
          </cell>
          <cell r="G684">
            <v>0</v>
          </cell>
          <cell r="H684" t="str">
            <v/>
          </cell>
        </row>
        <row r="685">
          <cell r="A685" t="str">
            <v>155-10-054</v>
          </cell>
          <cell r="B685">
            <v>6</v>
          </cell>
          <cell r="C685" t="str">
            <v>LEASED LINES-INTERNET SERVICES</v>
          </cell>
          <cell r="D685">
            <v>0</v>
          </cell>
          <cell r="F685">
            <v>0</v>
          </cell>
          <cell r="G685">
            <v>0</v>
          </cell>
          <cell r="H685" t="str">
            <v/>
          </cell>
        </row>
        <row r="686">
          <cell r="A686" t="str">
            <v>155-10-054</v>
          </cell>
          <cell r="B686">
            <v>4</v>
          </cell>
          <cell r="C686" t="str">
            <v>LEASED LINES-INTERNET SERVICES</v>
          </cell>
          <cell r="D686">
            <v>0</v>
          </cell>
          <cell r="F686">
            <v>0</v>
          </cell>
          <cell r="G686">
            <v>0</v>
          </cell>
          <cell r="H686" t="str">
            <v/>
          </cell>
        </row>
        <row r="687">
          <cell r="A687" t="str">
            <v>155-10-054</v>
          </cell>
          <cell r="B687">
            <v>1</v>
          </cell>
          <cell r="C687" t="str">
            <v>LEASED LINES-INTERNET SERVICES</v>
          </cell>
          <cell r="D687">
            <v>51600</v>
          </cell>
          <cell r="F687">
            <v>23782</v>
          </cell>
          <cell r="G687">
            <v>47564</v>
          </cell>
          <cell r="H687">
            <v>1.084854091329577</v>
          </cell>
        </row>
        <row r="688">
          <cell r="A688" t="str">
            <v>155-10-054</v>
          </cell>
          <cell r="B688">
            <v>8</v>
          </cell>
          <cell r="C688" t="str">
            <v>LEASED LINES-INTERNET SERVICES</v>
          </cell>
          <cell r="D688">
            <v>0</v>
          </cell>
          <cell r="G688">
            <v>0</v>
          </cell>
          <cell r="H688" t="str">
            <v/>
          </cell>
        </row>
        <row r="689">
          <cell r="A689" t="str">
            <v>155-10-054</v>
          </cell>
          <cell r="B689">
            <v>9</v>
          </cell>
          <cell r="C689" t="str">
            <v>LEASED LINES-INTERNET SERVICES</v>
          </cell>
          <cell r="D689">
            <v>479220</v>
          </cell>
          <cell r="F689">
            <v>126000</v>
          </cell>
          <cell r="G689">
            <v>252000</v>
          </cell>
          <cell r="H689">
            <v>1.9016666666666666</v>
          </cell>
        </row>
        <row r="690">
          <cell r="A690" t="str">
            <v>155-10-054</v>
          </cell>
          <cell r="B690">
            <v>7</v>
          </cell>
          <cell r="C690" t="str">
            <v>LEASED LINES-INTERNET SERVICES</v>
          </cell>
          <cell r="D690">
            <v>0</v>
          </cell>
          <cell r="F690">
            <v>0</v>
          </cell>
          <cell r="G690">
            <v>0</v>
          </cell>
          <cell r="H690" t="str">
            <v/>
          </cell>
        </row>
        <row r="691">
          <cell r="A691" t="str">
            <v>155-10-054</v>
          </cell>
          <cell r="B691">
            <v>2</v>
          </cell>
          <cell r="C691" t="str">
            <v>LEASED LINES-INTERNET SERVICES</v>
          </cell>
          <cell r="D691">
            <v>0</v>
          </cell>
          <cell r="F691">
            <v>0</v>
          </cell>
          <cell r="G691">
            <v>0</v>
          </cell>
          <cell r="H691" t="str">
            <v/>
          </cell>
        </row>
        <row r="692">
          <cell r="A692" t="str">
            <v>155-10-054</v>
          </cell>
          <cell r="B692">
            <v>5</v>
          </cell>
          <cell r="C692" t="str">
            <v>LEASED LINES-INTERNET SERVICES</v>
          </cell>
          <cell r="D692">
            <v>0</v>
          </cell>
          <cell r="F692">
            <v>0</v>
          </cell>
          <cell r="G692">
            <v>0</v>
          </cell>
        </row>
        <row r="693">
          <cell r="A693" t="str">
            <v>155-10-054</v>
          </cell>
          <cell r="B693">
            <v>3</v>
          </cell>
          <cell r="C693" t="str">
            <v>LEASED LINES-INTERNET SERVICES</v>
          </cell>
          <cell r="D693">
            <v>0</v>
          </cell>
          <cell r="F693">
            <v>0</v>
          </cell>
          <cell r="G693">
            <v>0</v>
          </cell>
          <cell r="H693" t="str">
            <v xml:space="preserve"> </v>
          </cell>
        </row>
        <row r="694">
          <cell r="A694" t="str">
            <v>155-10-054</v>
          </cell>
          <cell r="B694">
            <v>10</v>
          </cell>
          <cell r="C694" t="str">
            <v>LEASED LINES-INTERNET SERVICES</v>
          </cell>
          <cell r="D694">
            <v>0</v>
          </cell>
          <cell r="F694">
            <v>0</v>
          </cell>
          <cell r="G694">
            <v>0</v>
          </cell>
          <cell r="H694" t="str">
            <v/>
          </cell>
        </row>
        <row r="695">
          <cell r="A695" t="str">
            <v>155-10-057</v>
          </cell>
          <cell r="B695">
            <v>6</v>
          </cell>
          <cell r="C695" t="str">
            <v>SOFTWARE LICENCES</v>
          </cell>
          <cell r="D695">
            <v>0</v>
          </cell>
          <cell r="F695">
            <v>0</v>
          </cell>
          <cell r="G695">
            <v>0</v>
          </cell>
          <cell r="H695" t="str">
            <v/>
          </cell>
        </row>
        <row r="696">
          <cell r="A696" t="str">
            <v>155-10-057</v>
          </cell>
          <cell r="B696">
            <v>4</v>
          </cell>
          <cell r="C696" t="str">
            <v>SOFTWARE LICENCES</v>
          </cell>
          <cell r="D696">
            <v>0</v>
          </cell>
          <cell r="F696">
            <v>0</v>
          </cell>
          <cell r="G696">
            <v>0</v>
          </cell>
          <cell r="H696" t="str">
            <v/>
          </cell>
        </row>
        <row r="697">
          <cell r="A697" t="str">
            <v>155-10-057</v>
          </cell>
          <cell r="B697">
            <v>1</v>
          </cell>
          <cell r="C697" t="str">
            <v>SOFTWARE LICENCES</v>
          </cell>
          <cell r="D697">
            <v>0</v>
          </cell>
          <cell r="F697">
            <v>0</v>
          </cell>
          <cell r="G697">
            <v>0</v>
          </cell>
          <cell r="H697" t="str">
            <v/>
          </cell>
        </row>
        <row r="698">
          <cell r="A698" t="str">
            <v>155-10-057</v>
          </cell>
          <cell r="B698">
            <v>8</v>
          </cell>
          <cell r="C698" t="str">
            <v>SOFTWARE LICENCES</v>
          </cell>
          <cell r="D698">
            <v>226400</v>
          </cell>
          <cell r="G698">
            <v>0</v>
          </cell>
          <cell r="H698" t="str">
            <v/>
          </cell>
        </row>
        <row r="699">
          <cell r="A699" t="str">
            <v>155-10-057</v>
          </cell>
          <cell r="B699">
            <v>9</v>
          </cell>
          <cell r="C699" t="str">
            <v>SOFTWARE LICENCES</v>
          </cell>
          <cell r="D699">
            <v>340000</v>
          </cell>
          <cell r="F699">
            <v>144789.37</v>
          </cell>
          <cell r="G699">
            <v>289578.74</v>
          </cell>
          <cell r="H699">
            <v>1.1741193431534374</v>
          </cell>
        </row>
        <row r="700">
          <cell r="A700" t="str">
            <v>155-10-057</v>
          </cell>
          <cell r="B700">
            <v>7</v>
          </cell>
          <cell r="C700" t="str">
            <v>SOFTWARE LICENCES</v>
          </cell>
          <cell r="D700">
            <v>0</v>
          </cell>
          <cell r="F700">
            <v>0</v>
          </cell>
          <cell r="G700">
            <v>0</v>
          </cell>
          <cell r="H700" t="str">
            <v/>
          </cell>
        </row>
        <row r="701">
          <cell r="A701" t="str">
            <v>155-10-057</v>
          </cell>
          <cell r="B701">
            <v>2</v>
          </cell>
          <cell r="C701" t="str">
            <v>SOFTWARE LICENCES</v>
          </cell>
          <cell r="D701">
            <v>0</v>
          </cell>
          <cell r="F701">
            <v>0</v>
          </cell>
          <cell r="G701">
            <v>0</v>
          </cell>
          <cell r="H701" t="str">
            <v/>
          </cell>
        </row>
        <row r="702">
          <cell r="A702" t="str">
            <v>155-10-057</v>
          </cell>
          <cell r="B702">
            <v>5</v>
          </cell>
          <cell r="C702" t="str">
            <v>SOFTWARE LICENCES</v>
          </cell>
          <cell r="D702">
            <v>0</v>
          </cell>
          <cell r="F702">
            <v>0</v>
          </cell>
          <cell r="G702">
            <v>0</v>
          </cell>
        </row>
        <row r="703">
          <cell r="A703" t="str">
            <v>155-10-057</v>
          </cell>
          <cell r="B703">
            <v>3</v>
          </cell>
          <cell r="C703" t="str">
            <v>SOFTWARE LICENCES</v>
          </cell>
          <cell r="D703">
            <v>0</v>
          </cell>
          <cell r="F703">
            <v>0</v>
          </cell>
          <cell r="G703">
            <v>0</v>
          </cell>
          <cell r="H703" t="str">
            <v xml:space="preserve"> </v>
          </cell>
        </row>
        <row r="704">
          <cell r="A704" t="str">
            <v>155-10-057</v>
          </cell>
          <cell r="B704">
            <v>10</v>
          </cell>
          <cell r="C704" t="str">
            <v>SOFTWARE LICENCES</v>
          </cell>
          <cell r="D704">
            <v>0</v>
          </cell>
          <cell r="F704">
            <v>0</v>
          </cell>
          <cell r="G704">
            <v>0</v>
          </cell>
          <cell r="H704" t="str">
            <v/>
          </cell>
        </row>
        <row r="705">
          <cell r="A705" t="str">
            <v>155-10-059</v>
          </cell>
          <cell r="B705">
            <v>8</v>
          </cell>
          <cell r="C705" t="str">
            <v>Carried Forward Depreciation</v>
          </cell>
          <cell r="H705" t="str">
            <v/>
          </cell>
        </row>
        <row r="706">
          <cell r="A706" t="str">
            <v>155-10-060</v>
          </cell>
          <cell r="B706">
            <v>8</v>
          </cell>
          <cell r="C706" t="str">
            <v>Carried Forward Depreciation</v>
          </cell>
          <cell r="H706" t="str">
            <v/>
          </cell>
        </row>
        <row r="707">
          <cell r="A707" t="str">
            <v>155-10-062</v>
          </cell>
          <cell r="B707">
            <v>1</v>
          </cell>
          <cell r="C707" t="str">
            <v>EDUCATION EXPENSES</v>
          </cell>
          <cell r="D707">
            <v>1557760</v>
          </cell>
          <cell r="F707">
            <v>0</v>
          </cell>
          <cell r="G707">
            <v>914000</v>
          </cell>
          <cell r="H707">
            <v>1.7043326039387308</v>
          </cell>
        </row>
        <row r="708">
          <cell r="A708" t="str">
            <v>155-10-062</v>
          </cell>
          <cell r="B708">
            <v>8</v>
          </cell>
          <cell r="C708" t="str">
            <v>EDUCATION EXPENSES</v>
          </cell>
          <cell r="D708">
            <v>643200</v>
          </cell>
          <cell r="G708">
            <v>643200</v>
          </cell>
          <cell r="H708">
            <v>1</v>
          </cell>
        </row>
        <row r="709">
          <cell r="A709" t="str">
            <v>155-10-062</v>
          </cell>
          <cell r="B709">
            <v>2</v>
          </cell>
          <cell r="C709" t="str">
            <v>EDUCATION EXPENSES</v>
          </cell>
          <cell r="D709">
            <v>99840</v>
          </cell>
          <cell r="F709">
            <v>49920</v>
          </cell>
          <cell r="G709">
            <v>99840</v>
          </cell>
          <cell r="H709">
            <v>1</v>
          </cell>
        </row>
        <row r="710">
          <cell r="A710" t="str">
            <v>165-10-010</v>
          </cell>
          <cell r="B710">
            <v>7</v>
          </cell>
          <cell r="C710" t="str">
            <v>Revenue Stamps</v>
          </cell>
          <cell r="H710" t="str">
            <v/>
          </cell>
        </row>
        <row r="711">
          <cell r="A711" t="str">
            <v>GL code</v>
          </cell>
          <cell r="C711" t="str">
            <v>EMPLOYMENT COSTS</v>
          </cell>
          <cell r="F711" t="str">
            <v>Actuals as at</v>
          </cell>
          <cell r="G711" t="str">
            <v>projected</v>
          </cell>
          <cell r="H711" t="str">
            <v>%</v>
          </cell>
        </row>
        <row r="712">
          <cell r="A712" t="str">
            <v>GL code</v>
          </cell>
          <cell r="C712" t="str">
            <v>EMPLOYMENT COSTS</v>
          </cell>
          <cell r="F712" t="str">
            <v>Actuals as at</v>
          </cell>
          <cell r="G712" t="str">
            <v>projected</v>
          </cell>
          <cell r="H712" t="str">
            <v>%</v>
          </cell>
        </row>
        <row r="713">
          <cell r="A713" t="str">
            <v>GL code</v>
          </cell>
          <cell r="C713" t="str">
            <v>EMPLOYMENT COSTS</v>
          </cell>
          <cell r="F713" t="str">
            <v>Actuals as at</v>
          </cell>
          <cell r="G713" t="str">
            <v>projected</v>
          </cell>
          <cell r="H713" t="str">
            <v>%</v>
          </cell>
        </row>
        <row r="714">
          <cell r="A714" t="str">
            <v>GL code</v>
          </cell>
          <cell r="C714" t="str">
            <v>EMPLOYMENT COSTS</v>
          </cell>
          <cell r="F714">
            <v>37802</v>
          </cell>
          <cell r="G714">
            <v>38352</v>
          </cell>
        </row>
        <row r="715">
          <cell r="A715" t="str">
            <v>GL code</v>
          </cell>
          <cell r="C715" t="str">
            <v>EMPLOYMENT COSTS</v>
          </cell>
          <cell r="F715" t="str">
            <v>Actuals as at</v>
          </cell>
          <cell r="G715" t="str">
            <v>projected</v>
          </cell>
          <cell r="H715" t="str">
            <v>%</v>
          </cell>
        </row>
        <row r="716">
          <cell r="A716" t="str">
            <v>GL code</v>
          </cell>
          <cell r="C716" t="str">
            <v>EMPLOYMENT COSTS</v>
          </cell>
          <cell r="F716" t="str">
            <v>Actuals as at</v>
          </cell>
          <cell r="G716" t="str">
            <v>projected</v>
          </cell>
          <cell r="H716" t="str">
            <v>%</v>
          </cell>
        </row>
        <row r="717">
          <cell r="A717" t="str">
            <v>GL code</v>
          </cell>
          <cell r="C717" t="str">
            <v>EMPLOYMENT COSTS</v>
          </cell>
          <cell r="F717" t="str">
            <v>Actuals as at</v>
          </cell>
          <cell r="G717" t="str">
            <v>projected</v>
          </cell>
          <cell r="H717" t="str">
            <v>%</v>
          </cell>
        </row>
        <row r="718">
          <cell r="A718" t="str">
            <v>GL code</v>
          </cell>
          <cell r="C718" t="str">
            <v>EMPLOYMENT COSTS</v>
          </cell>
          <cell r="F718" t="str">
            <v>Actuals as at</v>
          </cell>
          <cell r="G718" t="str">
            <v>projected</v>
          </cell>
          <cell r="H718" t="str">
            <v>%</v>
          </cell>
        </row>
        <row r="719">
          <cell r="A719" t="str">
            <v>GL code</v>
          </cell>
          <cell r="C719" t="str">
            <v>EMPLOYMENT COSTS</v>
          </cell>
          <cell r="F719" t="str">
            <v>Actuals as at</v>
          </cell>
          <cell r="G719" t="str">
            <v>projected</v>
          </cell>
          <cell r="H719" t="str">
            <v>%</v>
          </cell>
        </row>
        <row r="720">
          <cell r="A720" t="str">
            <v>GL code</v>
          </cell>
          <cell r="C720" t="str">
            <v>EMPLOYMENT COSTS</v>
          </cell>
          <cell r="F720" t="str">
            <v>Actuals as at</v>
          </cell>
          <cell r="G720" t="str">
            <v>projected</v>
          </cell>
          <cell r="H720" t="str">
            <v>%</v>
          </cell>
        </row>
      </sheetData>
      <sheetData sheetId="19" refreshError="1">
        <row r="6">
          <cell r="I6" t="str">
            <v>105-10-010</v>
          </cell>
        </row>
      </sheetData>
      <sheetData sheetId="20"/>
      <sheetData sheetId="21" refreshError="1">
        <row r="61">
          <cell r="A61" t="str">
            <v>Account</v>
          </cell>
          <cell r="C61" t="str">
            <v>Details</v>
          </cell>
          <cell r="D61" t="str">
            <v>Budget</v>
          </cell>
          <cell r="E61" t="str">
            <v>Actuals</v>
          </cell>
          <cell r="G61" t="str">
            <v>Projected</v>
          </cell>
          <cell r="H61" t="str">
            <v>% -Age</v>
          </cell>
        </row>
        <row r="62">
          <cell r="A62" t="str">
            <v>105-10-010</v>
          </cell>
          <cell r="B62">
            <v>70</v>
          </cell>
          <cell r="C62" t="str">
            <v>BASIC SALARY</v>
          </cell>
          <cell r="D62">
            <v>407880</v>
          </cell>
          <cell r="E62">
            <v>185400</v>
          </cell>
          <cell r="G62">
            <v>370800</v>
          </cell>
          <cell r="H62">
            <v>1.1000000000000001</v>
          </cell>
        </row>
        <row r="63">
          <cell r="A63" t="str">
            <v>105-10-010</v>
          </cell>
          <cell r="B63">
            <v>150</v>
          </cell>
          <cell r="C63" t="str">
            <v>BASIC SALARY</v>
          </cell>
          <cell r="D63">
            <v>545160</v>
          </cell>
          <cell r="E63">
            <v>247800</v>
          </cell>
          <cell r="G63">
            <v>495600</v>
          </cell>
          <cell r="H63">
            <v>1.1000000000000001</v>
          </cell>
        </row>
        <row r="64">
          <cell r="A64" t="str">
            <v>105-10-010</v>
          </cell>
          <cell r="B64">
            <v>120</v>
          </cell>
          <cell r="C64" t="str">
            <v>BASIC SALARY</v>
          </cell>
          <cell r="D64">
            <v>229680</v>
          </cell>
          <cell r="E64">
            <v>104400</v>
          </cell>
          <cell r="G64">
            <v>208800</v>
          </cell>
          <cell r="H64">
            <v>1.1000000000000001</v>
          </cell>
        </row>
        <row r="65">
          <cell r="A65" t="str">
            <v>105-10-010</v>
          </cell>
          <cell r="B65">
            <v>160</v>
          </cell>
          <cell r="C65" t="str">
            <v>BASIC SALARY</v>
          </cell>
          <cell r="D65">
            <v>355080</v>
          </cell>
          <cell r="E65">
            <v>161400</v>
          </cell>
          <cell r="G65">
            <v>322800</v>
          </cell>
          <cell r="H65">
            <v>1.1000000000000001</v>
          </cell>
        </row>
        <row r="66">
          <cell r="A66" t="str">
            <v>105-10-010</v>
          </cell>
          <cell r="B66">
            <v>90</v>
          </cell>
          <cell r="C66" t="str">
            <v>BASIC SALARY</v>
          </cell>
          <cell r="D66">
            <v>229680</v>
          </cell>
          <cell r="G66">
            <v>0</v>
          </cell>
          <cell r="H66" t="str">
            <v/>
          </cell>
        </row>
        <row r="67">
          <cell r="A67" t="str">
            <v>105-10-010</v>
          </cell>
          <cell r="B67">
            <v>80</v>
          </cell>
          <cell r="C67" t="str">
            <v>BASIC SALARY</v>
          </cell>
          <cell r="D67">
            <v>340560</v>
          </cell>
          <cell r="E67">
            <v>154800</v>
          </cell>
          <cell r="G67">
            <v>309600</v>
          </cell>
          <cell r="H67">
            <v>1.1000000000000001</v>
          </cell>
        </row>
        <row r="68">
          <cell r="A68" t="str">
            <v>105-10-010</v>
          </cell>
          <cell r="B68">
            <v>60</v>
          </cell>
          <cell r="C68" t="str">
            <v>BASIC SALARY</v>
          </cell>
          <cell r="D68">
            <v>285120</v>
          </cell>
          <cell r="E68">
            <v>129600</v>
          </cell>
          <cell r="G68">
            <v>259200</v>
          </cell>
          <cell r="H68">
            <v>1.1000000000000001</v>
          </cell>
        </row>
        <row r="69">
          <cell r="A69" t="str">
            <v>105-10-010</v>
          </cell>
          <cell r="B69">
            <v>170</v>
          </cell>
          <cell r="C69" t="str">
            <v>BASIC SALARY</v>
          </cell>
          <cell r="D69">
            <v>12460430.4</v>
          </cell>
          <cell r="E69">
            <v>5464429</v>
          </cell>
          <cell r="G69">
            <v>10928858</v>
          </cell>
          <cell r="H69">
            <v>1.1401402049509657</v>
          </cell>
        </row>
        <row r="70">
          <cell r="A70" t="str">
            <v>105-10-010</v>
          </cell>
          <cell r="B70">
            <v>110</v>
          </cell>
          <cell r="C70" t="str">
            <v>BASIC SALARY</v>
          </cell>
          <cell r="D70">
            <v>203280</v>
          </cell>
          <cell r="E70">
            <v>92400</v>
          </cell>
          <cell r="G70">
            <v>184800</v>
          </cell>
          <cell r="H70">
            <v>1.1000000000000001</v>
          </cell>
        </row>
        <row r="71">
          <cell r="A71" t="str">
            <v>105-10-010</v>
          </cell>
          <cell r="B71">
            <v>50</v>
          </cell>
          <cell r="C71" t="str">
            <v>BASIC SALARY</v>
          </cell>
          <cell r="D71">
            <v>319440</v>
          </cell>
          <cell r="E71">
            <v>145200</v>
          </cell>
          <cell r="G71">
            <v>290400</v>
          </cell>
          <cell r="H71">
            <v>1.1000000000000001</v>
          </cell>
        </row>
        <row r="72">
          <cell r="A72" t="str">
            <v>105-10-010</v>
          </cell>
          <cell r="B72">
            <v>30</v>
          </cell>
          <cell r="C72" t="str">
            <v>BASIC SALARY</v>
          </cell>
          <cell r="D72">
            <v>380160</v>
          </cell>
          <cell r="E72">
            <v>172800</v>
          </cell>
          <cell r="G72">
            <v>345600</v>
          </cell>
          <cell r="H72">
            <v>1.1000000000000001</v>
          </cell>
        </row>
        <row r="73">
          <cell r="A73" t="str">
            <v>105-10-010</v>
          </cell>
          <cell r="B73">
            <v>140</v>
          </cell>
          <cell r="C73" t="str">
            <v>BASIC SALARY</v>
          </cell>
          <cell r="D73">
            <v>203280</v>
          </cell>
          <cell r="E73">
            <v>92400</v>
          </cell>
          <cell r="G73">
            <v>184800</v>
          </cell>
          <cell r="H73">
            <v>1.1000000000000001</v>
          </cell>
        </row>
        <row r="74">
          <cell r="A74" t="str">
            <v>105-10-010</v>
          </cell>
          <cell r="B74">
            <v>40</v>
          </cell>
          <cell r="C74" t="str">
            <v>BASIC SALARY</v>
          </cell>
          <cell r="D74">
            <v>258720</v>
          </cell>
          <cell r="E74">
            <v>117600</v>
          </cell>
          <cell r="G74">
            <v>235200</v>
          </cell>
          <cell r="H74">
            <v>1.1000000000000001</v>
          </cell>
        </row>
        <row r="75">
          <cell r="A75" t="str">
            <v>105-10-010</v>
          </cell>
          <cell r="B75">
            <v>180</v>
          </cell>
          <cell r="C75" t="str">
            <v>BASIC SALARY</v>
          </cell>
          <cell r="D75">
            <v>229680</v>
          </cell>
          <cell r="E75">
            <v>104400</v>
          </cell>
          <cell r="G75">
            <v>208800</v>
          </cell>
          <cell r="H75">
            <v>1.1000000000000001</v>
          </cell>
        </row>
        <row r="76">
          <cell r="A76" t="str">
            <v>105-10-011</v>
          </cell>
          <cell r="B76">
            <v>70</v>
          </cell>
          <cell r="C76" t="str">
            <v>CASH IN LIEU OF LEAVE</v>
          </cell>
          <cell r="D76">
            <v>0</v>
          </cell>
          <cell r="H76" t="str">
            <v/>
          </cell>
        </row>
        <row r="77">
          <cell r="A77" t="str">
            <v>105-10-011</v>
          </cell>
          <cell r="B77">
            <v>150</v>
          </cell>
          <cell r="C77" t="str">
            <v>CASH IN LIEU OF LEAVE</v>
          </cell>
          <cell r="D77">
            <v>0</v>
          </cell>
          <cell r="H77">
            <v>0</v>
          </cell>
        </row>
        <row r="78">
          <cell r="A78" t="str">
            <v>105-10-011</v>
          </cell>
          <cell r="B78">
            <v>120</v>
          </cell>
          <cell r="C78" t="str">
            <v>PAY IN LIEU OF LEAVE</v>
          </cell>
          <cell r="D78">
            <v>0</v>
          </cell>
          <cell r="H78" t="str">
            <v/>
          </cell>
        </row>
        <row r="79">
          <cell r="A79" t="str">
            <v>105-10-011</v>
          </cell>
          <cell r="B79">
            <v>160</v>
          </cell>
          <cell r="C79" t="str">
            <v>CASH IN LIUE OF LEAVE</v>
          </cell>
          <cell r="D79">
            <v>0</v>
          </cell>
          <cell r="H79" t="str">
            <v/>
          </cell>
        </row>
        <row r="80">
          <cell r="A80" t="str">
            <v>105-10-011</v>
          </cell>
          <cell r="B80">
            <v>90</v>
          </cell>
          <cell r="C80" t="str">
            <v>PROVISION FOR EDUCATION ALLOWANCE</v>
          </cell>
          <cell r="D80">
            <v>0</v>
          </cell>
          <cell r="G80">
            <v>0</v>
          </cell>
          <cell r="H80" t="str">
            <v/>
          </cell>
        </row>
        <row r="81">
          <cell r="A81" t="str">
            <v>105-10-011</v>
          </cell>
          <cell r="B81">
            <v>80</v>
          </cell>
          <cell r="C81" t="str">
            <v>CASH IN LIUE OF LEAVE</v>
          </cell>
          <cell r="D81">
            <v>0</v>
          </cell>
          <cell r="H81" t="str">
            <v/>
          </cell>
        </row>
        <row r="82">
          <cell r="A82" t="str">
            <v>105-10-011</v>
          </cell>
          <cell r="B82">
            <v>60</v>
          </cell>
          <cell r="C82" t="str">
            <v>CASH IN LIEU OF LEAVE</v>
          </cell>
          <cell r="D82">
            <v>0</v>
          </cell>
          <cell r="E82">
            <v>0</v>
          </cell>
          <cell r="H82" t="str">
            <v/>
          </cell>
        </row>
        <row r="83">
          <cell r="A83" t="str">
            <v>105-10-011</v>
          </cell>
          <cell r="B83">
            <v>170</v>
          </cell>
          <cell r="C83" t="str">
            <v>CASH IN LIEU OF LEAVE</v>
          </cell>
          <cell r="D83">
            <v>0</v>
          </cell>
          <cell r="H83" t="str">
            <v/>
          </cell>
        </row>
        <row r="84">
          <cell r="A84" t="str">
            <v>105-10-011</v>
          </cell>
          <cell r="B84">
            <v>110</v>
          </cell>
          <cell r="C84" t="str">
            <v>CASH IN LIEU OF LEAVE</v>
          </cell>
          <cell r="D84">
            <v>0</v>
          </cell>
          <cell r="H84" t="str">
            <v/>
          </cell>
        </row>
        <row r="85">
          <cell r="A85" t="str">
            <v>105-10-011</v>
          </cell>
          <cell r="B85">
            <v>50</v>
          </cell>
          <cell r="C85" t="str">
            <v>CASH IN LIEU OF LEAVE</v>
          </cell>
          <cell r="D85">
            <v>0</v>
          </cell>
          <cell r="H85" t="str">
            <v/>
          </cell>
        </row>
        <row r="86">
          <cell r="A86" t="str">
            <v>105-10-011</v>
          </cell>
          <cell r="B86">
            <v>30</v>
          </cell>
          <cell r="C86" t="str">
            <v>CASH IN LIEU OF LEAVE</v>
          </cell>
          <cell r="D86">
            <v>0</v>
          </cell>
          <cell r="H86" t="str">
            <v/>
          </cell>
        </row>
        <row r="87">
          <cell r="A87" t="str">
            <v>105-10-011</v>
          </cell>
          <cell r="B87">
            <v>140</v>
          </cell>
          <cell r="C87" t="str">
            <v>CASH IN LIEU OF LEAVE</v>
          </cell>
          <cell r="D87">
            <v>0</v>
          </cell>
          <cell r="H87">
            <v>0</v>
          </cell>
        </row>
        <row r="88">
          <cell r="A88" t="str">
            <v>105-10-011</v>
          </cell>
          <cell r="B88">
            <v>40</v>
          </cell>
          <cell r="C88" t="str">
            <v>CASH IN LIEU OF LEAVE</v>
          </cell>
          <cell r="D88">
            <v>0</v>
          </cell>
          <cell r="H88">
            <v>0</v>
          </cell>
        </row>
        <row r="89">
          <cell r="A89" t="str">
            <v>105-10-011</v>
          </cell>
          <cell r="B89">
            <v>180</v>
          </cell>
          <cell r="C89" t="str">
            <v>CASH IN LIEU OF LEAVE</v>
          </cell>
          <cell r="D89">
            <v>0</v>
          </cell>
          <cell r="H89">
            <v>0</v>
          </cell>
        </row>
        <row r="90">
          <cell r="A90" t="str">
            <v>105-10-012</v>
          </cell>
          <cell r="B90">
            <v>70</v>
          </cell>
          <cell r="C90" t="str">
            <v>PROVISION FOR MORT. RATE ADJUSTMENTS</v>
          </cell>
          <cell r="D90">
            <v>0</v>
          </cell>
          <cell r="G90">
            <v>0</v>
          </cell>
          <cell r="H90" t="str">
            <v/>
          </cell>
        </row>
        <row r="91">
          <cell r="A91" t="str">
            <v>105-10-012</v>
          </cell>
          <cell r="B91">
            <v>150</v>
          </cell>
          <cell r="C91" t="str">
            <v>PROVISION FOR MORT. RATE ADJUSTMENTS</v>
          </cell>
          <cell r="D91">
            <v>0</v>
          </cell>
          <cell r="G91">
            <v>0</v>
          </cell>
          <cell r="H91" t="str">
            <v/>
          </cell>
        </row>
        <row r="92">
          <cell r="A92" t="str">
            <v>105-10-012</v>
          </cell>
          <cell r="B92">
            <v>120</v>
          </cell>
          <cell r="C92" t="str">
            <v>PROVISION FOR MORT. RATE ADJUSTMENTS</v>
          </cell>
          <cell r="D92">
            <v>0</v>
          </cell>
          <cell r="G92">
            <v>0</v>
          </cell>
          <cell r="H92" t="str">
            <v/>
          </cell>
        </row>
        <row r="93">
          <cell r="A93" t="str">
            <v>105-10-012</v>
          </cell>
          <cell r="B93">
            <v>160</v>
          </cell>
          <cell r="C93" t="str">
            <v>PROVISION FOR MORT. RATE ADJUSTMENTS</v>
          </cell>
          <cell r="D93">
            <v>0</v>
          </cell>
          <cell r="E93">
            <v>0</v>
          </cell>
          <cell r="G93">
            <v>0</v>
          </cell>
          <cell r="H93" t="str">
            <v/>
          </cell>
        </row>
        <row r="94">
          <cell r="A94" t="str">
            <v>105-10-012</v>
          </cell>
          <cell r="B94">
            <v>90</v>
          </cell>
          <cell r="C94" t="str">
            <v>PROVISION FOR MORT. RATE ADJUSTMENTS</v>
          </cell>
          <cell r="D94">
            <v>0</v>
          </cell>
          <cell r="G94">
            <v>0</v>
          </cell>
          <cell r="H94" t="str">
            <v/>
          </cell>
        </row>
        <row r="95">
          <cell r="A95" t="str">
            <v>105-10-012</v>
          </cell>
          <cell r="B95">
            <v>80</v>
          </cell>
          <cell r="C95" t="str">
            <v>PROVISION FOR MORT. RATE ADJUSTMENTS</v>
          </cell>
          <cell r="D95">
            <v>0</v>
          </cell>
          <cell r="G95">
            <v>0</v>
          </cell>
          <cell r="H95" t="str">
            <v/>
          </cell>
        </row>
        <row r="96">
          <cell r="A96" t="str">
            <v>105-10-012</v>
          </cell>
          <cell r="B96">
            <v>60</v>
          </cell>
          <cell r="C96" t="str">
            <v>PROVISION FOR MORT. RATE ADJUSTMENTS</v>
          </cell>
          <cell r="D96">
            <v>0</v>
          </cell>
          <cell r="G96">
            <v>0</v>
          </cell>
          <cell r="H96" t="str">
            <v/>
          </cell>
        </row>
        <row r="97">
          <cell r="A97" t="str">
            <v>105-10-012</v>
          </cell>
          <cell r="B97">
            <v>170</v>
          </cell>
          <cell r="C97" t="str">
            <v>PROVISION FOR MORT. RATE ADJUSTMENTS</v>
          </cell>
          <cell r="D97">
            <v>245940</v>
          </cell>
          <cell r="E97">
            <v>81980</v>
          </cell>
          <cell r="G97">
            <v>245940</v>
          </cell>
          <cell r="H97">
            <v>1</v>
          </cell>
        </row>
        <row r="98">
          <cell r="A98" t="str">
            <v>105-10-012</v>
          </cell>
          <cell r="B98">
            <v>110</v>
          </cell>
          <cell r="C98" t="str">
            <v>PROVISION FOR MORT. RATE ADJUSTMENTS</v>
          </cell>
          <cell r="D98">
            <v>0</v>
          </cell>
          <cell r="E98">
            <v>0</v>
          </cell>
          <cell r="G98">
            <v>0</v>
          </cell>
          <cell r="H98" t="str">
            <v/>
          </cell>
        </row>
        <row r="99">
          <cell r="A99" t="str">
            <v>105-10-012</v>
          </cell>
          <cell r="B99">
            <v>50</v>
          </cell>
          <cell r="C99" t="str">
            <v>PROVISION FOR MORT. RATE ADJUSTMENTS</v>
          </cell>
          <cell r="D99">
            <v>0</v>
          </cell>
          <cell r="E99">
            <v>0</v>
          </cell>
          <cell r="G99">
            <v>0</v>
          </cell>
          <cell r="H99" t="str">
            <v/>
          </cell>
        </row>
        <row r="100">
          <cell r="A100" t="str">
            <v>105-10-012</v>
          </cell>
          <cell r="B100">
            <v>30</v>
          </cell>
          <cell r="C100" t="str">
            <v>PROVISION FOR MORT. RATE ADJUSTMENTS</v>
          </cell>
          <cell r="D100">
            <v>0</v>
          </cell>
          <cell r="G100">
            <v>0</v>
          </cell>
          <cell r="H100" t="str">
            <v/>
          </cell>
        </row>
        <row r="101">
          <cell r="A101" t="str">
            <v>105-10-012</v>
          </cell>
          <cell r="B101">
            <v>140</v>
          </cell>
          <cell r="C101" t="str">
            <v>PROVISION FOR MORT. RATE ADJUSTMENTS</v>
          </cell>
          <cell r="D101">
            <v>0</v>
          </cell>
          <cell r="G101">
            <v>0</v>
          </cell>
          <cell r="H101" t="str">
            <v/>
          </cell>
        </row>
        <row r="102">
          <cell r="A102" t="str">
            <v>105-10-012</v>
          </cell>
          <cell r="B102">
            <v>40</v>
          </cell>
          <cell r="C102" t="str">
            <v>PROVISION FOR MORT. RATE ADJUSTMENTS</v>
          </cell>
          <cell r="D102">
            <v>0</v>
          </cell>
          <cell r="E102">
            <v>0</v>
          </cell>
          <cell r="G102">
            <v>0</v>
          </cell>
          <cell r="H102" t="str">
            <v/>
          </cell>
        </row>
        <row r="103">
          <cell r="A103" t="str">
            <v>105-10-012</v>
          </cell>
          <cell r="B103">
            <v>180</v>
          </cell>
          <cell r="C103" t="str">
            <v>PROVISION FOR MORT. RATE ADJUSTMENTS</v>
          </cell>
          <cell r="D103">
            <v>0</v>
          </cell>
          <cell r="G103">
            <v>0</v>
          </cell>
          <cell r="H103" t="str">
            <v/>
          </cell>
        </row>
        <row r="104">
          <cell r="A104" t="str">
            <v>105-10-013</v>
          </cell>
          <cell r="B104">
            <v>70</v>
          </cell>
          <cell r="C104" t="str">
            <v>PROVISION FOR CAR LOAN ADJUST</v>
          </cell>
          <cell r="D104">
            <v>0</v>
          </cell>
          <cell r="G104">
            <v>0</v>
          </cell>
          <cell r="H104" t="str">
            <v/>
          </cell>
        </row>
        <row r="105">
          <cell r="A105" t="str">
            <v>105-10-013</v>
          </cell>
          <cell r="B105">
            <v>150</v>
          </cell>
          <cell r="C105" t="str">
            <v>PROVISION FOR CAR LOAN ADJUST</v>
          </cell>
          <cell r="D105">
            <v>0</v>
          </cell>
          <cell r="G105">
            <v>0</v>
          </cell>
          <cell r="H105" t="str">
            <v/>
          </cell>
        </row>
        <row r="106">
          <cell r="A106" t="str">
            <v>105-10-013</v>
          </cell>
          <cell r="B106">
            <v>120</v>
          </cell>
          <cell r="C106" t="str">
            <v>PROVISION FOR CAR LOAN ADJUST</v>
          </cell>
          <cell r="D106">
            <v>0</v>
          </cell>
          <cell r="G106">
            <v>0</v>
          </cell>
          <cell r="H106" t="str">
            <v/>
          </cell>
        </row>
        <row r="107">
          <cell r="A107" t="str">
            <v>105-10-013</v>
          </cell>
          <cell r="B107">
            <v>160</v>
          </cell>
          <cell r="C107" t="str">
            <v>PROVISION FOR CAR LOAN ADJUST</v>
          </cell>
          <cell r="D107">
            <v>0</v>
          </cell>
          <cell r="G107">
            <v>0</v>
          </cell>
          <cell r="H107" t="str">
            <v/>
          </cell>
        </row>
        <row r="108">
          <cell r="A108" t="str">
            <v>105-10-013</v>
          </cell>
          <cell r="B108">
            <v>90</v>
          </cell>
          <cell r="C108" t="str">
            <v>PROVISION FOR CAR LOAN ADJUST</v>
          </cell>
          <cell r="D108">
            <v>0</v>
          </cell>
          <cell r="G108">
            <v>0</v>
          </cell>
          <cell r="H108" t="str">
            <v/>
          </cell>
        </row>
        <row r="109">
          <cell r="A109" t="str">
            <v>105-10-013</v>
          </cell>
          <cell r="B109">
            <v>80</v>
          </cell>
          <cell r="C109" t="str">
            <v>PROVISION FOR CAR LOAN ADJUST</v>
          </cell>
          <cell r="D109">
            <v>0</v>
          </cell>
          <cell r="G109">
            <v>0</v>
          </cell>
          <cell r="H109" t="str">
            <v/>
          </cell>
        </row>
        <row r="110">
          <cell r="A110" t="str">
            <v>105-10-013</v>
          </cell>
          <cell r="B110">
            <v>60</v>
          </cell>
          <cell r="C110" t="str">
            <v>PROVISION FOR CAR LOAN ADJUST</v>
          </cell>
          <cell r="D110">
            <v>0</v>
          </cell>
          <cell r="G110">
            <v>0</v>
          </cell>
          <cell r="H110" t="str">
            <v/>
          </cell>
        </row>
        <row r="111">
          <cell r="A111" t="str">
            <v>105-10-013</v>
          </cell>
          <cell r="B111">
            <v>170</v>
          </cell>
          <cell r="C111" t="str">
            <v>PROVISION FOR CAR LOAN ADJUST</v>
          </cell>
          <cell r="D111">
            <v>0</v>
          </cell>
          <cell r="G111">
            <v>0</v>
          </cell>
          <cell r="H111" t="str">
            <v/>
          </cell>
        </row>
        <row r="112">
          <cell r="A112" t="str">
            <v>105-10-013</v>
          </cell>
          <cell r="B112">
            <v>110</v>
          </cell>
          <cell r="C112" t="str">
            <v>PROVISION FOR CAR LOAN ADJUST</v>
          </cell>
          <cell r="D112">
            <v>0</v>
          </cell>
          <cell r="G112">
            <v>0</v>
          </cell>
          <cell r="H112" t="str">
            <v/>
          </cell>
        </row>
        <row r="113">
          <cell r="A113" t="str">
            <v>105-10-013</v>
          </cell>
          <cell r="B113">
            <v>50</v>
          </cell>
          <cell r="C113" t="str">
            <v>PROVISION FOR CAR LOAN ADJUST</v>
          </cell>
          <cell r="D113">
            <v>0</v>
          </cell>
          <cell r="G113">
            <v>0</v>
          </cell>
          <cell r="H113" t="str">
            <v/>
          </cell>
        </row>
        <row r="114">
          <cell r="A114" t="str">
            <v>105-10-013</v>
          </cell>
          <cell r="B114">
            <v>30</v>
          </cell>
          <cell r="C114" t="str">
            <v>PROVISION FOR CAR LOAN ADJUST</v>
          </cell>
          <cell r="D114">
            <v>0</v>
          </cell>
          <cell r="G114">
            <v>0</v>
          </cell>
          <cell r="H114" t="str">
            <v/>
          </cell>
        </row>
        <row r="115">
          <cell r="A115" t="str">
            <v>105-10-013</v>
          </cell>
          <cell r="B115">
            <v>140</v>
          </cell>
          <cell r="C115" t="str">
            <v>PROVISION FOR CAR LOAN ADJUST</v>
          </cell>
          <cell r="D115">
            <v>0</v>
          </cell>
          <cell r="G115">
            <v>0</v>
          </cell>
          <cell r="H115" t="str">
            <v/>
          </cell>
        </row>
        <row r="116">
          <cell r="A116" t="str">
            <v>105-10-013</v>
          </cell>
          <cell r="B116">
            <v>40</v>
          </cell>
          <cell r="C116" t="str">
            <v>PROVISION FOR CAR LOAN ADJUST</v>
          </cell>
          <cell r="D116">
            <v>0</v>
          </cell>
          <cell r="G116">
            <v>0</v>
          </cell>
          <cell r="H116" t="str">
            <v/>
          </cell>
        </row>
        <row r="117">
          <cell r="A117" t="str">
            <v>105-10-013</v>
          </cell>
          <cell r="B117">
            <v>180</v>
          </cell>
          <cell r="C117" t="str">
            <v>PROVISION FOR CAR LOAN ADJUST</v>
          </cell>
          <cell r="D117">
            <v>0</v>
          </cell>
          <cell r="G117">
            <v>0</v>
          </cell>
          <cell r="H117" t="str">
            <v/>
          </cell>
        </row>
        <row r="118">
          <cell r="A118" t="str">
            <v>105-10-020</v>
          </cell>
          <cell r="B118">
            <v>70</v>
          </cell>
          <cell r="C118" t="str">
            <v>HOUSE ALLOWANCE</v>
          </cell>
          <cell r="D118">
            <v>62400</v>
          </cell>
          <cell r="E118">
            <v>31200</v>
          </cell>
          <cell r="G118">
            <v>62400</v>
          </cell>
          <cell r="H118">
            <v>1</v>
          </cell>
        </row>
        <row r="119">
          <cell r="A119" t="str">
            <v>105-10-020</v>
          </cell>
          <cell r="B119">
            <v>150</v>
          </cell>
          <cell r="C119" t="str">
            <v>HOUSE ALLOWANCE</v>
          </cell>
          <cell r="D119">
            <v>78000</v>
          </cell>
          <cell r="E119">
            <v>39000</v>
          </cell>
          <cell r="G119">
            <v>78000</v>
          </cell>
          <cell r="H119">
            <v>1</v>
          </cell>
        </row>
        <row r="120">
          <cell r="A120" t="str">
            <v>105-10-020</v>
          </cell>
          <cell r="B120">
            <v>120</v>
          </cell>
          <cell r="C120" t="str">
            <v>HOUSE ALLOWANCE</v>
          </cell>
          <cell r="D120">
            <v>31200</v>
          </cell>
          <cell r="E120">
            <v>15600</v>
          </cell>
          <cell r="G120">
            <v>31200</v>
          </cell>
          <cell r="H120">
            <v>1</v>
          </cell>
        </row>
        <row r="121">
          <cell r="A121" t="str">
            <v>105-10-020</v>
          </cell>
          <cell r="B121">
            <v>160</v>
          </cell>
          <cell r="C121" t="str">
            <v>HOUSE ALLOWANCE</v>
          </cell>
          <cell r="D121">
            <v>62400</v>
          </cell>
          <cell r="E121">
            <v>31200</v>
          </cell>
          <cell r="G121">
            <v>62400</v>
          </cell>
          <cell r="H121">
            <v>1</v>
          </cell>
        </row>
        <row r="122">
          <cell r="A122" t="str">
            <v>105-10-020</v>
          </cell>
          <cell r="B122">
            <v>90</v>
          </cell>
          <cell r="C122" t="str">
            <v>HOUSE ALLOWANCE</v>
          </cell>
          <cell r="D122">
            <v>78000</v>
          </cell>
          <cell r="G122">
            <v>0</v>
          </cell>
          <cell r="H122" t="str">
            <v/>
          </cell>
        </row>
        <row r="123">
          <cell r="A123" t="str">
            <v>105-10-020</v>
          </cell>
          <cell r="B123">
            <v>80</v>
          </cell>
          <cell r="C123" t="str">
            <v>HOUSE ALLOWANCE</v>
          </cell>
          <cell r="D123">
            <v>46800</v>
          </cell>
          <cell r="E123">
            <v>23400</v>
          </cell>
          <cell r="G123">
            <v>46800</v>
          </cell>
          <cell r="H123">
            <v>1</v>
          </cell>
        </row>
        <row r="124">
          <cell r="A124" t="str">
            <v>105-10-020</v>
          </cell>
          <cell r="B124">
            <v>60</v>
          </cell>
          <cell r="C124" t="str">
            <v>HOUSE ALLOWANCE</v>
          </cell>
          <cell r="D124">
            <v>46800</v>
          </cell>
          <cell r="E124">
            <v>23400</v>
          </cell>
          <cell r="G124">
            <v>46800</v>
          </cell>
          <cell r="H124">
            <v>1</v>
          </cell>
        </row>
        <row r="125">
          <cell r="A125" t="str">
            <v>105-10-020</v>
          </cell>
          <cell r="B125">
            <v>170</v>
          </cell>
          <cell r="C125" t="str">
            <v>HOUSE ALLOWANCE</v>
          </cell>
          <cell r="D125">
            <v>1693200</v>
          </cell>
          <cell r="E125">
            <v>812930</v>
          </cell>
          <cell r="G125">
            <v>1693200</v>
          </cell>
          <cell r="H125">
            <v>1</v>
          </cell>
        </row>
        <row r="126">
          <cell r="A126" t="str">
            <v>105-10-020</v>
          </cell>
          <cell r="B126">
            <v>110</v>
          </cell>
          <cell r="C126" t="str">
            <v>HOUSE ALLOWANCE</v>
          </cell>
          <cell r="D126">
            <v>31200</v>
          </cell>
          <cell r="E126">
            <v>15600</v>
          </cell>
          <cell r="G126">
            <v>31200</v>
          </cell>
          <cell r="H126">
            <v>1</v>
          </cell>
        </row>
        <row r="127">
          <cell r="A127" t="str">
            <v>105-10-020</v>
          </cell>
          <cell r="B127">
            <v>50</v>
          </cell>
          <cell r="C127" t="str">
            <v>HOUSE ALLOWANCE</v>
          </cell>
          <cell r="D127">
            <v>46800</v>
          </cell>
          <cell r="E127">
            <v>23400</v>
          </cell>
          <cell r="G127">
            <v>46800</v>
          </cell>
          <cell r="H127">
            <v>1</v>
          </cell>
        </row>
        <row r="128">
          <cell r="A128" t="str">
            <v>105-10-020</v>
          </cell>
          <cell r="B128">
            <v>30</v>
          </cell>
          <cell r="C128" t="str">
            <v>HOUSE ALLOWANCE</v>
          </cell>
          <cell r="D128">
            <v>46800</v>
          </cell>
          <cell r="E128">
            <v>23400</v>
          </cell>
          <cell r="G128">
            <v>46800</v>
          </cell>
          <cell r="H128">
            <v>1</v>
          </cell>
        </row>
        <row r="129">
          <cell r="A129" t="str">
            <v>105-10-020</v>
          </cell>
          <cell r="B129">
            <v>140</v>
          </cell>
          <cell r="C129" t="str">
            <v>HOUSE ALLOWANCE</v>
          </cell>
          <cell r="D129">
            <v>31200</v>
          </cell>
          <cell r="E129">
            <v>15600</v>
          </cell>
          <cell r="G129">
            <v>31200</v>
          </cell>
          <cell r="H129">
            <v>1</v>
          </cell>
        </row>
        <row r="130">
          <cell r="A130" t="str">
            <v>105-10-020</v>
          </cell>
          <cell r="B130">
            <v>40</v>
          </cell>
          <cell r="C130" t="str">
            <v>HOUSE ALLOWANCE</v>
          </cell>
          <cell r="D130">
            <v>46800</v>
          </cell>
          <cell r="E130">
            <v>23400</v>
          </cell>
          <cell r="G130">
            <v>46800</v>
          </cell>
          <cell r="H130">
            <v>1</v>
          </cell>
        </row>
        <row r="131">
          <cell r="A131" t="str">
            <v>105-10-020</v>
          </cell>
          <cell r="B131">
            <v>180</v>
          </cell>
          <cell r="C131" t="str">
            <v>HOUSE ALLOWANCE</v>
          </cell>
          <cell r="D131">
            <v>31200</v>
          </cell>
          <cell r="E131">
            <v>15600</v>
          </cell>
          <cell r="G131">
            <v>31200</v>
          </cell>
          <cell r="H131">
            <v>1</v>
          </cell>
        </row>
        <row r="132">
          <cell r="A132" t="str">
            <v>105-10-030</v>
          </cell>
          <cell r="B132">
            <v>70</v>
          </cell>
          <cell r="C132" t="str">
            <v>TELEPHONE ALLOWANCE</v>
          </cell>
          <cell r="D132">
            <v>0</v>
          </cell>
          <cell r="G132">
            <v>0</v>
          </cell>
          <cell r="H132" t="str">
            <v/>
          </cell>
        </row>
        <row r="133">
          <cell r="A133" t="str">
            <v>105-10-030</v>
          </cell>
          <cell r="B133">
            <v>150</v>
          </cell>
          <cell r="C133" t="str">
            <v>TELEPHONE ALLOWANCE</v>
          </cell>
          <cell r="D133">
            <v>0</v>
          </cell>
          <cell r="G133">
            <v>0</v>
          </cell>
          <cell r="H133" t="str">
            <v/>
          </cell>
        </row>
        <row r="134">
          <cell r="A134" t="str">
            <v>105-10-030</v>
          </cell>
          <cell r="B134">
            <v>120</v>
          </cell>
          <cell r="C134" t="str">
            <v>TELEPHONE ALLOWANCE</v>
          </cell>
          <cell r="D134">
            <v>0</v>
          </cell>
          <cell r="G134">
            <v>0</v>
          </cell>
          <cell r="H134" t="str">
            <v/>
          </cell>
        </row>
        <row r="135">
          <cell r="A135" t="str">
            <v>105-10-030</v>
          </cell>
          <cell r="B135">
            <v>160</v>
          </cell>
          <cell r="C135" t="str">
            <v>TELEPHONE ALLOWANCE</v>
          </cell>
          <cell r="D135">
            <v>0</v>
          </cell>
          <cell r="E135">
            <v>0</v>
          </cell>
          <cell r="G135">
            <v>0</v>
          </cell>
          <cell r="H135" t="str">
            <v/>
          </cell>
        </row>
        <row r="136">
          <cell r="A136" t="str">
            <v>105-10-030</v>
          </cell>
          <cell r="B136">
            <v>90</v>
          </cell>
          <cell r="C136" t="str">
            <v>TELEPHONE ALLOWANCE</v>
          </cell>
          <cell r="D136">
            <v>0</v>
          </cell>
          <cell r="G136">
            <v>0</v>
          </cell>
          <cell r="H136" t="str">
            <v/>
          </cell>
        </row>
        <row r="137">
          <cell r="A137" t="str">
            <v>105-10-030</v>
          </cell>
          <cell r="B137">
            <v>80</v>
          </cell>
          <cell r="C137" t="str">
            <v>TELEPHONE ALLOWANCE</v>
          </cell>
          <cell r="D137">
            <v>0</v>
          </cell>
          <cell r="G137">
            <v>0</v>
          </cell>
          <cell r="H137" t="str">
            <v/>
          </cell>
        </row>
        <row r="138">
          <cell r="A138" t="str">
            <v>105-10-030</v>
          </cell>
          <cell r="B138">
            <v>60</v>
          </cell>
          <cell r="C138" t="str">
            <v>TELEPHONE ALLOWANCE</v>
          </cell>
          <cell r="D138">
            <v>0</v>
          </cell>
          <cell r="G138">
            <v>0</v>
          </cell>
          <cell r="H138" t="str">
            <v/>
          </cell>
        </row>
        <row r="139">
          <cell r="A139" t="str">
            <v>105-10-030</v>
          </cell>
          <cell r="B139">
            <v>170</v>
          </cell>
          <cell r="C139" t="str">
            <v>TELEPHONE ALLOWANCE</v>
          </cell>
          <cell r="D139">
            <v>30000</v>
          </cell>
          <cell r="E139">
            <v>15000</v>
          </cell>
          <cell r="G139">
            <v>30000</v>
          </cell>
          <cell r="H139">
            <v>1</v>
          </cell>
        </row>
        <row r="140">
          <cell r="A140" t="str">
            <v>105-10-030</v>
          </cell>
          <cell r="B140">
            <v>110</v>
          </cell>
          <cell r="C140" t="str">
            <v>TELEPHONE ALLOWANCE</v>
          </cell>
          <cell r="D140">
            <v>0</v>
          </cell>
          <cell r="E140">
            <v>0</v>
          </cell>
          <cell r="G140">
            <v>0</v>
          </cell>
          <cell r="H140" t="str">
            <v/>
          </cell>
        </row>
        <row r="141">
          <cell r="A141" t="str">
            <v>105-10-030</v>
          </cell>
          <cell r="B141">
            <v>50</v>
          </cell>
          <cell r="C141" t="str">
            <v>TELEPHONE ALLOWANCE</v>
          </cell>
          <cell r="D141">
            <v>0</v>
          </cell>
          <cell r="E141">
            <v>0</v>
          </cell>
          <cell r="G141">
            <v>0</v>
          </cell>
          <cell r="H141" t="str">
            <v/>
          </cell>
        </row>
        <row r="142">
          <cell r="A142" t="str">
            <v>105-10-030</v>
          </cell>
          <cell r="B142">
            <v>30</v>
          </cell>
          <cell r="C142" t="str">
            <v>TELEPHONE ALLOWANCE</v>
          </cell>
          <cell r="D142">
            <v>0</v>
          </cell>
          <cell r="G142">
            <v>0</v>
          </cell>
          <cell r="H142" t="str">
            <v/>
          </cell>
        </row>
        <row r="143">
          <cell r="A143" t="str">
            <v>105-10-030</v>
          </cell>
          <cell r="B143">
            <v>140</v>
          </cell>
          <cell r="C143" t="str">
            <v>TELEPHONE ALLOWANCE</v>
          </cell>
          <cell r="D143">
            <v>0</v>
          </cell>
          <cell r="G143">
            <v>0</v>
          </cell>
          <cell r="H143" t="str">
            <v/>
          </cell>
        </row>
        <row r="144">
          <cell r="A144" t="str">
            <v>105-10-030</v>
          </cell>
          <cell r="B144">
            <v>40</v>
          </cell>
          <cell r="C144" t="str">
            <v>TELEPHONE ALLOWANCE</v>
          </cell>
          <cell r="D144">
            <v>0</v>
          </cell>
          <cell r="E144">
            <v>0</v>
          </cell>
          <cell r="G144">
            <v>0</v>
          </cell>
          <cell r="H144" t="str">
            <v/>
          </cell>
        </row>
        <row r="145">
          <cell r="A145" t="str">
            <v>105-10-030</v>
          </cell>
          <cell r="B145">
            <v>180</v>
          </cell>
          <cell r="C145" t="str">
            <v>TELEPHONE ALLOWANCE</v>
          </cell>
          <cell r="D145">
            <v>0</v>
          </cell>
          <cell r="G145">
            <v>0</v>
          </cell>
          <cell r="H145" t="str">
            <v/>
          </cell>
        </row>
        <row r="146">
          <cell r="A146" t="str">
            <v>105-10-040</v>
          </cell>
          <cell r="B146">
            <v>70</v>
          </cell>
          <cell r="C146" t="str">
            <v>SECURITY ALLOWANCE</v>
          </cell>
          <cell r="D146">
            <v>0</v>
          </cell>
          <cell r="G146">
            <v>0</v>
          </cell>
          <cell r="H146" t="str">
            <v/>
          </cell>
        </row>
        <row r="147">
          <cell r="A147" t="str">
            <v>105-10-040</v>
          </cell>
          <cell r="B147">
            <v>150</v>
          </cell>
          <cell r="C147" t="str">
            <v>SECURITY ALLOWANCE</v>
          </cell>
          <cell r="D147">
            <v>0</v>
          </cell>
          <cell r="G147">
            <v>0</v>
          </cell>
          <cell r="H147" t="str">
            <v/>
          </cell>
        </row>
        <row r="148">
          <cell r="A148" t="str">
            <v>105-10-040</v>
          </cell>
          <cell r="B148">
            <v>120</v>
          </cell>
          <cell r="C148" t="str">
            <v>SECURITY ALLOWANCE</v>
          </cell>
          <cell r="D148">
            <v>0</v>
          </cell>
          <cell r="G148">
            <v>0</v>
          </cell>
          <cell r="H148" t="str">
            <v/>
          </cell>
        </row>
        <row r="149">
          <cell r="A149" t="str">
            <v>105-10-040</v>
          </cell>
          <cell r="B149">
            <v>160</v>
          </cell>
          <cell r="C149" t="str">
            <v>SECURITY ALLOWANCE</v>
          </cell>
          <cell r="D149">
            <v>0</v>
          </cell>
          <cell r="G149">
            <v>0</v>
          </cell>
          <cell r="H149" t="str">
            <v/>
          </cell>
        </row>
        <row r="150">
          <cell r="A150" t="str">
            <v>105-10-040</v>
          </cell>
          <cell r="B150">
            <v>90</v>
          </cell>
          <cell r="C150" t="str">
            <v>SECURITY ALLOWANCE</v>
          </cell>
          <cell r="D150">
            <v>0</v>
          </cell>
          <cell r="G150">
            <v>0</v>
          </cell>
          <cell r="H150" t="str">
            <v/>
          </cell>
        </row>
        <row r="151">
          <cell r="A151" t="str">
            <v>105-10-040</v>
          </cell>
          <cell r="B151">
            <v>80</v>
          </cell>
          <cell r="C151" t="str">
            <v>SECURITY ALLOWANCE</v>
          </cell>
          <cell r="D151">
            <v>0</v>
          </cell>
          <cell r="G151">
            <v>0</v>
          </cell>
          <cell r="H151" t="str">
            <v/>
          </cell>
        </row>
        <row r="152">
          <cell r="A152" t="str">
            <v>105-10-040</v>
          </cell>
          <cell r="B152">
            <v>60</v>
          </cell>
          <cell r="C152" t="str">
            <v>SECURITY ALLOWANCE</v>
          </cell>
          <cell r="D152">
            <v>0</v>
          </cell>
          <cell r="G152">
            <v>0</v>
          </cell>
          <cell r="H152" t="str">
            <v/>
          </cell>
        </row>
        <row r="153">
          <cell r="A153" t="str">
            <v>105-10-040</v>
          </cell>
          <cell r="B153">
            <v>170</v>
          </cell>
          <cell r="C153" t="str">
            <v>SECURITY ALLOWANCE</v>
          </cell>
          <cell r="D153">
            <v>0</v>
          </cell>
          <cell r="G153">
            <v>0</v>
          </cell>
          <cell r="H153" t="str">
            <v/>
          </cell>
        </row>
        <row r="154">
          <cell r="A154" t="str">
            <v>105-10-040</v>
          </cell>
          <cell r="B154">
            <v>110</v>
          </cell>
          <cell r="C154" t="str">
            <v>SECURITY ALLOWANCE</v>
          </cell>
          <cell r="D154">
            <v>0</v>
          </cell>
          <cell r="G154">
            <v>0</v>
          </cell>
          <cell r="H154" t="str">
            <v/>
          </cell>
        </row>
        <row r="155">
          <cell r="A155" t="str">
            <v>105-10-040</v>
          </cell>
          <cell r="B155">
            <v>50</v>
          </cell>
          <cell r="C155" t="str">
            <v>SECURITY ALLOWANCE</v>
          </cell>
          <cell r="D155">
            <v>0</v>
          </cell>
          <cell r="G155">
            <v>0</v>
          </cell>
          <cell r="H155" t="str">
            <v/>
          </cell>
        </row>
        <row r="156">
          <cell r="A156" t="str">
            <v>105-10-040</v>
          </cell>
          <cell r="B156">
            <v>30</v>
          </cell>
          <cell r="C156" t="str">
            <v>SECURITY ALLOWANCE</v>
          </cell>
          <cell r="D156">
            <v>0</v>
          </cell>
          <cell r="G156">
            <v>0</v>
          </cell>
          <cell r="H156" t="str">
            <v/>
          </cell>
        </row>
        <row r="157">
          <cell r="A157" t="str">
            <v>105-10-040</v>
          </cell>
          <cell r="B157">
            <v>140</v>
          </cell>
          <cell r="C157" t="str">
            <v>SECURITY ALLOWANCE</v>
          </cell>
          <cell r="D157">
            <v>0</v>
          </cell>
          <cell r="G157">
            <v>0</v>
          </cell>
          <cell r="H157" t="str">
            <v/>
          </cell>
        </row>
        <row r="158">
          <cell r="A158" t="str">
            <v>105-10-040</v>
          </cell>
          <cell r="B158">
            <v>40</v>
          </cell>
          <cell r="C158" t="str">
            <v>SECURITY ALLOWANCE</v>
          </cell>
          <cell r="D158">
            <v>0</v>
          </cell>
          <cell r="G158">
            <v>0</v>
          </cell>
          <cell r="H158" t="str">
            <v/>
          </cell>
        </row>
        <row r="159">
          <cell r="A159" t="str">
            <v>105-10-040</v>
          </cell>
          <cell r="B159">
            <v>180</v>
          </cell>
          <cell r="C159" t="str">
            <v>SECURITY ALLOWANCE</v>
          </cell>
          <cell r="D159">
            <v>0</v>
          </cell>
          <cell r="G159">
            <v>0</v>
          </cell>
          <cell r="H159" t="str">
            <v/>
          </cell>
        </row>
        <row r="160">
          <cell r="A160" t="str">
            <v>105-10-050</v>
          </cell>
          <cell r="B160">
            <v>70</v>
          </cell>
          <cell r="C160" t="str">
            <v>EDUCATION ALLOWANCE</v>
          </cell>
          <cell r="D160">
            <v>0</v>
          </cell>
          <cell r="G160">
            <v>0</v>
          </cell>
          <cell r="H160" t="str">
            <v/>
          </cell>
        </row>
        <row r="161">
          <cell r="A161" t="str">
            <v>105-10-050</v>
          </cell>
          <cell r="B161">
            <v>150</v>
          </cell>
          <cell r="C161" t="str">
            <v>EDUCATION ALLOWANCE</v>
          </cell>
          <cell r="D161">
            <v>0</v>
          </cell>
          <cell r="G161">
            <v>0</v>
          </cell>
          <cell r="H161" t="str">
            <v/>
          </cell>
        </row>
        <row r="162">
          <cell r="A162" t="str">
            <v>105-10-050</v>
          </cell>
          <cell r="B162">
            <v>120</v>
          </cell>
          <cell r="C162" t="str">
            <v>EDUCATION ALLOWANCE</v>
          </cell>
          <cell r="D162">
            <v>0</v>
          </cell>
          <cell r="G162">
            <v>0</v>
          </cell>
          <cell r="H162" t="str">
            <v/>
          </cell>
        </row>
        <row r="163">
          <cell r="A163" t="str">
            <v>105-10-050</v>
          </cell>
          <cell r="B163">
            <v>160</v>
          </cell>
          <cell r="C163" t="str">
            <v>EDUCATION ALLOWANCE</v>
          </cell>
          <cell r="D163">
            <v>0</v>
          </cell>
          <cell r="G163">
            <v>0</v>
          </cell>
          <cell r="H163" t="str">
            <v/>
          </cell>
        </row>
        <row r="164">
          <cell r="A164" t="str">
            <v>105-10-050</v>
          </cell>
          <cell r="B164">
            <v>90</v>
          </cell>
          <cell r="C164" t="str">
            <v>EDUCATION ALLOWANCE</v>
          </cell>
          <cell r="D164">
            <v>0</v>
          </cell>
          <cell r="G164">
            <v>0</v>
          </cell>
          <cell r="H164" t="str">
            <v/>
          </cell>
        </row>
        <row r="165">
          <cell r="A165" t="str">
            <v>105-10-050</v>
          </cell>
          <cell r="B165">
            <v>80</v>
          </cell>
          <cell r="C165" t="str">
            <v>EDUCATION ALLOWANCE</v>
          </cell>
          <cell r="D165">
            <v>0</v>
          </cell>
          <cell r="G165">
            <v>0</v>
          </cell>
          <cell r="H165" t="str">
            <v/>
          </cell>
        </row>
        <row r="166">
          <cell r="A166" t="str">
            <v>105-10-050</v>
          </cell>
          <cell r="B166">
            <v>60</v>
          </cell>
          <cell r="C166" t="str">
            <v>EDUCATION ALLOWANCE</v>
          </cell>
          <cell r="D166">
            <v>0</v>
          </cell>
          <cell r="G166">
            <v>0</v>
          </cell>
          <cell r="H166" t="str">
            <v/>
          </cell>
        </row>
        <row r="167">
          <cell r="A167" t="str">
            <v>105-10-050</v>
          </cell>
          <cell r="B167">
            <v>170</v>
          </cell>
          <cell r="C167" t="str">
            <v>EDUCATION ALLOWANCE</v>
          </cell>
          <cell r="D167">
            <v>0</v>
          </cell>
          <cell r="G167">
            <v>0</v>
          </cell>
          <cell r="H167" t="str">
            <v/>
          </cell>
        </row>
        <row r="168">
          <cell r="A168" t="str">
            <v>105-10-050</v>
          </cell>
          <cell r="B168">
            <v>110</v>
          </cell>
          <cell r="C168" t="str">
            <v>EDUCATION ALLOWANCE</v>
          </cell>
          <cell r="D168">
            <v>0</v>
          </cell>
          <cell r="G168">
            <v>0</v>
          </cell>
          <cell r="H168" t="str">
            <v/>
          </cell>
        </row>
        <row r="169">
          <cell r="A169" t="str">
            <v>105-10-050</v>
          </cell>
          <cell r="B169">
            <v>50</v>
          </cell>
          <cell r="C169" t="str">
            <v>EDUCATION ALLOWANCE</v>
          </cell>
          <cell r="D169">
            <v>0</v>
          </cell>
          <cell r="G169">
            <v>0</v>
          </cell>
          <cell r="H169" t="str">
            <v/>
          </cell>
        </row>
        <row r="170">
          <cell r="A170" t="str">
            <v>105-10-050</v>
          </cell>
          <cell r="B170">
            <v>30</v>
          </cell>
          <cell r="C170" t="str">
            <v>EDUCATION ALLOWANCE</v>
          </cell>
          <cell r="D170">
            <v>0</v>
          </cell>
          <cell r="G170">
            <v>0</v>
          </cell>
          <cell r="H170" t="str">
            <v/>
          </cell>
        </row>
        <row r="171">
          <cell r="A171" t="str">
            <v>105-10-050</v>
          </cell>
          <cell r="B171">
            <v>140</v>
          </cell>
          <cell r="C171" t="str">
            <v>EDUCATION ALLOWANCE</v>
          </cell>
          <cell r="D171">
            <v>0</v>
          </cell>
          <cell r="G171">
            <v>0</v>
          </cell>
          <cell r="H171" t="str">
            <v/>
          </cell>
        </row>
        <row r="172">
          <cell r="A172" t="str">
            <v>105-10-050</v>
          </cell>
          <cell r="B172">
            <v>40</v>
          </cell>
          <cell r="C172" t="str">
            <v>EDUCATION ALLOWANCE</v>
          </cell>
          <cell r="D172">
            <v>0</v>
          </cell>
          <cell r="G172">
            <v>0</v>
          </cell>
          <cell r="H172" t="str">
            <v/>
          </cell>
        </row>
        <row r="173">
          <cell r="A173" t="str">
            <v>105-10-050</v>
          </cell>
          <cell r="B173">
            <v>180</v>
          </cell>
          <cell r="C173" t="str">
            <v>EDUCATION ALLOWANCE</v>
          </cell>
          <cell r="D173">
            <v>0</v>
          </cell>
          <cell r="G173">
            <v>0</v>
          </cell>
          <cell r="H173" t="str">
            <v/>
          </cell>
        </row>
        <row r="174">
          <cell r="A174" t="str">
            <v>105-10-060</v>
          </cell>
          <cell r="B174">
            <v>70</v>
          </cell>
          <cell r="C174" t="str">
            <v>TRAVEL ALLOWANCE</v>
          </cell>
          <cell r="D174">
            <v>0</v>
          </cell>
          <cell r="G174">
            <v>0</v>
          </cell>
          <cell r="H174" t="str">
            <v/>
          </cell>
        </row>
        <row r="175">
          <cell r="A175" t="str">
            <v>105-10-060</v>
          </cell>
          <cell r="B175">
            <v>150</v>
          </cell>
          <cell r="C175" t="str">
            <v>TRAVEL ALLOWANCE</v>
          </cell>
          <cell r="D175">
            <v>0</v>
          </cell>
          <cell r="G175">
            <v>0</v>
          </cell>
          <cell r="H175" t="str">
            <v/>
          </cell>
        </row>
        <row r="176">
          <cell r="A176" t="str">
            <v>105-10-060</v>
          </cell>
          <cell r="B176">
            <v>120</v>
          </cell>
          <cell r="C176" t="str">
            <v>TRAVEL ALLOWANCE</v>
          </cell>
          <cell r="D176">
            <v>0</v>
          </cell>
          <cell r="G176">
            <v>0</v>
          </cell>
          <cell r="H176" t="str">
            <v/>
          </cell>
        </row>
        <row r="177">
          <cell r="A177" t="str">
            <v>105-10-060</v>
          </cell>
          <cell r="B177">
            <v>160</v>
          </cell>
          <cell r="C177" t="str">
            <v>TRAVEL ALLOWANCE</v>
          </cell>
          <cell r="D177">
            <v>0</v>
          </cell>
          <cell r="E177">
            <v>0</v>
          </cell>
          <cell r="G177">
            <v>0</v>
          </cell>
          <cell r="H177" t="str">
            <v/>
          </cell>
        </row>
        <row r="178">
          <cell r="A178" t="str">
            <v>105-10-060</v>
          </cell>
          <cell r="B178">
            <v>90</v>
          </cell>
          <cell r="C178" t="str">
            <v>TRAVEL ALLOWANCE</v>
          </cell>
          <cell r="D178">
            <v>0</v>
          </cell>
          <cell r="G178">
            <v>0</v>
          </cell>
          <cell r="H178" t="str">
            <v/>
          </cell>
        </row>
        <row r="179">
          <cell r="A179" t="str">
            <v>105-10-060</v>
          </cell>
          <cell r="B179">
            <v>80</v>
          </cell>
          <cell r="C179" t="str">
            <v>TRAVEL ALLOWANCE</v>
          </cell>
          <cell r="D179">
            <v>0</v>
          </cell>
          <cell r="G179">
            <v>0</v>
          </cell>
          <cell r="H179" t="str">
            <v/>
          </cell>
        </row>
        <row r="180">
          <cell r="A180" t="str">
            <v>105-10-060</v>
          </cell>
          <cell r="B180">
            <v>60</v>
          </cell>
          <cell r="C180" t="str">
            <v>TRAVEL ALLOWANCE</v>
          </cell>
          <cell r="D180">
            <v>0</v>
          </cell>
          <cell r="G180">
            <v>0</v>
          </cell>
          <cell r="H180" t="str">
            <v/>
          </cell>
        </row>
        <row r="181">
          <cell r="A181" t="str">
            <v>105-10-060</v>
          </cell>
          <cell r="B181">
            <v>170</v>
          </cell>
          <cell r="C181" t="str">
            <v>TRAVEL ALLOWANCE</v>
          </cell>
          <cell r="D181">
            <v>253760</v>
          </cell>
          <cell r="E181">
            <v>126880</v>
          </cell>
          <cell r="G181">
            <v>253760</v>
          </cell>
          <cell r="H181">
            <v>1</v>
          </cell>
        </row>
        <row r="182">
          <cell r="A182" t="str">
            <v>105-10-060</v>
          </cell>
          <cell r="B182">
            <v>110</v>
          </cell>
          <cell r="C182" t="str">
            <v>TRAVEL ALLOWANCE</v>
          </cell>
          <cell r="D182">
            <v>0</v>
          </cell>
          <cell r="E182">
            <v>0</v>
          </cell>
          <cell r="G182">
            <v>0</v>
          </cell>
          <cell r="H182" t="str">
            <v/>
          </cell>
        </row>
        <row r="183">
          <cell r="A183" t="str">
            <v>105-10-060</v>
          </cell>
          <cell r="B183">
            <v>50</v>
          </cell>
          <cell r="C183" t="str">
            <v>TRAVEL ALLOWANCE</v>
          </cell>
          <cell r="D183">
            <v>0</v>
          </cell>
          <cell r="E183">
            <v>0</v>
          </cell>
          <cell r="G183">
            <v>0</v>
          </cell>
          <cell r="H183" t="str">
            <v/>
          </cell>
        </row>
        <row r="184">
          <cell r="A184" t="str">
            <v>105-10-060</v>
          </cell>
          <cell r="B184">
            <v>30</v>
          </cell>
          <cell r="C184" t="str">
            <v>TRAVEL ALLOWANCE</v>
          </cell>
          <cell r="D184">
            <v>0</v>
          </cell>
          <cell r="G184">
            <v>0</v>
          </cell>
          <cell r="H184" t="str">
            <v/>
          </cell>
        </row>
        <row r="185">
          <cell r="A185" t="str">
            <v>105-10-060</v>
          </cell>
          <cell r="B185">
            <v>140</v>
          </cell>
          <cell r="C185" t="str">
            <v>TRAVEL ALLOWANCE</v>
          </cell>
          <cell r="D185">
            <v>0</v>
          </cell>
          <cell r="G185">
            <v>0</v>
          </cell>
          <cell r="H185" t="str">
            <v/>
          </cell>
        </row>
        <row r="186">
          <cell r="A186" t="str">
            <v>105-10-060</v>
          </cell>
          <cell r="B186">
            <v>40</v>
          </cell>
          <cell r="C186" t="str">
            <v>TRAVEL ALLOWANCE</v>
          </cell>
          <cell r="D186">
            <v>0</v>
          </cell>
          <cell r="E186">
            <v>0</v>
          </cell>
          <cell r="G186">
            <v>0</v>
          </cell>
          <cell r="H186" t="str">
            <v/>
          </cell>
        </row>
        <row r="187">
          <cell r="A187" t="str">
            <v>105-10-060</v>
          </cell>
          <cell r="B187">
            <v>180</v>
          </cell>
          <cell r="C187" t="str">
            <v>TRAVEL ALLOWANCE</v>
          </cell>
          <cell r="D187">
            <v>0</v>
          </cell>
          <cell r="G187">
            <v>0</v>
          </cell>
          <cell r="H187" t="str">
            <v/>
          </cell>
        </row>
        <row r="188">
          <cell r="A188" t="str">
            <v>105-20-010</v>
          </cell>
          <cell r="B188">
            <v>70</v>
          </cell>
          <cell r="C188" t="str">
            <v>NSSF</v>
          </cell>
          <cell r="D188">
            <v>2400</v>
          </cell>
          <cell r="E188">
            <v>1200</v>
          </cell>
          <cell r="G188">
            <v>2400</v>
          </cell>
          <cell r="H188">
            <v>1</v>
          </cell>
        </row>
        <row r="189">
          <cell r="A189" t="str">
            <v>105-20-010</v>
          </cell>
          <cell r="B189">
            <v>150</v>
          </cell>
          <cell r="C189" t="str">
            <v>NSSF</v>
          </cell>
          <cell r="D189">
            <v>2400</v>
          </cell>
          <cell r="E189">
            <v>1200</v>
          </cell>
          <cell r="G189">
            <v>2400</v>
          </cell>
          <cell r="H189">
            <v>1</v>
          </cell>
        </row>
        <row r="190">
          <cell r="A190" t="str">
            <v>105-20-010</v>
          </cell>
          <cell r="B190">
            <v>120</v>
          </cell>
          <cell r="C190" t="str">
            <v>NSSF</v>
          </cell>
          <cell r="D190">
            <v>2400</v>
          </cell>
          <cell r="E190">
            <v>1000</v>
          </cell>
          <cell r="G190">
            <v>2000</v>
          </cell>
          <cell r="H190">
            <v>1.2</v>
          </cell>
        </row>
        <row r="191">
          <cell r="A191" t="str">
            <v>105-20-010</v>
          </cell>
          <cell r="B191">
            <v>160</v>
          </cell>
          <cell r="C191" t="str">
            <v>NSSF</v>
          </cell>
          <cell r="D191">
            <v>2400</v>
          </cell>
          <cell r="E191">
            <v>1200</v>
          </cell>
          <cell r="G191">
            <v>2400</v>
          </cell>
          <cell r="H191">
            <v>1</v>
          </cell>
        </row>
        <row r="192">
          <cell r="A192" t="str">
            <v>105-20-010</v>
          </cell>
          <cell r="B192">
            <v>90</v>
          </cell>
          <cell r="C192" t="str">
            <v>NSSF</v>
          </cell>
          <cell r="D192">
            <v>2400</v>
          </cell>
          <cell r="G192">
            <v>0</v>
          </cell>
          <cell r="H192" t="str">
            <v/>
          </cell>
        </row>
        <row r="193">
          <cell r="A193" t="str">
            <v>105-20-010</v>
          </cell>
          <cell r="B193">
            <v>80</v>
          </cell>
          <cell r="C193" t="str">
            <v>NSSF</v>
          </cell>
          <cell r="D193">
            <v>2400</v>
          </cell>
          <cell r="E193">
            <v>1200</v>
          </cell>
          <cell r="G193">
            <v>2400</v>
          </cell>
          <cell r="H193">
            <v>1</v>
          </cell>
        </row>
        <row r="194">
          <cell r="A194" t="str">
            <v>105-20-010</v>
          </cell>
          <cell r="B194">
            <v>60</v>
          </cell>
          <cell r="C194" t="str">
            <v>NSSF</v>
          </cell>
          <cell r="D194">
            <v>2400</v>
          </cell>
          <cell r="E194">
            <v>1200</v>
          </cell>
          <cell r="G194">
            <v>2400</v>
          </cell>
          <cell r="H194">
            <v>1</v>
          </cell>
        </row>
        <row r="195">
          <cell r="A195" t="str">
            <v>105-20-010</v>
          </cell>
          <cell r="B195">
            <v>170</v>
          </cell>
          <cell r="C195" t="str">
            <v>NSSF</v>
          </cell>
          <cell r="D195">
            <v>14400</v>
          </cell>
          <cell r="E195">
            <v>4800</v>
          </cell>
          <cell r="G195">
            <v>9600</v>
          </cell>
          <cell r="H195">
            <v>1.5</v>
          </cell>
        </row>
        <row r="196">
          <cell r="A196" t="str">
            <v>105-20-010</v>
          </cell>
          <cell r="B196">
            <v>110</v>
          </cell>
          <cell r="C196" t="str">
            <v>NSSF</v>
          </cell>
          <cell r="D196">
            <v>2400</v>
          </cell>
          <cell r="E196">
            <v>1200</v>
          </cell>
          <cell r="G196">
            <v>2400</v>
          </cell>
          <cell r="H196">
            <v>1</v>
          </cell>
        </row>
        <row r="197">
          <cell r="A197" t="str">
            <v>105-20-010</v>
          </cell>
          <cell r="B197">
            <v>50</v>
          </cell>
          <cell r="C197" t="str">
            <v>NSSF</v>
          </cell>
          <cell r="D197">
            <v>2400</v>
          </cell>
          <cell r="E197">
            <v>1200</v>
          </cell>
          <cell r="G197">
            <v>2400</v>
          </cell>
          <cell r="H197">
            <v>1</v>
          </cell>
        </row>
        <row r="198">
          <cell r="A198" t="str">
            <v>105-20-010</v>
          </cell>
          <cell r="B198">
            <v>30</v>
          </cell>
          <cell r="C198" t="str">
            <v>NSSF</v>
          </cell>
          <cell r="D198">
            <v>2400</v>
          </cell>
          <cell r="E198">
            <v>1200</v>
          </cell>
          <cell r="G198">
            <v>2400</v>
          </cell>
          <cell r="H198">
            <v>1</v>
          </cell>
        </row>
        <row r="199">
          <cell r="A199" t="str">
            <v>105-20-010</v>
          </cell>
          <cell r="B199">
            <v>140</v>
          </cell>
          <cell r="C199" t="str">
            <v>NSSF</v>
          </cell>
          <cell r="D199">
            <v>2400</v>
          </cell>
          <cell r="E199">
            <v>1200</v>
          </cell>
          <cell r="G199">
            <v>2400</v>
          </cell>
          <cell r="H199">
            <v>1</v>
          </cell>
        </row>
        <row r="200">
          <cell r="A200" t="str">
            <v>105-20-010</v>
          </cell>
          <cell r="B200">
            <v>40</v>
          </cell>
          <cell r="C200" t="str">
            <v>NSSF</v>
          </cell>
          <cell r="D200">
            <v>2400</v>
          </cell>
          <cell r="E200">
            <v>1200</v>
          </cell>
          <cell r="G200">
            <v>2400</v>
          </cell>
          <cell r="H200">
            <v>1</v>
          </cell>
        </row>
        <row r="201">
          <cell r="A201" t="str">
            <v>105-20-010</v>
          </cell>
          <cell r="B201">
            <v>180</v>
          </cell>
          <cell r="C201" t="str">
            <v>NSSF</v>
          </cell>
          <cell r="D201">
            <v>2400</v>
          </cell>
          <cell r="E201">
            <v>1200</v>
          </cell>
          <cell r="G201">
            <v>2400</v>
          </cell>
          <cell r="H201">
            <v>1</v>
          </cell>
        </row>
        <row r="202">
          <cell r="A202" t="str">
            <v>105-20-020</v>
          </cell>
          <cell r="B202">
            <v>70</v>
          </cell>
          <cell r="C202" t="str">
            <v>NHIF</v>
          </cell>
          <cell r="D202">
            <v>2880</v>
          </cell>
          <cell r="E202">
            <v>1440</v>
          </cell>
          <cell r="G202">
            <v>2880</v>
          </cell>
          <cell r="H202">
            <v>1</v>
          </cell>
        </row>
        <row r="203">
          <cell r="A203" t="str">
            <v>105-20-020</v>
          </cell>
          <cell r="B203">
            <v>150</v>
          </cell>
          <cell r="C203" t="str">
            <v>NHIF</v>
          </cell>
          <cell r="D203">
            <v>2880</v>
          </cell>
          <cell r="E203">
            <v>1440</v>
          </cell>
          <cell r="G203">
            <v>2880</v>
          </cell>
          <cell r="H203">
            <v>1</v>
          </cell>
        </row>
        <row r="204">
          <cell r="A204" t="str">
            <v>105-20-020</v>
          </cell>
          <cell r="B204">
            <v>120</v>
          </cell>
          <cell r="C204" t="str">
            <v>NHIF</v>
          </cell>
          <cell r="D204">
            <v>2880</v>
          </cell>
          <cell r="E204">
            <v>1000</v>
          </cell>
          <cell r="G204">
            <v>2000</v>
          </cell>
          <cell r="H204">
            <v>1.44</v>
          </cell>
        </row>
        <row r="205">
          <cell r="A205" t="str">
            <v>105-20-020</v>
          </cell>
          <cell r="B205">
            <v>160</v>
          </cell>
          <cell r="C205" t="str">
            <v>NHIF</v>
          </cell>
          <cell r="D205">
            <v>2880</v>
          </cell>
          <cell r="E205">
            <v>1440</v>
          </cell>
          <cell r="G205">
            <v>2880</v>
          </cell>
          <cell r="H205">
            <v>1</v>
          </cell>
        </row>
        <row r="206">
          <cell r="A206" t="str">
            <v>105-20-020</v>
          </cell>
          <cell r="B206">
            <v>90</v>
          </cell>
          <cell r="C206" t="str">
            <v>NHIF</v>
          </cell>
          <cell r="D206">
            <v>2880</v>
          </cell>
          <cell r="G206">
            <v>0</v>
          </cell>
          <cell r="H206" t="str">
            <v/>
          </cell>
        </row>
        <row r="207">
          <cell r="A207" t="str">
            <v>105-20-020</v>
          </cell>
          <cell r="B207">
            <v>80</v>
          </cell>
          <cell r="C207" t="str">
            <v>NHIF</v>
          </cell>
          <cell r="D207">
            <v>2880</v>
          </cell>
          <cell r="E207">
            <v>1440</v>
          </cell>
          <cell r="G207">
            <v>2880</v>
          </cell>
          <cell r="H207">
            <v>1</v>
          </cell>
        </row>
        <row r="208">
          <cell r="A208" t="str">
            <v>105-20-020</v>
          </cell>
          <cell r="B208">
            <v>60</v>
          </cell>
          <cell r="C208" t="str">
            <v>NHIF</v>
          </cell>
          <cell r="D208">
            <v>2880</v>
          </cell>
          <cell r="E208">
            <v>1440</v>
          </cell>
          <cell r="G208">
            <v>2880</v>
          </cell>
          <cell r="H208">
            <v>1</v>
          </cell>
        </row>
        <row r="209">
          <cell r="A209" t="str">
            <v>105-20-020</v>
          </cell>
          <cell r="B209">
            <v>170</v>
          </cell>
          <cell r="C209" t="str">
            <v>NHIF</v>
          </cell>
          <cell r="D209">
            <v>17280</v>
          </cell>
          <cell r="E209">
            <v>5760</v>
          </cell>
          <cell r="G209">
            <v>11520</v>
          </cell>
          <cell r="H209">
            <v>1.5</v>
          </cell>
        </row>
        <row r="210">
          <cell r="A210" t="str">
            <v>105-20-020</v>
          </cell>
          <cell r="B210">
            <v>110</v>
          </cell>
          <cell r="C210" t="str">
            <v>NHIF</v>
          </cell>
          <cell r="D210">
            <v>2880</v>
          </cell>
          <cell r="E210">
            <v>1440</v>
          </cell>
          <cell r="G210">
            <v>2880</v>
          </cell>
          <cell r="H210">
            <v>1</v>
          </cell>
        </row>
        <row r="211">
          <cell r="A211" t="str">
            <v>105-20-020</v>
          </cell>
          <cell r="B211">
            <v>50</v>
          </cell>
          <cell r="C211" t="str">
            <v>NHIF</v>
          </cell>
          <cell r="D211">
            <v>2880</v>
          </cell>
          <cell r="E211">
            <v>1440</v>
          </cell>
          <cell r="G211">
            <v>2880</v>
          </cell>
          <cell r="H211">
            <v>1</v>
          </cell>
        </row>
        <row r="212">
          <cell r="A212" t="str">
            <v>105-20-020</v>
          </cell>
          <cell r="B212">
            <v>30</v>
          </cell>
          <cell r="C212" t="str">
            <v>NHIF</v>
          </cell>
          <cell r="D212">
            <v>2880</v>
          </cell>
          <cell r="E212">
            <v>1440</v>
          </cell>
          <cell r="G212">
            <v>2880</v>
          </cell>
          <cell r="H212">
            <v>1</v>
          </cell>
        </row>
        <row r="213">
          <cell r="A213" t="str">
            <v>105-20-020</v>
          </cell>
          <cell r="B213">
            <v>140</v>
          </cell>
          <cell r="C213" t="str">
            <v>NHIF</v>
          </cell>
          <cell r="D213">
            <v>2880</v>
          </cell>
          <cell r="E213">
            <v>1440</v>
          </cell>
          <cell r="G213">
            <v>2880</v>
          </cell>
          <cell r="H213">
            <v>1</v>
          </cell>
        </row>
        <row r="214">
          <cell r="A214" t="str">
            <v>105-20-020</v>
          </cell>
          <cell r="B214">
            <v>40</v>
          </cell>
          <cell r="C214" t="str">
            <v>NHIF</v>
          </cell>
          <cell r="D214">
            <v>2880</v>
          </cell>
          <cell r="E214">
            <v>1440</v>
          </cell>
          <cell r="G214">
            <v>2880</v>
          </cell>
          <cell r="H214">
            <v>1</v>
          </cell>
        </row>
        <row r="215">
          <cell r="A215" t="str">
            <v>105-20-020</v>
          </cell>
          <cell r="B215">
            <v>180</v>
          </cell>
          <cell r="C215" t="str">
            <v>NHIF</v>
          </cell>
          <cell r="D215">
            <v>2880</v>
          </cell>
          <cell r="E215">
            <v>1440</v>
          </cell>
          <cell r="G215">
            <v>2880</v>
          </cell>
          <cell r="H215">
            <v>1</v>
          </cell>
        </row>
        <row r="216">
          <cell r="A216" t="str">
            <v>105-30-010</v>
          </cell>
          <cell r="B216">
            <v>70</v>
          </cell>
          <cell r="C216" t="str">
            <v xml:space="preserve">PENSION </v>
          </cell>
          <cell r="D216">
            <v>50985</v>
          </cell>
          <cell r="E216">
            <v>23100</v>
          </cell>
          <cell r="G216">
            <v>46200</v>
          </cell>
          <cell r="H216">
            <v>1.1035714285714286</v>
          </cell>
        </row>
        <row r="217">
          <cell r="A217" t="str">
            <v>105-30-010</v>
          </cell>
          <cell r="B217">
            <v>150</v>
          </cell>
          <cell r="C217" t="str">
            <v xml:space="preserve">PENSION </v>
          </cell>
          <cell r="D217">
            <v>68145</v>
          </cell>
          <cell r="E217">
            <v>30900</v>
          </cell>
          <cell r="G217">
            <v>61800</v>
          </cell>
          <cell r="H217">
            <v>1.1026699029126217</v>
          </cell>
        </row>
        <row r="218">
          <cell r="A218" t="str">
            <v>105-30-010</v>
          </cell>
          <cell r="B218">
            <v>120</v>
          </cell>
          <cell r="C218" t="str">
            <v xml:space="preserve">PENSION </v>
          </cell>
          <cell r="D218">
            <v>28710</v>
          </cell>
          <cell r="E218">
            <v>13000</v>
          </cell>
          <cell r="G218">
            <v>26000</v>
          </cell>
          <cell r="H218">
            <v>1.1042307692307691</v>
          </cell>
        </row>
        <row r="219">
          <cell r="A219" t="str">
            <v>105-30-010</v>
          </cell>
          <cell r="B219">
            <v>160</v>
          </cell>
          <cell r="C219" t="str">
            <v xml:space="preserve">PENSION </v>
          </cell>
          <cell r="D219">
            <v>44385</v>
          </cell>
          <cell r="E219">
            <v>20100</v>
          </cell>
          <cell r="G219">
            <v>40200</v>
          </cell>
          <cell r="H219">
            <v>1.1041044776119404</v>
          </cell>
        </row>
        <row r="220">
          <cell r="A220" t="str">
            <v>105-30-010</v>
          </cell>
          <cell r="B220">
            <v>90</v>
          </cell>
          <cell r="C220" t="str">
            <v xml:space="preserve">PENSION </v>
          </cell>
          <cell r="D220">
            <v>28710</v>
          </cell>
          <cell r="G220">
            <v>0</v>
          </cell>
          <cell r="H220" t="str">
            <v/>
          </cell>
        </row>
        <row r="221">
          <cell r="A221" t="str">
            <v>105-30-010</v>
          </cell>
          <cell r="B221">
            <v>80</v>
          </cell>
          <cell r="C221" t="str">
            <v xml:space="preserve">PENSION </v>
          </cell>
          <cell r="D221">
            <v>42570</v>
          </cell>
          <cell r="E221">
            <v>19350</v>
          </cell>
          <cell r="G221">
            <v>38700</v>
          </cell>
          <cell r="H221">
            <v>1.1000000000000001</v>
          </cell>
        </row>
        <row r="222">
          <cell r="A222" t="str">
            <v>105-30-010</v>
          </cell>
          <cell r="B222">
            <v>60</v>
          </cell>
          <cell r="C222" t="str">
            <v xml:space="preserve">PENSION </v>
          </cell>
          <cell r="D222">
            <v>35640</v>
          </cell>
          <cell r="E222">
            <v>16200</v>
          </cell>
          <cell r="G222">
            <v>32400</v>
          </cell>
          <cell r="H222">
            <v>1.1000000000000001</v>
          </cell>
        </row>
        <row r="223">
          <cell r="A223" t="str">
            <v>105-30-010</v>
          </cell>
          <cell r="B223">
            <v>170</v>
          </cell>
          <cell r="C223" t="str">
            <v xml:space="preserve">PENSION </v>
          </cell>
          <cell r="D223">
            <v>625036.5</v>
          </cell>
          <cell r="E223">
            <v>257338</v>
          </cell>
          <cell r="G223">
            <v>514676</v>
          </cell>
          <cell r="H223">
            <v>1.2144271347410798</v>
          </cell>
        </row>
        <row r="224">
          <cell r="A224" t="str">
            <v>105-30-010</v>
          </cell>
          <cell r="B224">
            <v>110</v>
          </cell>
          <cell r="C224" t="str">
            <v xml:space="preserve">PENSION </v>
          </cell>
          <cell r="D224">
            <v>25410</v>
          </cell>
          <cell r="E224">
            <v>11550</v>
          </cell>
          <cell r="G224">
            <v>23100</v>
          </cell>
          <cell r="H224">
            <v>1.1000000000000001</v>
          </cell>
        </row>
        <row r="225">
          <cell r="A225" t="str">
            <v>105-30-010</v>
          </cell>
          <cell r="B225">
            <v>50</v>
          </cell>
          <cell r="C225" t="str">
            <v xml:space="preserve">PENSION </v>
          </cell>
          <cell r="D225">
            <v>39930</v>
          </cell>
          <cell r="E225">
            <v>18150</v>
          </cell>
          <cell r="G225">
            <v>36300</v>
          </cell>
          <cell r="H225">
            <v>1.1000000000000001</v>
          </cell>
        </row>
        <row r="226">
          <cell r="A226" t="str">
            <v>105-30-010</v>
          </cell>
          <cell r="B226">
            <v>30</v>
          </cell>
          <cell r="C226" t="str">
            <v xml:space="preserve">PENSION </v>
          </cell>
          <cell r="D226">
            <v>47520</v>
          </cell>
          <cell r="E226">
            <v>21600</v>
          </cell>
          <cell r="G226">
            <v>43200</v>
          </cell>
          <cell r="H226">
            <v>1.1000000000000001</v>
          </cell>
        </row>
        <row r="227">
          <cell r="A227" t="str">
            <v>105-30-010</v>
          </cell>
          <cell r="B227">
            <v>140</v>
          </cell>
          <cell r="C227" t="str">
            <v xml:space="preserve">PENSION </v>
          </cell>
          <cell r="D227">
            <v>25410</v>
          </cell>
          <cell r="E227">
            <v>11550</v>
          </cell>
          <cell r="G227">
            <v>23100</v>
          </cell>
          <cell r="H227">
            <v>1.1000000000000001</v>
          </cell>
        </row>
        <row r="228">
          <cell r="A228" t="str">
            <v>105-30-010</v>
          </cell>
          <cell r="B228">
            <v>40</v>
          </cell>
          <cell r="C228" t="str">
            <v xml:space="preserve">PENSION </v>
          </cell>
          <cell r="D228">
            <v>32340</v>
          </cell>
          <cell r="E228">
            <v>14700</v>
          </cell>
          <cell r="G228">
            <v>29400</v>
          </cell>
          <cell r="H228">
            <v>1.1000000000000001</v>
          </cell>
        </row>
        <row r="229">
          <cell r="A229" t="str">
            <v>105-30-010</v>
          </cell>
          <cell r="B229">
            <v>180</v>
          </cell>
          <cell r="C229" t="str">
            <v xml:space="preserve">PENSION </v>
          </cell>
          <cell r="D229">
            <v>28710</v>
          </cell>
          <cell r="E229">
            <v>13050</v>
          </cell>
          <cell r="G229">
            <v>26100</v>
          </cell>
          <cell r="H229">
            <v>1.1000000000000001</v>
          </cell>
        </row>
        <row r="230">
          <cell r="A230" t="str">
            <v>105-30-020</v>
          </cell>
          <cell r="B230">
            <v>70</v>
          </cell>
          <cell r="C230" t="str">
            <v>LAST EXPENSE</v>
          </cell>
          <cell r="D230">
            <v>372</v>
          </cell>
          <cell r="E230">
            <v>375</v>
          </cell>
          <cell r="G230">
            <v>500</v>
          </cell>
          <cell r="H230">
            <v>0.74399999999999999</v>
          </cell>
        </row>
        <row r="231">
          <cell r="A231" t="str">
            <v>105-30-020</v>
          </cell>
          <cell r="B231">
            <v>150</v>
          </cell>
          <cell r="C231" t="str">
            <v>LAST EXPENSE</v>
          </cell>
          <cell r="D231">
            <v>375</v>
          </cell>
          <cell r="E231">
            <v>375</v>
          </cell>
          <cell r="G231">
            <v>375</v>
          </cell>
          <cell r="H231">
            <v>1</v>
          </cell>
        </row>
        <row r="232">
          <cell r="A232" t="str">
            <v>105-30-020</v>
          </cell>
          <cell r="B232">
            <v>120</v>
          </cell>
          <cell r="C232" t="str">
            <v>LAST EXPENSE</v>
          </cell>
          <cell r="D232">
            <v>504</v>
          </cell>
          <cell r="E232">
            <v>500</v>
          </cell>
          <cell r="G232">
            <v>500</v>
          </cell>
          <cell r="H232">
            <v>1.008</v>
          </cell>
        </row>
        <row r="233">
          <cell r="A233" t="str">
            <v>105-30-020</v>
          </cell>
          <cell r="B233">
            <v>160</v>
          </cell>
          <cell r="C233" t="str">
            <v>LAST EXPENSE</v>
          </cell>
          <cell r="D233">
            <v>756</v>
          </cell>
          <cell r="E233">
            <v>750</v>
          </cell>
          <cell r="G233">
            <v>750</v>
          </cell>
          <cell r="H233">
            <v>1.008</v>
          </cell>
        </row>
        <row r="234">
          <cell r="A234" t="str">
            <v>105-30-020</v>
          </cell>
          <cell r="B234">
            <v>90</v>
          </cell>
          <cell r="C234" t="str">
            <v>LAST EXPENSE</v>
          </cell>
          <cell r="D234">
            <v>375</v>
          </cell>
          <cell r="G234">
            <v>0</v>
          </cell>
          <cell r="H234" t="str">
            <v/>
          </cell>
        </row>
        <row r="235">
          <cell r="A235" t="str">
            <v>105-30-020</v>
          </cell>
          <cell r="B235">
            <v>80</v>
          </cell>
          <cell r="C235" t="str">
            <v>LAST EXPENSE</v>
          </cell>
          <cell r="D235">
            <v>624</v>
          </cell>
          <cell r="E235">
            <v>625</v>
          </cell>
          <cell r="G235">
            <v>625</v>
          </cell>
          <cell r="H235">
            <v>0.99839999999999995</v>
          </cell>
        </row>
        <row r="236">
          <cell r="A236" t="str">
            <v>105-30-020</v>
          </cell>
          <cell r="B236">
            <v>60</v>
          </cell>
          <cell r="C236" t="str">
            <v>LAST EXPENSE</v>
          </cell>
          <cell r="D236">
            <v>756</v>
          </cell>
          <cell r="E236">
            <v>750</v>
          </cell>
          <cell r="G236">
            <v>500</v>
          </cell>
          <cell r="H236">
            <v>1.512</v>
          </cell>
        </row>
        <row r="237">
          <cell r="A237" t="str">
            <v>105-30-020</v>
          </cell>
          <cell r="B237">
            <v>170</v>
          </cell>
          <cell r="C237" t="str">
            <v>LAST EXPENSE</v>
          </cell>
          <cell r="D237">
            <v>7758</v>
          </cell>
          <cell r="E237">
            <v>6000</v>
          </cell>
          <cell r="G237">
            <v>2250</v>
          </cell>
          <cell r="H237">
            <v>3.448</v>
          </cell>
        </row>
        <row r="238">
          <cell r="A238" t="str">
            <v>105-30-020</v>
          </cell>
          <cell r="B238">
            <v>110</v>
          </cell>
          <cell r="C238" t="str">
            <v>LAST EXPENSE</v>
          </cell>
          <cell r="D238">
            <v>372</v>
          </cell>
          <cell r="E238">
            <v>250</v>
          </cell>
          <cell r="G238">
            <v>250</v>
          </cell>
          <cell r="H238">
            <v>1.488</v>
          </cell>
        </row>
        <row r="239">
          <cell r="A239" t="str">
            <v>105-30-020</v>
          </cell>
          <cell r="B239">
            <v>50</v>
          </cell>
          <cell r="C239" t="str">
            <v>LAST EXPENSE</v>
          </cell>
          <cell r="D239">
            <v>756</v>
          </cell>
          <cell r="E239">
            <v>750</v>
          </cell>
          <cell r="G239">
            <v>750</v>
          </cell>
          <cell r="H239">
            <v>1.008</v>
          </cell>
        </row>
        <row r="240">
          <cell r="A240" t="str">
            <v>105-30-020</v>
          </cell>
          <cell r="B240">
            <v>30</v>
          </cell>
          <cell r="C240" t="str">
            <v>LAST EXPENSE</v>
          </cell>
          <cell r="D240">
            <v>876</v>
          </cell>
          <cell r="E240">
            <v>875</v>
          </cell>
          <cell r="G240">
            <v>875</v>
          </cell>
          <cell r="H240">
            <v>1.0011428571428571</v>
          </cell>
        </row>
        <row r="241">
          <cell r="A241" t="str">
            <v>105-30-020</v>
          </cell>
          <cell r="B241">
            <v>140</v>
          </cell>
          <cell r="C241" t="str">
            <v>LAST EXPENSE</v>
          </cell>
          <cell r="D241">
            <v>252</v>
          </cell>
          <cell r="E241">
            <v>250</v>
          </cell>
          <cell r="G241">
            <v>250</v>
          </cell>
          <cell r="H241">
            <v>1.008</v>
          </cell>
        </row>
        <row r="242">
          <cell r="A242" t="str">
            <v>105-30-020</v>
          </cell>
          <cell r="B242">
            <v>40</v>
          </cell>
          <cell r="C242" t="str">
            <v>LAST EXPENSE</v>
          </cell>
          <cell r="D242">
            <v>504</v>
          </cell>
          <cell r="E242">
            <v>500</v>
          </cell>
          <cell r="G242">
            <v>500</v>
          </cell>
          <cell r="H242">
            <v>1.008</v>
          </cell>
        </row>
        <row r="243">
          <cell r="A243" t="str">
            <v>105-30-020</v>
          </cell>
          <cell r="B243">
            <v>180</v>
          </cell>
          <cell r="C243" t="str">
            <v>LAST EXPENSE</v>
          </cell>
          <cell r="D243">
            <v>252</v>
          </cell>
          <cell r="E243">
            <v>250</v>
          </cell>
          <cell r="G243">
            <v>250</v>
          </cell>
          <cell r="H243">
            <v>1.008</v>
          </cell>
        </row>
        <row r="244">
          <cell r="A244" t="str">
            <v>105-30-030</v>
          </cell>
          <cell r="B244">
            <v>70</v>
          </cell>
          <cell r="C244" t="str">
            <v>GROUP LIFE ASSURANCE</v>
          </cell>
          <cell r="D244">
            <v>8256</v>
          </cell>
          <cell r="E244">
            <v>6838</v>
          </cell>
          <cell r="G244">
            <v>6838</v>
          </cell>
          <cell r="H244">
            <v>1.2073705761918689</v>
          </cell>
        </row>
        <row r="245">
          <cell r="A245" t="str">
            <v>105-30-030</v>
          </cell>
          <cell r="B245">
            <v>150</v>
          </cell>
          <cell r="C245" t="str">
            <v>GROUP LIFE ASSURANCE</v>
          </cell>
          <cell r="D245">
            <v>13344</v>
          </cell>
          <cell r="E245">
            <v>0</v>
          </cell>
          <cell r="G245">
            <v>12130.90909090909</v>
          </cell>
          <cell r="H245">
            <v>1.1000000000000001</v>
          </cell>
        </row>
        <row r="246">
          <cell r="A246" t="str">
            <v>105-30-030</v>
          </cell>
          <cell r="B246">
            <v>120</v>
          </cell>
          <cell r="C246" t="str">
            <v>GROUP LIFE ASSURANCE</v>
          </cell>
          <cell r="D246">
            <v>2676</v>
          </cell>
          <cell r="E246">
            <v>2000</v>
          </cell>
          <cell r="G246">
            <v>2000</v>
          </cell>
          <cell r="H246">
            <v>1.3380000000000001</v>
          </cell>
        </row>
        <row r="247">
          <cell r="A247" t="str">
            <v>105-30-030</v>
          </cell>
          <cell r="B247">
            <v>160</v>
          </cell>
          <cell r="C247" t="str">
            <v>GROUP LIFE ASSURANCE</v>
          </cell>
          <cell r="D247">
            <v>4800</v>
          </cell>
          <cell r="E247">
            <v>4116</v>
          </cell>
          <cell r="G247">
            <v>4116</v>
          </cell>
          <cell r="H247">
            <v>1.1661807580174928</v>
          </cell>
        </row>
        <row r="248">
          <cell r="A248" t="str">
            <v>105-30-030</v>
          </cell>
          <cell r="B248">
            <v>90</v>
          </cell>
          <cell r="C248" t="str">
            <v>GROUP LIFE ASSURANCE</v>
          </cell>
          <cell r="D248">
            <v>11004</v>
          </cell>
          <cell r="G248">
            <v>0</v>
          </cell>
          <cell r="H248" t="str">
            <v/>
          </cell>
        </row>
        <row r="249">
          <cell r="A249" t="str">
            <v>105-30-030</v>
          </cell>
          <cell r="B249">
            <v>80</v>
          </cell>
          <cell r="C249" t="str">
            <v>GROUP LIFE ASSURANCE</v>
          </cell>
          <cell r="D249">
            <v>8340</v>
          </cell>
          <cell r="E249">
            <v>6873</v>
          </cell>
          <cell r="G249">
            <v>6873</v>
          </cell>
          <cell r="H249">
            <v>1.2134439109559145</v>
          </cell>
        </row>
        <row r="250">
          <cell r="A250" t="str">
            <v>105-30-030</v>
          </cell>
          <cell r="B250">
            <v>60</v>
          </cell>
          <cell r="C250" t="str">
            <v>GROUP LIFE ASSURANCE</v>
          </cell>
          <cell r="D250">
            <v>3324</v>
          </cell>
          <cell r="E250">
            <v>2018</v>
          </cell>
          <cell r="G250">
            <v>2000</v>
          </cell>
          <cell r="H250">
            <v>1.6619999999999999</v>
          </cell>
        </row>
        <row r="251">
          <cell r="A251" t="str">
            <v>105-30-030</v>
          </cell>
          <cell r="B251">
            <v>170</v>
          </cell>
          <cell r="C251" t="str">
            <v>GROUP LIFE ASSURANCE</v>
          </cell>
          <cell r="D251">
            <v>168444</v>
          </cell>
          <cell r="E251">
            <v>141564</v>
          </cell>
          <cell r="G251">
            <v>170254</v>
          </cell>
          <cell r="H251">
            <v>0.9893688254020464</v>
          </cell>
        </row>
        <row r="252">
          <cell r="A252" t="str">
            <v>105-30-030</v>
          </cell>
          <cell r="B252">
            <v>110</v>
          </cell>
          <cell r="C252" t="str">
            <v>GROUP LIFE ASSURANCE</v>
          </cell>
          <cell r="D252">
            <v>2076</v>
          </cell>
          <cell r="E252">
            <v>1878</v>
          </cell>
          <cell r="G252">
            <v>1878</v>
          </cell>
          <cell r="H252">
            <v>1.1054313099041533</v>
          </cell>
        </row>
        <row r="253">
          <cell r="A253" t="str">
            <v>105-30-030</v>
          </cell>
          <cell r="B253">
            <v>50</v>
          </cell>
          <cell r="C253" t="str">
            <v>GROUP LIFE ASSURANCE</v>
          </cell>
          <cell r="D253">
            <v>12780</v>
          </cell>
          <cell r="E253">
            <v>10536</v>
          </cell>
          <cell r="G253">
            <v>10536</v>
          </cell>
          <cell r="H253">
            <v>1.2129840546697039</v>
          </cell>
        </row>
        <row r="254">
          <cell r="A254" t="str">
            <v>105-30-030</v>
          </cell>
          <cell r="B254">
            <v>30</v>
          </cell>
          <cell r="C254" t="str">
            <v>GROUP LIFE ASSURANCE</v>
          </cell>
          <cell r="D254">
            <v>4848</v>
          </cell>
          <cell r="E254">
            <v>7116</v>
          </cell>
          <cell r="G254">
            <v>7116</v>
          </cell>
          <cell r="H254">
            <v>0.68128161888701522</v>
          </cell>
        </row>
        <row r="255">
          <cell r="A255" t="str">
            <v>105-30-030</v>
          </cell>
          <cell r="B255">
            <v>140</v>
          </cell>
          <cell r="C255" t="str">
            <v>GROUP LIFE ASSURANCE</v>
          </cell>
          <cell r="D255">
            <v>2280</v>
          </cell>
          <cell r="E255">
            <v>2016</v>
          </cell>
          <cell r="G255">
            <v>2016</v>
          </cell>
          <cell r="H255">
            <v>1.1309523809523809</v>
          </cell>
        </row>
        <row r="256">
          <cell r="A256" t="str">
            <v>105-30-030</v>
          </cell>
          <cell r="B256">
            <v>40</v>
          </cell>
          <cell r="C256" t="str">
            <v>GROUP LIFE ASSURANCE</v>
          </cell>
          <cell r="D256">
            <v>6336</v>
          </cell>
          <cell r="E256">
            <v>5221</v>
          </cell>
          <cell r="G256">
            <v>5221</v>
          </cell>
          <cell r="H256">
            <v>1.2135606205707719</v>
          </cell>
        </row>
        <row r="257">
          <cell r="A257" t="str">
            <v>105-30-030</v>
          </cell>
          <cell r="B257">
            <v>180</v>
          </cell>
          <cell r="C257" t="str">
            <v>GROUP LIFE ASSURANCE</v>
          </cell>
          <cell r="D257">
            <v>6216</v>
          </cell>
          <cell r="E257">
            <v>2105</v>
          </cell>
          <cell r="G257">
            <v>2105</v>
          </cell>
          <cell r="H257">
            <v>2.9529691211401423</v>
          </cell>
        </row>
        <row r="258">
          <cell r="A258" t="str">
            <v>105-30-040</v>
          </cell>
          <cell r="B258">
            <v>70</v>
          </cell>
          <cell r="C258" t="str">
            <v>STAFF MEDICAL</v>
          </cell>
          <cell r="D258">
            <v>51660</v>
          </cell>
          <cell r="E258">
            <v>23482.400000000001</v>
          </cell>
          <cell r="G258">
            <v>46964.800000000003</v>
          </cell>
          <cell r="H258">
            <v>1.0999727455456001</v>
          </cell>
        </row>
        <row r="259">
          <cell r="A259" t="str">
            <v>105-30-040</v>
          </cell>
          <cell r="B259">
            <v>150</v>
          </cell>
          <cell r="C259" t="str">
            <v>STAFF MEDICAL</v>
          </cell>
          <cell r="D259">
            <v>51660</v>
          </cell>
          <cell r="E259">
            <v>23482.400000000001</v>
          </cell>
          <cell r="G259">
            <v>46964.800000000003</v>
          </cell>
          <cell r="H259">
            <v>1.0999727455456001</v>
          </cell>
        </row>
        <row r="260">
          <cell r="A260" t="str">
            <v>105-30-040</v>
          </cell>
          <cell r="B260">
            <v>120</v>
          </cell>
          <cell r="C260" t="str">
            <v>STAFF MEDICAL</v>
          </cell>
          <cell r="D260">
            <v>51660</v>
          </cell>
          <cell r="E260">
            <v>23000</v>
          </cell>
          <cell r="G260">
            <v>46000</v>
          </cell>
          <cell r="H260">
            <v>1.1230434782608696</v>
          </cell>
        </row>
        <row r="261">
          <cell r="A261" t="str">
            <v>105-30-040</v>
          </cell>
          <cell r="B261">
            <v>160</v>
          </cell>
          <cell r="C261" t="str">
            <v>STAFF MEDICAL</v>
          </cell>
          <cell r="D261">
            <v>119316</v>
          </cell>
          <cell r="E261">
            <v>54232.4</v>
          </cell>
          <cell r="G261">
            <v>108464.8</v>
          </cell>
          <cell r="H261">
            <v>1.1000435164219176</v>
          </cell>
        </row>
        <row r="262">
          <cell r="A262" t="str">
            <v>105-30-040</v>
          </cell>
          <cell r="B262">
            <v>90</v>
          </cell>
          <cell r="C262" t="str">
            <v>STAFF MEDICAL</v>
          </cell>
          <cell r="D262">
            <v>51660</v>
          </cell>
          <cell r="G262">
            <v>0</v>
          </cell>
          <cell r="H262" t="str">
            <v/>
          </cell>
        </row>
        <row r="263">
          <cell r="A263" t="str">
            <v>105-30-040</v>
          </cell>
          <cell r="B263">
            <v>80</v>
          </cell>
          <cell r="C263" t="str">
            <v>STAFF MEDICAL</v>
          </cell>
          <cell r="D263">
            <v>96756</v>
          </cell>
          <cell r="E263">
            <v>43982.400000000001</v>
          </cell>
          <cell r="G263">
            <v>87964.800000000003</v>
          </cell>
          <cell r="H263">
            <v>1.0999399759903961</v>
          </cell>
        </row>
        <row r="264">
          <cell r="A264" t="str">
            <v>105-30-040</v>
          </cell>
          <cell r="B264">
            <v>60</v>
          </cell>
          <cell r="C264" t="str">
            <v>STAFF MEDICAL</v>
          </cell>
          <cell r="D264">
            <v>119316</v>
          </cell>
          <cell r="E264">
            <v>54232.4</v>
          </cell>
          <cell r="G264">
            <v>108464.8</v>
          </cell>
          <cell r="H264">
            <v>1.1000435164219176</v>
          </cell>
        </row>
        <row r="265">
          <cell r="A265" t="str">
            <v>105-30-040</v>
          </cell>
          <cell r="B265">
            <v>170</v>
          </cell>
          <cell r="C265" t="str">
            <v>STAFF MEDICAL</v>
          </cell>
          <cell r="H265" t="str">
            <v/>
          </cell>
        </row>
        <row r="266">
          <cell r="A266" t="str">
            <v>105-30-040</v>
          </cell>
          <cell r="B266">
            <v>110</v>
          </cell>
          <cell r="C266" t="str">
            <v>STAFF MEDICAL</v>
          </cell>
          <cell r="D266">
            <v>29112</v>
          </cell>
          <cell r="E266">
            <v>13232.4</v>
          </cell>
          <cell r="G266">
            <v>26464.799999999999</v>
          </cell>
          <cell r="H266">
            <v>1.1000272059490341</v>
          </cell>
        </row>
        <row r="267">
          <cell r="A267" t="str">
            <v>105-30-040</v>
          </cell>
          <cell r="B267">
            <v>50</v>
          </cell>
          <cell r="C267" t="str">
            <v>STAFF MEDICAL</v>
          </cell>
          <cell r="D267">
            <v>119316</v>
          </cell>
          <cell r="E267">
            <v>54232.4</v>
          </cell>
          <cell r="G267">
            <v>108464.8</v>
          </cell>
          <cell r="H267">
            <v>1.1000435164219176</v>
          </cell>
        </row>
        <row r="268">
          <cell r="A268" t="str">
            <v>105-30-040</v>
          </cell>
          <cell r="B268">
            <v>30</v>
          </cell>
          <cell r="C268" t="str">
            <v>STAFF MEDICAL</v>
          </cell>
          <cell r="D268">
            <v>141864</v>
          </cell>
          <cell r="E268">
            <v>66932.399999999994</v>
          </cell>
          <cell r="G268">
            <v>133864.79999999999</v>
          </cell>
          <cell r="H268">
            <v>1.0597558133280744</v>
          </cell>
        </row>
        <row r="269">
          <cell r="A269" t="str">
            <v>105-30-040</v>
          </cell>
          <cell r="B269">
            <v>140</v>
          </cell>
          <cell r="C269" t="str">
            <v>STAFF MEDICAL</v>
          </cell>
          <cell r="D269">
            <v>29112</v>
          </cell>
          <cell r="E269">
            <v>0</v>
          </cell>
          <cell r="G269">
            <v>29112</v>
          </cell>
          <cell r="H269">
            <v>1</v>
          </cell>
        </row>
        <row r="270">
          <cell r="A270" t="str">
            <v>105-30-040</v>
          </cell>
          <cell r="B270">
            <v>40</v>
          </cell>
          <cell r="C270" t="str">
            <v>STAFF MEDICAL</v>
          </cell>
          <cell r="D270">
            <v>74208</v>
          </cell>
          <cell r="E270">
            <v>33732.400000000001</v>
          </cell>
          <cell r="G270">
            <v>67464.800000000003</v>
          </cell>
          <cell r="H270">
            <v>1.099951382054049</v>
          </cell>
        </row>
        <row r="271">
          <cell r="A271" t="str">
            <v>105-30-040</v>
          </cell>
          <cell r="B271">
            <v>180</v>
          </cell>
          <cell r="C271" t="str">
            <v>STAFF MEDICAL</v>
          </cell>
          <cell r="D271">
            <v>0</v>
          </cell>
          <cell r="E271">
            <v>13232.4</v>
          </cell>
          <cell r="G271">
            <v>26464.799999999999</v>
          </cell>
          <cell r="H271">
            <v>0</v>
          </cell>
        </row>
        <row r="272">
          <cell r="A272" t="str">
            <v>105-30-050</v>
          </cell>
          <cell r="B272">
            <v>70</v>
          </cell>
          <cell r="C272" t="str">
            <v>CASH IN LIEU OF LEAVE</v>
          </cell>
          <cell r="D272">
            <v>8497.5</v>
          </cell>
          <cell r="E272">
            <v>0</v>
          </cell>
          <cell r="G272">
            <v>8497.5</v>
          </cell>
          <cell r="H272">
            <v>1</v>
          </cell>
        </row>
        <row r="273">
          <cell r="A273" t="str">
            <v>105-30-050</v>
          </cell>
          <cell r="B273">
            <v>150</v>
          </cell>
          <cell r="C273" t="str">
            <v>CASH IN LIEU OF LEAVE</v>
          </cell>
          <cell r="D273">
            <v>11357.5</v>
          </cell>
          <cell r="G273">
            <v>11357.5</v>
          </cell>
          <cell r="H273" t="str">
            <v/>
          </cell>
        </row>
        <row r="274">
          <cell r="A274" t="str">
            <v>105-30-050</v>
          </cell>
          <cell r="B274">
            <v>120</v>
          </cell>
          <cell r="C274" t="str">
            <v>CASH IN LIEU OF LEAVE</v>
          </cell>
          <cell r="D274">
            <v>9570</v>
          </cell>
          <cell r="G274">
            <v>9570</v>
          </cell>
          <cell r="H274">
            <v>1</v>
          </cell>
        </row>
        <row r="275">
          <cell r="A275" t="str">
            <v>105-30-050</v>
          </cell>
          <cell r="B275">
            <v>160</v>
          </cell>
          <cell r="C275" t="str">
            <v>CASH IN LIEU OF LEAVE</v>
          </cell>
          <cell r="D275">
            <v>7397.5</v>
          </cell>
          <cell r="G275">
            <v>7397.5</v>
          </cell>
          <cell r="H275">
            <v>1</v>
          </cell>
        </row>
        <row r="276">
          <cell r="A276" t="str">
            <v>105-30-050</v>
          </cell>
          <cell r="B276">
            <v>90</v>
          </cell>
          <cell r="C276" t="str">
            <v>CASH IN LIEU OF LEAVE</v>
          </cell>
          <cell r="D276">
            <v>4785</v>
          </cell>
          <cell r="G276">
            <v>0</v>
          </cell>
          <cell r="H276" t="str">
            <v/>
          </cell>
        </row>
        <row r="277">
          <cell r="A277" t="str">
            <v>105-30-050</v>
          </cell>
          <cell r="B277">
            <v>80</v>
          </cell>
          <cell r="C277" t="str">
            <v>CASH IN LIEU OF LEAVE</v>
          </cell>
          <cell r="D277">
            <v>7095</v>
          </cell>
          <cell r="G277">
            <v>7095</v>
          </cell>
          <cell r="H277">
            <v>1</v>
          </cell>
        </row>
        <row r="278">
          <cell r="A278" t="str">
            <v>105-30-050</v>
          </cell>
          <cell r="B278">
            <v>60</v>
          </cell>
          <cell r="C278" t="str">
            <v>CASH IN LIEU OF LEAVE</v>
          </cell>
          <cell r="D278">
            <v>5940</v>
          </cell>
          <cell r="E278">
            <v>6361.665</v>
          </cell>
          <cell r="G278">
            <v>11880</v>
          </cell>
          <cell r="H278">
            <v>0.5</v>
          </cell>
        </row>
        <row r="279">
          <cell r="A279" t="str">
            <v>105-30-050</v>
          </cell>
          <cell r="B279">
            <v>170</v>
          </cell>
          <cell r="C279" t="str">
            <v>CASH IN LIEU OF LEAVE</v>
          </cell>
          <cell r="D279">
            <v>104172.75</v>
          </cell>
          <cell r="G279">
            <v>259592.5</v>
          </cell>
          <cell r="H279">
            <v>0.40129337326771769</v>
          </cell>
        </row>
        <row r="280">
          <cell r="A280" t="str">
            <v>105-30-050</v>
          </cell>
          <cell r="B280">
            <v>110</v>
          </cell>
          <cell r="C280" t="str">
            <v>CASH IN LIEU OF LEAVE</v>
          </cell>
          <cell r="D280">
            <v>4235</v>
          </cell>
          <cell r="G280">
            <v>4235</v>
          </cell>
          <cell r="H280">
            <v>1</v>
          </cell>
        </row>
        <row r="281">
          <cell r="A281" t="str">
            <v>105-30-050</v>
          </cell>
          <cell r="B281">
            <v>50</v>
          </cell>
          <cell r="C281" t="str">
            <v>CASH IN LIEU OF LEAVE</v>
          </cell>
          <cell r="D281">
            <v>6655</v>
          </cell>
          <cell r="G281">
            <v>6655</v>
          </cell>
          <cell r="H281">
            <v>1</v>
          </cell>
        </row>
        <row r="282">
          <cell r="A282" t="str">
            <v>105-30-050</v>
          </cell>
          <cell r="B282">
            <v>30</v>
          </cell>
          <cell r="C282" t="str">
            <v>CASH IN LIEU OF LEAVE</v>
          </cell>
          <cell r="D282">
            <v>7920</v>
          </cell>
          <cell r="G282">
            <v>7920</v>
          </cell>
          <cell r="H282">
            <v>1</v>
          </cell>
        </row>
        <row r="283">
          <cell r="A283" t="str">
            <v>105-30-050</v>
          </cell>
          <cell r="B283">
            <v>140</v>
          </cell>
          <cell r="C283" t="str">
            <v>CASH IN LIEU OF LEAVE</v>
          </cell>
          <cell r="D283">
            <v>4235</v>
          </cell>
          <cell r="G283">
            <v>4235</v>
          </cell>
          <cell r="H283" t="str">
            <v/>
          </cell>
        </row>
        <row r="284">
          <cell r="A284" t="str">
            <v>105-30-050</v>
          </cell>
          <cell r="B284">
            <v>40</v>
          </cell>
          <cell r="C284" t="str">
            <v>CASH IN LIEU OF LEAVE</v>
          </cell>
          <cell r="D284">
            <v>5390</v>
          </cell>
          <cell r="G284">
            <v>5390</v>
          </cell>
          <cell r="H284" t="str">
            <v/>
          </cell>
        </row>
        <row r="285">
          <cell r="A285" t="str">
            <v>105-30-050</v>
          </cell>
          <cell r="B285">
            <v>180</v>
          </cell>
          <cell r="C285" t="str">
            <v>CASH IN LIEU OF LEAVE</v>
          </cell>
          <cell r="D285">
            <v>4785</v>
          </cell>
          <cell r="G285">
            <v>4785</v>
          </cell>
          <cell r="H285" t="str">
            <v/>
          </cell>
        </row>
        <row r="286">
          <cell r="A286" t="str">
            <v>105-30-060</v>
          </cell>
          <cell r="B286">
            <v>70</v>
          </cell>
          <cell r="C286" t="str">
            <v>GRATUITY</v>
          </cell>
          <cell r="G286">
            <v>0</v>
          </cell>
          <cell r="H286" t="str">
            <v/>
          </cell>
        </row>
        <row r="287">
          <cell r="A287" t="str">
            <v>105-30-060</v>
          </cell>
          <cell r="B287">
            <v>150</v>
          </cell>
          <cell r="C287" t="str">
            <v>GRATUITY</v>
          </cell>
          <cell r="G287">
            <v>0</v>
          </cell>
          <cell r="H287" t="str">
            <v/>
          </cell>
        </row>
        <row r="288">
          <cell r="A288" t="str">
            <v>105-30-060</v>
          </cell>
          <cell r="B288">
            <v>120</v>
          </cell>
          <cell r="C288" t="str">
            <v>GRATUITY</v>
          </cell>
          <cell r="G288">
            <v>0</v>
          </cell>
          <cell r="H288" t="str">
            <v/>
          </cell>
        </row>
        <row r="289">
          <cell r="A289" t="str">
            <v>105-30-060</v>
          </cell>
          <cell r="B289">
            <v>160</v>
          </cell>
          <cell r="C289" t="str">
            <v>GRATUITY</v>
          </cell>
          <cell r="E289">
            <v>0</v>
          </cell>
          <cell r="G289">
            <v>0</v>
          </cell>
          <cell r="H289" t="str">
            <v/>
          </cell>
        </row>
        <row r="290">
          <cell r="A290" t="str">
            <v>105-30-060</v>
          </cell>
          <cell r="B290">
            <v>90</v>
          </cell>
          <cell r="C290" t="str">
            <v>GRATUITY</v>
          </cell>
          <cell r="G290">
            <v>0</v>
          </cell>
          <cell r="H290" t="str">
            <v/>
          </cell>
        </row>
        <row r="291">
          <cell r="A291" t="str">
            <v>105-30-060</v>
          </cell>
          <cell r="B291">
            <v>80</v>
          </cell>
          <cell r="C291" t="str">
            <v>GRATUITY</v>
          </cell>
          <cell r="D291">
            <v>0</v>
          </cell>
          <cell r="G291">
            <v>0</v>
          </cell>
          <cell r="H291" t="str">
            <v/>
          </cell>
        </row>
        <row r="292">
          <cell r="A292" t="str">
            <v>105-30-060</v>
          </cell>
          <cell r="B292">
            <v>60</v>
          </cell>
          <cell r="C292" t="str">
            <v>GRATUITY</v>
          </cell>
          <cell r="G292">
            <v>0</v>
          </cell>
          <cell r="H292" t="str">
            <v/>
          </cell>
        </row>
        <row r="293">
          <cell r="A293" t="str">
            <v>105-30-060</v>
          </cell>
          <cell r="B293">
            <v>170</v>
          </cell>
          <cell r="C293" t="str">
            <v>GRATUITY</v>
          </cell>
          <cell r="D293">
            <v>2424544.98</v>
          </cell>
          <cell r="E293">
            <v>1074034</v>
          </cell>
          <cell r="G293">
            <v>2148068</v>
          </cell>
          <cell r="H293">
            <v>1.1287096032341624</v>
          </cell>
        </row>
        <row r="294">
          <cell r="A294" t="str">
            <v>105-30-060</v>
          </cell>
          <cell r="B294">
            <v>110</v>
          </cell>
          <cell r="C294" t="str">
            <v>GRATUITY</v>
          </cell>
          <cell r="E294">
            <v>0</v>
          </cell>
          <cell r="G294">
            <v>0</v>
          </cell>
          <cell r="H294" t="str">
            <v/>
          </cell>
        </row>
        <row r="295">
          <cell r="A295" t="str">
            <v>105-30-060</v>
          </cell>
          <cell r="B295">
            <v>50</v>
          </cell>
          <cell r="C295" t="str">
            <v>GRATUITY</v>
          </cell>
          <cell r="E295">
            <v>0</v>
          </cell>
          <cell r="G295">
            <v>0</v>
          </cell>
          <cell r="H295" t="str">
            <v/>
          </cell>
        </row>
        <row r="296">
          <cell r="A296" t="str">
            <v>105-30-060</v>
          </cell>
          <cell r="B296">
            <v>30</v>
          </cell>
          <cell r="C296" t="str">
            <v>GRATUITY</v>
          </cell>
          <cell r="G296">
            <v>0</v>
          </cell>
          <cell r="H296" t="str">
            <v/>
          </cell>
        </row>
        <row r="297">
          <cell r="A297" t="str">
            <v>105-30-060</v>
          </cell>
          <cell r="B297">
            <v>140</v>
          </cell>
          <cell r="C297" t="str">
            <v>GRATUITY</v>
          </cell>
          <cell r="G297">
            <v>0</v>
          </cell>
          <cell r="H297" t="str">
            <v/>
          </cell>
        </row>
        <row r="298">
          <cell r="A298" t="str">
            <v>105-30-060</v>
          </cell>
          <cell r="B298">
            <v>40</v>
          </cell>
          <cell r="C298" t="str">
            <v>GRATUITY</v>
          </cell>
          <cell r="E298">
            <v>0</v>
          </cell>
          <cell r="G298">
            <v>0</v>
          </cell>
          <cell r="H298" t="str">
            <v/>
          </cell>
        </row>
        <row r="299">
          <cell r="A299" t="str">
            <v>105-30-060</v>
          </cell>
          <cell r="B299">
            <v>180</v>
          </cell>
          <cell r="C299" t="str">
            <v>GRATUITY</v>
          </cell>
          <cell r="G299">
            <v>0</v>
          </cell>
          <cell r="H299" t="str">
            <v/>
          </cell>
        </row>
        <row r="300">
          <cell r="A300" t="str">
            <v>105-30-070</v>
          </cell>
          <cell r="B300">
            <v>70</v>
          </cell>
          <cell r="C300" t="str">
            <v>LONG SERVICE AWARDS</v>
          </cell>
          <cell r="D300">
            <v>20004</v>
          </cell>
          <cell r="G300">
            <v>0</v>
          </cell>
          <cell r="H300" t="str">
            <v/>
          </cell>
        </row>
        <row r="301">
          <cell r="A301" t="str">
            <v>105-30-070</v>
          </cell>
          <cell r="B301">
            <v>150</v>
          </cell>
          <cell r="C301" t="str">
            <v>LONG SERVICE AWARDS</v>
          </cell>
          <cell r="D301">
            <v>24780</v>
          </cell>
          <cell r="G301">
            <v>0</v>
          </cell>
          <cell r="H301" t="str">
            <v/>
          </cell>
        </row>
        <row r="302">
          <cell r="A302" t="str">
            <v>105-30-070</v>
          </cell>
          <cell r="B302">
            <v>120</v>
          </cell>
          <cell r="C302" t="str">
            <v>LONG SERVICE AWARDS</v>
          </cell>
          <cell r="D302">
            <v>0</v>
          </cell>
          <cell r="G302">
            <v>0</v>
          </cell>
          <cell r="H302" t="str">
            <v/>
          </cell>
        </row>
        <row r="303">
          <cell r="A303" t="str">
            <v>105-30-070</v>
          </cell>
          <cell r="B303">
            <v>160</v>
          </cell>
          <cell r="C303" t="str">
            <v>LONG SERVICE AWARDS</v>
          </cell>
          <cell r="D303">
            <v>0</v>
          </cell>
          <cell r="G303">
            <v>0</v>
          </cell>
          <cell r="H303" t="str">
            <v/>
          </cell>
        </row>
        <row r="304">
          <cell r="A304" t="str">
            <v>105-30-070</v>
          </cell>
          <cell r="B304">
            <v>90</v>
          </cell>
          <cell r="C304" t="str">
            <v>LONG SERVICE AWARDS</v>
          </cell>
          <cell r="D304">
            <v>0</v>
          </cell>
          <cell r="G304">
            <v>0</v>
          </cell>
          <cell r="H304" t="str">
            <v/>
          </cell>
        </row>
        <row r="305">
          <cell r="A305" t="str">
            <v>105-30-070</v>
          </cell>
          <cell r="B305">
            <v>80</v>
          </cell>
          <cell r="C305" t="str">
            <v>LONG SERVICE AWARDS</v>
          </cell>
          <cell r="D305">
            <v>40000</v>
          </cell>
          <cell r="G305">
            <v>0</v>
          </cell>
          <cell r="H305" t="str">
            <v/>
          </cell>
        </row>
        <row r="306">
          <cell r="A306" t="str">
            <v>105-30-070</v>
          </cell>
          <cell r="B306">
            <v>60</v>
          </cell>
          <cell r="C306" t="str">
            <v>LONG SERVICE AWARDS</v>
          </cell>
          <cell r="D306">
            <v>0</v>
          </cell>
          <cell r="G306">
            <v>0</v>
          </cell>
          <cell r="H306" t="str">
            <v/>
          </cell>
        </row>
        <row r="307">
          <cell r="A307" t="str">
            <v>105-30-070</v>
          </cell>
          <cell r="B307">
            <v>170</v>
          </cell>
          <cell r="C307" t="str">
            <v>LONG SERVICE AWARDS</v>
          </cell>
          <cell r="D307">
            <v>77586</v>
          </cell>
          <cell r="G307">
            <v>0</v>
          </cell>
          <cell r="H307" t="str">
            <v/>
          </cell>
        </row>
        <row r="308">
          <cell r="A308" t="str">
            <v>105-30-070</v>
          </cell>
          <cell r="B308">
            <v>110</v>
          </cell>
          <cell r="C308" t="str">
            <v>LONG SERVICE AWARDS</v>
          </cell>
          <cell r="D308">
            <v>0</v>
          </cell>
          <cell r="G308">
            <v>0</v>
          </cell>
          <cell r="H308" t="str">
            <v/>
          </cell>
        </row>
        <row r="309">
          <cell r="A309" t="str">
            <v>105-30-070</v>
          </cell>
          <cell r="B309">
            <v>50</v>
          </cell>
          <cell r="C309" t="str">
            <v>LONG SERVICE AWARDS</v>
          </cell>
          <cell r="D309">
            <v>0</v>
          </cell>
          <cell r="G309">
            <v>0</v>
          </cell>
          <cell r="H309" t="str">
            <v/>
          </cell>
        </row>
        <row r="310">
          <cell r="A310" t="str">
            <v>105-30-070</v>
          </cell>
          <cell r="B310">
            <v>30</v>
          </cell>
          <cell r="C310" t="str">
            <v>LONG SERVICE AWARDS</v>
          </cell>
          <cell r="D310">
            <v>0</v>
          </cell>
          <cell r="G310">
            <v>0</v>
          </cell>
          <cell r="H310" t="str">
            <v/>
          </cell>
        </row>
        <row r="311">
          <cell r="A311" t="str">
            <v>105-30-070</v>
          </cell>
          <cell r="B311">
            <v>140</v>
          </cell>
          <cell r="C311" t="str">
            <v>LONG SERVICE AWARDS</v>
          </cell>
          <cell r="D311">
            <v>0</v>
          </cell>
          <cell r="G311">
            <v>0</v>
          </cell>
          <cell r="H311" t="str">
            <v/>
          </cell>
        </row>
        <row r="312">
          <cell r="A312" t="str">
            <v>105-30-070</v>
          </cell>
          <cell r="B312">
            <v>40</v>
          </cell>
          <cell r="C312" t="str">
            <v>LONG SERVICE AWARDS</v>
          </cell>
          <cell r="D312">
            <v>0</v>
          </cell>
          <cell r="G312">
            <v>0</v>
          </cell>
          <cell r="H312" t="str">
            <v/>
          </cell>
        </row>
        <row r="313">
          <cell r="A313" t="str">
            <v>105-30-070</v>
          </cell>
          <cell r="B313">
            <v>180</v>
          </cell>
          <cell r="C313" t="str">
            <v>LONG SERVICE AWARDS</v>
          </cell>
          <cell r="D313">
            <v>0</v>
          </cell>
          <cell r="G313">
            <v>0</v>
          </cell>
          <cell r="H313" t="str">
            <v/>
          </cell>
        </row>
        <row r="314">
          <cell r="A314" t="str">
            <v>105-30-080</v>
          </cell>
          <cell r="B314">
            <v>70</v>
          </cell>
          <cell r="C314" t="str">
            <v>STAFF RECRUITMENT &amp; REMOVALS</v>
          </cell>
          <cell r="D314">
            <v>0</v>
          </cell>
          <cell r="H314" t="str">
            <v/>
          </cell>
        </row>
        <row r="315">
          <cell r="A315" t="str">
            <v>105-30-080</v>
          </cell>
          <cell r="B315">
            <v>150</v>
          </cell>
          <cell r="C315" t="str">
            <v>STAFF RECRUITMENT &amp; REMOVALS</v>
          </cell>
          <cell r="D315">
            <v>0</v>
          </cell>
          <cell r="G315">
            <v>0</v>
          </cell>
          <cell r="H315" t="str">
            <v/>
          </cell>
        </row>
        <row r="316">
          <cell r="A316" t="str">
            <v>105-30-080</v>
          </cell>
          <cell r="B316">
            <v>120</v>
          </cell>
          <cell r="C316" t="str">
            <v>STAFF RECRUITMENT &amp; REMOVALS</v>
          </cell>
          <cell r="D316">
            <v>0</v>
          </cell>
          <cell r="G316">
            <v>0</v>
          </cell>
          <cell r="H316" t="str">
            <v/>
          </cell>
        </row>
        <row r="317">
          <cell r="A317" t="str">
            <v>105-30-080</v>
          </cell>
          <cell r="B317">
            <v>160</v>
          </cell>
          <cell r="C317" t="str">
            <v>STAFF RECRUITMENT &amp; REMOVALS</v>
          </cell>
          <cell r="D317">
            <v>0</v>
          </cell>
          <cell r="G317">
            <v>0</v>
          </cell>
          <cell r="H317" t="str">
            <v/>
          </cell>
        </row>
        <row r="318">
          <cell r="A318" t="str">
            <v>105-30-080</v>
          </cell>
          <cell r="B318">
            <v>90</v>
          </cell>
          <cell r="C318" t="str">
            <v>STAFF RECRUITMENT &amp; REMOVALS</v>
          </cell>
          <cell r="D318">
            <v>0</v>
          </cell>
          <cell r="G318">
            <v>0</v>
          </cell>
          <cell r="H318" t="str">
            <v/>
          </cell>
        </row>
        <row r="319">
          <cell r="A319" t="str">
            <v>105-30-080</v>
          </cell>
          <cell r="B319">
            <v>80</v>
          </cell>
          <cell r="C319" t="str">
            <v>STAFF RECRUITMENT &amp; REMOVALS</v>
          </cell>
          <cell r="D319">
            <v>0</v>
          </cell>
          <cell r="G319">
            <v>0</v>
          </cell>
          <cell r="H319" t="str">
            <v/>
          </cell>
        </row>
        <row r="320">
          <cell r="A320" t="str">
            <v>105-30-080</v>
          </cell>
          <cell r="B320">
            <v>60</v>
          </cell>
          <cell r="C320" t="str">
            <v>STAFF RECRUITMENT &amp; REMOVALS</v>
          </cell>
          <cell r="D320">
            <v>0</v>
          </cell>
          <cell r="G320">
            <v>0</v>
          </cell>
          <cell r="H320" t="str">
            <v/>
          </cell>
        </row>
        <row r="321">
          <cell r="A321" t="str">
            <v>165-10-040</v>
          </cell>
          <cell r="B321">
            <v>170</v>
          </cell>
          <cell r="C321" t="str">
            <v>STAFF RECRUITMENT &amp; REMOVALS</v>
          </cell>
          <cell r="D321">
            <v>3700000</v>
          </cell>
          <cell r="G321">
            <v>0</v>
          </cell>
          <cell r="H321" t="str">
            <v/>
          </cell>
        </row>
        <row r="322">
          <cell r="A322" t="str">
            <v>105-30-080</v>
          </cell>
          <cell r="B322">
            <v>110</v>
          </cell>
          <cell r="C322" t="str">
            <v>STAFF RECRUITMENT &amp; REMOVALS</v>
          </cell>
          <cell r="D322">
            <v>0</v>
          </cell>
          <cell r="G322">
            <v>0</v>
          </cell>
          <cell r="H322" t="str">
            <v/>
          </cell>
        </row>
        <row r="323">
          <cell r="A323" t="str">
            <v>105-30-080</v>
          </cell>
          <cell r="B323">
            <v>50</v>
          </cell>
          <cell r="C323" t="str">
            <v>STAFF RECRUITMENT &amp; REMOVALS</v>
          </cell>
          <cell r="D323">
            <v>0</v>
          </cell>
          <cell r="G323">
            <v>0</v>
          </cell>
          <cell r="H323" t="str">
            <v/>
          </cell>
        </row>
        <row r="324">
          <cell r="A324" t="str">
            <v>105-30-080</v>
          </cell>
          <cell r="B324">
            <v>30</v>
          </cell>
          <cell r="C324" t="str">
            <v>STAFF RECRUITMENT &amp; REMOVALS</v>
          </cell>
          <cell r="D324">
            <v>0</v>
          </cell>
          <cell r="G324">
            <v>0</v>
          </cell>
          <cell r="H324" t="str">
            <v/>
          </cell>
        </row>
        <row r="325">
          <cell r="A325" t="str">
            <v>105-30-080</v>
          </cell>
          <cell r="B325">
            <v>140</v>
          </cell>
          <cell r="C325" t="str">
            <v>STAFF RECRUITMENT &amp; REMOVALS</v>
          </cell>
          <cell r="D325">
            <v>0</v>
          </cell>
          <cell r="G325">
            <v>0</v>
          </cell>
          <cell r="H325" t="str">
            <v/>
          </cell>
        </row>
        <row r="326">
          <cell r="A326" t="str">
            <v>105-30-080</v>
          </cell>
          <cell r="B326">
            <v>40</v>
          </cell>
          <cell r="C326" t="str">
            <v>STAFF RECRUITMENT &amp; REMOVALS</v>
          </cell>
          <cell r="D326">
            <v>0</v>
          </cell>
          <cell r="G326">
            <v>0</v>
          </cell>
          <cell r="H326" t="str">
            <v/>
          </cell>
        </row>
        <row r="327">
          <cell r="A327" t="str">
            <v>105-30-080</v>
          </cell>
          <cell r="B327">
            <v>180</v>
          </cell>
          <cell r="C327" t="str">
            <v>STAFF RECRUITMENT &amp; REMOVALS</v>
          </cell>
          <cell r="D327">
            <v>0</v>
          </cell>
          <cell r="G327">
            <v>0</v>
          </cell>
          <cell r="H327" t="str">
            <v/>
          </cell>
        </row>
        <row r="328">
          <cell r="A328" t="str">
            <v>115-10-010</v>
          </cell>
          <cell r="B328">
            <v>70</v>
          </cell>
          <cell r="C328" t="str">
            <v>Carried Forward Depreciation</v>
          </cell>
          <cell r="D328">
            <v>0</v>
          </cell>
          <cell r="G328">
            <v>0</v>
          </cell>
          <cell r="H328" t="str">
            <v/>
          </cell>
        </row>
        <row r="329">
          <cell r="A329" t="str">
            <v>115-10-010</v>
          </cell>
          <cell r="B329">
            <v>70</v>
          </cell>
          <cell r="C329" t="str">
            <v>Additions as per Capex budget</v>
          </cell>
          <cell r="H329" t="str">
            <v/>
          </cell>
        </row>
        <row r="330">
          <cell r="A330" t="str">
            <v>115-10-010</v>
          </cell>
          <cell r="B330">
            <v>150</v>
          </cell>
          <cell r="C330" t="str">
            <v>Carried Forward Depreciation</v>
          </cell>
          <cell r="D330">
            <v>0</v>
          </cell>
          <cell r="G330">
            <v>0</v>
          </cell>
          <cell r="H330" t="str">
            <v/>
          </cell>
        </row>
        <row r="331">
          <cell r="A331" t="str">
            <v>115-10-010</v>
          </cell>
          <cell r="B331">
            <v>150</v>
          </cell>
          <cell r="C331" t="str">
            <v>Additions as per Capex budget</v>
          </cell>
          <cell r="G331">
            <v>0</v>
          </cell>
          <cell r="H331" t="str">
            <v/>
          </cell>
        </row>
        <row r="332">
          <cell r="A332" t="str">
            <v>115-10-010</v>
          </cell>
          <cell r="B332">
            <v>120</v>
          </cell>
          <cell r="C332" t="str">
            <v>Carried Forward Depreciation</v>
          </cell>
          <cell r="D332">
            <v>0</v>
          </cell>
          <cell r="G332">
            <v>0</v>
          </cell>
          <cell r="H332" t="str">
            <v/>
          </cell>
        </row>
        <row r="333">
          <cell r="A333" t="str">
            <v>115-10-010</v>
          </cell>
          <cell r="B333">
            <v>120</v>
          </cell>
          <cell r="C333" t="str">
            <v>Additions as per Capex budget</v>
          </cell>
          <cell r="G333">
            <v>0</v>
          </cell>
          <cell r="H333" t="str">
            <v/>
          </cell>
        </row>
        <row r="334">
          <cell r="A334" t="str">
            <v>115-10-010</v>
          </cell>
          <cell r="B334">
            <v>160</v>
          </cell>
          <cell r="C334" t="str">
            <v>Carried Forward Depreciation</v>
          </cell>
          <cell r="D334">
            <v>0</v>
          </cell>
          <cell r="E334">
            <v>0</v>
          </cell>
          <cell r="G334">
            <v>0</v>
          </cell>
          <cell r="H334" t="str">
            <v/>
          </cell>
        </row>
        <row r="335">
          <cell r="A335" t="str">
            <v>115-10-010</v>
          </cell>
          <cell r="B335">
            <v>160</v>
          </cell>
          <cell r="C335" t="str">
            <v>Additions as per Capex budget</v>
          </cell>
          <cell r="G335">
            <v>0</v>
          </cell>
          <cell r="H335" t="str">
            <v/>
          </cell>
        </row>
        <row r="336">
          <cell r="A336" t="str">
            <v>115-10-010</v>
          </cell>
          <cell r="B336">
            <v>90</v>
          </cell>
          <cell r="C336" t="str">
            <v>Carried Forward Depreciation</v>
          </cell>
          <cell r="D336">
            <v>0</v>
          </cell>
          <cell r="G336">
            <v>0</v>
          </cell>
          <cell r="H336" t="str">
            <v/>
          </cell>
        </row>
        <row r="337">
          <cell r="A337" t="str">
            <v>115-10-010</v>
          </cell>
          <cell r="B337">
            <v>90</v>
          </cell>
          <cell r="C337" t="str">
            <v>Additions as per Capex budget</v>
          </cell>
          <cell r="G337">
            <v>0</v>
          </cell>
          <cell r="H337" t="str">
            <v/>
          </cell>
        </row>
        <row r="338">
          <cell r="A338" t="str">
            <v>115-10-010</v>
          </cell>
          <cell r="B338">
            <v>80</v>
          </cell>
          <cell r="C338" t="str">
            <v>Carried Forward Depreciation</v>
          </cell>
          <cell r="D338">
            <v>0</v>
          </cell>
          <cell r="G338">
            <v>0</v>
          </cell>
          <cell r="H338" t="str">
            <v/>
          </cell>
        </row>
        <row r="339">
          <cell r="A339" t="str">
            <v>115-10-010</v>
          </cell>
          <cell r="B339">
            <v>80</v>
          </cell>
          <cell r="C339" t="str">
            <v>Additions as per Capex budget</v>
          </cell>
          <cell r="H339" t="str">
            <v/>
          </cell>
        </row>
        <row r="340">
          <cell r="A340" t="str">
            <v>115-10-010</v>
          </cell>
          <cell r="B340">
            <v>60</v>
          </cell>
          <cell r="C340" t="str">
            <v>Carried Forward Depreciation</v>
          </cell>
          <cell r="D340">
            <v>0</v>
          </cell>
          <cell r="G340">
            <v>0</v>
          </cell>
          <cell r="H340" t="str">
            <v/>
          </cell>
        </row>
        <row r="341">
          <cell r="A341" t="str">
            <v>115-10-010</v>
          </cell>
          <cell r="B341">
            <v>60</v>
          </cell>
          <cell r="C341" t="str">
            <v>Additions as per Capex budget</v>
          </cell>
          <cell r="G341">
            <v>0</v>
          </cell>
          <cell r="H341" t="str">
            <v/>
          </cell>
        </row>
        <row r="342">
          <cell r="A342" t="str">
            <v>115-10-010</v>
          </cell>
          <cell r="B342">
            <v>170</v>
          </cell>
          <cell r="C342" t="str">
            <v>Carried Forward Depreciation</v>
          </cell>
          <cell r="H342" t="str">
            <v/>
          </cell>
        </row>
        <row r="343">
          <cell r="A343" t="str">
            <v>115-10-010</v>
          </cell>
          <cell r="B343">
            <v>170</v>
          </cell>
          <cell r="C343" t="str">
            <v>Additions as per Capex budget</v>
          </cell>
          <cell r="H343" t="str">
            <v/>
          </cell>
        </row>
        <row r="344">
          <cell r="A344" t="str">
            <v>115-10-010</v>
          </cell>
          <cell r="B344">
            <v>110</v>
          </cell>
          <cell r="C344" t="str">
            <v>Carried Forward Depreciation</v>
          </cell>
          <cell r="D344">
            <v>0</v>
          </cell>
          <cell r="E344">
            <v>0</v>
          </cell>
          <cell r="G344">
            <v>0</v>
          </cell>
          <cell r="H344" t="str">
            <v/>
          </cell>
        </row>
        <row r="345">
          <cell r="A345" t="str">
            <v>115-10-010</v>
          </cell>
          <cell r="B345">
            <v>110</v>
          </cell>
          <cell r="C345" t="str">
            <v>Additions as per Capex budget</v>
          </cell>
          <cell r="D345">
            <v>0</v>
          </cell>
          <cell r="G345">
            <v>0</v>
          </cell>
          <cell r="H345" t="str">
            <v/>
          </cell>
        </row>
        <row r="346">
          <cell r="A346" t="str">
            <v>115-10-010</v>
          </cell>
          <cell r="B346">
            <v>50</v>
          </cell>
          <cell r="C346" t="str">
            <v>Carried Forward Depreciation</v>
          </cell>
          <cell r="D346">
            <v>0</v>
          </cell>
          <cell r="E346">
            <v>0</v>
          </cell>
          <cell r="G346">
            <v>0</v>
          </cell>
          <cell r="H346" t="str">
            <v/>
          </cell>
        </row>
        <row r="347">
          <cell r="A347" t="str">
            <v>115-10-010</v>
          </cell>
          <cell r="B347">
            <v>50</v>
          </cell>
          <cell r="C347" t="str">
            <v>Additions as per Capex budget</v>
          </cell>
          <cell r="G347">
            <v>0</v>
          </cell>
          <cell r="H347" t="str">
            <v/>
          </cell>
        </row>
        <row r="348">
          <cell r="A348" t="str">
            <v>115-10-010</v>
          </cell>
          <cell r="B348">
            <v>30</v>
          </cell>
          <cell r="C348" t="str">
            <v>Carried Forward Depreciation</v>
          </cell>
          <cell r="D348">
            <v>0</v>
          </cell>
          <cell r="G348">
            <v>0</v>
          </cell>
          <cell r="H348" t="str">
            <v/>
          </cell>
        </row>
        <row r="349">
          <cell r="A349" t="str">
            <v>115-10-010</v>
          </cell>
          <cell r="B349">
            <v>30</v>
          </cell>
          <cell r="C349" t="str">
            <v>Additions as per Capex budget</v>
          </cell>
          <cell r="D349">
            <v>0</v>
          </cell>
          <cell r="G349">
            <v>0</v>
          </cell>
          <cell r="H349" t="str">
            <v/>
          </cell>
        </row>
        <row r="350">
          <cell r="A350" t="str">
            <v>115-10-010</v>
          </cell>
          <cell r="B350">
            <v>140</v>
          </cell>
          <cell r="C350" t="str">
            <v>Carried Forward Depreciation</v>
          </cell>
          <cell r="D350">
            <v>0</v>
          </cell>
          <cell r="G350">
            <v>0</v>
          </cell>
          <cell r="H350" t="str">
            <v/>
          </cell>
        </row>
        <row r="351">
          <cell r="A351" t="str">
            <v>115-10-010</v>
          </cell>
          <cell r="B351">
            <v>140</v>
          </cell>
          <cell r="C351" t="str">
            <v>Additions as per Capex budget</v>
          </cell>
          <cell r="H351" t="str">
            <v/>
          </cell>
        </row>
        <row r="352">
          <cell r="A352" t="str">
            <v>115-10-010</v>
          </cell>
          <cell r="B352">
            <v>40</v>
          </cell>
          <cell r="C352" t="str">
            <v>Carried Forward Depreciation</v>
          </cell>
          <cell r="D352">
            <v>0</v>
          </cell>
          <cell r="E352">
            <v>0</v>
          </cell>
          <cell r="G352">
            <v>0</v>
          </cell>
          <cell r="H352" t="str">
            <v/>
          </cell>
        </row>
        <row r="353">
          <cell r="A353" t="str">
            <v>115-10-010</v>
          </cell>
          <cell r="B353">
            <v>40</v>
          </cell>
          <cell r="C353" t="str">
            <v>Additions as per Capex budget</v>
          </cell>
          <cell r="G353">
            <v>0</v>
          </cell>
          <cell r="H353" t="str">
            <v/>
          </cell>
        </row>
        <row r="354">
          <cell r="A354" t="str">
            <v>115-10-010</v>
          </cell>
          <cell r="B354">
            <v>180</v>
          </cell>
          <cell r="C354" t="str">
            <v>Carried Forward Depreciation</v>
          </cell>
          <cell r="D354">
            <v>0</v>
          </cell>
          <cell r="G354">
            <v>0</v>
          </cell>
          <cell r="H354" t="str">
            <v/>
          </cell>
        </row>
        <row r="355">
          <cell r="A355" t="str">
            <v>115-10-010</v>
          </cell>
          <cell r="B355">
            <v>180</v>
          </cell>
          <cell r="C355" t="str">
            <v>Additions as per Capex budget</v>
          </cell>
          <cell r="G355">
            <v>0</v>
          </cell>
          <cell r="H355" t="str">
            <v/>
          </cell>
        </row>
        <row r="356">
          <cell r="A356" t="str">
            <v>115-10-020</v>
          </cell>
          <cell r="B356">
            <v>70</v>
          </cell>
          <cell r="C356" t="str">
            <v>Carried Forward Depreciation</v>
          </cell>
          <cell r="D356">
            <v>0</v>
          </cell>
          <cell r="G356">
            <v>0</v>
          </cell>
          <cell r="H356" t="str">
            <v/>
          </cell>
        </row>
        <row r="357">
          <cell r="A357" t="str">
            <v>115-10-020</v>
          </cell>
          <cell r="B357">
            <v>70</v>
          </cell>
          <cell r="C357" t="str">
            <v>Additions as per Capex budget</v>
          </cell>
          <cell r="D357">
            <v>0</v>
          </cell>
          <cell r="G357">
            <v>0</v>
          </cell>
          <cell r="H357" t="str">
            <v/>
          </cell>
        </row>
        <row r="358">
          <cell r="A358" t="str">
            <v>115-10-020</v>
          </cell>
          <cell r="B358">
            <v>150</v>
          </cell>
          <cell r="C358" t="str">
            <v>Carried Forward Depreciation</v>
          </cell>
          <cell r="D358">
            <v>0</v>
          </cell>
          <cell r="G358">
            <v>0</v>
          </cell>
          <cell r="H358" t="str">
            <v/>
          </cell>
        </row>
        <row r="359">
          <cell r="A359" t="str">
            <v>115-10-020</v>
          </cell>
          <cell r="B359">
            <v>150</v>
          </cell>
          <cell r="C359" t="str">
            <v>Additions as per Capex budget</v>
          </cell>
          <cell r="G359">
            <v>0</v>
          </cell>
          <cell r="H359" t="str">
            <v/>
          </cell>
        </row>
        <row r="360">
          <cell r="A360" t="str">
            <v>115-10-020</v>
          </cell>
          <cell r="B360">
            <v>120</v>
          </cell>
          <cell r="C360" t="str">
            <v>Carried Forward Depreciation</v>
          </cell>
          <cell r="D360">
            <v>0</v>
          </cell>
          <cell r="G360">
            <v>0</v>
          </cell>
          <cell r="H360" t="str">
            <v/>
          </cell>
        </row>
        <row r="361">
          <cell r="A361" t="str">
            <v>115-10-020</v>
          </cell>
          <cell r="B361">
            <v>120</v>
          </cell>
          <cell r="C361" t="str">
            <v>Additions as per Capex budget</v>
          </cell>
          <cell r="D361">
            <v>0</v>
          </cell>
          <cell r="G361">
            <v>0</v>
          </cell>
          <cell r="H361" t="str">
            <v/>
          </cell>
        </row>
        <row r="362">
          <cell r="A362" t="str">
            <v>115-10-020</v>
          </cell>
          <cell r="B362">
            <v>160</v>
          </cell>
          <cell r="C362" t="str">
            <v>Carried Forward Depreciation</v>
          </cell>
          <cell r="D362">
            <v>0</v>
          </cell>
          <cell r="E362">
            <v>0</v>
          </cell>
          <cell r="G362">
            <v>0</v>
          </cell>
          <cell r="H362" t="str">
            <v/>
          </cell>
        </row>
        <row r="363">
          <cell r="A363" t="str">
            <v>115-10-020</v>
          </cell>
          <cell r="B363">
            <v>160</v>
          </cell>
          <cell r="C363" t="str">
            <v>Additions as per Capex budget</v>
          </cell>
          <cell r="G363">
            <v>0</v>
          </cell>
          <cell r="H363" t="str">
            <v/>
          </cell>
        </row>
        <row r="364">
          <cell r="A364" t="str">
            <v>115-10-020</v>
          </cell>
          <cell r="B364">
            <v>90</v>
          </cell>
          <cell r="C364" t="str">
            <v>Carried Forward Depreciation</v>
          </cell>
          <cell r="D364">
            <v>0</v>
          </cell>
          <cell r="G364">
            <v>0</v>
          </cell>
          <cell r="H364" t="str">
            <v/>
          </cell>
        </row>
        <row r="365">
          <cell r="A365" t="str">
            <v>115-10-020</v>
          </cell>
          <cell r="B365">
            <v>90</v>
          </cell>
          <cell r="C365" t="str">
            <v>Additions as per Capex budget</v>
          </cell>
          <cell r="G365">
            <v>0</v>
          </cell>
          <cell r="H365" t="str">
            <v/>
          </cell>
        </row>
        <row r="366">
          <cell r="A366" t="str">
            <v>115-10-020</v>
          </cell>
          <cell r="B366">
            <v>80</v>
          </cell>
          <cell r="C366" t="str">
            <v>Carried Forward Depreciation</v>
          </cell>
          <cell r="D366">
            <v>0</v>
          </cell>
          <cell r="G366">
            <v>0</v>
          </cell>
          <cell r="H366" t="str">
            <v/>
          </cell>
        </row>
        <row r="367">
          <cell r="A367" t="str">
            <v>115-10-020</v>
          </cell>
          <cell r="B367">
            <v>80</v>
          </cell>
          <cell r="C367" t="str">
            <v>Additions as per Capex budget</v>
          </cell>
          <cell r="H367" t="str">
            <v/>
          </cell>
        </row>
        <row r="368">
          <cell r="A368" t="str">
            <v>115-10-020</v>
          </cell>
          <cell r="B368">
            <v>60</v>
          </cell>
          <cell r="C368" t="str">
            <v>Carried Forward Depreciation</v>
          </cell>
          <cell r="D368">
            <v>0</v>
          </cell>
          <cell r="G368">
            <v>0</v>
          </cell>
          <cell r="H368" t="str">
            <v/>
          </cell>
        </row>
        <row r="369">
          <cell r="A369" t="str">
            <v>115-10-020</v>
          </cell>
          <cell r="B369">
            <v>60</v>
          </cell>
          <cell r="C369" t="str">
            <v>Additions as per Capex budget</v>
          </cell>
          <cell r="G369">
            <v>0</v>
          </cell>
          <cell r="H369" t="str">
            <v/>
          </cell>
        </row>
        <row r="370">
          <cell r="A370" t="str">
            <v>115-10-020</v>
          </cell>
          <cell r="B370">
            <v>170</v>
          </cell>
          <cell r="C370" t="str">
            <v>Carried Forward Depreciation</v>
          </cell>
          <cell r="H370" t="str">
            <v/>
          </cell>
        </row>
        <row r="371">
          <cell r="A371" t="str">
            <v>115-10-020</v>
          </cell>
          <cell r="B371">
            <v>170</v>
          </cell>
          <cell r="C371" t="str">
            <v>Additions as per Capex budget</v>
          </cell>
          <cell r="H371" t="str">
            <v/>
          </cell>
        </row>
        <row r="372">
          <cell r="A372" t="str">
            <v>115-10-020</v>
          </cell>
          <cell r="B372">
            <v>110</v>
          </cell>
          <cell r="C372" t="str">
            <v>Carried Forward Depreciation</v>
          </cell>
          <cell r="D372">
            <v>0</v>
          </cell>
          <cell r="E372">
            <v>0</v>
          </cell>
          <cell r="G372">
            <v>0</v>
          </cell>
          <cell r="H372" t="str">
            <v/>
          </cell>
        </row>
        <row r="373">
          <cell r="A373" t="str">
            <v>115-10-020</v>
          </cell>
          <cell r="B373">
            <v>110</v>
          </cell>
          <cell r="C373" t="str">
            <v>Additions as per Capex budget</v>
          </cell>
          <cell r="D373">
            <v>0</v>
          </cell>
          <cell r="G373">
            <v>0</v>
          </cell>
          <cell r="H373" t="str">
            <v/>
          </cell>
        </row>
        <row r="374">
          <cell r="A374" t="str">
            <v>115-10-020</v>
          </cell>
          <cell r="B374">
            <v>50</v>
          </cell>
          <cell r="C374" t="str">
            <v>Carried Forward Depreciation</v>
          </cell>
          <cell r="D374">
            <v>0</v>
          </cell>
          <cell r="E374">
            <v>0</v>
          </cell>
          <cell r="G374">
            <v>0</v>
          </cell>
          <cell r="H374" t="str">
            <v/>
          </cell>
        </row>
        <row r="375">
          <cell r="A375" t="str">
            <v>115-10-020</v>
          </cell>
          <cell r="B375">
            <v>50</v>
          </cell>
          <cell r="C375" t="str">
            <v>Additions as per Capex budget</v>
          </cell>
          <cell r="G375">
            <v>0</v>
          </cell>
          <cell r="H375" t="str">
            <v/>
          </cell>
        </row>
        <row r="376">
          <cell r="A376" t="str">
            <v>115-10-020</v>
          </cell>
          <cell r="B376">
            <v>30</v>
          </cell>
          <cell r="C376" t="str">
            <v>Carried Forward Depreciation</v>
          </cell>
          <cell r="D376">
            <v>0</v>
          </cell>
          <cell r="G376">
            <v>0</v>
          </cell>
          <cell r="H376" t="str">
            <v/>
          </cell>
        </row>
        <row r="377">
          <cell r="A377" t="str">
            <v>115-10-020</v>
          </cell>
          <cell r="B377">
            <v>30</v>
          </cell>
          <cell r="C377" t="str">
            <v>Additions as per Capex budget</v>
          </cell>
          <cell r="D377">
            <v>0</v>
          </cell>
          <cell r="G377">
            <v>0</v>
          </cell>
          <cell r="H377" t="str">
            <v/>
          </cell>
        </row>
        <row r="378">
          <cell r="A378" t="str">
            <v>115-10-020</v>
          </cell>
          <cell r="B378">
            <v>140</v>
          </cell>
          <cell r="C378" t="str">
            <v>Carried Forward Depreciation</v>
          </cell>
          <cell r="D378">
            <v>0</v>
          </cell>
          <cell r="G378">
            <v>0</v>
          </cell>
          <cell r="H378" t="str">
            <v/>
          </cell>
        </row>
        <row r="379">
          <cell r="A379" t="str">
            <v>115-10-020</v>
          </cell>
          <cell r="B379">
            <v>140</v>
          </cell>
          <cell r="C379" t="str">
            <v>Additions as per Capex budget</v>
          </cell>
          <cell r="H379" t="str">
            <v/>
          </cell>
        </row>
        <row r="380">
          <cell r="A380" t="str">
            <v>115-10-020</v>
          </cell>
          <cell r="B380">
            <v>40</v>
          </cell>
          <cell r="C380" t="str">
            <v>Carried Forward Depreciation</v>
          </cell>
          <cell r="D380">
            <v>0</v>
          </cell>
          <cell r="E380">
            <v>0</v>
          </cell>
          <cell r="G380">
            <v>0</v>
          </cell>
          <cell r="H380" t="str">
            <v/>
          </cell>
        </row>
        <row r="381">
          <cell r="A381" t="str">
            <v>115-10-020</v>
          </cell>
          <cell r="B381">
            <v>40</v>
          </cell>
          <cell r="C381" t="str">
            <v>Additions as per Capex budget</v>
          </cell>
          <cell r="D381">
            <v>0</v>
          </cell>
          <cell r="G381">
            <v>0</v>
          </cell>
          <cell r="H381" t="str">
            <v/>
          </cell>
        </row>
        <row r="382">
          <cell r="A382" t="str">
            <v>115-10-020</v>
          </cell>
          <cell r="B382">
            <v>180</v>
          </cell>
          <cell r="C382" t="str">
            <v>Carried Forward Depreciation</v>
          </cell>
          <cell r="D382">
            <v>0</v>
          </cell>
          <cell r="G382">
            <v>0</v>
          </cell>
          <cell r="H382" t="str">
            <v/>
          </cell>
        </row>
        <row r="383">
          <cell r="A383" t="str">
            <v>115-10-020</v>
          </cell>
          <cell r="B383">
            <v>180</v>
          </cell>
          <cell r="C383" t="str">
            <v>Additions as per Capex budget</v>
          </cell>
          <cell r="D383">
            <v>0</v>
          </cell>
          <cell r="G383">
            <v>0</v>
          </cell>
          <cell r="H383" t="str">
            <v/>
          </cell>
        </row>
        <row r="384">
          <cell r="A384" t="str">
            <v>115-10-030</v>
          </cell>
          <cell r="B384">
            <v>70</v>
          </cell>
          <cell r="C384" t="str">
            <v>Carried Forward Depreciation</v>
          </cell>
          <cell r="D384">
            <v>0</v>
          </cell>
          <cell r="G384">
            <v>0</v>
          </cell>
          <cell r="H384" t="str">
            <v/>
          </cell>
        </row>
        <row r="385">
          <cell r="A385" t="str">
            <v>115-10-030</v>
          </cell>
          <cell r="B385">
            <v>70</v>
          </cell>
          <cell r="C385" t="str">
            <v>Additions as per Capex budget</v>
          </cell>
          <cell r="D385">
            <v>0</v>
          </cell>
          <cell r="G385">
            <v>0</v>
          </cell>
          <cell r="H385" t="str">
            <v/>
          </cell>
        </row>
        <row r="386">
          <cell r="A386" t="str">
            <v>115-10-030</v>
          </cell>
          <cell r="B386">
            <v>150</v>
          </cell>
          <cell r="C386" t="str">
            <v>Carried Forward Depreciation</v>
          </cell>
          <cell r="D386">
            <v>0</v>
          </cell>
          <cell r="G386">
            <v>0</v>
          </cell>
          <cell r="H386" t="str">
            <v/>
          </cell>
        </row>
        <row r="387">
          <cell r="A387" t="str">
            <v>115-10-030</v>
          </cell>
          <cell r="B387">
            <v>150</v>
          </cell>
          <cell r="C387" t="str">
            <v>Additions as per Capex budget</v>
          </cell>
          <cell r="D387">
            <v>0</v>
          </cell>
          <cell r="G387">
            <v>0</v>
          </cell>
          <cell r="H387" t="str">
            <v/>
          </cell>
        </row>
        <row r="388">
          <cell r="A388" t="str">
            <v>115-10-030</v>
          </cell>
          <cell r="B388">
            <v>120</v>
          </cell>
          <cell r="C388" t="str">
            <v>Carried Forward Depreciation</v>
          </cell>
          <cell r="D388">
            <v>0</v>
          </cell>
          <cell r="G388">
            <v>0</v>
          </cell>
          <cell r="H388" t="str">
            <v/>
          </cell>
        </row>
        <row r="389">
          <cell r="A389" t="str">
            <v>115-10-030</v>
          </cell>
          <cell r="B389">
            <v>120</v>
          </cell>
          <cell r="C389" t="str">
            <v>Additions as per Capex budget</v>
          </cell>
          <cell r="D389">
            <v>0</v>
          </cell>
          <cell r="G389">
            <v>0</v>
          </cell>
          <cell r="H389" t="str">
            <v/>
          </cell>
        </row>
        <row r="390">
          <cell r="A390" t="str">
            <v>115-10-030</v>
          </cell>
          <cell r="B390">
            <v>160</v>
          </cell>
          <cell r="C390" t="str">
            <v>Carried Forward Depreciation</v>
          </cell>
          <cell r="D390">
            <v>0</v>
          </cell>
          <cell r="E390">
            <v>0</v>
          </cell>
          <cell r="G390">
            <v>0</v>
          </cell>
          <cell r="H390" t="str">
            <v/>
          </cell>
        </row>
        <row r="391">
          <cell r="A391" t="str">
            <v>115-10-030</v>
          </cell>
          <cell r="B391">
            <v>160</v>
          </cell>
          <cell r="C391" t="str">
            <v>Additions as per Capex budget</v>
          </cell>
          <cell r="D391">
            <v>0</v>
          </cell>
          <cell r="G391">
            <v>0</v>
          </cell>
          <cell r="H391" t="str">
            <v/>
          </cell>
        </row>
        <row r="392">
          <cell r="A392" t="str">
            <v>115-10-030</v>
          </cell>
          <cell r="B392">
            <v>90</v>
          </cell>
          <cell r="C392" t="str">
            <v>Carried Forward Depreciation</v>
          </cell>
          <cell r="D392">
            <v>0</v>
          </cell>
          <cell r="G392">
            <v>0</v>
          </cell>
          <cell r="H392" t="str">
            <v/>
          </cell>
        </row>
        <row r="393">
          <cell r="A393" t="str">
            <v>115-10-030</v>
          </cell>
          <cell r="B393">
            <v>90</v>
          </cell>
          <cell r="C393" t="str">
            <v>Additions as per Capex budget</v>
          </cell>
          <cell r="D393">
            <v>0</v>
          </cell>
          <cell r="G393">
            <v>0</v>
          </cell>
          <cell r="H393" t="str">
            <v/>
          </cell>
        </row>
        <row r="394">
          <cell r="A394" t="str">
            <v>115-10-030</v>
          </cell>
          <cell r="B394">
            <v>80</v>
          </cell>
          <cell r="C394" t="str">
            <v>Carried Forward Depreciation</v>
          </cell>
          <cell r="D394">
            <v>0</v>
          </cell>
          <cell r="G394">
            <v>0</v>
          </cell>
          <cell r="H394" t="str">
            <v/>
          </cell>
        </row>
        <row r="395">
          <cell r="A395" t="str">
            <v>115-10-030</v>
          </cell>
          <cell r="B395">
            <v>80</v>
          </cell>
          <cell r="C395" t="str">
            <v>Additions as per Capex budget</v>
          </cell>
          <cell r="D395">
            <v>0</v>
          </cell>
          <cell r="G395">
            <v>0</v>
          </cell>
          <cell r="H395" t="str">
            <v/>
          </cell>
        </row>
        <row r="396">
          <cell r="A396" t="str">
            <v>115-10-030</v>
          </cell>
          <cell r="B396">
            <v>60</v>
          </cell>
          <cell r="C396" t="str">
            <v>Carried Forward Depreciation</v>
          </cell>
          <cell r="D396">
            <v>0</v>
          </cell>
          <cell r="G396">
            <v>0</v>
          </cell>
          <cell r="H396" t="str">
            <v/>
          </cell>
        </row>
        <row r="397">
          <cell r="A397" t="str">
            <v>115-10-030</v>
          </cell>
          <cell r="B397">
            <v>60</v>
          </cell>
          <cell r="C397" t="str">
            <v>Additions as per Capex budget</v>
          </cell>
          <cell r="D397">
            <v>0</v>
          </cell>
          <cell r="G397">
            <v>0</v>
          </cell>
          <cell r="H397" t="str">
            <v/>
          </cell>
        </row>
        <row r="398">
          <cell r="A398" t="str">
            <v>115-10-030</v>
          </cell>
          <cell r="B398">
            <v>170</v>
          </cell>
          <cell r="C398" t="str">
            <v>Carried Forward Depreciation</v>
          </cell>
          <cell r="H398" t="str">
            <v/>
          </cell>
        </row>
        <row r="399">
          <cell r="A399" t="str">
            <v>115-10-030</v>
          </cell>
          <cell r="B399">
            <v>170</v>
          </cell>
          <cell r="C399" t="str">
            <v>Additions as per Capex budget</v>
          </cell>
          <cell r="H399" t="str">
            <v/>
          </cell>
        </row>
        <row r="400">
          <cell r="A400" t="str">
            <v>115-10-030</v>
          </cell>
          <cell r="B400">
            <v>110</v>
          </cell>
          <cell r="C400" t="str">
            <v>Carried Forward Depreciation</v>
          </cell>
          <cell r="D400">
            <v>0</v>
          </cell>
          <cell r="E400">
            <v>0</v>
          </cell>
          <cell r="G400">
            <v>0</v>
          </cell>
          <cell r="H400" t="str">
            <v/>
          </cell>
        </row>
        <row r="401">
          <cell r="A401" t="str">
            <v>115-10-030</v>
          </cell>
          <cell r="B401">
            <v>110</v>
          </cell>
          <cell r="C401" t="str">
            <v>Additions as per Capex budget</v>
          </cell>
          <cell r="D401">
            <v>0</v>
          </cell>
          <cell r="G401">
            <v>0</v>
          </cell>
          <cell r="H401" t="str">
            <v/>
          </cell>
        </row>
        <row r="402">
          <cell r="A402" t="str">
            <v>115-10-030</v>
          </cell>
          <cell r="B402">
            <v>50</v>
          </cell>
          <cell r="C402" t="str">
            <v>Carried Forward Depreciation</v>
          </cell>
          <cell r="D402">
            <v>0</v>
          </cell>
          <cell r="E402">
            <v>0</v>
          </cell>
          <cell r="G402">
            <v>0</v>
          </cell>
          <cell r="H402" t="str">
            <v/>
          </cell>
        </row>
        <row r="403">
          <cell r="A403" t="str">
            <v>115-10-030</v>
          </cell>
          <cell r="B403">
            <v>50</v>
          </cell>
          <cell r="C403" t="str">
            <v>Additions as per Capex budget</v>
          </cell>
          <cell r="D403">
            <v>0</v>
          </cell>
          <cell r="G403">
            <v>0</v>
          </cell>
          <cell r="H403" t="str">
            <v/>
          </cell>
        </row>
        <row r="404">
          <cell r="A404" t="str">
            <v>115-10-030</v>
          </cell>
          <cell r="B404">
            <v>30</v>
          </cell>
          <cell r="C404" t="str">
            <v>Carried Forward Depreciation</v>
          </cell>
          <cell r="D404">
            <v>0</v>
          </cell>
          <cell r="G404">
            <v>0</v>
          </cell>
          <cell r="H404" t="str">
            <v/>
          </cell>
        </row>
        <row r="405">
          <cell r="A405" t="str">
            <v>115-10-030</v>
          </cell>
          <cell r="B405">
            <v>30</v>
          </cell>
          <cell r="C405" t="str">
            <v>Additions as per Capex budget</v>
          </cell>
          <cell r="D405">
            <v>0</v>
          </cell>
          <cell r="G405">
            <v>0</v>
          </cell>
          <cell r="H405" t="str">
            <v/>
          </cell>
        </row>
        <row r="406">
          <cell r="A406" t="str">
            <v>115-10-030</v>
          </cell>
          <cell r="B406">
            <v>140</v>
          </cell>
          <cell r="C406" t="str">
            <v>Carried Forward Depreciation</v>
          </cell>
          <cell r="D406">
            <v>0</v>
          </cell>
          <cell r="G406">
            <v>0</v>
          </cell>
          <cell r="H406" t="str">
            <v/>
          </cell>
        </row>
        <row r="407">
          <cell r="A407" t="str">
            <v>115-10-030</v>
          </cell>
          <cell r="B407">
            <v>140</v>
          </cell>
          <cell r="C407" t="str">
            <v>Additions as per Capex budget</v>
          </cell>
          <cell r="D407">
            <v>0</v>
          </cell>
          <cell r="G407">
            <v>0</v>
          </cell>
          <cell r="H407" t="str">
            <v/>
          </cell>
        </row>
        <row r="408">
          <cell r="A408" t="str">
            <v>115-10-030</v>
          </cell>
          <cell r="B408">
            <v>40</v>
          </cell>
          <cell r="C408" t="str">
            <v>Carried Forward Depreciation</v>
          </cell>
          <cell r="D408">
            <v>0</v>
          </cell>
          <cell r="E408">
            <v>0</v>
          </cell>
          <cell r="G408">
            <v>0</v>
          </cell>
          <cell r="H408" t="str">
            <v/>
          </cell>
        </row>
        <row r="409">
          <cell r="A409" t="str">
            <v>115-10-030</v>
          </cell>
          <cell r="B409">
            <v>40</v>
          </cell>
          <cell r="C409" t="str">
            <v>Additions as per Capex budget</v>
          </cell>
          <cell r="D409">
            <v>0</v>
          </cell>
          <cell r="G409">
            <v>0</v>
          </cell>
          <cell r="H409" t="str">
            <v/>
          </cell>
        </row>
        <row r="410">
          <cell r="A410" t="str">
            <v>115-10-030</v>
          </cell>
          <cell r="B410">
            <v>180</v>
          </cell>
          <cell r="C410" t="str">
            <v>Carried Forward Depreciation</v>
          </cell>
          <cell r="D410">
            <v>0</v>
          </cell>
          <cell r="G410">
            <v>0</v>
          </cell>
          <cell r="H410" t="str">
            <v/>
          </cell>
        </row>
        <row r="411">
          <cell r="A411" t="str">
            <v>115-10-030</v>
          </cell>
          <cell r="B411">
            <v>180</v>
          </cell>
          <cell r="C411" t="str">
            <v>Additions as per Capex budget</v>
          </cell>
          <cell r="D411">
            <v>0</v>
          </cell>
          <cell r="G411">
            <v>0</v>
          </cell>
          <cell r="H411" t="str">
            <v/>
          </cell>
        </row>
        <row r="412">
          <cell r="A412" t="str">
            <v>115-10-040</v>
          </cell>
          <cell r="B412">
            <v>70</v>
          </cell>
          <cell r="C412" t="str">
            <v>For actual space occupied</v>
          </cell>
          <cell r="D412">
            <v>478500</v>
          </cell>
          <cell r="E412">
            <v>197748</v>
          </cell>
          <cell r="G412">
            <v>425000</v>
          </cell>
          <cell r="H412">
            <v>1.1258823529411766</v>
          </cell>
        </row>
        <row r="413">
          <cell r="A413" t="str">
            <v>115-10-040</v>
          </cell>
          <cell r="B413">
            <v>70</v>
          </cell>
          <cell r="C413" t="str">
            <v>for parking space occupied</v>
          </cell>
          <cell r="D413">
            <v>0</v>
          </cell>
          <cell r="G413">
            <v>0</v>
          </cell>
          <cell r="H413" t="str">
            <v/>
          </cell>
        </row>
        <row r="414">
          <cell r="A414" t="str">
            <v>115-10-040</v>
          </cell>
          <cell r="B414">
            <v>150</v>
          </cell>
          <cell r="C414" t="str">
            <v>For actual space occupied</v>
          </cell>
          <cell r="D414">
            <v>448761.59999999998</v>
          </cell>
          <cell r="E414">
            <v>171860.96</v>
          </cell>
          <cell r="G414">
            <v>383721.92</v>
          </cell>
          <cell r="H414">
            <v>1.1694969106794837</v>
          </cell>
        </row>
        <row r="415">
          <cell r="A415" t="str">
            <v>115-10-040</v>
          </cell>
          <cell r="B415">
            <v>150</v>
          </cell>
          <cell r="C415" t="str">
            <v>for parking space occupied</v>
          </cell>
          <cell r="D415">
            <v>0</v>
          </cell>
          <cell r="G415">
            <v>0</v>
          </cell>
          <cell r="H415" t="str">
            <v/>
          </cell>
        </row>
        <row r="416">
          <cell r="A416" t="str">
            <v>115-10-040</v>
          </cell>
          <cell r="B416">
            <v>120</v>
          </cell>
          <cell r="C416" t="str">
            <v>For actual space occupied</v>
          </cell>
          <cell r="D416">
            <v>181500</v>
          </cell>
          <cell r="E416">
            <v>75000</v>
          </cell>
          <cell r="G416">
            <v>150000</v>
          </cell>
          <cell r="H416">
            <v>1.21</v>
          </cell>
        </row>
        <row r="417">
          <cell r="A417" t="str">
            <v>115-10-040</v>
          </cell>
          <cell r="B417">
            <v>120</v>
          </cell>
          <cell r="C417" t="str">
            <v>for parking space occupied</v>
          </cell>
          <cell r="D417">
            <v>0</v>
          </cell>
          <cell r="G417">
            <v>0</v>
          </cell>
          <cell r="H417" t="str">
            <v/>
          </cell>
        </row>
        <row r="418">
          <cell r="A418" t="str">
            <v>115-10-040</v>
          </cell>
          <cell r="B418">
            <v>160</v>
          </cell>
          <cell r="C418" t="str">
            <v>For actual space occupied</v>
          </cell>
          <cell r="D418">
            <v>448761.59999999998</v>
          </cell>
          <cell r="E418">
            <v>171860.96</v>
          </cell>
          <cell r="G418">
            <v>343721.92</v>
          </cell>
          <cell r="H418">
            <v>1.3055949413991403</v>
          </cell>
        </row>
        <row r="419">
          <cell r="A419" t="str">
            <v>115-10-040</v>
          </cell>
          <cell r="B419">
            <v>160</v>
          </cell>
          <cell r="C419" t="str">
            <v>for parking space occupied</v>
          </cell>
          <cell r="D419">
            <v>0</v>
          </cell>
          <cell r="G419">
            <v>0</v>
          </cell>
          <cell r="H419" t="str">
            <v/>
          </cell>
        </row>
        <row r="420">
          <cell r="A420" t="str">
            <v>115-10-040</v>
          </cell>
          <cell r="B420">
            <v>90</v>
          </cell>
          <cell r="C420" t="str">
            <v>For actual space occupied</v>
          </cell>
          <cell r="D420">
            <v>448761.59999999998</v>
          </cell>
          <cell r="G420">
            <v>0</v>
          </cell>
          <cell r="H420" t="str">
            <v/>
          </cell>
        </row>
        <row r="421">
          <cell r="A421" t="str">
            <v>115-10-040</v>
          </cell>
          <cell r="B421">
            <v>90</v>
          </cell>
          <cell r="C421" t="str">
            <v>for parking space occupied</v>
          </cell>
          <cell r="D421">
            <v>0</v>
          </cell>
          <cell r="G421">
            <v>0</v>
          </cell>
          <cell r="H421" t="str">
            <v/>
          </cell>
        </row>
        <row r="422">
          <cell r="A422" t="str">
            <v>115-10-040</v>
          </cell>
          <cell r="B422">
            <v>80</v>
          </cell>
          <cell r="C422" t="str">
            <v>For actual space occupied</v>
          </cell>
          <cell r="D422">
            <v>317520</v>
          </cell>
          <cell r="E422">
            <v>74844</v>
          </cell>
          <cell r="G422">
            <v>149688</v>
          </cell>
          <cell r="H422">
            <v>2.1212121212121211</v>
          </cell>
        </row>
        <row r="423">
          <cell r="A423" t="str">
            <v>115-10-040</v>
          </cell>
          <cell r="B423">
            <v>80</v>
          </cell>
          <cell r="C423" t="str">
            <v>for parking space occupied</v>
          </cell>
          <cell r="D423">
            <v>0</v>
          </cell>
          <cell r="G423">
            <v>0</v>
          </cell>
          <cell r="H423" t="str">
            <v/>
          </cell>
        </row>
        <row r="424">
          <cell r="A424" t="str">
            <v>115-10-040</v>
          </cell>
          <cell r="B424">
            <v>60</v>
          </cell>
          <cell r="C424" t="str">
            <v>For actual space occupied</v>
          </cell>
          <cell r="D424">
            <v>539000</v>
          </cell>
          <cell r="E424">
            <v>245293.2</v>
          </cell>
          <cell r="G424">
            <v>490586.4</v>
          </cell>
          <cell r="H424">
            <v>1.098685165344983</v>
          </cell>
        </row>
        <row r="425">
          <cell r="A425" t="str">
            <v>115-10-040</v>
          </cell>
          <cell r="B425">
            <v>60</v>
          </cell>
          <cell r="C425" t="str">
            <v>for parking space occupied</v>
          </cell>
          <cell r="D425">
            <v>0</v>
          </cell>
          <cell r="G425">
            <v>0</v>
          </cell>
          <cell r="H425" t="str">
            <v/>
          </cell>
        </row>
        <row r="426">
          <cell r="A426" t="str">
            <v>115-10-040</v>
          </cell>
          <cell r="B426">
            <v>170</v>
          </cell>
          <cell r="C426" t="str">
            <v>For actual space occupied</v>
          </cell>
          <cell r="D426">
            <v>610243.19999999995</v>
          </cell>
          <cell r="E426">
            <v>309834</v>
          </cell>
          <cell r="G426">
            <v>619668</v>
          </cell>
          <cell r="H426">
            <v>0.98479056527043507</v>
          </cell>
        </row>
        <row r="427">
          <cell r="A427" t="str">
            <v>115-10-040</v>
          </cell>
          <cell r="B427">
            <v>170</v>
          </cell>
          <cell r="C427" t="str">
            <v>for parking space occupied</v>
          </cell>
          <cell r="D427">
            <v>240000</v>
          </cell>
          <cell r="G427">
            <v>60000</v>
          </cell>
          <cell r="H427">
            <v>4</v>
          </cell>
        </row>
        <row r="428">
          <cell r="A428" t="str">
            <v>115-10-040</v>
          </cell>
          <cell r="B428">
            <v>110</v>
          </cell>
          <cell r="C428" t="str">
            <v>For actual space occupied</v>
          </cell>
          <cell r="D428">
            <v>325128</v>
          </cell>
          <cell r="E428">
            <v>156884.20000000001</v>
          </cell>
          <cell r="G428">
            <v>313768.40000000002</v>
          </cell>
          <cell r="H428">
            <v>1.0362037732289164</v>
          </cell>
        </row>
        <row r="429">
          <cell r="A429" t="str">
            <v>115-10-040</v>
          </cell>
          <cell r="B429">
            <v>110</v>
          </cell>
          <cell r="C429" t="str">
            <v>for parking space occupied</v>
          </cell>
          <cell r="D429">
            <v>0</v>
          </cell>
          <cell r="G429">
            <v>0</v>
          </cell>
          <cell r="H429" t="str">
            <v/>
          </cell>
        </row>
        <row r="430">
          <cell r="A430" t="str">
            <v>115-10-040</v>
          </cell>
          <cell r="B430">
            <v>50</v>
          </cell>
          <cell r="C430" t="str">
            <v>For actual space occupied</v>
          </cell>
          <cell r="D430">
            <v>483000</v>
          </cell>
          <cell r="E430">
            <v>340857.95</v>
          </cell>
          <cell r="G430">
            <v>540000</v>
          </cell>
          <cell r="H430">
            <v>0.89444444444444449</v>
          </cell>
        </row>
        <row r="431">
          <cell r="A431" t="str">
            <v>115-10-040</v>
          </cell>
          <cell r="B431">
            <v>50</v>
          </cell>
          <cell r="C431" t="str">
            <v>for parking space occupied</v>
          </cell>
          <cell r="D431">
            <v>0</v>
          </cell>
          <cell r="G431">
            <v>0</v>
          </cell>
          <cell r="H431" t="str">
            <v/>
          </cell>
        </row>
        <row r="432">
          <cell r="A432" t="str">
            <v>115-10-040</v>
          </cell>
          <cell r="B432">
            <v>30</v>
          </cell>
          <cell r="C432" t="str">
            <v>For actual space occupied</v>
          </cell>
          <cell r="D432">
            <v>964500</v>
          </cell>
          <cell r="E432">
            <v>402320</v>
          </cell>
          <cell r="G432">
            <v>964500</v>
          </cell>
          <cell r="H432">
            <v>1</v>
          </cell>
        </row>
        <row r="433">
          <cell r="A433" t="str">
            <v>115-10-040</v>
          </cell>
          <cell r="B433">
            <v>30</v>
          </cell>
          <cell r="C433" t="str">
            <v>for parking space occupied</v>
          </cell>
          <cell r="D433">
            <v>0</v>
          </cell>
          <cell r="G433">
            <v>0</v>
          </cell>
          <cell r="H433" t="str">
            <v/>
          </cell>
        </row>
        <row r="434">
          <cell r="A434" t="str">
            <v>115-10-040</v>
          </cell>
          <cell r="B434">
            <v>140</v>
          </cell>
          <cell r="C434" t="str">
            <v>For actual space occupied</v>
          </cell>
          <cell r="D434">
            <v>369000</v>
          </cell>
          <cell r="E434">
            <v>168000</v>
          </cell>
          <cell r="G434">
            <v>336000</v>
          </cell>
          <cell r="H434">
            <v>1.0982142857142858</v>
          </cell>
        </row>
        <row r="435">
          <cell r="A435" t="str">
            <v>115-10-040</v>
          </cell>
          <cell r="B435">
            <v>140</v>
          </cell>
          <cell r="C435" t="str">
            <v>for parking space occupied</v>
          </cell>
          <cell r="D435">
            <v>0</v>
          </cell>
          <cell r="G435">
            <v>0</v>
          </cell>
          <cell r="H435" t="str">
            <v/>
          </cell>
        </row>
        <row r="436">
          <cell r="A436" t="str">
            <v>115-10-040</v>
          </cell>
          <cell r="B436">
            <v>40</v>
          </cell>
          <cell r="C436" t="str">
            <v>For actual space occupied</v>
          </cell>
          <cell r="D436">
            <v>350748</v>
          </cell>
          <cell r="E436">
            <v>86961.600000000006</v>
          </cell>
          <cell r="G436">
            <v>173923.20000000001</v>
          </cell>
          <cell r="H436">
            <v>2.016683225699619</v>
          </cell>
        </row>
        <row r="437">
          <cell r="A437" t="str">
            <v>115-10-040</v>
          </cell>
          <cell r="B437">
            <v>40</v>
          </cell>
          <cell r="C437" t="str">
            <v>for parking space occupied</v>
          </cell>
          <cell r="D437">
            <v>0</v>
          </cell>
          <cell r="G437">
            <v>0</v>
          </cell>
          <cell r="H437" t="str">
            <v/>
          </cell>
        </row>
        <row r="438">
          <cell r="A438" t="str">
            <v>115-10-040</v>
          </cell>
          <cell r="B438">
            <v>180</v>
          </cell>
          <cell r="C438" t="str">
            <v>For actual space occupied</v>
          </cell>
          <cell r="D438">
            <v>352190.4</v>
          </cell>
          <cell r="E438">
            <v>146745.98000000001</v>
          </cell>
          <cell r="G438">
            <v>293491.96000000002</v>
          </cell>
          <cell r="H438">
            <v>1.2000001635479214</v>
          </cell>
        </row>
        <row r="439">
          <cell r="A439" t="str">
            <v>115-10-040</v>
          </cell>
          <cell r="B439">
            <v>180</v>
          </cell>
          <cell r="C439" t="str">
            <v>for parking space occupied</v>
          </cell>
          <cell r="D439">
            <v>0</v>
          </cell>
          <cell r="G439">
            <v>0</v>
          </cell>
          <cell r="H439" t="str">
            <v/>
          </cell>
        </row>
        <row r="440">
          <cell r="A440" t="str">
            <v>115-10-050</v>
          </cell>
          <cell r="B440">
            <v>70</v>
          </cell>
          <cell r="C440" t="str">
            <v>OFFICE CATERING &amp; STAFF WELFARE</v>
          </cell>
          <cell r="D440">
            <v>143760</v>
          </cell>
          <cell r="E440">
            <v>21965</v>
          </cell>
          <cell r="G440">
            <v>73930</v>
          </cell>
          <cell r="H440">
            <v>1.9445421344515081</v>
          </cell>
        </row>
        <row r="441">
          <cell r="A441" t="str">
            <v>115-10-050</v>
          </cell>
          <cell r="B441">
            <v>150</v>
          </cell>
          <cell r="C441" t="str">
            <v>OFFICE CATERING &amp; STAFF WELFARE</v>
          </cell>
          <cell r="D441">
            <v>75000</v>
          </cell>
          <cell r="E441">
            <v>6929.2</v>
          </cell>
          <cell r="G441">
            <v>63858.400000000001</v>
          </cell>
          <cell r="H441">
            <v>1.1744735226689049</v>
          </cell>
        </row>
        <row r="442">
          <cell r="A442" t="str">
            <v>115-10-050</v>
          </cell>
          <cell r="B442">
            <v>120</v>
          </cell>
          <cell r="C442" t="str">
            <v>OFFICE CATERING &amp; STAFF WELFARE</v>
          </cell>
          <cell r="D442">
            <v>80000</v>
          </cell>
          <cell r="G442">
            <v>78000</v>
          </cell>
          <cell r="H442">
            <v>1.0256410256410255</v>
          </cell>
        </row>
        <row r="443">
          <cell r="A443" t="str">
            <v>115-10-050</v>
          </cell>
          <cell r="B443">
            <v>160</v>
          </cell>
          <cell r="C443" t="str">
            <v>OFFICE CATERING &amp; STAFF WELFARE</v>
          </cell>
          <cell r="D443">
            <v>65000</v>
          </cell>
          <cell r="E443">
            <v>8131.15</v>
          </cell>
          <cell r="G443">
            <v>24000</v>
          </cell>
          <cell r="H443">
            <v>2.7083333333333335</v>
          </cell>
        </row>
        <row r="444">
          <cell r="A444" t="str">
            <v>115-10-050</v>
          </cell>
          <cell r="B444">
            <v>90</v>
          </cell>
          <cell r="C444" t="str">
            <v>OFFICE CATERING &amp; STAFF WELFARE</v>
          </cell>
          <cell r="D444">
            <v>45000</v>
          </cell>
          <cell r="G444">
            <v>0</v>
          </cell>
          <cell r="H444" t="str">
            <v/>
          </cell>
        </row>
        <row r="445">
          <cell r="A445" t="str">
            <v>115-10-050</v>
          </cell>
          <cell r="B445">
            <v>80</v>
          </cell>
          <cell r="C445" t="str">
            <v>OFFICE CATERING &amp; STAFF WELFARE</v>
          </cell>
          <cell r="D445">
            <v>85600</v>
          </cell>
          <cell r="E445">
            <v>33930</v>
          </cell>
          <cell r="G445">
            <v>83860</v>
          </cell>
          <cell r="H445">
            <v>1.0207488671595517</v>
          </cell>
        </row>
        <row r="446">
          <cell r="A446" t="str">
            <v>115-10-050</v>
          </cell>
          <cell r="B446">
            <v>60</v>
          </cell>
          <cell r="C446" t="str">
            <v>OFFICE CATERING &amp; STAFF WELFARE</v>
          </cell>
          <cell r="D446">
            <v>105000</v>
          </cell>
          <cell r="E446">
            <v>53231</v>
          </cell>
          <cell r="G446">
            <v>93962</v>
          </cell>
          <cell r="H446">
            <v>1.1174730210084929</v>
          </cell>
        </row>
        <row r="447">
          <cell r="A447" t="str">
            <v>115-10-050</v>
          </cell>
          <cell r="B447">
            <v>170</v>
          </cell>
          <cell r="C447" t="str">
            <v>OFFICE CATERING &amp; STAFF WELFARE</v>
          </cell>
          <cell r="D447">
            <v>30360</v>
          </cell>
          <cell r="E447">
            <v>25000</v>
          </cell>
          <cell r="G447">
            <v>35000</v>
          </cell>
          <cell r="H447">
            <v>0.86742857142857144</v>
          </cell>
        </row>
        <row r="448">
          <cell r="A448" t="str">
            <v>115-10-050</v>
          </cell>
          <cell r="B448">
            <v>110</v>
          </cell>
          <cell r="C448" t="str">
            <v>OFFICE CATERING &amp; STAFF WELFARE</v>
          </cell>
          <cell r="D448">
            <v>65400</v>
          </cell>
          <cell r="E448">
            <v>47189</v>
          </cell>
          <cell r="G448">
            <v>86878</v>
          </cell>
          <cell r="H448">
            <v>0.75277976012339143</v>
          </cell>
        </row>
        <row r="449">
          <cell r="A449" t="str">
            <v>115-10-050</v>
          </cell>
          <cell r="B449">
            <v>50</v>
          </cell>
          <cell r="C449" t="str">
            <v>OFFICE CATERING &amp; STAFF WELFARE</v>
          </cell>
          <cell r="D449">
            <v>91000</v>
          </cell>
          <cell r="E449">
            <v>27326</v>
          </cell>
          <cell r="G449">
            <v>65000</v>
          </cell>
          <cell r="H449">
            <v>1.4</v>
          </cell>
        </row>
        <row r="450">
          <cell r="A450" t="str">
            <v>115-10-050</v>
          </cell>
          <cell r="B450">
            <v>30</v>
          </cell>
          <cell r="C450" t="str">
            <v>OFFICE CATERING &amp; STAFF WELFARE</v>
          </cell>
          <cell r="D450">
            <v>82600</v>
          </cell>
          <cell r="E450">
            <v>10988</v>
          </cell>
          <cell r="G450">
            <v>60476</v>
          </cell>
          <cell r="H450">
            <v>1.365831073483696</v>
          </cell>
        </row>
        <row r="451">
          <cell r="A451" t="str">
            <v>115-10-050</v>
          </cell>
          <cell r="B451">
            <v>140</v>
          </cell>
          <cell r="C451" t="str">
            <v>OFFICE CATERING &amp; STAFF WELFARE</v>
          </cell>
          <cell r="D451">
            <v>139500</v>
          </cell>
          <cell r="E451">
            <v>48154</v>
          </cell>
          <cell r="G451">
            <v>125000</v>
          </cell>
          <cell r="H451">
            <v>1.1160000000000001</v>
          </cell>
        </row>
        <row r="452">
          <cell r="A452" t="str">
            <v>115-10-050</v>
          </cell>
          <cell r="B452">
            <v>40</v>
          </cell>
          <cell r="C452" t="str">
            <v>OFFICE CATERING &amp; STAFF WELFARE</v>
          </cell>
          <cell r="D452">
            <v>78400</v>
          </cell>
          <cell r="E452">
            <v>25028</v>
          </cell>
          <cell r="G452">
            <v>50056</v>
          </cell>
          <cell r="H452">
            <v>1.5662458046987373</v>
          </cell>
        </row>
        <row r="453">
          <cell r="A453" t="str">
            <v>115-10-050</v>
          </cell>
          <cell r="B453">
            <v>180</v>
          </cell>
          <cell r="C453" t="str">
            <v>OFFICE CATERING &amp; STAFF WELFARE</v>
          </cell>
          <cell r="D453">
            <v>67200</v>
          </cell>
          <cell r="E453">
            <v>39403.5</v>
          </cell>
          <cell r="G453">
            <v>78807</v>
          </cell>
          <cell r="H453">
            <v>0.85271612927785601</v>
          </cell>
        </row>
        <row r="454">
          <cell r="A454" t="str">
            <v>115-10-051</v>
          </cell>
          <cell r="B454">
            <v>70</v>
          </cell>
          <cell r="C454" t="str">
            <v>OFFICE CLEANING</v>
          </cell>
          <cell r="D454">
            <v>36000</v>
          </cell>
          <cell r="G454">
            <v>36000</v>
          </cell>
          <cell r="H454">
            <v>1</v>
          </cell>
        </row>
        <row r="455">
          <cell r="A455" t="str">
            <v>115-10-051</v>
          </cell>
          <cell r="B455">
            <v>150</v>
          </cell>
          <cell r="C455" t="str">
            <v>OFFICE CLEANING</v>
          </cell>
          <cell r="D455">
            <v>0</v>
          </cell>
          <cell r="E455">
            <v>0</v>
          </cell>
          <cell r="G455">
            <v>0</v>
          </cell>
          <cell r="H455" t="str">
            <v/>
          </cell>
        </row>
        <row r="456">
          <cell r="A456" t="str">
            <v>115-10-051</v>
          </cell>
          <cell r="B456">
            <v>120</v>
          </cell>
          <cell r="C456" t="str">
            <v>OFFICE CLEANING</v>
          </cell>
          <cell r="D456">
            <v>24000</v>
          </cell>
          <cell r="E456">
            <v>25000</v>
          </cell>
          <cell r="G456">
            <v>50000</v>
          </cell>
          <cell r="H456">
            <v>0.48</v>
          </cell>
        </row>
        <row r="457">
          <cell r="A457" t="str">
            <v>115-10-051</v>
          </cell>
          <cell r="B457">
            <v>160</v>
          </cell>
          <cell r="C457" t="str">
            <v>OFFICE CLEANING</v>
          </cell>
          <cell r="D457">
            <v>0</v>
          </cell>
          <cell r="E457">
            <v>0</v>
          </cell>
          <cell r="G457">
            <v>0</v>
          </cell>
          <cell r="H457" t="str">
            <v/>
          </cell>
        </row>
        <row r="458">
          <cell r="A458" t="str">
            <v>115-10-051</v>
          </cell>
          <cell r="B458">
            <v>90</v>
          </cell>
          <cell r="C458" t="str">
            <v>OFFICE CLEANING</v>
          </cell>
          <cell r="D458">
            <v>0</v>
          </cell>
          <cell r="E458">
            <v>0</v>
          </cell>
          <cell r="G458">
            <v>0</v>
          </cell>
          <cell r="H458" t="str">
            <v/>
          </cell>
        </row>
        <row r="459">
          <cell r="A459" t="str">
            <v>115-10-051</v>
          </cell>
          <cell r="B459">
            <v>80</v>
          </cell>
          <cell r="C459" t="str">
            <v>OFFICE CLEANING</v>
          </cell>
          <cell r="D459">
            <v>12000</v>
          </cell>
          <cell r="E459">
            <v>0</v>
          </cell>
          <cell r="G459">
            <v>10000</v>
          </cell>
          <cell r="H459">
            <v>1.2</v>
          </cell>
        </row>
        <row r="460">
          <cell r="A460" t="str">
            <v>115-10-051</v>
          </cell>
          <cell r="B460">
            <v>60</v>
          </cell>
          <cell r="C460" t="str">
            <v>OFFICE CLEANING</v>
          </cell>
          <cell r="D460">
            <v>12000</v>
          </cell>
          <cell r="E460">
            <v>0</v>
          </cell>
          <cell r="G460">
            <v>0</v>
          </cell>
          <cell r="H460" t="str">
            <v/>
          </cell>
        </row>
        <row r="461">
          <cell r="A461" t="str">
            <v>115-10-051</v>
          </cell>
          <cell r="B461">
            <v>170</v>
          </cell>
          <cell r="C461" t="str">
            <v>OFFICE CLEANING</v>
          </cell>
          <cell r="D461">
            <v>0</v>
          </cell>
          <cell r="E461">
            <v>0</v>
          </cell>
          <cell r="G461">
            <v>0</v>
          </cell>
          <cell r="H461" t="str">
            <v/>
          </cell>
        </row>
        <row r="462">
          <cell r="A462" t="str">
            <v>115-10-051</v>
          </cell>
          <cell r="B462">
            <v>110</v>
          </cell>
          <cell r="C462" t="str">
            <v>OFFICE CLEANING</v>
          </cell>
          <cell r="D462">
            <v>12000</v>
          </cell>
          <cell r="G462">
            <v>0</v>
          </cell>
          <cell r="H462" t="str">
            <v/>
          </cell>
        </row>
        <row r="463">
          <cell r="A463" t="str">
            <v>115-10-051</v>
          </cell>
          <cell r="B463">
            <v>50</v>
          </cell>
          <cell r="C463" t="str">
            <v>OFFICE CLEANING</v>
          </cell>
          <cell r="D463">
            <v>12000</v>
          </cell>
          <cell r="E463">
            <v>500</v>
          </cell>
          <cell r="G463">
            <v>6000</v>
          </cell>
          <cell r="H463">
            <v>2</v>
          </cell>
        </row>
        <row r="464">
          <cell r="A464" t="str">
            <v>115-10-051</v>
          </cell>
          <cell r="B464">
            <v>30</v>
          </cell>
          <cell r="C464" t="str">
            <v>OFFICE CLEANING</v>
          </cell>
          <cell r="D464">
            <v>12000</v>
          </cell>
          <cell r="E464">
            <v>0</v>
          </cell>
          <cell r="G464">
            <v>0</v>
          </cell>
          <cell r="H464" t="str">
            <v/>
          </cell>
        </row>
        <row r="465">
          <cell r="A465" t="str">
            <v>115-10-051</v>
          </cell>
          <cell r="B465">
            <v>140</v>
          </cell>
          <cell r="C465" t="str">
            <v>OFFICE CLEANING</v>
          </cell>
          <cell r="D465">
            <v>0</v>
          </cell>
          <cell r="E465">
            <v>0</v>
          </cell>
          <cell r="G465">
            <v>0</v>
          </cell>
          <cell r="H465" t="str">
            <v/>
          </cell>
        </row>
        <row r="466">
          <cell r="A466" t="str">
            <v>115-10-051</v>
          </cell>
          <cell r="B466">
            <v>40</v>
          </cell>
          <cell r="C466" t="str">
            <v>OFFICE CLEANING</v>
          </cell>
          <cell r="D466">
            <v>26571.599999999999</v>
          </cell>
          <cell r="G466">
            <v>0</v>
          </cell>
          <cell r="H466" t="str">
            <v/>
          </cell>
        </row>
        <row r="467">
          <cell r="A467" t="str">
            <v>115-10-051</v>
          </cell>
          <cell r="B467">
            <v>180</v>
          </cell>
          <cell r="C467" t="str">
            <v>OFFICE CLEANING</v>
          </cell>
          <cell r="D467">
            <v>48000</v>
          </cell>
          <cell r="E467">
            <v>0</v>
          </cell>
          <cell r="G467">
            <v>24000</v>
          </cell>
          <cell r="H467">
            <v>2</v>
          </cell>
        </row>
        <row r="468">
          <cell r="A468" t="str">
            <v>115-10-060</v>
          </cell>
          <cell r="B468">
            <v>70</v>
          </cell>
          <cell r="C468" t="str">
            <v>OFFICE WATER</v>
          </cell>
          <cell r="D468">
            <v>0</v>
          </cell>
          <cell r="G468">
            <v>0</v>
          </cell>
          <cell r="H468" t="str">
            <v/>
          </cell>
        </row>
        <row r="469">
          <cell r="A469" t="str">
            <v>115-10-060</v>
          </cell>
          <cell r="B469">
            <v>150</v>
          </cell>
          <cell r="C469" t="str">
            <v>OFFICE WATER</v>
          </cell>
          <cell r="D469">
            <v>8000</v>
          </cell>
          <cell r="E469">
            <v>0</v>
          </cell>
          <cell r="G469">
            <v>7500</v>
          </cell>
          <cell r="H469">
            <v>1.0666666666666667</v>
          </cell>
        </row>
        <row r="470">
          <cell r="A470" t="str">
            <v>115-10-060</v>
          </cell>
          <cell r="B470">
            <v>120</v>
          </cell>
          <cell r="C470" t="str">
            <v>OFFICE WATER</v>
          </cell>
          <cell r="D470">
            <v>6900</v>
          </cell>
          <cell r="E470">
            <v>3000</v>
          </cell>
          <cell r="G470">
            <v>6000</v>
          </cell>
          <cell r="H470">
            <v>1.1499999999999999</v>
          </cell>
        </row>
        <row r="471">
          <cell r="A471" t="str">
            <v>115-10-060</v>
          </cell>
          <cell r="B471">
            <v>160</v>
          </cell>
          <cell r="C471" t="str">
            <v>OFFICE WATER</v>
          </cell>
          <cell r="H471" t="str">
            <v/>
          </cell>
        </row>
        <row r="472">
          <cell r="A472" t="str">
            <v>115-10-060</v>
          </cell>
          <cell r="B472">
            <v>90</v>
          </cell>
          <cell r="C472" t="str">
            <v>OFFICE WATER</v>
          </cell>
          <cell r="G472">
            <v>0</v>
          </cell>
          <cell r="H472" t="str">
            <v/>
          </cell>
        </row>
        <row r="473">
          <cell r="A473" t="str">
            <v>115-10-060</v>
          </cell>
          <cell r="B473">
            <v>80</v>
          </cell>
          <cell r="C473" t="str">
            <v>OFFICE WATER</v>
          </cell>
          <cell r="D473">
            <v>6000</v>
          </cell>
          <cell r="E473">
            <v>0</v>
          </cell>
          <cell r="G473">
            <v>4000</v>
          </cell>
          <cell r="H473">
            <v>1.5</v>
          </cell>
        </row>
        <row r="474">
          <cell r="A474" t="str">
            <v>115-10-060</v>
          </cell>
          <cell r="B474">
            <v>60</v>
          </cell>
          <cell r="C474" t="str">
            <v>OFFICE WATER</v>
          </cell>
          <cell r="D474">
            <v>15000</v>
          </cell>
          <cell r="E474">
            <v>0</v>
          </cell>
          <cell r="G474">
            <v>12500</v>
          </cell>
          <cell r="H474">
            <v>1.2</v>
          </cell>
        </row>
        <row r="475">
          <cell r="A475" t="str">
            <v>115-10-060</v>
          </cell>
          <cell r="B475">
            <v>170</v>
          </cell>
          <cell r="C475" t="str">
            <v>OFFICE WATER</v>
          </cell>
          <cell r="H475" t="str">
            <v/>
          </cell>
        </row>
        <row r="476">
          <cell r="A476" t="str">
            <v>115-10-060</v>
          </cell>
          <cell r="B476">
            <v>110</v>
          </cell>
          <cell r="C476" t="str">
            <v>OFFICE WATER</v>
          </cell>
          <cell r="D476">
            <v>8000</v>
          </cell>
          <cell r="E476">
            <v>0</v>
          </cell>
          <cell r="G476">
            <v>7500</v>
          </cell>
          <cell r="H476">
            <v>1.0666666666666667</v>
          </cell>
        </row>
        <row r="477">
          <cell r="A477" t="str">
            <v>115-10-060</v>
          </cell>
          <cell r="B477">
            <v>50</v>
          </cell>
          <cell r="C477" t="str">
            <v>OFFICE WATER</v>
          </cell>
          <cell r="D477">
            <v>12000</v>
          </cell>
          <cell r="E477">
            <v>0</v>
          </cell>
          <cell r="G477">
            <v>0</v>
          </cell>
          <cell r="H477" t="str">
            <v/>
          </cell>
        </row>
        <row r="478">
          <cell r="A478" t="str">
            <v>115-10-060</v>
          </cell>
          <cell r="B478">
            <v>30</v>
          </cell>
          <cell r="C478" t="str">
            <v>OFFICE WATER</v>
          </cell>
          <cell r="D478">
            <v>0</v>
          </cell>
          <cell r="E478">
            <v>0</v>
          </cell>
          <cell r="G478">
            <v>0</v>
          </cell>
          <cell r="H478" t="str">
            <v/>
          </cell>
        </row>
        <row r="479">
          <cell r="A479" t="str">
            <v>115-10-060</v>
          </cell>
          <cell r="B479">
            <v>140</v>
          </cell>
          <cell r="C479" t="str">
            <v>OFFICE WATER</v>
          </cell>
          <cell r="E479">
            <v>0</v>
          </cell>
          <cell r="H479" t="str">
            <v/>
          </cell>
        </row>
        <row r="480">
          <cell r="A480" t="str">
            <v>115-10-060</v>
          </cell>
          <cell r="B480">
            <v>40</v>
          </cell>
          <cell r="C480" t="str">
            <v>OFFICE WATER</v>
          </cell>
          <cell r="D480">
            <v>8400</v>
          </cell>
          <cell r="E480">
            <v>0</v>
          </cell>
          <cell r="G480">
            <v>0</v>
          </cell>
          <cell r="H480" t="str">
            <v/>
          </cell>
        </row>
        <row r="481">
          <cell r="A481" t="str">
            <v>115-10-060</v>
          </cell>
          <cell r="B481">
            <v>180</v>
          </cell>
          <cell r="C481" t="str">
            <v>OFFICE WATER</v>
          </cell>
          <cell r="D481">
            <v>7200</v>
          </cell>
          <cell r="E481">
            <v>0</v>
          </cell>
          <cell r="G481">
            <v>3500</v>
          </cell>
          <cell r="H481">
            <v>2.0571428571428569</v>
          </cell>
        </row>
        <row r="482">
          <cell r="A482" t="str">
            <v>115-10-070</v>
          </cell>
          <cell r="B482">
            <v>70</v>
          </cell>
          <cell r="C482" t="str">
            <v>OFFICE ELECTRICITY</v>
          </cell>
          <cell r="D482">
            <v>0</v>
          </cell>
          <cell r="G482">
            <v>0</v>
          </cell>
          <cell r="H482" t="str">
            <v/>
          </cell>
        </row>
        <row r="483">
          <cell r="A483" t="str">
            <v>115-10-070</v>
          </cell>
          <cell r="B483">
            <v>150</v>
          </cell>
          <cell r="C483" t="str">
            <v>OFFICE ELECTRICITY</v>
          </cell>
          <cell r="D483">
            <v>0</v>
          </cell>
          <cell r="E483">
            <v>0</v>
          </cell>
          <cell r="G483">
            <v>0</v>
          </cell>
          <cell r="H483" t="str">
            <v/>
          </cell>
        </row>
        <row r="484">
          <cell r="A484" t="str">
            <v>115-10-070</v>
          </cell>
          <cell r="B484">
            <v>120</v>
          </cell>
          <cell r="C484" t="str">
            <v>OFFICE ELECTRICITY</v>
          </cell>
          <cell r="D484">
            <v>10000</v>
          </cell>
          <cell r="E484">
            <v>4000</v>
          </cell>
          <cell r="G484">
            <v>8000</v>
          </cell>
          <cell r="H484">
            <v>1.25</v>
          </cell>
        </row>
        <row r="485">
          <cell r="A485" t="str">
            <v>115-10-070</v>
          </cell>
          <cell r="B485">
            <v>160</v>
          </cell>
          <cell r="C485" t="str">
            <v>OFFICE ELECTRICITY</v>
          </cell>
          <cell r="D485">
            <v>0</v>
          </cell>
          <cell r="E485">
            <v>0</v>
          </cell>
          <cell r="G485">
            <v>0</v>
          </cell>
          <cell r="H485" t="str">
            <v/>
          </cell>
        </row>
        <row r="486">
          <cell r="A486" t="str">
            <v>115-10-070</v>
          </cell>
          <cell r="B486">
            <v>90</v>
          </cell>
          <cell r="C486" t="str">
            <v>OFFICE ELECTRICITY</v>
          </cell>
          <cell r="D486">
            <v>0</v>
          </cell>
          <cell r="E486">
            <v>0</v>
          </cell>
          <cell r="G486">
            <v>0</v>
          </cell>
          <cell r="H486" t="str">
            <v/>
          </cell>
        </row>
        <row r="487">
          <cell r="A487" t="str">
            <v>115-10-070</v>
          </cell>
          <cell r="B487">
            <v>80</v>
          </cell>
          <cell r="C487" t="str">
            <v>OFFICE ELECTRICITY</v>
          </cell>
          <cell r="D487">
            <v>12000</v>
          </cell>
          <cell r="E487">
            <v>1650</v>
          </cell>
          <cell r="G487">
            <v>5000</v>
          </cell>
          <cell r="H487">
            <v>2.4</v>
          </cell>
        </row>
        <row r="488">
          <cell r="A488" t="str">
            <v>115-10-070</v>
          </cell>
          <cell r="B488">
            <v>60</v>
          </cell>
          <cell r="C488" t="str">
            <v>OFFICE ELECTRICITY</v>
          </cell>
          <cell r="D488">
            <v>18000</v>
          </cell>
          <cell r="E488">
            <v>4210</v>
          </cell>
          <cell r="G488">
            <v>8420</v>
          </cell>
          <cell r="H488">
            <v>2.1377672209026128</v>
          </cell>
        </row>
        <row r="489">
          <cell r="A489" t="str">
            <v>115-10-070</v>
          </cell>
          <cell r="B489">
            <v>170</v>
          </cell>
          <cell r="C489" t="str">
            <v>OFFICE ELECTRICITY</v>
          </cell>
          <cell r="D489">
            <v>0</v>
          </cell>
          <cell r="E489">
            <v>0</v>
          </cell>
          <cell r="G489">
            <v>0</v>
          </cell>
          <cell r="H489" t="str">
            <v/>
          </cell>
        </row>
        <row r="490">
          <cell r="A490" t="str">
            <v>115-10-070</v>
          </cell>
          <cell r="B490">
            <v>110</v>
          </cell>
          <cell r="C490" t="str">
            <v>OFFICE ELECTRICITY</v>
          </cell>
          <cell r="D490">
            <v>12000</v>
          </cell>
          <cell r="E490">
            <v>2420.25</v>
          </cell>
          <cell r="G490">
            <v>4840.5</v>
          </cell>
          <cell r="H490">
            <v>2.4790827393864272</v>
          </cell>
        </row>
        <row r="491">
          <cell r="A491" t="str">
            <v>115-10-070</v>
          </cell>
          <cell r="B491">
            <v>50</v>
          </cell>
          <cell r="C491" t="str">
            <v>OFFICE ELECTRICITY</v>
          </cell>
          <cell r="D491">
            <v>18000</v>
          </cell>
          <cell r="E491">
            <v>4214</v>
          </cell>
          <cell r="G491">
            <v>8428</v>
          </cell>
          <cell r="H491">
            <v>2.135738016136687</v>
          </cell>
        </row>
        <row r="492">
          <cell r="A492" t="str">
            <v>115-10-070</v>
          </cell>
          <cell r="B492">
            <v>30</v>
          </cell>
          <cell r="C492" t="str">
            <v>OFFICE ELECTRICITY</v>
          </cell>
          <cell r="D492">
            <v>0</v>
          </cell>
          <cell r="E492">
            <v>0</v>
          </cell>
          <cell r="G492">
            <v>0</v>
          </cell>
          <cell r="H492" t="str">
            <v/>
          </cell>
        </row>
        <row r="493">
          <cell r="A493" t="str">
            <v>115-10-070</v>
          </cell>
          <cell r="B493">
            <v>140</v>
          </cell>
          <cell r="C493" t="str">
            <v>OFFICE ELECTRICITY</v>
          </cell>
          <cell r="D493">
            <v>6000</v>
          </cell>
          <cell r="E493">
            <v>1550</v>
          </cell>
          <cell r="G493">
            <v>5000</v>
          </cell>
          <cell r="H493">
            <v>1.2</v>
          </cell>
        </row>
        <row r="494">
          <cell r="A494" t="str">
            <v>115-10-070</v>
          </cell>
          <cell r="B494">
            <v>40</v>
          </cell>
          <cell r="C494" t="str">
            <v>OFFICE ELECTRICITY</v>
          </cell>
          <cell r="D494">
            <v>0</v>
          </cell>
          <cell r="G494">
            <v>0</v>
          </cell>
          <cell r="H494" t="str">
            <v/>
          </cell>
        </row>
        <row r="495">
          <cell r="A495" t="str">
            <v>115-10-070</v>
          </cell>
          <cell r="B495">
            <v>180</v>
          </cell>
          <cell r="C495" t="str">
            <v>OFFICE ELECTRICITY</v>
          </cell>
          <cell r="D495">
            <v>18000</v>
          </cell>
          <cell r="E495">
            <v>7225.95</v>
          </cell>
          <cell r="G495">
            <v>14451.9</v>
          </cell>
          <cell r="H495">
            <v>1.2455109708758019</v>
          </cell>
        </row>
        <row r="496">
          <cell r="A496" t="str">
            <v>115-10-080</v>
          </cell>
          <cell r="B496">
            <v>70</v>
          </cell>
          <cell r="C496" t="str">
            <v>OFFICE SECURITY</v>
          </cell>
          <cell r="D496">
            <v>0</v>
          </cell>
          <cell r="G496">
            <v>0</v>
          </cell>
          <cell r="H496" t="str">
            <v/>
          </cell>
        </row>
        <row r="497">
          <cell r="A497" t="str">
            <v>115-10-080</v>
          </cell>
          <cell r="B497">
            <v>150</v>
          </cell>
          <cell r="C497" t="str">
            <v>OFFICE SECURITY</v>
          </cell>
          <cell r="D497">
            <v>0</v>
          </cell>
          <cell r="G497">
            <v>0</v>
          </cell>
          <cell r="H497" t="str">
            <v/>
          </cell>
        </row>
        <row r="498">
          <cell r="A498" t="str">
            <v>115-10-080</v>
          </cell>
          <cell r="B498">
            <v>120</v>
          </cell>
          <cell r="C498" t="str">
            <v>OFFICE SECURITY</v>
          </cell>
          <cell r="D498">
            <v>0</v>
          </cell>
          <cell r="G498">
            <v>0</v>
          </cell>
          <cell r="H498" t="str">
            <v/>
          </cell>
        </row>
        <row r="499">
          <cell r="A499" t="str">
            <v>115-10-080</v>
          </cell>
          <cell r="B499">
            <v>160</v>
          </cell>
          <cell r="C499" t="str">
            <v>OFFICE SECURITY</v>
          </cell>
          <cell r="D499">
            <v>0</v>
          </cell>
          <cell r="E499">
            <v>0</v>
          </cell>
          <cell r="G499">
            <v>0</v>
          </cell>
          <cell r="H499" t="str">
            <v/>
          </cell>
        </row>
        <row r="500">
          <cell r="A500" t="str">
            <v>115-10-080</v>
          </cell>
          <cell r="B500">
            <v>90</v>
          </cell>
          <cell r="C500" t="str">
            <v>OFFICE SECURITY</v>
          </cell>
          <cell r="D500">
            <v>0</v>
          </cell>
          <cell r="G500">
            <v>0</v>
          </cell>
          <cell r="H500" t="str">
            <v/>
          </cell>
        </row>
        <row r="501">
          <cell r="A501" t="str">
            <v>115-10-080</v>
          </cell>
          <cell r="B501">
            <v>80</v>
          </cell>
          <cell r="C501" t="str">
            <v>OFFICE SECURITY</v>
          </cell>
          <cell r="D501">
            <v>0</v>
          </cell>
          <cell r="G501">
            <v>0</v>
          </cell>
          <cell r="H501" t="str">
            <v/>
          </cell>
        </row>
        <row r="502">
          <cell r="A502" t="str">
            <v>115-10-080</v>
          </cell>
          <cell r="B502">
            <v>60</v>
          </cell>
          <cell r="C502" t="str">
            <v>OFFICE SECURITY</v>
          </cell>
          <cell r="D502">
            <v>0</v>
          </cell>
          <cell r="G502">
            <v>0</v>
          </cell>
          <cell r="H502" t="str">
            <v/>
          </cell>
        </row>
        <row r="503">
          <cell r="A503" t="str">
            <v>115-10-080</v>
          </cell>
          <cell r="B503">
            <v>170</v>
          </cell>
          <cell r="C503" t="str">
            <v>OFFICE SECURITY</v>
          </cell>
          <cell r="D503">
            <v>0</v>
          </cell>
          <cell r="G503">
            <v>0</v>
          </cell>
          <cell r="H503" t="str">
            <v/>
          </cell>
        </row>
        <row r="504">
          <cell r="A504" t="str">
            <v>115-10-080</v>
          </cell>
          <cell r="B504">
            <v>110</v>
          </cell>
          <cell r="C504" t="str">
            <v>OFFICE SECURITY</v>
          </cell>
          <cell r="D504">
            <v>10000</v>
          </cell>
          <cell r="G504">
            <v>0</v>
          </cell>
          <cell r="H504" t="str">
            <v/>
          </cell>
        </row>
        <row r="505">
          <cell r="A505" t="str">
            <v>115-10-080</v>
          </cell>
          <cell r="B505">
            <v>50</v>
          </cell>
          <cell r="C505" t="str">
            <v>OFFICE SECURITY</v>
          </cell>
          <cell r="D505">
            <v>130000</v>
          </cell>
          <cell r="E505">
            <v>50000</v>
          </cell>
          <cell r="G505">
            <v>75000</v>
          </cell>
          <cell r="H505">
            <v>1.7333333333333334</v>
          </cell>
        </row>
        <row r="506">
          <cell r="A506" t="str">
            <v>115-10-080</v>
          </cell>
          <cell r="B506">
            <v>30</v>
          </cell>
          <cell r="C506" t="str">
            <v>OFFICE SECURITY</v>
          </cell>
          <cell r="D506">
            <v>0</v>
          </cell>
          <cell r="G506">
            <v>0</v>
          </cell>
          <cell r="H506" t="str">
            <v/>
          </cell>
        </row>
        <row r="507">
          <cell r="A507" t="str">
            <v>115-10-080</v>
          </cell>
          <cell r="B507">
            <v>140</v>
          </cell>
          <cell r="C507" t="str">
            <v>OFFICE SECURITY</v>
          </cell>
          <cell r="D507">
            <v>0</v>
          </cell>
          <cell r="G507">
            <v>0</v>
          </cell>
          <cell r="H507" t="str">
            <v/>
          </cell>
        </row>
        <row r="508">
          <cell r="A508" t="str">
            <v>115-10-080</v>
          </cell>
          <cell r="B508">
            <v>40</v>
          </cell>
          <cell r="C508" t="str">
            <v>OFFICE SECURITY</v>
          </cell>
          <cell r="D508">
            <v>0</v>
          </cell>
          <cell r="G508">
            <v>0</v>
          </cell>
          <cell r="H508" t="str">
            <v/>
          </cell>
        </row>
        <row r="509">
          <cell r="A509" t="str">
            <v>115-10-080</v>
          </cell>
          <cell r="B509">
            <v>180</v>
          </cell>
          <cell r="C509" t="str">
            <v>OFFICE SECURITY</v>
          </cell>
          <cell r="D509">
            <v>0</v>
          </cell>
          <cell r="G509">
            <v>0</v>
          </cell>
          <cell r="H509" t="str">
            <v/>
          </cell>
        </row>
        <row r="510">
          <cell r="A510" t="str">
            <v>125-10-010</v>
          </cell>
          <cell r="B510">
            <v>70</v>
          </cell>
          <cell r="C510" t="str">
            <v>BANK CHARGES</v>
          </cell>
          <cell r="D510">
            <v>15000</v>
          </cell>
          <cell r="E510">
            <v>16049.75</v>
          </cell>
          <cell r="G510">
            <v>32099.5</v>
          </cell>
          <cell r="H510">
            <v>0.46729699839561362</v>
          </cell>
        </row>
        <row r="511">
          <cell r="A511" t="str">
            <v>125-10-010</v>
          </cell>
          <cell r="B511">
            <v>150</v>
          </cell>
          <cell r="C511" t="str">
            <v>BANK CHARGES</v>
          </cell>
          <cell r="D511">
            <v>0</v>
          </cell>
          <cell r="E511">
            <v>0</v>
          </cell>
          <cell r="G511">
            <v>0</v>
          </cell>
          <cell r="H511" t="str">
            <v/>
          </cell>
        </row>
        <row r="512">
          <cell r="A512" t="str">
            <v>125-10-010</v>
          </cell>
          <cell r="B512">
            <v>120</v>
          </cell>
          <cell r="C512" t="str">
            <v>BANK CHARGES</v>
          </cell>
          <cell r="D512">
            <v>20000</v>
          </cell>
          <cell r="E512">
            <v>9000</v>
          </cell>
          <cell r="G512">
            <v>18000</v>
          </cell>
          <cell r="H512">
            <v>1.1111111111111112</v>
          </cell>
        </row>
        <row r="513">
          <cell r="A513" t="str">
            <v>125-10-010</v>
          </cell>
          <cell r="B513">
            <v>160</v>
          </cell>
          <cell r="C513" t="str">
            <v>BANK CHARGES</v>
          </cell>
          <cell r="D513">
            <v>0</v>
          </cell>
          <cell r="E513">
            <v>0</v>
          </cell>
          <cell r="G513">
            <v>0</v>
          </cell>
          <cell r="H513" t="str">
            <v/>
          </cell>
        </row>
        <row r="514">
          <cell r="A514" t="str">
            <v>125-10-010</v>
          </cell>
          <cell r="B514">
            <v>90</v>
          </cell>
          <cell r="C514" t="str">
            <v>BANK CHARGES</v>
          </cell>
          <cell r="D514">
            <v>0</v>
          </cell>
          <cell r="E514">
            <v>0</v>
          </cell>
          <cell r="G514">
            <v>0</v>
          </cell>
          <cell r="H514" t="str">
            <v/>
          </cell>
        </row>
        <row r="515">
          <cell r="A515" t="str">
            <v>125-10-010</v>
          </cell>
          <cell r="B515">
            <v>80</v>
          </cell>
          <cell r="C515" t="str">
            <v>BANK CHARGES</v>
          </cell>
          <cell r="D515">
            <v>42000</v>
          </cell>
          <cell r="E515">
            <v>21080.799999999999</v>
          </cell>
          <cell r="G515">
            <v>42161.599999999999</v>
          </cell>
          <cell r="H515">
            <v>0.99616712838222465</v>
          </cell>
        </row>
        <row r="516">
          <cell r="A516" t="str">
            <v>125-10-010</v>
          </cell>
          <cell r="B516">
            <v>60</v>
          </cell>
          <cell r="C516" t="str">
            <v>BANK CHARGES</v>
          </cell>
          <cell r="D516">
            <v>25000</v>
          </cell>
          <cell r="E516">
            <v>14482.6</v>
          </cell>
          <cell r="G516">
            <v>22500</v>
          </cell>
          <cell r="H516">
            <v>1.1111111111111112</v>
          </cell>
        </row>
        <row r="517">
          <cell r="A517" t="str">
            <v>125-10-010</v>
          </cell>
          <cell r="B517">
            <v>170</v>
          </cell>
          <cell r="C517" t="str">
            <v>BANK CHARGES</v>
          </cell>
          <cell r="D517">
            <v>0</v>
          </cell>
          <cell r="H517" t="str">
            <v/>
          </cell>
        </row>
        <row r="518">
          <cell r="A518" t="str">
            <v>125-10-010</v>
          </cell>
          <cell r="B518">
            <v>110</v>
          </cell>
          <cell r="C518" t="str">
            <v>BANK CHARGES</v>
          </cell>
          <cell r="D518">
            <v>25000</v>
          </cell>
          <cell r="E518">
            <v>0</v>
          </cell>
          <cell r="G518">
            <v>22500</v>
          </cell>
          <cell r="H518">
            <v>1.1111111111111112</v>
          </cell>
        </row>
        <row r="519">
          <cell r="A519" t="str">
            <v>125-10-010</v>
          </cell>
          <cell r="B519">
            <v>50</v>
          </cell>
          <cell r="C519" t="str">
            <v>BANK CHARGES</v>
          </cell>
          <cell r="D519">
            <v>30000</v>
          </cell>
          <cell r="E519">
            <v>16049.65</v>
          </cell>
          <cell r="G519">
            <v>32099.3</v>
          </cell>
          <cell r="H519">
            <v>0.93459981993376806</v>
          </cell>
        </row>
        <row r="520">
          <cell r="A520" t="str">
            <v>125-10-010</v>
          </cell>
          <cell r="B520">
            <v>30</v>
          </cell>
          <cell r="C520" t="str">
            <v>BANK CHARGES</v>
          </cell>
          <cell r="D520">
            <v>10000</v>
          </cell>
          <cell r="E520">
            <v>400</v>
          </cell>
          <cell r="G520">
            <v>800</v>
          </cell>
          <cell r="H520">
            <v>12.5</v>
          </cell>
        </row>
        <row r="521">
          <cell r="A521" t="str">
            <v>125-10-010</v>
          </cell>
          <cell r="B521">
            <v>140</v>
          </cell>
          <cell r="C521" t="str">
            <v>BANK CHARGES</v>
          </cell>
          <cell r="D521">
            <v>24000</v>
          </cell>
          <cell r="E521">
            <v>6166.25</v>
          </cell>
          <cell r="G521">
            <v>20000</v>
          </cell>
          <cell r="H521">
            <v>1.2</v>
          </cell>
        </row>
        <row r="522">
          <cell r="A522" t="str">
            <v>125-10-010</v>
          </cell>
          <cell r="B522">
            <v>40</v>
          </cell>
          <cell r="C522" t="str">
            <v>BANK CHARGES</v>
          </cell>
          <cell r="D522">
            <v>36000</v>
          </cell>
          <cell r="E522">
            <v>15247.4</v>
          </cell>
          <cell r="G522">
            <v>30494.799999999999</v>
          </cell>
          <cell r="H522">
            <v>1.1805291393942574</v>
          </cell>
        </row>
        <row r="523">
          <cell r="A523" t="str">
            <v>125-10-010</v>
          </cell>
          <cell r="B523">
            <v>180</v>
          </cell>
          <cell r="C523" t="str">
            <v>BANK CHARGES</v>
          </cell>
          <cell r="D523">
            <v>18000</v>
          </cell>
          <cell r="E523">
            <v>6078.75</v>
          </cell>
          <cell r="G523">
            <v>12157.5</v>
          </cell>
          <cell r="H523">
            <v>1.4805675508945095</v>
          </cell>
        </row>
        <row r="524">
          <cell r="A524" t="str">
            <v>125-10-020</v>
          </cell>
          <cell r="B524">
            <v>70</v>
          </cell>
          <cell r="C524" t="str">
            <v>BANK OVERDRART CHARGES</v>
          </cell>
          <cell r="G524">
            <v>0</v>
          </cell>
          <cell r="H524" t="str">
            <v/>
          </cell>
        </row>
        <row r="525">
          <cell r="A525" t="str">
            <v>125-10-020</v>
          </cell>
          <cell r="B525">
            <v>150</v>
          </cell>
          <cell r="C525" t="str">
            <v>BANK OVERDRART CHARGES</v>
          </cell>
          <cell r="G525">
            <v>0</v>
          </cell>
          <cell r="H525" t="str">
            <v/>
          </cell>
        </row>
        <row r="526">
          <cell r="A526" t="str">
            <v>125-10-020</v>
          </cell>
          <cell r="B526">
            <v>120</v>
          </cell>
          <cell r="C526" t="str">
            <v>BANK OVERDRART CHARGES</v>
          </cell>
          <cell r="G526">
            <v>0</v>
          </cell>
          <cell r="H526" t="str">
            <v/>
          </cell>
        </row>
        <row r="527">
          <cell r="A527" t="str">
            <v>125-10-020</v>
          </cell>
          <cell r="B527">
            <v>160</v>
          </cell>
          <cell r="C527" t="str">
            <v>BANK OVERDRART CHARGES</v>
          </cell>
          <cell r="G527">
            <v>0</v>
          </cell>
          <cell r="H527" t="str">
            <v/>
          </cell>
        </row>
        <row r="528">
          <cell r="A528" t="str">
            <v>125-10-020</v>
          </cell>
          <cell r="B528">
            <v>90</v>
          </cell>
          <cell r="C528" t="str">
            <v>BANK OVERDRART CHARGES</v>
          </cell>
          <cell r="G528">
            <v>0</v>
          </cell>
          <cell r="H528" t="str">
            <v/>
          </cell>
        </row>
        <row r="529">
          <cell r="A529" t="str">
            <v>125-10-020</v>
          </cell>
          <cell r="B529">
            <v>80</v>
          </cell>
          <cell r="C529" t="str">
            <v>BANK OVERDRART CHARGES</v>
          </cell>
          <cell r="G529">
            <v>0</v>
          </cell>
          <cell r="H529" t="str">
            <v/>
          </cell>
        </row>
        <row r="530">
          <cell r="A530" t="str">
            <v>125-10-020</v>
          </cell>
          <cell r="B530">
            <v>60</v>
          </cell>
          <cell r="C530" t="str">
            <v>BANK OVERDRART CHARGES</v>
          </cell>
          <cell r="G530">
            <v>0</v>
          </cell>
          <cell r="H530" t="str">
            <v/>
          </cell>
        </row>
        <row r="531">
          <cell r="A531" t="str">
            <v>125-10-020</v>
          </cell>
          <cell r="B531">
            <v>170</v>
          </cell>
          <cell r="C531" t="str">
            <v>BANK OVERDRART CHARGES</v>
          </cell>
          <cell r="G531">
            <v>0</v>
          </cell>
          <cell r="H531" t="str">
            <v/>
          </cell>
        </row>
        <row r="532">
          <cell r="A532" t="str">
            <v>125-10-020</v>
          </cell>
          <cell r="B532">
            <v>110</v>
          </cell>
          <cell r="C532" t="str">
            <v>BANK OVERDRART CHARGES</v>
          </cell>
          <cell r="G532">
            <v>0</v>
          </cell>
          <cell r="H532" t="str">
            <v/>
          </cell>
        </row>
        <row r="533">
          <cell r="A533" t="str">
            <v>125-10-020</v>
          </cell>
          <cell r="B533">
            <v>50</v>
          </cell>
          <cell r="C533" t="str">
            <v>BANK OVERDRART CHARGES</v>
          </cell>
          <cell r="G533">
            <v>0</v>
          </cell>
          <cell r="H533" t="str">
            <v/>
          </cell>
        </row>
        <row r="534">
          <cell r="A534" t="str">
            <v>125-10-020</v>
          </cell>
          <cell r="B534">
            <v>30</v>
          </cell>
          <cell r="C534" t="str">
            <v>BANK OVERDRART CHARGES</v>
          </cell>
          <cell r="G534">
            <v>0</v>
          </cell>
          <cell r="H534" t="str">
            <v/>
          </cell>
        </row>
        <row r="535">
          <cell r="A535" t="str">
            <v>125-10-020</v>
          </cell>
          <cell r="B535">
            <v>140</v>
          </cell>
          <cell r="C535" t="str">
            <v>BANK OVERDRART CHARGES</v>
          </cell>
          <cell r="G535">
            <v>0</v>
          </cell>
          <cell r="H535" t="str">
            <v/>
          </cell>
        </row>
        <row r="536">
          <cell r="A536" t="str">
            <v>125-10-020</v>
          </cell>
          <cell r="B536">
            <v>40</v>
          </cell>
          <cell r="C536" t="str">
            <v>BANK OVERDRART CHARGES</v>
          </cell>
          <cell r="G536">
            <v>0</v>
          </cell>
          <cell r="H536" t="str">
            <v/>
          </cell>
        </row>
        <row r="537">
          <cell r="A537" t="str">
            <v>125-10-020</v>
          </cell>
          <cell r="B537">
            <v>180</v>
          </cell>
          <cell r="C537" t="str">
            <v>BANK OVERDRART CHARGES</v>
          </cell>
          <cell r="G537">
            <v>0</v>
          </cell>
          <cell r="H537" t="str">
            <v/>
          </cell>
        </row>
        <row r="538">
          <cell r="A538" t="str">
            <v>135-40-010</v>
          </cell>
          <cell r="B538">
            <v>70</v>
          </cell>
          <cell r="C538" t="str">
            <v>Agency subsidy</v>
          </cell>
          <cell r="D538">
            <v>0</v>
          </cell>
          <cell r="G538">
            <v>0</v>
          </cell>
          <cell r="H538" t="str">
            <v/>
          </cell>
        </row>
        <row r="539">
          <cell r="A539" t="str">
            <v>135-40-010</v>
          </cell>
          <cell r="B539">
            <v>150</v>
          </cell>
          <cell r="C539" t="str">
            <v>Agency subsidy</v>
          </cell>
          <cell r="D539">
            <v>0</v>
          </cell>
          <cell r="G539">
            <v>0</v>
          </cell>
          <cell r="H539" t="str">
            <v/>
          </cell>
        </row>
        <row r="540">
          <cell r="A540" t="str">
            <v>135-40-010</v>
          </cell>
          <cell r="B540">
            <v>120</v>
          </cell>
          <cell r="C540" t="str">
            <v>Agency subsidy</v>
          </cell>
          <cell r="G540">
            <v>0</v>
          </cell>
          <cell r="H540" t="str">
            <v/>
          </cell>
        </row>
        <row r="541">
          <cell r="A541" t="str">
            <v>135-40-010</v>
          </cell>
          <cell r="B541">
            <v>160</v>
          </cell>
          <cell r="C541" t="str">
            <v>Agency subsidy</v>
          </cell>
          <cell r="H541" t="str">
            <v/>
          </cell>
        </row>
        <row r="542">
          <cell r="A542" t="str">
            <v>135-40-010</v>
          </cell>
          <cell r="B542">
            <v>90</v>
          </cell>
          <cell r="C542" t="str">
            <v>Unit subsidy</v>
          </cell>
          <cell r="G542">
            <v>0</v>
          </cell>
          <cell r="H542" t="str">
            <v/>
          </cell>
        </row>
        <row r="543">
          <cell r="A543" t="str">
            <v>135-40-010</v>
          </cell>
          <cell r="B543">
            <v>80</v>
          </cell>
          <cell r="C543" t="str">
            <v>Unit overide commission</v>
          </cell>
          <cell r="D543">
            <v>0</v>
          </cell>
          <cell r="G543">
            <v>0</v>
          </cell>
          <cell r="H543" t="str">
            <v/>
          </cell>
        </row>
        <row r="544">
          <cell r="A544" t="str">
            <v>135-40-010</v>
          </cell>
          <cell r="B544">
            <v>60</v>
          </cell>
          <cell r="C544" t="str">
            <v>Agency subsidy</v>
          </cell>
          <cell r="D544">
            <v>0</v>
          </cell>
          <cell r="G544">
            <v>0</v>
          </cell>
          <cell r="H544" t="str">
            <v/>
          </cell>
        </row>
        <row r="545">
          <cell r="A545" t="str">
            <v>135-40-010</v>
          </cell>
          <cell r="B545">
            <v>170</v>
          </cell>
          <cell r="C545" t="str">
            <v>Agency subsidy</v>
          </cell>
          <cell r="D545">
            <v>2900997</v>
          </cell>
          <cell r="G545">
            <v>3009120</v>
          </cell>
          <cell r="H545">
            <v>0.96406823257297813</v>
          </cell>
        </row>
        <row r="546">
          <cell r="A546" t="str">
            <v>135-40-010</v>
          </cell>
          <cell r="B546">
            <v>110</v>
          </cell>
          <cell r="C546" t="str">
            <v>Agency subsidy</v>
          </cell>
          <cell r="H546" t="str">
            <v/>
          </cell>
        </row>
        <row r="547">
          <cell r="A547" t="str">
            <v>135-40-010</v>
          </cell>
          <cell r="B547">
            <v>50</v>
          </cell>
          <cell r="C547" t="str">
            <v>Agency subsidy</v>
          </cell>
          <cell r="D547">
            <v>0</v>
          </cell>
          <cell r="H547" t="str">
            <v/>
          </cell>
        </row>
        <row r="548">
          <cell r="A548" t="str">
            <v>135-40-010</v>
          </cell>
          <cell r="B548">
            <v>30</v>
          </cell>
          <cell r="C548" t="str">
            <v>Agency subsidy</v>
          </cell>
          <cell r="G548">
            <v>0</v>
          </cell>
          <cell r="H548" t="str">
            <v/>
          </cell>
        </row>
        <row r="549">
          <cell r="A549" t="str">
            <v>135-40-010</v>
          </cell>
          <cell r="B549">
            <v>140</v>
          </cell>
          <cell r="C549" t="str">
            <v>Agency subsidy</v>
          </cell>
          <cell r="D549">
            <v>0</v>
          </cell>
          <cell r="G549">
            <v>0</v>
          </cell>
          <cell r="H549" t="str">
            <v/>
          </cell>
        </row>
        <row r="550">
          <cell r="A550" t="str">
            <v>135-40-010</v>
          </cell>
          <cell r="B550">
            <v>40</v>
          </cell>
          <cell r="C550" t="str">
            <v>Agency subsidy</v>
          </cell>
          <cell r="D550">
            <v>0</v>
          </cell>
          <cell r="H550" t="str">
            <v/>
          </cell>
        </row>
        <row r="551">
          <cell r="A551" t="str">
            <v>135-40-010</v>
          </cell>
          <cell r="B551">
            <v>180</v>
          </cell>
          <cell r="C551" t="str">
            <v>Agency subsidy</v>
          </cell>
          <cell r="G551">
            <v>0</v>
          </cell>
          <cell r="H551" t="str">
            <v/>
          </cell>
        </row>
        <row r="552">
          <cell r="A552" t="str">
            <v>135-40-020</v>
          </cell>
          <cell r="B552">
            <v>70</v>
          </cell>
          <cell r="C552" t="str">
            <v>Unit subsidy</v>
          </cell>
          <cell r="G552">
            <v>0</v>
          </cell>
          <cell r="H552" t="str">
            <v/>
          </cell>
        </row>
        <row r="553">
          <cell r="A553" t="str">
            <v>135-40-020</v>
          </cell>
          <cell r="B553">
            <v>150</v>
          </cell>
          <cell r="C553" t="str">
            <v>Unit subsidy</v>
          </cell>
          <cell r="G553">
            <v>0</v>
          </cell>
          <cell r="H553" t="str">
            <v/>
          </cell>
        </row>
        <row r="554">
          <cell r="A554" t="str">
            <v>135-40-020</v>
          </cell>
          <cell r="B554">
            <v>120</v>
          </cell>
          <cell r="C554" t="str">
            <v>Unit subsidy</v>
          </cell>
          <cell r="G554">
            <v>0</v>
          </cell>
          <cell r="H554" t="str">
            <v/>
          </cell>
        </row>
        <row r="555">
          <cell r="A555" t="str">
            <v>135-40-020</v>
          </cell>
          <cell r="B555">
            <v>160</v>
          </cell>
          <cell r="C555" t="str">
            <v>Unit subsidy</v>
          </cell>
          <cell r="H555" t="str">
            <v/>
          </cell>
        </row>
        <row r="556">
          <cell r="A556" t="str">
            <v>135-40-020</v>
          </cell>
          <cell r="B556">
            <v>90</v>
          </cell>
          <cell r="C556" t="str">
            <v>Agency medical scheme</v>
          </cell>
          <cell r="D556">
            <v>0</v>
          </cell>
          <cell r="G556">
            <v>0</v>
          </cell>
          <cell r="H556" t="str">
            <v/>
          </cell>
        </row>
        <row r="557">
          <cell r="A557" t="str">
            <v>135-40-020</v>
          </cell>
          <cell r="B557">
            <v>80</v>
          </cell>
          <cell r="C557" t="str">
            <v>Agency subsidy</v>
          </cell>
          <cell r="D557">
            <v>0</v>
          </cell>
          <cell r="G557">
            <v>0</v>
          </cell>
          <cell r="H557" t="str">
            <v/>
          </cell>
        </row>
        <row r="558">
          <cell r="A558" t="str">
            <v>135-40-020</v>
          </cell>
          <cell r="B558">
            <v>60</v>
          </cell>
          <cell r="C558" t="str">
            <v>Unit subsidy</v>
          </cell>
          <cell r="G558">
            <v>0</v>
          </cell>
          <cell r="H558" t="str">
            <v/>
          </cell>
        </row>
        <row r="559">
          <cell r="A559" t="str">
            <v>135-40-020</v>
          </cell>
          <cell r="B559">
            <v>170</v>
          </cell>
          <cell r="C559" t="str">
            <v>Unit subsidy</v>
          </cell>
          <cell r="D559">
            <v>4536045</v>
          </cell>
          <cell r="G559">
            <v>3171657</v>
          </cell>
          <cell r="H559">
            <v>1.4301814477416694</v>
          </cell>
        </row>
        <row r="560">
          <cell r="A560" t="str">
            <v>135-40-020</v>
          </cell>
          <cell r="B560">
            <v>110</v>
          </cell>
          <cell r="C560" t="str">
            <v>Unit subsidy</v>
          </cell>
          <cell r="H560" t="str">
            <v/>
          </cell>
        </row>
        <row r="561">
          <cell r="A561" t="str">
            <v>135-40-020</v>
          </cell>
          <cell r="B561">
            <v>50</v>
          </cell>
          <cell r="C561" t="str">
            <v>Unit subsidy</v>
          </cell>
          <cell r="H561" t="str">
            <v/>
          </cell>
        </row>
        <row r="562">
          <cell r="A562" t="str">
            <v>135-40-020</v>
          </cell>
          <cell r="B562">
            <v>30</v>
          </cell>
          <cell r="C562" t="str">
            <v>Unit subsidy</v>
          </cell>
          <cell r="G562">
            <v>0</v>
          </cell>
          <cell r="H562" t="str">
            <v/>
          </cell>
        </row>
        <row r="563">
          <cell r="A563" t="str">
            <v>135-40-020</v>
          </cell>
          <cell r="B563">
            <v>140</v>
          </cell>
          <cell r="C563" t="str">
            <v>Unit subsidy</v>
          </cell>
          <cell r="G563">
            <v>0</v>
          </cell>
          <cell r="H563" t="str">
            <v/>
          </cell>
        </row>
        <row r="564">
          <cell r="A564" t="str">
            <v>135-40-020</v>
          </cell>
          <cell r="B564">
            <v>40</v>
          </cell>
          <cell r="C564" t="str">
            <v>Unit subsidy</v>
          </cell>
          <cell r="H564" t="str">
            <v/>
          </cell>
        </row>
        <row r="565">
          <cell r="A565" t="str">
            <v>135-40-020</v>
          </cell>
          <cell r="B565">
            <v>180</v>
          </cell>
          <cell r="C565" t="str">
            <v>Unit subsidy</v>
          </cell>
          <cell r="G565">
            <v>0</v>
          </cell>
          <cell r="H565" t="str">
            <v/>
          </cell>
        </row>
        <row r="566">
          <cell r="A566" t="str">
            <v>135-70-010</v>
          </cell>
          <cell r="B566">
            <v>70</v>
          </cell>
          <cell r="C566" t="str">
            <v xml:space="preserve">Pension </v>
          </cell>
          <cell r="D566">
            <v>0</v>
          </cell>
          <cell r="G566">
            <v>0</v>
          </cell>
          <cell r="H566" t="str">
            <v/>
          </cell>
        </row>
        <row r="567">
          <cell r="A567" t="str">
            <v>135-70-010</v>
          </cell>
          <cell r="B567">
            <v>150</v>
          </cell>
          <cell r="C567" t="str">
            <v xml:space="preserve">Pension </v>
          </cell>
          <cell r="D567">
            <v>0</v>
          </cell>
          <cell r="H567" t="str">
            <v/>
          </cell>
        </row>
        <row r="568">
          <cell r="A568" t="str">
            <v>135-70-010</v>
          </cell>
          <cell r="B568">
            <v>80</v>
          </cell>
          <cell r="C568" t="str">
            <v xml:space="preserve">Pension </v>
          </cell>
          <cell r="D568">
            <v>0</v>
          </cell>
          <cell r="G568">
            <v>0</v>
          </cell>
          <cell r="H568" t="str">
            <v/>
          </cell>
        </row>
        <row r="569">
          <cell r="A569" t="str">
            <v>135-70-010</v>
          </cell>
          <cell r="B569">
            <v>60</v>
          </cell>
          <cell r="C569" t="str">
            <v xml:space="preserve">Pension </v>
          </cell>
          <cell r="D569">
            <v>0</v>
          </cell>
          <cell r="G569">
            <v>0</v>
          </cell>
          <cell r="H569" t="str">
            <v/>
          </cell>
        </row>
        <row r="570">
          <cell r="A570" t="str">
            <v>135-70-010</v>
          </cell>
          <cell r="B570">
            <v>170</v>
          </cell>
          <cell r="C570" t="str">
            <v>Agency pension</v>
          </cell>
          <cell r="D570">
            <v>4349934</v>
          </cell>
          <cell r="G570">
            <v>712474</v>
          </cell>
          <cell r="H570">
            <v>6.1053933196158736</v>
          </cell>
        </row>
        <row r="571">
          <cell r="A571" t="str">
            <v>135-70-020</v>
          </cell>
          <cell r="B571">
            <v>70</v>
          </cell>
          <cell r="C571" t="str">
            <v>GLA</v>
          </cell>
          <cell r="D571">
            <v>0</v>
          </cell>
          <cell r="G571">
            <v>0</v>
          </cell>
          <cell r="H571" t="str">
            <v/>
          </cell>
        </row>
        <row r="572">
          <cell r="A572" t="str">
            <v>135-70-020</v>
          </cell>
          <cell r="B572">
            <v>150</v>
          </cell>
          <cell r="C572" t="str">
            <v>GLA</v>
          </cell>
          <cell r="D572">
            <v>0</v>
          </cell>
          <cell r="H572" t="str">
            <v/>
          </cell>
        </row>
        <row r="573">
          <cell r="A573" t="str">
            <v>135-70-020</v>
          </cell>
          <cell r="B573">
            <v>80</v>
          </cell>
          <cell r="C573" t="str">
            <v>GLA</v>
          </cell>
          <cell r="D573">
            <v>0</v>
          </cell>
          <cell r="G573">
            <v>0</v>
          </cell>
          <cell r="H573" t="str">
            <v/>
          </cell>
        </row>
        <row r="574">
          <cell r="A574" t="str">
            <v>135-70-020</v>
          </cell>
          <cell r="B574">
            <v>60</v>
          </cell>
          <cell r="C574" t="str">
            <v>GLA</v>
          </cell>
          <cell r="D574">
            <v>0</v>
          </cell>
          <cell r="G574">
            <v>0</v>
          </cell>
          <cell r="H574" t="str">
            <v/>
          </cell>
        </row>
        <row r="575">
          <cell r="A575" t="str">
            <v>135-70-020</v>
          </cell>
          <cell r="B575">
            <v>170</v>
          </cell>
          <cell r="C575" t="str">
            <v>GLA</v>
          </cell>
          <cell r="D575">
            <v>439254</v>
          </cell>
          <cell r="G575">
            <v>241455</v>
          </cell>
          <cell r="H575">
            <v>1.8191961235012735</v>
          </cell>
        </row>
        <row r="576">
          <cell r="A576" t="str">
            <v>135-70-030</v>
          </cell>
          <cell r="B576">
            <v>70</v>
          </cell>
          <cell r="C576" t="str">
            <v>Last expense</v>
          </cell>
          <cell r="D576">
            <v>0</v>
          </cell>
          <cell r="G576">
            <v>0</v>
          </cell>
          <cell r="H576" t="str">
            <v/>
          </cell>
        </row>
        <row r="577">
          <cell r="A577" t="str">
            <v>135-70-030</v>
          </cell>
          <cell r="B577">
            <v>150</v>
          </cell>
          <cell r="C577" t="str">
            <v>Last expense</v>
          </cell>
          <cell r="D577">
            <v>0</v>
          </cell>
          <cell r="H577" t="str">
            <v/>
          </cell>
        </row>
        <row r="578">
          <cell r="A578" t="str">
            <v>135-70-030</v>
          </cell>
          <cell r="B578">
            <v>80</v>
          </cell>
          <cell r="C578" t="str">
            <v>Last expense</v>
          </cell>
          <cell r="D578">
            <v>0</v>
          </cell>
          <cell r="G578">
            <v>0</v>
          </cell>
          <cell r="H578" t="str">
            <v/>
          </cell>
        </row>
        <row r="579">
          <cell r="A579" t="str">
            <v>135-70-030</v>
          </cell>
          <cell r="B579">
            <v>60</v>
          </cell>
          <cell r="C579" t="str">
            <v>Last expense</v>
          </cell>
          <cell r="D579">
            <v>0</v>
          </cell>
          <cell r="G579">
            <v>0</v>
          </cell>
          <cell r="H579" t="str">
            <v/>
          </cell>
        </row>
        <row r="580">
          <cell r="A580" t="str">
            <v>135-70-030</v>
          </cell>
          <cell r="B580">
            <v>170</v>
          </cell>
          <cell r="C580" t="str">
            <v>Group last expense</v>
          </cell>
          <cell r="D580">
            <v>200000</v>
          </cell>
          <cell r="G580">
            <v>110100</v>
          </cell>
          <cell r="H580">
            <v>1.8165304268846503</v>
          </cell>
        </row>
        <row r="581">
          <cell r="A581" t="str">
            <v>135-70-040</v>
          </cell>
          <cell r="B581">
            <v>70</v>
          </cell>
          <cell r="C581" t="str">
            <v>Agency medical scheme</v>
          </cell>
          <cell r="D581">
            <v>0</v>
          </cell>
          <cell r="G581">
            <v>0</v>
          </cell>
          <cell r="H581" t="str">
            <v/>
          </cell>
        </row>
        <row r="582">
          <cell r="A582" t="str">
            <v>135-70-040</v>
          </cell>
          <cell r="B582">
            <v>150</v>
          </cell>
          <cell r="C582" t="str">
            <v>Agency medical scheme</v>
          </cell>
          <cell r="D582">
            <v>0</v>
          </cell>
          <cell r="H582" t="str">
            <v/>
          </cell>
        </row>
        <row r="583">
          <cell r="A583" t="str">
            <v>135-70-040</v>
          </cell>
          <cell r="B583">
            <v>80</v>
          </cell>
          <cell r="C583" t="str">
            <v>Agency medical scheme</v>
          </cell>
          <cell r="D583">
            <v>0</v>
          </cell>
          <cell r="G583">
            <v>0</v>
          </cell>
          <cell r="H583" t="str">
            <v/>
          </cell>
        </row>
        <row r="584">
          <cell r="A584" t="str">
            <v>135-70-040</v>
          </cell>
          <cell r="B584">
            <v>60</v>
          </cell>
          <cell r="C584" t="str">
            <v>Agency medical scheme</v>
          </cell>
          <cell r="D584">
            <v>0</v>
          </cell>
          <cell r="G584">
            <v>0</v>
          </cell>
          <cell r="H584" t="str">
            <v/>
          </cell>
        </row>
        <row r="585">
          <cell r="A585" t="str">
            <v>135-70-040</v>
          </cell>
          <cell r="B585">
            <v>170</v>
          </cell>
          <cell r="C585" t="str">
            <v>Agency medical scheme</v>
          </cell>
          <cell r="D585">
            <v>832000</v>
          </cell>
          <cell r="G585">
            <v>562000</v>
          </cell>
          <cell r="H585">
            <v>1.4804270462633451</v>
          </cell>
        </row>
        <row r="586">
          <cell r="A586" t="str">
            <v>145-10-010</v>
          </cell>
          <cell r="B586">
            <v>70</v>
          </cell>
          <cell r="C586" t="str">
            <v>ALA Group charges- Individual life</v>
          </cell>
          <cell r="D586">
            <v>0</v>
          </cell>
          <cell r="H586" t="str">
            <v/>
          </cell>
        </row>
        <row r="587">
          <cell r="A587" t="str">
            <v>145-10-010</v>
          </cell>
          <cell r="B587">
            <v>150</v>
          </cell>
          <cell r="C587" t="str">
            <v>ALA Group charges- Individual life</v>
          </cell>
          <cell r="D587">
            <v>0</v>
          </cell>
          <cell r="H587" t="str">
            <v/>
          </cell>
        </row>
        <row r="588">
          <cell r="A588" t="str">
            <v>145-10-010</v>
          </cell>
          <cell r="B588">
            <v>120</v>
          </cell>
          <cell r="C588" t="str">
            <v>ALA Group charges- Individual life</v>
          </cell>
          <cell r="D588">
            <v>0</v>
          </cell>
          <cell r="H588" t="str">
            <v/>
          </cell>
        </row>
        <row r="589">
          <cell r="A589" t="str">
            <v>145-10-010</v>
          </cell>
          <cell r="B589">
            <v>160</v>
          </cell>
          <cell r="C589" t="str">
            <v>ALA Group charges- Individual life</v>
          </cell>
          <cell r="D589">
            <v>0</v>
          </cell>
          <cell r="H589" t="str">
            <v/>
          </cell>
        </row>
        <row r="590">
          <cell r="A590" t="str">
            <v>145-10-010</v>
          </cell>
          <cell r="B590">
            <v>90</v>
          </cell>
          <cell r="C590" t="str">
            <v>ALA Group charges- Individual life</v>
          </cell>
          <cell r="D590">
            <v>0</v>
          </cell>
          <cell r="H590" t="str">
            <v/>
          </cell>
        </row>
        <row r="591">
          <cell r="A591" t="str">
            <v>145-10-010</v>
          </cell>
          <cell r="B591">
            <v>80</v>
          </cell>
          <cell r="C591" t="str">
            <v>ALA Group charges- Individual life</v>
          </cell>
          <cell r="D591">
            <v>0</v>
          </cell>
          <cell r="H591" t="str">
            <v/>
          </cell>
        </row>
        <row r="592">
          <cell r="A592" t="str">
            <v>145-10-010</v>
          </cell>
          <cell r="B592">
            <v>60</v>
          </cell>
          <cell r="C592" t="str">
            <v>ALA Group charges- Individual life</v>
          </cell>
          <cell r="D592">
            <v>0</v>
          </cell>
          <cell r="H592" t="str">
            <v/>
          </cell>
        </row>
        <row r="593">
          <cell r="A593" t="str">
            <v>145-10-010</v>
          </cell>
          <cell r="B593">
            <v>170</v>
          </cell>
          <cell r="C593" t="str">
            <v>ALA Group charges- Individual life</v>
          </cell>
          <cell r="D593">
            <v>0</v>
          </cell>
          <cell r="H593" t="str">
            <v/>
          </cell>
        </row>
        <row r="594">
          <cell r="A594" t="str">
            <v>145-10-010</v>
          </cell>
          <cell r="B594">
            <v>110</v>
          </cell>
          <cell r="C594" t="str">
            <v>ALA Group charges- Individual life</v>
          </cell>
          <cell r="D594">
            <v>0</v>
          </cell>
          <cell r="H594" t="str">
            <v/>
          </cell>
        </row>
        <row r="595">
          <cell r="A595" t="str">
            <v>145-10-010</v>
          </cell>
          <cell r="B595">
            <v>50</v>
          </cell>
          <cell r="C595" t="str">
            <v>ALA Group charges- Individual life</v>
          </cell>
          <cell r="D595">
            <v>0</v>
          </cell>
          <cell r="H595" t="str">
            <v/>
          </cell>
        </row>
        <row r="596">
          <cell r="A596" t="str">
            <v>145-10-010</v>
          </cell>
          <cell r="B596">
            <v>30</v>
          </cell>
          <cell r="C596" t="str">
            <v>ALA Group charges- Individual life</v>
          </cell>
          <cell r="D596">
            <v>0</v>
          </cell>
          <cell r="H596" t="str">
            <v/>
          </cell>
        </row>
        <row r="597">
          <cell r="A597" t="str">
            <v>145-10-010</v>
          </cell>
          <cell r="B597">
            <v>140</v>
          </cell>
          <cell r="C597" t="str">
            <v>ALA Group charges- Individual life</v>
          </cell>
          <cell r="D597">
            <v>0</v>
          </cell>
          <cell r="H597" t="str">
            <v/>
          </cell>
        </row>
        <row r="598">
          <cell r="A598" t="str">
            <v>145-10-010</v>
          </cell>
          <cell r="B598">
            <v>40</v>
          </cell>
          <cell r="C598" t="str">
            <v>ALA Group charges- Individual life</v>
          </cell>
          <cell r="D598">
            <v>0</v>
          </cell>
          <cell r="H598" t="str">
            <v/>
          </cell>
        </row>
        <row r="599">
          <cell r="A599" t="str">
            <v>145-10-010</v>
          </cell>
          <cell r="B599">
            <v>180</v>
          </cell>
          <cell r="C599" t="str">
            <v>ALA Group charges- Individual life</v>
          </cell>
          <cell r="D599">
            <v>0</v>
          </cell>
          <cell r="H599" t="str">
            <v/>
          </cell>
        </row>
        <row r="600">
          <cell r="A600" t="str">
            <v>145-10-020</v>
          </cell>
          <cell r="B600">
            <v>70</v>
          </cell>
          <cell r="C600" t="str">
            <v>Actuarial fees- Individual life</v>
          </cell>
          <cell r="D600">
            <v>0</v>
          </cell>
          <cell r="H600" t="str">
            <v/>
          </cell>
        </row>
        <row r="601">
          <cell r="A601" t="str">
            <v>145-10-020</v>
          </cell>
          <cell r="B601">
            <v>150</v>
          </cell>
          <cell r="C601" t="str">
            <v>Actuarial fees- Individual life</v>
          </cell>
          <cell r="D601">
            <v>0</v>
          </cell>
          <cell r="H601" t="str">
            <v/>
          </cell>
        </row>
        <row r="602">
          <cell r="A602" t="str">
            <v>145-10-020</v>
          </cell>
          <cell r="B602">
            <v>120</v>
          </cell>
          <cell r="C602" t="str">
            <v>Actuarial fees- Individual life</v>
          </cell>
          <cell r="D602">
            <v>0</v>
          </cell>
          <cell r="H602" t="str">
            <v/>
          </cell>
        </row>
        <row r="603">
          <cell r="A603" t="str">
            <v>145-10-020</v>
          </cell>
          <cell r="B603">
            <v>160</v>
          </cell>
          <cell r="C603" t="str">
            <v>Actuarial fees- Individual life</v>
          </cell>
          <cell r="D603">
            <v>0</v>
          </cell>
          <cell r="H603" t="str">
            <v/>
          </cell>
        </row>
        <row r="604">
          <cell r="A604" t="str">
            <v>145-10-020</v>
          </cell>
          <cell r="B604">
            <v>90</v>
          </cell>
          <cell r="C604" t="str">
            <v>Actuarial fees- Individual life</v>
          </cell>
          <cell r="D604">
            <v>0</v>
          </cell>
          <cell r="H604" t="str">
            <v/>
          </cell>
        </row>
        <row r="605">
          <cell r="A605" t="str">
            <v>145-10-020</v>
          </cell>
          <cell r="B605">
            <v>80</v>
          </cell>
          <cell r="C605" t="str">
            <v>Actuarial fees- Individual life</v>
          </cell>
          <cell r="D605">
            <v>0</v>
          </cell>
          <cell r="H605" t="str">
            <v/>
          </cell>
        </row>
        <row r="606">
          <cell r="A606" t="str">
            <v>145-10-020</v>
          </cell>
          <cell r="B606">
            <v>60</v>
          </cell>
          <cell r="C606" t="str">
            <v>Actuarial fees- Individual life</v>
          </cell>
          <cell r="D606">
            <v>0</v>
          </cell>
          <cell r="H606" t="str">
            <v/>
          </cell>
        </row>
        <row r="607">
          <cell r="A607" t="str">
            <v>145-10-020</v>
          </cell>
          <cell r="B607">
            <v>170</v>
          </cell>
          <cell r="C607" t="str">
            <v>Actuarial fees- Individual life</v>
          </cell>
          <cell r="D607">
            <v>0</v>
          </cell>
          <cell r="H607" t="str">
            <v/>
          </cell>
        </row>
        <row r="608">
          <cell r="A608" t="str">
            <v>145-10-020</v>
          </cell>
          <cell r="B608">
            <v>110</v>
          </cell>
          <cell r="C608" t="str">
            <v>Actuarial fees- Individual life</v>
          </cell>
          <cell r="D608">
            <v>0</v>
          </cell>
          <cell r="H608" t="str">
            <v/>
          </cell>
        </row>
        <row r="609">
          <cell r="A609" t="str">
            <v>145-10-020</v>
          </cell>
          <cell r="B609">
            <v>50</v>
          </cell>
          <cell r="C609" t="str">
            <v>Actuarial fees- Individual life</v>
          </cell>
          <cell r="D609">
            <v>0</v>
          </cell>
          <cell r="H609" t="str">
            <v/>
          </cell>
        </row>
        <row r="610">
          <cell r="A610" t="str">
            <v>145-10-020</v>
          </cell>
          <cell r="B610">
            <v>30</v>
          </cell>
          <cell r="C610" t="str">
            <v>Actuarial fees- Individual life</v>
          </cell>
          <cell r="D610">
            <v>0</v>
          </cell>
          <cell r="H610" t="str">
            <v/>
          </cell>
        </row>
        <row r="611">
          <cell r="A611" t="str">
            <v>145-10-020</v>
          </cell>
          <cell r="B611">
            <v>140</v>
          </cell>
          <cell r="C611" t="str">
            <v>Actuarial fees- Individual life</v>
          </cell>
          <cell r="D611">
            <v>0</v>
          </cell>
          <cell r="H611" t="str">
            <v/>
          </cell>
        </row>
        <row r="612">
          <cell r="A612" t="str">
            <v>145-10-020</v>
          </cell>
          <cell r="B612">
            <v>40</v>
          </cell>
          <cell r="C612" t="str">
            <v>Actuarial fees- Individual life</v>
          </cell>
          <cell r="D612">
            <v>0</v>
          </cell>
          <cell r="H612" t="str">
            <v/>
          </cell>
        </row>
        <row r="613">
          <cell r="A613" t="str">
            <v>145-10-020</v>
          </cell>
          <cell r="B613">
            <v>180</v>
          </cell>
          <cell r="C613" t="str">
            <v>Actuarial fees- Individual life</v>
          </cell>
          <cell r="D613">
            <v>0</v>
          </cell>
          <cell r="H613" t="str">
            <v/>
          </cell>
        </row>
        <row r="614">
          <cell r="A614" t="str">
            <v>145-10-030</v>
          </cell>
          <cell r="B614">
            <v>70</v>
          </cell>
          <cell r="C614" t="str">
            <v>Audit fee -individual life</v>
          </cell>
          <cell r="D614">
            <v>0</v>
          </cell>
          <cell r="H614" t="str">
            <v/>
          </cell>
        </row>
        <row r="615">
          <cell r="A615" t="str">
            <v>145-10-030</v>
          </cell>
          <cell r="B615">
            <v>150</v>
          </cell>
          <cell r="C615" t="str">
            <v>Audit fee -individual life</v>
          </cell>
          <cell r="D615">
            <v>0</v>
          </cell>
          <cell r="H615" t="str">
            <v/>
          </cell>
        </row>
        <row r="616">
          <cell r="A616" t="str">
            <v>145-10-030</v>
          </cell>
          <cell r="B616">
            <v>120</v>
          </cell>
          <cell r="C616" t="str">
            <v>Audit fee -individual life</v>
          </cell>
          <cell r="D616">
            <v>0</v>
          </cell>
          <cell r="H616" t="str">
            <v/>
          </cell>
        </row>
        <row r="617">
          <cell r="A617" t="str">
            <v>145-10-030</v>
          </cell>
          <cell r="B617">
            <v>160</v>
          </cell>
          <cell r="C617" t="str">
            <v>Audit fee -individual life</v>
          </cell>
          <cell r="D617">
            <v>0</v>
          </cell>
          <cell r="H617" t="str">
            <v/>
          </cell>
        </row>
        <row r="618">
          <cell r="A618" t="str">
            <v>145-10-030</v>
          </cell>
          <cell r="B618">
            <v>90</v>
          </cell>
          <cell r="C618" t="str">
            <v>Audit fee -individual life</v>
          </cell>
          <cell r="D618">
            <v>0</v>
          </cell>
          <cell r="H618" t="str">
            <v/>
          </cell>
        </row>
        <row r="619">
          <cell r="A619" t="str">
            <v>145-10-030</v>
          </cell>
          <cell r="B619">
            <v>80</v>
          </cell>
          <cell r="C619" t="str">
            <v>Audit fee -individual life</v>
          </cell>
          <cell r="D619">
            <v>0</v>
          </cell>
          <cell r="H619" t="str">
            <v/>
          </cell>
        </row>
        <row r="620">
          <cell r="A620" t="str">
            <v>145-10-030</v>
          </cell>
          <cell r="B620">
            <v>60</v>
          </cell>
          <cell r="C620" t="str">
            <v>Audit fee -individual life</v>
          </cell>
          <cell r="D620">
            <v>0</v>
          </cell>
          <cell r="H620" t="str">
            <v/>
          </cell>
        </row>
        <row r="621">
          <cell r="A621" t="str">
            <v>145-10-030</v>
          </cell>
          <cell r="B621">
            <v>170</v>
          </cell>
          <cell r="C621" t="str">
            <v>Audit fee -individual life</v>
          </cell>
          <cell r="D621">
            <v>0</v>
          </cell>
          <cell r="H621" t="str">
            <v/>
          </cell>
        </row>
        <row r="622">
          <cell r="A622" t="str">
            <v>145-10-030</v>
          </cell>
          <cell r="B622">
            <v>110</v>
          </cell>
          <cell r="C622" t="str">
            <v>Audit fee -individual life</v>
          </cell>
          <cell r="D622">
            <v>0</v>
          </cell>
          <cell r="H622" t="str">
            <v/>
          </cell>
        </row>
        <row r="623">
          <cell r="A623" t="str">
            <v>145-10-030</v>
          </cell>
          <cell r="B623">
            <v>50</v>
          </cell>
          <cell r="C623" t="str">
            <v>Audit fee -individual life</v>
          </cell>
          <cell r="D623">
            <v>0</v>
          </cell>
          <cell r="H623" t="str">
            <v/>
          </cell>
        </row>
        <row r="624">
          <cell r="A624" t="str">
            <v>145-10-030</v>
          </cell>
          <cell r="B624">
            <v>30</v>
          </cell>
          <cell r="C624" t="str">
            <v>Audit fee -individual life</v>
          </cell>
          <cell r="D624">
            <v>0</v>
          </cell>
          <cell r="H624" t="str">
            <v/>
          </cell>
        </row>
        <row r="625">
          <cell r="A625" t="str">
            <v>145-10-030</v>
          </cell>
          <cell r="B625">
            <v>140</v>
          </cell>
          <cell r="C625" t="str">
            <v>Audit fee -individual life</v>
          </cell>
          <cell r="D625">
            <v>0</v>
          </cell>
          <cell r="H625" t="str">
            <v/>
          </cell>
        </row>
        <row r="626">
          <cell r="A626" t="str">
            <v>145-10-030</v>
          </cell>
          <cell r="B626">
            <v>40</v>
          </cell>
          <cell r="C626" t="str">
            <v>Audit fee -individual life</v>
          </cell>
          <cell r="D626">
            <v>0</v>
          </cell>
          <cell r="H626" t="str">
            <v/>
          </cell>
        </row>
        <row r="627">
          <cell r="A627" t="str">
            <v>145-10-030</v>
          </cell>
          <cell r="B627">
            <v>180</v>
          </cell>
          <cell r="C627" t="str">
            <v>Audit fee -individual life</v>
          </cell>
          <cell r="D627">
            <v>0</v>
          </cell>
          <cell r="H627" t="str">
            <v/>
          </cell>
        </row>
        <row r="628">
          <cell r="A628" t="str">
            <v>145-10-031</v>
          </cell>
          <cell r="B628">
            <v>70</v>
          </cell>
          <cell r="C628" t="str">
            <v>Tax filing returns</v>
          </cell>
          <cell r="D628">
            <v>0</v>
          </cell>
          <cell r="H628" t="str">
            <v/>
          </cell>
        </row>
        <row r="629">
          <cell r="A629" t="str">
            <v>145-10-031</v>
          </cell>
          <cell r="B629">
            <v>150</v>
          </cell>
          <cell r="C629" t="str">
            <v>Tax filing returns</v>
          </cell>
          <cell r="D629">
            <v>0</v>
          </cell>
          <cell r="H629" t="str">
            <v/>
          </cell>
        </row>
        <row r="630">
          <cell r="A630" t="str">
            <v>145-10-031</v>
          </cell>
          <cell r="B630">
            <v>120</v>
          </cell>
          <cell r="C630" t="str">
            <v>Tax filing returns</v>
          </cell>
          <cell r="D630">
            <v>0</v>
          </cell>
          <cell r="H630" t="str">
            <v/>
          </cell>
        </row>
        <row r="631">
          <cell r="A631" t="str">
            <v>145-10-031</v>
          </cell>
          <cell r="B631">
            <v>160</v>
          </cell>
          <cell r="C631" t="str">
            <v>Tax filing returns</v>
          </cell>
          <cell r="D631">
            <v>0</v>
          </cell>
          <cell r="H631" t="str">
            <v/>
          </cell>
        </row>
        <row r="632">
          <cell r="A632" t="str">
            <v>145-10-031</v>
          </cell>
          <cell r="B632">
            <v>90</v>
          </cell>
          <cell r="C632" t="str">
            <v>Tax filing returns</v>
          </cell>
          <cell r="D632">
            <v>0</v>
          </cell>
          <cell r="H632" t="str">
            <v/>
          </cell>
        </row>
        <row r="633">
          <cell r="A633" t="str">
            <v>145-10-031</v>
          </cell>
          <cell r="B633">
            <v>80</v>
          </cell>
          <cell r="C633" t="str">
            <v>Tax filing returns</v>
          </cell>
          <cell r="D633">
            <v>0</v>
          </cell>
          <cell r="H633" t="str">
            <v/>
          </cell>
        </row>
        <row r="634">
          <cell r="A634" t="str">
            <v>145-10-031</v>
          </cell>
          <cell r="B634">
            <v>60</v>
          </cell>
          <cell r="C634" t="str">
            <v>Tax filing returns</v>
          </cell>
          <cell r="D634">
            <v>0</v>
          </cell>
          <cell r="H634" t="str">
            <v/>
          </cell>
        </row>
        <row r="635">
          <cell r="A635" t="str">
            <v>145-10-031</v>
          </cell>
          <cell r="B635">
            <v>170</v>
          </cell>
          <cell r="C635" t="str">
            <v>Tax filing returns</v>
          </cell>
          <cell r="D635">
            <v>0</v>
          </cell>
          <cell r="H635" t="str">
            <v/>
          </cell>
        </row>
        <row r="636">
          <cell r="A636" t="str">
            <v>145-10-031</v>
          </cell>
          <cell r="B636">
            <v>110</v>
          </cell>
          <cell r="C636" t="str">
            <v>Tax filing returns</v>
          </cell>
          <cell r="D636">
            <v>0</v>
          </cell>
          <cell r="H636" t="str">
            <v/>
          </cell>
        </row>
        <row r="637">
          <cell r="A637" t="str">
            <v>145-10-031</v>
          </cell>
          <cell r="B637">
            <v>50</v>
          </cell>
          <cell r="C637" t="str">
            <v>Tax filing returns</v>
          </cell>
          <cell r="D637">
            <v>0</v>
          </cell>
          <cell r="H637" t="str">
            <v/>
          </cell>
        </row>
        <row r="638">
          <cell r="A638" t="str">
            <v>145-10-031</v>
          </cell>
          <cell r="B638">
            <v>30</v>
          </cell>
          <cell r="C638" t="str">
            <v>Tax filing returns</v>
          </cell>
          <cell r="D638">
            <v>0</v>
          </cell>
          <cell r="H638" t="str">
            <v/>
          </cell>
        </row>
        <row r="639">
          <cell r="A639" t="str">
            <v>145-10-031</v>
          </cell>
          <cell r="B639">
            <v>140</v>
          </cell>
          <cell r="C639" t="str">
            <v>Tax filing returns</v>
          </cell>
          <cell r="D639">
            <v>0</v>
          </cell>
          <cell r="H639" t="str">
            <v/>
          </cell>
        </row>
        <row r="640">
          <cell r="A640" t="str">
            <v>145-10-031</v>
          </cell>
          <cell r="B640">
            <v>40</v>
          </cell>
          <cell r="C640" t="str">
            <v>Tax filing returns</v>
          </cell>
          <cell r="D640">
            <v>0</v>
          </cell>
          <cell r="H640" t="str">
            <v/>
          </cell>
        </row>
        <row r="641">
          <cell r="A641" t="str">
            <v>145-10-031</v>
          </cell>
          <cell r="B641">
            <v>180</v>
          </cell>
          <cell r="C641" t="str">
            <v>Tax filing returns</v>
          </cell>
          <cell r="D641">
            <v>0</v>
          </cell>
          <cell r="H641" t="str">
            <v/>
          </cell>
        </row>
        <row r="642">
          <cell r="A642" t="str">
            <v>145-10-040</v>
          </cell>
          <cell r="B642">
            <v>70</v>
          </cell>
          <cell r="C642" t="str">
            <v>Legal fees</v>
          </cell>
          <cell r="D642">
            <v>0</v>
          </cell>
          <cell r="H642" t="str">
            <v/>
          </cell>
        </row>
        <row r="643">
          <cell r="A643" t="str">
            <v>145-10-040</v>
          </cell>
          <cell r="B643">
            <v>150</v>
          </cell>
          <cell r="C643" t="str">
            <v>Legal fees</v>
          </cell>
          <cell r="D643">
            <v>0</v>
          </cell>
          <cell r="H643" t="str">
            <v/>
          </cell>
        </row>
        <row r="644">
          <cell r="A644" t="str">
            <v>145-10-040</v>
          </cell>
          <cell r="B644">
            <v>120</v>
          </cell>
          <cell r="C644" t="str">
            <v>Legal fees</v>
          </cell>
          <cell r="D644">
            <v>0</v>
          </cell>
          <cell r="H644" t="str">
            <v/>
          </cell>
        </row>
        <row r="645">
          <cell r="A645" t="str">
            <v>145-10-040</v>
          </cell>
          <cell r="B645">
            <v>160</v>
          </cell>
          <cell r="C645" t="str">
            <v>Legal fees</v>
          </cell>
          <cell r="D645">
            <v>0</v>
          </cell>
          <cell r="H645" t="str">
            <v/>
          </cell>
        </row>
        <row r="646">
          <cell r="A646" t="str">
            <v>145-10-040</v>
          </cell>
          <cell r="B646">
            <v>90</v>
          </cell>
          <cell r="C646" t="str">
            <v>Legal fees</v>
          </cell>
          <cell r="D646">
            <v>0</v>
          </cell>
          <cell r="H646" t="str">
            <v/>
          </cell>
        </row>
        <row r="647">
          <cell r="A647" t="str">
            <v>145-10-040</v>
          </cell>
          <cell r="B647">
            <v>80</v>
          </cell>
          <cell r="C647" t="str">
            <v>Legal fees</v>
          </cell>
          <cell r="D647">
            <v>0</v>
          </cell>
          <cell r="H647" t="str">
            <v/>
          </cell>
        </row>
        <row r="648">
          <cell r="A648" t="str">
            <v>145-10-040</v>
          </cell>
          <cell r="B648">
            <v>60</v>
          </cell>
          <cell r="C648" t="str">
            <v>Legal fees</v>
          </cell>
          <cell r="D648">
            <v>0</v>
          </cell>
          <cell r="H648" t="str">
            <v/>
          </cell>
        </row>
        <row r="649">
          <cell r="A649" t="str">
            <v>145-10-040</v>
          </cell>
          <cell r="B649">
            <v>170</v>
          </cell>
          <cell r="C649" t="str">
            <v>Legal fees</v>
          </cell>
          <cell r="D649">
            <v>0</v>
          </cell>
          <cell r="E649">
            <v>0</v>
          </cell>
          <cell r="G649">
            <v>0</v>
          </cell>
          <cell r="H649" t="str">
            <v/>
          </cell>
        </row>
        <row r="650">
          <cell r="A650" t="str">
            <v>145-10-040</v>
          </cell>
          <cell r="B650">
            <v>110</v>
          </cell>
          <cell r="C650" t="str">
            <v>Legal fees</v>
          </cell>
          <cell r="D650">
            <v>0</v>
          </cell>
          <cell r="H650" t="str">
            <v/>
          </cell>
        </row>
        <row r="651">
          <cell r="A651" t="str">
            <v>145-10-040</v>
          </cell>
          <cell r="B651">
            <v>50</v>
          </cell>
          <cell r="C651" t="str">
            <v>Legal fees</v>
          </cell>
          <cell r="D651">
            <v>0</v>
          </cell>
          <cell r="H651" t="str">
            <v/>
          </cell>
        </row>
        <row r="652">
          <cell r="A652" t="str">
            <v>145-10-040</v>
          </cell>
          <cell r="B652">
            <v>30</v>
          </cell>
          <cell r="C652" t="str">
            <v>Legal fees</v>
          </cell>
          <cell r="D652">
            <v>0</v>
          </cell>
          <cell r="H652" t="str">
            <v/>
          </cell>
        </row>
        <row r="653">
          <cell r="A653" t="str">
            <v>145-10-040</v>
          </cell>
          <cell r="B653">
            <v>140</v>
          </cell>
          <cell r="C653" t="str">
            <v>Legal fees</v>
          </cell>
          <cell r="D653">
            <v>0</v>
          </cell>
          <cell r="H653" t="str">
            <v/>
          </cell>
        </row>
        <row r="654">
          <cell r="A654" t="str">
            <v>145-10-040</v>
          </cell>
          <cell r="B654">
            <v>40</v>
          </cell>
          <cell r="C654" t="str">
            <v>Legal fees</v>
          </cell>
          <cell r="D654">
            <v>0</v>
          </cell>
          <cell r="H654" t="str">
            <v/>
          </cell>
        </row>
        <row r="655">
          <cell r="A655" t="str">
            <v>145-10-040</v>
          </cell>
          <cell r="B655">
            <v>180</v>
          </cell>
          <cell r="C655" t="str">
            <v>Legal fees</v>
          </cell>
          <cell r="D655">
            <v>0</v>
          </cell>
          <cell r="H655" t="str">
            <v/>
          </cell>
        </row>
        <row r="656">
          <cell r="A656" t="str">
            <v>145-10-060</v>
          </cell>
          <cell r="B656">
            <v>70</v>
          </cell>
          <cell r="C656" t="str">
            <v>Intra company charges- individual life</v>
          </cell>
          <cell r="D656">
            <v>0</v>
          </cell>
          <cell r="H656" t="str">
            <v/>
          </cell>
        </row>
        <row r="657">
          <cell r="A657" t="str">
            <v>145-10-060</v>
          </cell>
          <cell r="B657">
            <v>150</v>
          </cell>
          <cell r="C657" t="str">
            <v>Intra company charges- individual life</v>
          </cell>
          <cell r="D657">
            <v>0</v>
          </cell>
          <cell r="H657" t="str">
            <v/>
          </cell>
        </row>
        <row r="658">
          <cell r="A658" t="str">
            <v>145-10-060</v>
          </cell>
          <cell r="B658">
            <v>120</v>
          </cell>
          <cell r="C658" t="str">
            <v>Intra company charges- individual life</v>
          </cell>
          <cell r="D658">
            <v>0</v>
          </cell>
          <cell r="H658" t="str">
            <v/>
          </cell>
        </row>
        <row r="659">
          <cell r="A659" t="str">
            <v>145-10-060</v>
          </cell>
          <cell r="B659">
            <v>160</v>
          </cell>
          <cell r="C659" t="str">
            <v>Intra company charges- individual life</v>
          </cell>
          <cell r="D659">
            <v>0</v>
          </cell>
          <cell r="H659" t="str">
            <v/>
          </cell>
        </row>
        <row r="660">
          <cell r="A660" t="str">
            <v>145-10-060</v>
          </cell>
          <cell r="B660">
            <v>90</v>
          </cell>
          <cell r="C660" t="str">
            <v>Intra company charges- individual life</v>
          </cell>
          <cell r="D660">
            <v>0</v>
          </cell>
          <cell r="H660" t="str">
            <v/>
          </cell>
        </row>
        <row r="661">
          <cell r="A661" t="str">
            <v>145-10-060</v>
          </cell>
          <cell r="B661">
            <v>80</v>
          </cell>
          <cell r="C661" t="str">
            <v>Intra company charges- individual life</v>
          </cell>
          <cell r="D661">
            <v>0</v>
          </cell>
          <cell r="H661" t="str">
            <v/>
          </cell>
        </row>
        <row r="662">
          <cell r="A662" t="str">
            <v>145-10-060</v>
          </cell>
          <cell r="B662">
            <v>60</v>
          </cell>
          <cell r="C662" t="str">
            <v>Intra company charges- individual life</v>
          </cell>
          <cell r="D662">
            <v>0</v>
          </cell>
          <cell r="H662" t="str">
            <v/>
          </cell>
        </row>
        <row r="663">
          <cell r="A663" t="str">
            <v>145-10-060</v>
          </cell>
          <cell r="B663">
            <v>170</v>
          </cell>
          <cell r="C663" t="str">
            <v>Intra company charges- individual life</v>
          </cell>
          <cell r="D663">
            <v>0</v>
          </cell>
          <cell r="H663" t="str">
            <v/>
          </cell>
        </row>
        <row r="664">
          <cell r="A664" t="str">
            <v>145-10-060</v>
          </cell>
          <cell r="B664">
            <v>110</v>
          </cell>
          <cell r="C664" t="str">
            <v>Intra company charges- individual life</v>
          </cell>
          <cell r="D664">
            <v>0</v>
          </cell>
          <cell r="H664" t="str">
            <v/>
          </cell>
        </row>
        <row r="665">
          <cell r="A665" t="str">
            <v>145-10-060</v>
          </cell>
          <cell r="B665">
            <v>50</v>
          </cell>
          <cell r="C665" t="str">
            <v>Intra company charges- individual life</v>
          </cell>
          <cell r="D665">
            <v>0</v>
          </cell>
          <cell r="H665" t="str">
            <v/>
          </cell>
        </row>
        <row r="666">
          <cell r="A666" t="str">
            <v>145-10-060</v>
          </cell>
          <cell r="B666">
            <v>30</v>
          </cell>
          <cell r="C666" t="str">
            <v>Intra company charges- individual life</v>
          </cell>
          <cell r="D666">
            <v>0</v>
          </cell>
          <cell r="H666" t="str">
            <v/>
          </cell>
        </row>
        <row r="667">
          <cell r="A667" t="str">
            <v>145-10-060</v>
          </cell>
          <cell r="B667">
            <v>140</v>
          </cell>
          <cell r="C667" t="str">
            <v>Intra company charges- individual life</v>
          </cell>
          <cell r="D667">
            <v>0</v>
          </cell>
          <cell r="H667" t="str">
            <v/>
          </cell>
        </row>
        <row r="668">
          <cell r="A668" t="str">
            <v>145-10-060</v>
          </cell>
          <cell r="B668">
            <v>40</v>
          </cell>
          <cell r="C668" t="str">
            <v>Intra company charges- individual life</v>
          </cell>
          <cell r="D668">
            <v>0</v>
          </cell>
          <cell r="H668" t="str">
            <v/>
          </cell>
        </row>
        <row r="669">
          <cell r="A669" t="str">
            <v>145-10-060</v>
          </cell>
          <cell r="B669">
            <v>180</v>
          </cell>
          <cell r="C669" t="str">
            <v>Intra company charges- individual life</v>
          </cell>
          <cell r="D669">
            <v>0</v>
          </cell>
          <cell r="H669" t="str">
            <v/>
          </cell>
        </row>
        <row r="670">
          <cell r="A670" t="str">
            <v>155-10-007</v>
          </cell>
          <cell r="B670">
            <v>70</v>
          </cell>
          <cell r="C670" t="str">
            <v>NEWSPAPERS &amp; JOURNALS</v>
          </cell>
          <cell r="D670">
            <v>10560</v>
          </cell>
          <cell r="E670">
            <v>2135</v>
          </cell>
          <cell r="G670">
            <v>10560</v>
          </cell>
          <cell r="H670">
            <v>1</v>
          </cell>
        </row>
        <row r="671">
          <cell r="A671" t="str">
            <v>155-10-007</v>
          </cell>
          <cell r="B671">
            <v>150</v>
          </cell>
          <cell r="C671" t="str">
            <v>NEWSPAPERS &amp; JOURNALS</v>
          </cell>
          <cell r="D671">
            <v>10560</v>
          </cell>
          <cell r="E671">
            <v>3430</v>
          </cell>
          <cell r="G671">
            <v>10560</v>
          </cell>
          <cell r="H671">
            <v>1</v>
          </cell>
        </row>
        <row r="672">
          <cell r="A672" t="str">
            <v>155-10-007</v>
          </cell>
          <cell r="B672">
            <v>120</v>
          </cell>
          <cell r="C672" t="str">
            <v>NEWSPAPERS &amp; JOURNALS</v>
          </cell>
          <cell r="D672">
            <v>10080</v>
          </cell>
          <cell r="E672">
            <v>4000</v>
          </cell>
          <cell r="G672">
            <v>10080</v>
          </cell>
          <cell r="H672">
            <v>1</v>
          </cell>
        </row>
        <row r="673">
          <cell r="A673" t="str">
            <v>155-10-007</v>
          </cell>
          <cell r="B673">
            <v>160</v>
          </cell>
          <cell r="C673" t="str">
            <v>NEWSPAPERS &amp; JOURNALS</v>
          </cell>
          <cell r="D673">
            <v>10560</v>
          </cell>
          <cell r="E673">
            <v>9380</v>
          </cell>
          <cell r="G673">
            <v>10560</v>
          </cell>
          <cell r="H673">
            <v>1</v>
          </cell>
        </row>
        <row r="674">
          <cell r="A674" t="str">
            <v>155-10-007</v>
          </cell>
          <cell r="B674">
            <v>90</v>
          </cell>
          <cell r="C674" t="str">
            <v>NEWSPAPERS &amp; JOURNALS</v>
          </cell>
          <cell r="D674">
            <v>10560</v>
          </cell>
          <cell r="G674">
            <v>0</v>
          </cell>
          <cell r="H674" t="str">
            <v/>
          </cell>
        </row>
        <row r="675">
          <cell r="A675" t="str">
            <v>155-10-007</v>
          </cell>
          <cell r="B675">
            <v>80</v>
          </cell>
          <cell r="C675" t="str">
            <v>NEWSPAPERS &amp; JOURNALS</v>
          </cell>
          <cell r="D675">
            <v>10560</v>
          </cell>
          <cell r="E675">
            <v>3465</v>
          </cell>
          <cell r="G675">
            <v>10560</v>
          </cell>
          <cell r="H675">
            <v>1</v>
          </cell>
        </row>
        <row r="676">
          <cell r="A676" t="str">
            <v>155-10-007</v>
          </cell>
          <cell r="B676">
            <v>60</v>
          </cell>
          <cell r="C676" t="str">
            <v>NEWSPAPERS &amp; JOURNALS</v>
          </cell>
          <cell r="D676">
            <v>10560</v>
          </cell>
          <cell r="E676">
            <v>3640</v>
          </cell>
          <cell r="G676">
            <v>7280</v>
          </cell>
          <cell r="H676">
            <v>1.4505494505494505</v>
          </cell>
        </row>
        <row r="677">
          <cell r="A677" t="str">
            <v>155-10-007</v>
          </cell>
          <cell r="B677">
            <v>170</v>
          </cell>
          <cell r="C677" t="str">
            <v>NEWSPAPERS &amp; JOURNALS</v>
          </cell>
          <cell r="D677">
            <v>50880</v>
          </cell>
          <cell r="E677">
            <v>26140</v>
          </cell>
          <cell r="G677">
            <v>52280</v>
          </cell>
          <cell r="H677">
            <v>0.97322111706197401</v>
          </cell>
        </row>
        <row r="678">
          <cell r="A678" t="str">
            <v>155-10-007</v>
          </cell>
          <cell r="B678">
            <v>110</v>
          </cell>
          <cell r="C678" t="str">
            <v>NEWSPAPERS &amp; JOURNALS</v>
          </cell>
          <cell r="D678">
            <v>10080</v>
          </cell>
          <cell r="E678">
            <v>5040</v>
          </cell>
          <cell r="G678">
            <v>10080</v>
          </cell>
          <cell r="H678">
            <v>1</v>
          </cell>
        </row>
        <row r="679">
          <cell r="A679" t="str">
            <v>155-10-007</v>
          </cell>
          <cell r="B679">
            <v>50</v>
          </cell>
          <cell r="C679" t="str">
            <v>NEWSPAPERS &amp; JOURNALS</v>
          </cell>
          <cell r="D679">
            <v>10560</v>
          </cell>
          <cell r="E679">
            <v>3885</v>
          </cell>
          <cell r="G679">
            <v>7770</v>
          </cell>
          <cell r="H679">
            <v>1.359073359073359</v>
          </cell>
        </row>
        <row r="680">
          <cell r="A680" t="str">
            <v>155-10-007</v>
          </cell>
          <cell r="B680">
            <v>30</v>
          </cell>
          <cell r="C680" t="str">
            <v>NEWSPAPERS &amp; JOURNALS</v>
          </cell>
          <cell r="D680">
            <v>10560</v>
          </cell>
          <cell r="E680">
            <v>2870</v>
          </cell>
          <cell r="G680">
            <v>5740</v>
          </cell>
          <cell r="H680">
            <v>1.8397212543554007</v>
          </cell>
        </row>
        <row r="681">
          <cell r="A681" t="str">
            <v>155-10-007</v>
          </cell>
          <cell r="B681">
            <v>140</v>
          </cell>
          <cell r="C681" t="str">
            <v>NEWSPAPERS &amp; JOURNALS</v>
          </cell>
          <cell r="D681">
            <v>10200</v>
          </cell>
          <cell r="E681">
            <v>4080</v>
          </cell>
          <cell r="G681">
            <v>10200</v>
          </cell>
          <cell r="H681">
            <v>1</v>
          </cell>
        </row>
        <row r="682">
          <cell r="A682" t="str">
            <v>155-10-007</v>
          </cell>
          <cell r="B682">
            <v>40</v>
          </cell>
          <cell r="C682" t="str">
            <v>NEWSPAPERS &amp; JOURNALS</v>
          </cell>
          <cell r="D682">
            <v>10560</v>
          </cell>
          <cell r="E682">
            <v>4760</v>
          </cell>
          <cell r="G682">
            <v>9520</v>
          </cell>
          <cell r="H682">
            <v>1.1092436974789917</v>
          </cell>
        </row>
        <row r="683">
          <cell r="A683" t="str">
            <v>155-10-007</v>
          </cell>
          <cell r="B683">
            <v>180</v>
          </cell>
          <cell r="C683" t="str">
            <v>NEWSPAPERS &amp; JOURNALS</v>
          </cell>
          <cell r="D683">
            <v>10560</v>
          </cell>
          <cell r="E683">
            <v>2520</v>
          </cell>
          <cell r="G683">
            <v>5040</v>
          </cell>
          <cell r="H683">
            <v>2.0952380952380953</v>
          </cell>
        </row>
        <row r="684">
          <cell r="A684" t="str">
            <v>155-10-008</v>
          </cell>
          <cell r="B684">
            <v>70</v>
          </cell>
          <cell r="C684" t="str">
            <v>DONATIONS</v>
          </cell>
          <cell r="D684">
            <v>0</v>
          </cell>
          <cell r="G684">
            <v>0</v>
          </cell>
          <cell r="H684" t="str">
            <v/>
          </cell>
        </row>
        <row r="685">
          <cell r="A685" t="str">
            <v>155-10-008</v>
          </cell>
          <cell r="B685">
            <v>70</v>
          </cell>
          <cell r="C685" t="str">
            <v>ENTERTAINMENT</v>
          </cell>
          <cell r="D685">
            <v>10000</v>
          </cell>
          <cell r="E685">
            <v>8265.6299999999992</v>
          </cell>
          <cell r="G685">
            <v>16531.259999999998</v>
          </cell>
          <cell r="H685">
            <v>0.6049145679155733</v>
          </cell>
        </row>
        <row r="686">
          <cell r="A686" t="str">
            <v>155-10-008</v>
          </cell>
          <cell r="B686">
            <v>150</v>
          </cell>
          <cell r="C686" t="str">
            <v>DONATIONS</v>
          </cell>
          <cell r="D686">
            <v>0</v>
          </cell>
          <cell r="G686">
            <v>0</v>
          </cell>
          <cell r="H686" t="str">
            <v/>
          </cell>
        </row>
        <row r="687">
          <cell r="A687" t="str">
            <v>155-10-008</v>
          </cell>
          <cell r="B687">
            <v>150</v>
          </cell>
          <cell r="C687" t="str">
            <v>ENTERTAINMENT</v>
          </cell>
          <cell r="D687">
            <v>7500</v>
          </cell>
          <cell r="E687">
            <v>3515.63</v>
          </cell>
          <cell r="G687">
            <v>6000</v>
          </cell>
          <cell r="H687">
            <v>1.25</v>
          </cell>
        </row>
        <row r="688">
          <cell r="A688" t="str">
            <v>155-10-008</v>
          </cell>
          <cell r="B688">
            <v>120</v>
          </cell>
          <cell r="C688" t="str">
            <v>DONATIONS</v>
          </cell>
          <cell r="D688">
            <v>0</v>
          </cell>
          <cell r="G688">
            <v>0</v>
          </cell>
          <cell r="H688" t="str">
            <v/>
          </cell>
        </row>
        <row r="689">
          <cell r="A689" t="str">
            <v>155-10-008</v>
          </cell>
          <cell r="B689">
            <v>120</v>
          </cell>
          <cell r="C689" t="str">
            <v>ENTERTAINMENT</v>
          </cell>
          <cell r="D689">
            <v>8000</v>
          </cell>
          <cell r="E689">
            <v>3000</v>
          </cell>
          <cell r="G689">
            <v>7500</v>
          </cell>
          <cell r="H689">
            <v>1.0666666666666667</v>
          </cell>
        </row>
        <row r="690">
          <cell r="A690" t="str">
            <v>155-10-008</v>
          </cell>
          <cell r="B690">
            <v>160</v>
          </cell>
          <cell r="C690" t="str">
            <v>DONATIONS</v>
          </cell>
          <cell r="D690">
            <v>0</v>
          </cell>
          <cell r="E690">
            <v>0</v>
          </cell>
          <cell r="G690">
            <v>0</v>
          </cell>
          <cell r="H690" t="str">
            <v/>
          </cell>
        </row>
        <row r="691">
          <cell r="A691" t="str">
            <v>155-10-008</v>
          </cell>
          <cell r="B691">
            <v>160</v>
          </cell>
          <cell r="C691" t="str">
            <v>ENTERTAINMENT</v>
          </cell>
          <cell r="D691">
            <v>5000</v>
          </cell>
          <cell r="E691">
            <v>2515.63</v>
          </cell>
          <cell r="G691">
            <v>2000</v>
          </cell>
          <cell r="H691">
            <v>2.5</v>
          </cell>
        </row>
        <row r="692">
          <cell r="A692" t="str">
            <v>155-10-008</v>
          </cell>
          <cell r="B692">
            <v>90</v>
          </cell>
          <cell r="C692" t="str">
            <v>DONATIONS</v>
          </cell>
          <cell r="D692">
            <v>0</v>
          </cell>
          <cell r="G692">
            <v>0</v>
          </cell>
          <cell r="H692" t="str">
            <v/>
          </cell>
        </row>
        <row r="693">
          <cell r="A693" t="str">
            <v>155-10-008</v>
          </cell>
          <cell r="B693">
            <v>90</v>
          </cell>
          <cell r="C693" t="str">
            <v>ENTERTAINMENT</v>
          </cell>
          <cell r="D693">
            <v>5000</v>
          </cell>
          <cell r="G693">
            <v>0</v>
          </cell>
          <cell r="H693" t="str">
            <v/>
          </cell>
        </row>
        <row r="694">
          <cell r="A694" t="str">
            <v>155-10-008</v>
          </cell>
          <cell r="B694">
            <v>80</v>
          </cell>
          <cell r="C694" t="str">
            <v>DONATIONS</v>
          </cell>
          <cell r="D694">
            <v>0</v>
          </cell>
          <cell r="E694">
            <v>0</v>
          </cell>
          <cell r="G694">
            <v>0</v>
          </cell>
          <cell r="H694" t="str">
            <v/>
          </cell>
        </row>
        <row r="695">
          <cell r="A695" t="str">
            <v>155-10-008</v>
          </cell>
          <cell r="B695">
            <v>80</v>
          </cell>
          <cell r="C695" t="str">
            <v>ENTERTAINMENT</v>
          </cell>
          <cell r="D695">
            <v>10000</v>
          </cell>
          <cell r="E695">
            <v>7460.63</v>
          </cell>
          <cell r="G695">
            <v>14921.26</v>
          </cell>
          <cell r="H695">
            <v>0.67018468949673149</v>
          </cell>
        </row>
        <row r="696">
          <cell r="A696" t="str">
            <v>155-10-008</v>
          </cell>
          <cell r="B696">
            <v>60</v>
          </cell>
          <cell r="C696" t="str">
            <v>DONATIONS</v>
          </cell>
          <cell r="D696">
            <v>0</v>
          </cell>
          <cell r="G696">
            <v>0</v>
          </cell>
          <cell r="H696" t="str">
            <v/>
          </cell>
        </row>
        <row r="697">
          <cell r="A697" t="str">
            <v>155-10-008</v>
          </cell>
          <cell r="B697">
            <v>60</v>
          </cell>
          <cell r="C697" t="str">
            <v>ENTERTAINMENT</v>
          </cell>
          <cell r="D697">
            <v>10000</v>
          </cell>
          <cell r="E697">
            <v>7471.84</v>
          </cell>
          <cell r="G697">
            <v>10500</v>
          </cell>
          <cell r="H697">
            <v>0.95238095238095233</v>
          </cell>
        </row>
        <row r="698">
          <cell r="A698" t="str">
            <v>155-10-008</v>
          </cell>
          <cell r="B698">
            <v>170</v>
          </cell>
          <cell r="C698" t="str">
            <v>DONATIONS</v>
          </cell>
          <cell r="D698">
            <v>0</v>
          </cell>
          <cell r="G698">
            <v>0</v>
          </cell>
          <cell r="H698" t="str">
            <v/>
          </cell>
        </row>
        <row r="699">
          <cell r="A699" t="str">
            <v>155-10-008</v>
          </cell>
          <cell r="B699">
            <v>170</v>
          </cell>
          <cell r="C699" t="str">
            <v>ENTERTAINMENT</v>
          </cell>
          <cell r="D699">
            <v>75000</v>
          </cell>
          <cell r="E699">
            <v>37344</v>
          </cell>
          <cell r="G699">
            <v>65000</v>
          </cell>
          <cell r="H699">
            <v>1.1538461538461537</v>
          </cell>
        </row>
        <row r="700">
          <cell r="A700" t="str">
            <v>155-10-008</v>
          </cell>
          <cell r="B700">
            <v>110</v>
          </cell>
          <cell r="C700" t="str">
            <v>DONATIONS</v>
          </cell>
          <cell r="D700">
            <v>0</v>
          </cell>
          <cell r="E700">
            <v>0</v>
          </cell>
          <cell r="G700">
            <v>0</v>
          </cell>
          <cell r="H700" t="str">
            <v/>
          </cell>
        </row>
        <row r="701">
          <cell r="A701" t="str">
            <v>155-10-008</v>
          </cell>
          <cell r="B701">
            <v>110</v>
          </cell>
          <cell r="C701" t="str">
            <v>ENTERTAINMENT</v>
          </cell>
          <cell r="D701">
            <v>10000</v>
          </cell>
          <cell r="E701">
            <v>3425</v>
          </cell>
          <cell r="G701">
            <v>6850</v>
          </cell>
          <cell r="H701">
            <v>1.4598540145985401</v>
          </cell>
        </row>
        <row r="702">
          <cell r="A702" t="str">
            <v>155-10-008</v>
          </cell>
          <cell r="B702">
            <v>50</v>
          </cell>
          <cell r="C702" t="str">
            <v>DONATIONS</v>
          </cell>
          <cell r="D702">
            <v>0</v>
          </cell>
          <cell r="E702">
            <v>0</v>
          </cell>
          <cell r="G702">
            <v>0</v>
          </cell>
          <cell r="H702" t="str">
            <v/>
          </cell>
        </row>
        <row r="703">
          <cell r="A703" t="str">
            <v>155-10-008</v>
          </cell>
          <cell r="B703">
            <v>50</v>
          </cell>
          <cell r="C703" t="str">
            <v>ENTERTAINMENT</v>
          </cell>
          <cell r="D703">
            <v>10000</v>
          </cell>
          <cell r="E703">
            <v>2515.63</v>
          </cell>
          <cell r="G703">
            <v>5031.26</v>
          </cell>
          <cell r="H703">
            <v>1.9875736892945306</v>
          </cell>
        </row>
        <row r="704">
          <cell r="A704" t="str">
            <v>155-10-008</v>
          </cell>
          <cell r="B704">
            <v>30</v>
          </cell>
          <cell r="C704" t="str">
            <v>DONATIONS</v>
          </cell>
          <cell r="D704">
            <v>0</v>
          </cell>
          <cell r="E704">
            <v>0</v>
          </cell>
          <cell r="G704">
            <v>0</v>
          </cell>
          <cell r="H704" t="str">
            <v/>
          </cell>
        </row>
        <row r="705">
          <cell r="A705" t="str">
            <v>155-10-008</v>
          </cell>
          <cell r="B705">
            <v>30</v>
          </cell>
          <cell r="C705" t="str">
            <v>ENTERTAINMENT</v>
          </cell>
          <cell r="D705">
            <v>7500</v>
          </cell>
          <cell r="E705">
            <v>4456.26</v>
          </cell>
          <cell r="G705">
            <v>6000</v>
          </cell>
          <cell r="H705">
            <v>1.25</v>
          </cell>
        </row>
        <row r="706">
          <cell r="A706" t="str">
            <v>155-10-008</v>
          </cell>
          <cell r="B706">
            <v>140</v>
          </cell>
          <cell r="C706" t="str">
            <v>DONATIONS</v>
          </cell>
          <cell r="D706">
            <v>0</v>
          </cell>
          <cell r="E706">
            <v>0</v>
          </cell>
          <cell r="G706">
            <v>0</v>
          </cell>
          <cell r="H706" t="str">
            <v/>
          </cell>
        </row>
        <row r="707">
          <cell r="A707" t="str">
            <v>155-10-008</v>
          </cell>
          <cell r="B707">
            <v>140</v>
          </cell>
          <cell r="C707" t="str">
            <v>ENTERTAINMENT</v>
          </cell>
          <cell r="D707">
            <v>8000</v>
          </cell>
          <cell r="E707">
            <v>2456.2600000000002</v>
          </cell>
          <cell r="G707">
            <v>4000</v>
          </cell>
          <cell r="H707">
            <v>2</v>
          </cell>
        </row>
        <row r="708">
          <cell r="A708" t="str">
            <v>155-10-008</v>
          </cell>
          <cell r="B708">
            <v>40</v>
          </cell>
          <cell r="C708" t="str">
            <v>DONATIONS</v>
          </cell>
          <cell r="D708">
            <v>0</v>
          </cell>
          <cell r="E708">
            <v>0</v>
          </cell>
          <cell r="G708">
            <v>0</v>
          </cell>
          <cell r="H708" t="str">
            <v/>
          </cell>
        </row>
        <row r="709">
          <cell r="A709" t="str">
            <v>155-10-008</v>
          </cell>
          <cell r="B709">
            <v>40</v>
          </cell>
          <cell r="C709" t="str">
            <v>ENTERTAINMENT</v>
          </cell>
          <cell r="D709">
            <v>10000</v>
          </cell>
          <cell r="E709">
            <v>2515.63</v>
          </cell>
          <cell r="G709">
            <v>5031.26</v>
          </cell>
          <cell r="H709">
            <v>1.9875736892945306</v>
          </cell>
        </row>
        <row r="710">
          <cell r="A710" t="str">
            <v>155-10-008</v>
          </cell>
          <cell r="B710">
            <v>180</v>
          </cell>
          <cell r="C710" t="str">
            <v>DONATIONS</v>
          </cell>
          <cell r="D710">
            <v>0</v>
          </cell>
          <cell r="E710">
            <v>0</v>
          </cell>
          <cell r="G710">
            <v>0</v>
          </cell>
          <cell r="H710" t="str">
            <v/>
          </cell>
        </row>
        <row r="711">
          <cell r="A711" t="str">
            <v>155-10-008</v>
          </cell>
          <cell r="B711">
            <v>180</v>
          </cell>
          <cell r="C711" t="str">
            <v>ENTERTAINMENT</v>
          </cell>
          <cell r="D711">
            <v>10000</v>
          </cell>
          <cell r="E711">
            <v>12545.63</v>
          </cell>
          <cell r="G711">
            <v>25091.26</v>
          </cell>
          <cell r="H711">
            <v>0.39854515078158692</v>
          </cell>
        </row>
        <row r="712">
          <cell r="A712" t="str">
            <v>155-10-009</v>
          </cell>
          <cell r="B712">
            <v>70</v>
          </cell>
          <cell r="C712" t="str">
            <v>COURIER &amp; FREIGHT CHARGES</v>
          </cell>
          <cell r="D712">
            <v>45000</v>
          </cell>
          <cell r="E712">
            <v>53603.6</v>
          </cell>
          <cell r="G712">
            <v>90000</v>
          </cell>
          <cell r="H712">
            <v>0.5</v>
          </cell>
        </row>
        <row r="713">
          <cell r="A713" t="str">
            <v>155-10-009</v>
          </cell>
          <cell r="B713">
            <v>150</v>
          </cell>
          <cell r="C713" t="str">
            <v>COURIER &amp; FREIGHT CHARGES</v>
          </cell>
          <cell r="D713">
            <v>0</v>
          </cell>
          <cell r="E713">
            <v>0</v>
          </cell>
          <cell r="G713">
            <v>0</v>
          </cell>
          <cell r="H713" t="str">
            <v/>
          </cell>
        </row>
        <row r="714">
          <cell r="A714" t="str">
            <v>155-10-009</v>
          </cell>
          <cell r="B714">
            <v>120</v>
          </cell>
          <cell r="C714" t="str">
            <v>COURIER &amp; FREIGHT CHARGES</v>
          </cell>
          <cell r="D714">
            <v>48000</v>
          </cell>
          <cell r="E714">
            <v>32000</v>
          </cell>
          <cell r="G714">
            <v>64000</v>
          </cell>
          <cell r="H714">
            <v>0.75</v>
          </cell>
        </row>
        <row r="715">
          <cell r="A715" t="str">
            <v>155-10-009</v>
          </cell>
          <cell r="B715">
            <v>160</v>
          </cell>
          <cell r="C715" t="str">
            <v>COURIER &amp; FREIGHT CHARGES</v>
          </cell>
          <cell r="D715">
            <v>0</v>
          </cell>
          <cell r="E715">
            <v>0</v>
          </cell>
          <cell r="G715">
            <v>0</v>
          </cell>
          <cell r="H715" t="str">
            <v/>
          </cell>
        </row>
        <row r="716">
          <cell r="A716" t="str">
            <v>155-10-009</v>
          </cell>
          <cell r="B716">
            <v>90</v>
          </cell>
          <cell r="C716" t="str">
            <v>COURIER &amp; FREIGHT CHARGES</v>
          </cell>
          <cell r="E716">
            <v>0</v>
          </cell>
          <cell r="G716">
            <v>0</v>
          </cell>
          <cell r="H716" t="str">
            <v/>
          </cell>
        </row>
        <row r="717">
          <cell r="A717" t="str">
            <v>155-10-009</v>
          </cell>
          <cell r="B717">
            <v>80</v>
          </cell>
          <cell r="C717" t="str">
            <v>COURIER &amp; FREIGHT CHARGES</v>
          </cell>
          <cell r="D717">
            <v>57485</v>
          </cell>
          <cell r="E717">
            <v>52579.95</v>
          </cell>
          <cell r="G717">
            <v>94500</v>
          </cell>
          <cell r="H717">
            <v>0.60830687830687835</v>
          </cell>
        </row>
        <row r="718">
          <cell r="A718" t="str">
            <v>155-10-009</v>
          </cell>
          <cell r="B718">
            <v>60</v>
          </cell>
          <cell r="C718" t="str">
            <v>COURIER &amp; FREIGHT CHARGES</v>
          </cell>
          <cell r="D718">
            <v>56160</v>
          </cell>
          <cell r="E718">
            <v>45916.23</v>
          </cell>
          <cell r="G718">
            <v>91832.46</v>
          </cell>
          <cell r="H718">
            <v>0.61154846554257603</v>
          </cell>
        </row>
        <row r="719">
          <cell r="A719" t="str">
            <v>155-10-009</v>
          </cell>
          <cell r="B719">
            <v>170</v>
          </cell>
          <cell r="C719" t="str">
            <v>COURIER &amp; FREIGHT CHARGES</v>
          </cell>
          <cell r="D719">
            <v>35000</v>
          </cell>
          <cell r="E719">
            <v>0</v>
          </cell>
          <cell r="H719" t="str">
            <v/>
          </cell>
        </row>
        <row r="720">
          <cell r="A720" t="str">
            <v>155-10-009</v>
          </cell>
          <cell r="B720">
            <v>110</v>
          </cell>
          <cell r="C720" t="str">
            <v>COURIER &amp; FREIGHT CHARGES</v>
          </cell>
          <cell r="D720">
            <v>18000</v>
          </cell>
          <cell r="E720">
            <v>21797.95</v>
          </cell>
          <cell r="G720">
            <v>43595.9</v>
          </cell>
          <cell r="H720">
            <v>0.41288286283801917</v>
          </cell>
        </row>
        <row r="721">
          <cell r="A721" t="str">
            <v>155-10-009</v>
          </cell>
          <cell r="B721">
            <v>50</v>
          </cell>
          <cell r="C721" t="str">
            <v>COURIER &amp; FREIGHT CHARGES</v>
          </cell>
          <cell r="D721">
            <v>50798</v>
          </cell>
          <cell r="E721">
            <v>30439.94</v>
          </cell>
          <cell r="G721">
            <v>60879.88</v>
          </cell>
          <cell r="H721">
            <v>0.83439717686697157</v>
          </cell>
        </row>
        <row r="722">
          <cell r="A722" t="str">
            <v>155-10-009</v>
          </cell>
          <cell r="B722">
            <v>30</v>
          </cell>
          <cell r="C722" t="str">
            <v>COURIER &amp; FREIGHT CHARGES</v>
          </cell>
          <cell r="D722">
            <v>67500</v>
          </cell>
          <cell r="E722">
            <v>58387.38</v>
          </cell>
          <cell r="G722">
            <v>95000</v>
          </cell>
          <cell r="H722">
            <v>0.71052631578947367</v>
          </cell>
        </row>
        <row r="723">
          <cell r="A723" t="str">
            <v>155-10-009</v>
          </cell>
          <cell r="B723">
            <v>140</v>
          </cell>
          <cell r="C723" t="str">
            <v>COURIER &amp; FREIGHT CHARGES</v>
          </cell>
          <cell r="D723">
            <v>43000</v>
          </cell>
          <cell r="E723">
            <v>41324.67</v>
          </cell>
          <cell r="G723">
            <v>65000</v>
          </cell>
          <cell r="H723">
            <v>0.66153846153846152</v>
          </cell>
        </row>
        <row r="724">
          <cell r="A724" t="str">
            <v>155-10-009</v>
          </cell>
          <cell r="B724">
            <v>40</v>
          </cell>
          <cell r="C724" t="str">
            <v>COURIER &amp; FREIGHT CHARGES</v>
          </cell>
          <cell r="D724">
            <v>40000</v>
          </cell>
          <cell r="E724">
            <v>32965.72</v>
          </cell>
          <cell r="G724">
            <v>65931.44</v>
          </cell>
          <cell r="H724">
            <v>0.60669082914008854</v>
          </cell>
        </row>
        <row r="725">
          <cell r="A725" t="str">
            <v>155-10-009</v>
          </cell>
          <cell r="B725">
            <v>180</v>
          </cell>
          <cell r="C725" t="str">
            <v>COURIER &amp; FREIGHT CHARGES</v>
          </cell>
          <cell r="D725">
            <v>12948</v>
          </cell>
          <cell r="E725">
            <v>27003.279999999999</v>
          </cell>
          <cell r="G725">
            <v>54006.559999999998</v>
          </cell>
          <cell r="H725">
            <v>0.23974865275625776</v>
          </cell>
        </row>
        <row r="726">
          <cell r="A726" t="str">
            <v>155-10-010</v>
          </cell>
          <cell r="B726">
            <v>70</v>
          </cell>
          <cell r="C726" t="str">
            <v>ADVERTISING &amp; PUBLICITY</v>
          </cell>
          <cell r="D726">
            <v>0</v>
          </cell>
          <cell r="E726">
            <v>0</v>
          </cell>
          <cell r="G726">
            <v>0</v>
          </cell>
          <cell r="H726" t="str">
            <v/>
          </cell>
        </row>
        <row r="727">
          <cell r="A727" t="str">
            <v>155-10-010</v>
          </cell>
          <cell r="B727">
            <v>150</v>
          </cell>
          <cell r="C727" t="str">
            <v>ADVERTISING &amp; PUBLICITY</v>
          </cell>
          <cell r="D727">
            <v>0</v>
          </cell>
          <cell r="E727">
            <v>0</v>
          </cell>
          <cell r="G727">
            <v>0</v>
          </cell>
          <cell r="H727" t="str">
            <v/>
          </cell>
        </row>
        <row r="728">
          <cell r="A728" t="str">
            <v>155-10-010</v>
          </cell>
          <cell r="B728">
            <v>120</v>
          </cell>
          <cell r="C728" t="str">
            <v>ADVERTISING &amp; PUBLICITY</v>
          </cell>
          <cell r="D728">
            <v>5000</v>
          </cell>
          <cell r="E728">
            <v>1000</v>
          </cell>
          <cell r="G728">
            <v>2000</v>
          </cell>
          <cell r="H728">
            <v>2.5</v>
          </cell>
        </row>
        <row r="729">
          <cell r="A729" t="str">
            <v>155-10-010</v>
          </cell>
          <cell r="B729">
            <v>160</v>
          </cell>
          <cell r="C729" t="str">
            <v>ADVERTISING &amp; PUBLICITY</v>
          </cell>
          <cell r="D729">
            <v>0</v>
          </cell>
          <cell r="E729">
            <v>0</v>
          </cell>
          <cell r="G729">
            <v>0</v>
          </cell>
          <cell r="H729" t="str">
            <v/>
          </cell>
        </row>
        <row r="730">
          <cell r="A730" t="str">
            <v>155-10-010</v>
          </cell>
          <cell r="B730">
            <v>90</v>
          </cell>
          <cell r="C730" t="str">
            <v>ADVERTISING &amp; PUBLICITY</v>
          </cell>
          <cell r="D730">
            <v>0</v>
          </cell>
          <cell r="E730">
            <v>0</v>
          </cell>
          <cell r="G730">
            <v>0</v>
          </cell>
          <cell r="H730" t="str">
            <v/>
          </cell>
        </row>
        <row r="731">
          <cell r="A731" t="str">
            <v>155-10-010</v>
          </cell>
          <cell r="B731">
            <v>80</v>
          </cell>
          <cell r="C731" t="str">
            <v>ADVERTISING &amp; PUBLICITY</v>
          </cell>
          <cell r="D731">
            <v>0</v>
          </cell>
          <cell r="E731">
            <v>0</v>
          </cell>
          <cell r="G731">
            <v>0</v>
          </cell>
          <cell r="H731" t="str">
            <v/>
          </cell>
        </row>
        <row r="732">
          <cell r="A732" t="str">
            <v>155-10-010</v>
          </cell>
          <cell r="B732">
            <v>60</v>
          </cell>
          <cell r="C732" t="str">
            <v>ADVERTISING &amp; PUBLICITY</v>
          </cell>
          <cell r="D732">
            <v>0</v>
          </cell>
          <cell r="G732">
            <v>0</v>
          </cell>
          <cell r="H732" t="str">
            <v/>
          </cell>
        </row>
        <row r="733">
          <cell r="A733" t="str">
            <v>155-10-010</v>
          </cell>
          <cell r="B733">
            <v>170</v>
          </cell>
          <cell r="C733" t="str">
            <v>ADVERTISING &amp; PUBLICITY</v>
          </cell>
          <cell r="D733">
            <v>2394648</v>
          </cell>
          <cell r="E733">
            <v>94355</v>
          </cell>
          <cell r="G733">
            <v>4288710</v>
          </cell>
          <cell r="H733">
            <v>1.3161645343238411</v>
          </cell>
        </row>
        <row r="734">
          <cell r="A734" t="str">
            <v>155-10-010</v>
          </cell>
          <cell r="B734">
            <v>110</v>
          </cell>
          <cell r="C734" t="str">
            <v>ADVERTISING &amp; PUBLICITY</v>
          </cell>
          <cell r="D734">
            <v>0</v>
          </cell>
          <cell r="E734">
            <v>0</v>
          </cell>
          <cell r="G734">
            <v>0</v>
          </cell>
          <cell r="H734" t="str">
            <v/>
          </cell>
        </row>
        <row r="735">
          <cell r="A735" t="str">
            <v>155-10-010</v>
          </cell>
          <cell r="B735">
            <v>50</v>
          </cell>
          <cell r="C735" t="str">
            <v>ADVERTISING &amp; PUBLICITY</v>
          </cell>
          <cell r="D735">
            <v>40000</v>
          </cell>
          <cell r="E735">
            <v>0</v>
          </cell>
          <cell r="G735">
            <v>0</v>
          </cell>
          <cell r="H735" t="str">
            <v/>
          </cell>
        </row>
        <row r="736">
          <cell r="A736" t="str">
            <v>155-10-010</v>
          </cell>
          <cell r="B736">
            <v>30</v>
          </cell>
          <cell r="C736" t="str">
            <v>ADVERTISING &amp; PUBLICITY</v>
          </cell>
          <cell r="D736">
            <v>0</v>
          </cell>
          <cell r="E736">
            <v>0</v>
          </cell>
          <cell r="G736">
            <v>0</v>
          </cell>
          <cell r="H736" t="str">
            <v/>
          </cell>
        </row>
        <row r="737">
          <cell r="A737" t="str">
            <v>155-10-010</v>
          </cell>
          <cell r="B737">
            <v>140</v>
          </cell>
          <cell r="C737" t="str">
            <v>ADVERTISING &amp; PUBLICITY</v>
          </cell>
          <cell r="D737">
            <v>0</v>
          </cell>
          <cell r="E737">
            <v>800</v>
          </cell>
          <cell r="G737">
            <v>1600</v>
          </cell>
          <cell r="H737">
            <v>0</v>
          </cell>
        </row>
        <row r="738">
          <cell r="A738" t="str">
            <v>155-10-010</v>
          </cell>
          <cell r="B738">
            <v>40</v>
          </cell>
          <cell r="C738" t="str">
            <v>ADVERTISING &amp; PUBLICITY</v>
          </cell>
          <cell r="D738">
            <v>10000</v>
          </cell>
          <cell r="E738">
            <v>0</v>
          </cell>
          <cell r="G738">
            <v>0</v>
          </cell>
          <cell r="H738" t="str">
            <v/>
          </cell>
        </row>
        <row r="739">
          <cell r="A739" t="str">
            <v>155-10-010</v>
          </cell>
          <cell r="B739">
            <v>180</v>
          </cell>
          <cell r="C739" t="str">
            <v>ADVERTISING &amp; PUBLICITY</v>
          </cell>
          <cell r="D739">
            <v>18000</v>
          </cell>
          <cell r="E739">
            <v>0</v>
          </cell>
          <cell r="G739">
            <v>0</v>
          </cell>
          <cell r="H739" t="str">
            <v/>
          </cell>
        </row>
        <row r="740">
          <cell r="A740" t="str">
            <v>155-10-012</v>
          </cell>
          <cell r="B740">
            <v>70</v>
          </cell>
          <cell r="C740" t="str">
            <v>TRADE LICENCES</v>
          </cell>
          <cell r="D740">
            <v>36000</v>
          </cell>
          <cell r="E740">
            <v>35050</v>
          </cell>
          <cell r="G740">
            <v>35050</v>
          </cell>
          <cell r="H740">
            <v>1.0271041369472182</v>
          </cell>
        </row>
        <row r="741">
          <cell r="A741" t="str">
            <v>155-10-012</v>
          </cell>
          <cell r="B741">
            <v>150</v>
          </cell>
          <cell r="C741" t="str">
            <v>TRADE LICENCES</v>
          </cell>
          <cell r="D741">
            <v>0</v>
          </cell>
          <cell r="E741">
            <v>0</v>
          </cell>
          <cell r="G741">
            <v>0</v>
          </cell>
          <cell r="H741" t="str">
            <v/>
          </cell>
        </row>
        <row r="742">
          <cell r="A742" t="str">
            <v>155-10-012</v>
          </cell>
          <cell r="B742">
            <v>120</v>
          </cell>
          <cell r="C742" t="str">
            <v>TRADE LICENCES</v>
          </cell>
          <cell r="D742">
            <v>31000</v>
          </cell>
          <cell r="E742">
            <v>29000</v>
          </cell>
          <cell r="G742">
            <v>29000</v>
          </cell>
          <cell r="H742">
            <v>1.0689655172413792</v>
          </cell>
        </row>
        <row r="743">
          <cell r="A743" t="str">
            <v>155-10-012</v>
          </cell>
          <cell r="B743">
            <v>160</v>
          </cell>
          <cell r="C743" t="str">
            <v>TRADE LICENCES</v>
          </cell>
          <cell r="D743">
            <v>0</v>
          </cell>
          <cell r="E743">
            <v>0</v>
          </cell>
          <cell r="G743">
            <v>0</v>
          </cell>
          <cell r="H743" t="str">
            <v/>
          </cell>
        </row>
        <row r="744">
          <cell r="A744" t="str">
            <v>155-10-012</v>
          </cell>
          <cell r="B744">
            <v>90</v>
          </cell>
          <cell r="C744" t="str">
            <v>TRADE LICENCES</v>
          </cell>
          <cell r="D744">
            <v>0</v>
          </cell>
          <cell r="E744">
            <v>0</v>
          </cell>
          <cell r="G744">
            <v>0</v>
          </cell>
          <cell r="H744" t="str">
            <v/>
          </cell>
        </row>
        <row r="745">
          <cell r="A745" t="str">
            <v>155-10-012</v>
          </cell>
          <cell r="B745">
            <v>80</v>
          </cell>
          <cell r="C745" t="str">
            <v>TRADE LICENCES</v>
          </cell>
          <cell r="D745">
            <v>37500</v>
          </cell>
          <cell r="E745">
            <v>22620</v>
          </cell>
          <cell r="G745">
            <v>45240</v>
          </cell>
          <cell r="H745">
            <v>0.82891246684350128</v>
          </cell>
        </row>
        <row r="746">
          <cell r="A746" t="str">
            <v>155-10-012</v>
          </cell>
          <cell r="B746">
            <v>60</v>
          </cell>
          <cell r="C746" t="str">
            <v>TRADE LICENCES</v>
          </cell>
          <cell r="D746">
            <v>48000</v>
          </cell>
          <cell r="E746">
            <v>46520</v>
          </cell>
          <cell r="G746">
            <v>46520</v>
          </cell>
          <cell r="H746">
            <v>1.0318142734307825</v>
          </cell>
        </row>
        <row r="747">
          <cell r="A747" t="str">
            <v>155-10-012</v>
          </cell>
          <cell r="B747">
            <v>170</v>
          </cell>
          <cell r="C747" t="str">
            <v>TRADE LICENCES</v>
          </cell>
          <cell r="D747">
            <v>0</v>
          </cell>
          <cell r="H747" t="str">
            <v/>
          </cell>
        </row>
        <row r="748">
          <cell r="A748" t="str">
            <v>155-10-012</v>
          </cell>
          <cell r="B748">
            <v>110</v>
          </cell>
          <cell r="C748" t="str">
            <v>TRADE LICENCES</v>
          </cell>
          <cell r="D748">
            <v>25000</v>
          </cell>
          <cell r="E748">
            <v>14000</v>
          </cell>
          <cell r="G748">
            <v>14000</v>
          </cell>
          <cell r="H748">
            <v>1.7857142857142858</v>
          </cell>
        </row>
        <row r="749">
          <cell r="A749" t="str">
            <v>155-10-012</v>
          </cell>
          <cell r="B749">
            <v>50</v>
          </cell>
          <cell r="C749" t="str">
            <v>TRADE LICENCES</v>
          </cell>
          <cell r="D749">
            <v>34000</v>
          </cell>
          <cell r="E749">
            <v>32220</v>
          </cell>
          <cell r="G749">
            <v>32220</v>
          </cell>
          <cell r="H749">
            <v>1.0552451893234016</v>
          </cell>
        </row>
        <row r="750">
          <cell r="A750" t="str">
            <v>155-10-012</v>
          </cell>
          <cell r="B750">
            <v>30</v>
          </cell>
          <cell r="C750" t="str">
            <v>TRADE LICENCES</v>
          </cell>
          <cell r="D750">
            <v>25000</v>
          </cell>
          <cell r="E750">
            <v>19698.5</v>
          </cell>
          <cell r="G750">
            <v>19698.5</v>
          </cell>
          <cell r="H750">
            <v>1.2691321674239155</v>
          </cell>
        </row>
        <row r="751">
          <cell r="A751" t="str">
            <v>155-10-012</v>
          </cell>
          <cell r="B751">
            <v>140</v>
          </cell>
          <cell r="C751" t="str">
            <v>TRADE LICENCES</v>
          </cell>
          <cell r="D751">
            <v>15200</v>
          </cell>
          <cell r="E751">
            <v>15200</v>
          </cell>
          <cell r="G751">
            <v>15200</v>
          </cell>
          <cell r="H751">
            <v>1</v>
          </cell>
        </row>
        <row r="752">
          <cell r="A752" t="str">
            <v>155-10-012</v>
          </cell>
          <cell r="B752">
            <v>40</v>
          </cell>
          <cell r="C752" t="str">
            <v>TRADE LICENCES</v>
          </cell>
          <cell r="D752">
            <v>29000</v>
          </cell>
          <cell r="E752">
            <v>14322</v>
          </cell>
          <cell r="G752">
            <v>14322</v>
          </cell>
          <cell r="H752">
            <v>2.0248568635665412</v>
          </cell>
        </row>
        <row r="753">
          <cell r="A753" t="str">
            <v>155-10-012</v>
          </cell>
          <cell r="B753">
            <v>180</v>
          </cell>
          <cell r="C753" t="str">
            <v>TRADE LICENCES</v>
          </cell>
          <cell r="D753">
            <v>15000</v>
          </cell>
          <cell r="E753">
            <v>14000</v>
          </cell>
          <cell r="G753">
            <v>14000</v>
          </cell>
          <cell r="H753">
            <v>1.0714285714285714</v>
          </cell>
        </row>
        <row r="754">
          <cell r="A754" t="str">
            <v>155-10-013</v>
          </cell>
          <cell r="B754">
            <v>70</v>
          </cell>
          <cell r="C754" t="str">
            <v>INSURANCES</v>
          </cell>
          <cell r="H754" t="str">
            <v/>
          </cell>
        </row>
        <row r="755">
          <cell r="A755" t="str">
            <v>155-10-013</v>
          </cell>
          <cell r="B755">
            <v>150</v>
          </cell>
          <cell r="C755" t="str">
            <v>INSURANCES</v>
          </cell>
          <cell r="D755">
            <v>0</v>
          </cell>
          <cell r="E755">
            <v>0</v>
          </cell>
          <cell r="G755">
            <v>0</v>
          </cell>
          <cell r="H755" t="str">
            <v/>
          </cell>
        </row>
        <row r="756">
          <cell r="A756" t="str">
            <v>155-10-013</v>
          </cell>
          <cell r="B756">
            <v>120</v>
          </cell>
          <cell r="C756" t="str">
            <v>INSURANCES</v>
          </cell>
          <cell r="D756">
            <v>0</v>
          </cell>
          <cell r="G756">
            <v>0</v>
          </cell>
          <cell r="H756" t="str">
            <v/>
          </cell>
        </row>
        <row r="757">
          <cell r="A757" t="str">
            <v>155-10-013</v>
          </cell>
          <cell r="B757">
            <v>160</v>
          </cell>
          <cell r="C757" t="str">
            <v>INSURANCES</v>
          </cell>
          <cell r="D757">
            <v>0</v>
          </cell>
          <cell r="E757">
            <v>0</v>
          </cell>
          <cell r="G757">
            <v>0</v>
          </cell>
          <cell r="H757" t="str">
            <v/>
          </cell>
        </row>
        <row r="758">
          <cell r="A758" t="str">
            <v>155-10-013</v>
          </cell>
          <cell r="B758">
            <v>90</v>
          </cell>
          <cell r="C758" t="str">
            <v>INSURANCES</v>
          </cell>
          <cell r="D758">
            <v>0</v>
          </cell>
          <cell r="G758">
            <v>0</v>
          </cell>
          <cell r="H758" t="str">
            <v/>
          </cell>
        </row>
        <row r="759">
          <cell r="A759" t="str">
            <v>155-10-013</v>
          </cell>
          <cell r="B759">
            <v>80</v>
          </cell>
          <cell r="C759" t="str">
            <v>INSURANCES</v>
          </cell>
          <cell r="E759">
            <v>0</v>
          </cell>
          <cell r="H759" t="str">
            <v/>
          </cell>
        </row>
        <row r="760">
          <cell r="A760" t="str">
            <v>155-10-013</v>
          </cell>
          <cell r="B760">
            <v>60</v>
          </cell>
          <cell r="C760" t="str">
            <v>INSURANCES</v>
          </cell>
          <cell r="D760">
            <v>0</v>
          </cell>
          <cell r="G760">
            <v>7000</v>
          </cell>
          <cell r="H760">
            <v>0</v>
          </cell>
        </row>
        <row r="761">
          <cell r="A761" t="str">
            <v>155-10-013</v>
          </cell>
          <cell r="B761">
            <v>170</v>
          </cell>
          <cell r="C761" t="str">
            <v>INSURANCES</v>
          </cell>
          <cell r="D761">
            <v>0</v>
          </cell>
          <cell r="E761">
            <v>0</v>
          </cell>
          <cell r="G761">
            <v>0</v>
          </cell>
          <cell r="H761" t="str">
            <v/>
          </cell>
        </row>
        <row r="762">
          <cell r="A762" t="str">
            <v>155-10-013</v>
          </cell>
          <cell r="B762">
            <v>110</v>
          </cell>
          <cell r="C762" t="str">
            <v>INSURANCES</v>
          </cell>
          <cell r="D762">
            <v>0</v>
          </cell>
          <cell r="E762">
            <v>0</v>
          </cell>
          <cell r="G762">
            <v>0</v>
          </cell>
          <cell r="H762" t="str">
            <v/>
          </cell>
        </row>
        <row r="763">
          <cell r="A763" t="str">
            <v>155-10-013</v>
          </cell>
          <cell r="B763">
            <v>50</v>
          </cell>
          <cell r="C763" t="str">
            <v>INSURANCES</v>
          </cell>
          <cell r="D763">
            <v>0</v>
          </cell>
          <cell r="E763">
            <v>0</v>
          </cell>
          <cell r="G763">
            <v>0</v>
          </cell>
          <cell r="H763" t="str">
            <v/>
          </cell>
        </row>
        <row r="764">
          <cell r="A764" t="str">
            <v>155-10-013</v>
          </cell>
          <cell r="B764">
            <v>30</v>
          </cell>
          <cell r="C764" t="str">
            <v>INSURANCES</v>
          </cell>
          <cell r="D764">
            <v>0</v>
          </cell>
          <cell r="E764">
            <v>0</v>
          </cell>
          <cell r="G764">
            <v>0</v>
          </cell>
          <cell r="H764" t="str">
            <v/>
          </cell>
        </row>
        <row r="765">
          <cell r="A765" t="str">
            <v>155-10-013</v>
          </cell>
          <cell r="B765">
            <v>140</v>
          </cell>
          <cell r="C765" t="str">
            <v>INSURANCES</v>
          </cell>
          <cell r="E765">
            <v>0</v>
          </cell>
          <cell r="H765" t="str">
            <v/>
          </cell>
        </row>
        <row r="766">
          <cell r="A766" t="str">
            <v>155-10-013</v>
          </cell>
          <cell r="B766">
            <v>40</v>
          </cell>
          <cell r="C766" t="str">
            <v>INSURANCES</v>
          </cell>
          <cell r="D766">
            <v>0</v>
          </cell>
          <cell r="E766">
            <v>0</v>
          </cell>
          <cell r="G766">
            <v>0</v>
          </cell>
          <cell r="H766" t="str">
            <v/>
          </cell>
        </row>
        <row r="767">
          <cell r="A767" t="str">
            <v>155-10-013</v>
          </cell>
          <cell r="B767">
            <v>180</v>
          </cell>
          <cell r="C767" t="str">
            <v>INSURANCES</v>
          </cell>
          <cell r="D767">
            <v>0</v>
          </cell>
          <cell r="E767">
            <v>0</v>
          </cell>
          <cell r="G767">
            <v>0</v>
          </cell>
          <cell r="H767" t="str">
            <v/>
          </cell>
        </row>
        <row r="768">
          <cell r="A768" t="str">
            <v>155-10-014</v>
          </cell>
          <cell r="B768">
            <v>70</v>
          </cell>
          <cell r="C768" t="str">
            <v>PHOTOCOPY</v>
          </cell>
          <cell r="D768">
            <v>0</v>
          </cell>
          <cell r="H768" t="str">
            <v/>
          </cell>
        </row>
        <row r="769">
          <cell r="A769" t="str">
            <v>155-10-014</v>
          </cell>
          <cell r="B769">
            <v>150</v>
          </cell>
          <cell r="C769" t="str">
            <v>PHOTOCOPY</v>
          </cell>
          <cell r="D769">
            <v>0</v>
          </cell>
          <cell r="E769">
            <v>0</v>
          </cell>
          <cell r="G769">
            <v>0</v>
          </cell>
          <cell r="H769" t="str">
            <v/>
          </cell>
        </row>
        <row r="770">
          <cell r="A770" t="str">
            <v>155-10-014</v>
          </cell>
          <cell r="B770">
            <v>120</v>
          </cell>
          <cell r="C770" t="str">
            <v>PHOTOCOPY</v>
          </cell>
          <cell r="D770">
            <v>0</v>
          </cell>
          <cell r="H770" t="str">
            <v/>
          </cell>
        </row>
        <row r="771">
          <cell r="A771" t="str">
            <v>155-10-014</v>
          </cell>
          <cell r="B771">
            <v>160</v>
          </cell>
          <cell r="C771" t="str">
            <v>PHOTOCOPY</v>
          </cell>
          <cell r="D771">
            <v>0</v>
          </cell>
          <cell r="E771">
            <v>0</v>
          </cell>
          <cell r="G771">
            <v>0</v>
          </cell>
          <cell r="H771" t="str">
            <v/>
          </cell>
        </row>
        <row r="772">
          <cell r="A772" t="str">
            <v>155-10-014</v>
          </cell>
          <cell r="B772">
            <v>90</v>
          </cell>
          <cell r="C772" t="str">
            <v>PHOTOCOPY</v>
          </cell>
          <cell r="D772">
            <v>0</v>
          </cell>
          <cell r="E772">
            <v>0</v>
          </cell>
          <cell r="G772">
            <v>0</v>
          </cell>
          <cell r="H772" t="str">
            <v/>
          </cell>
        </row>
        <row r="773">
          <cell r="A773" t="str">
            <v>155-10-014</v>
          </cell>
          <cell r="B773">
            <v>80</v>
          </cell>
          <cell r="C773" t="str">
            <v>PHOTOCOPY</v>
          </cell>
          <cell r="D773">
            <v>0</v>
          </cell>
          <cell r="H773" t="str">
            <v/>
          </cell>
        </row>
        <row r="774">
          <cell r="A774" t="str">
            <v>155-10-014</v>
          </cell>
          <cell r="B774">
            <v>60</v>
          </cell>
          <cell r="C774" t="str">
            <v>PHOTOCOPY</v>
          </cell>
          <cell r="D774">
            <v>0</v>
          </cell>
          <cell r="H774" t="str">
            <v/>
          </cell>
        </row>
        <row r="775">
          <cell r="A775" t="str">
            <v>155-10-014</v>
          </cell>
          <cell r="B775">
            <v>170</v>
          </cell>
          <cell r="C775" t="str">
            <v>PHOTOCOPY</v>
          </cell>
          <cell r="D775">
            <v>0</v>
          </cell>
          <cell r="E775">
            <v>0</v>
          </cell>
          <cell r="G775">
            <v>0</v>
          </cell>
          <cell r="H775" t="str">
            <v/>
          </cell>
        </row>
        <row r="776">
          <cell r="A776" t="str">
            <v>155-10-014</v>
          </cell>
          <cell r="B776">
            <v>110</v>
          </cell>
          <cell r="C776" t="str">
            <v>PHOTOCOPY</v>
          </cell>
          <cell r="D776">
            <v>0</v>
          </cell>
          <cell r="H776" t="str">
            <v/>
          </cell>
        </row>
        <row r="777">
          <cell r="A777" t="str">
            <v>155-10-014</v>
          </cell>
          <cell r="B777">
            <v>50</v>
          </cell>
          <cell r="C777" t="str">
            <v>PHOTOCOPY</v>
          </cell>
          <cell r="D777">
            <v>0</v>
          </cell>
          <cell r="E777">
            <v>4392</v>
          </cell>
          <cell r="G777">
            <v>8784</v>
          </cell>
          <cell r="H777">
            <v>0</v>
          </cell>
        </row>
        <row r="778">
          <cell r="A778" t="str">
            <v>155-10-014</v>
          </cell>
          <cell r="B778">
            <v>30</v>
          </cell>
          <cell r="C778" t="str">
            <v>PHOTOCOPY</v>
          </cell>
          <cell r="D778">
            <v>0</v>
          </cell>
          <cell r="E778">
            <v>0</v>
          </cell>
          <cell r="G778">
            <v>0</v>
          </cell>
          <cell r="H778" t="str">
            <v/>
          </cell>
        </row>
        <row r="779">
          <cell r="A779" t="str">
            <v>155-10-014</v>
          </cell>
          <cell r="B779">
            <v>140</v>
          </cell>
          <cell r="C779" t="str">
            <v>PHOTOCOPY</v>
          </cell>
          <cell r="D779">
            <v>0</v>
          </cell>
          <cell r="H779" t="str">
            <v/>
          </cell>
        </row>
        <row r="780">
          <cell r="A780" t="str">
            <v>155-10-014</v>
          </cell>
          <cell r="B780">
            <v>40</v>
          </cell>
          <cell r="C780" t="str">
            <v>PHOTOCOPY</v>
          </cell>
          <cell r="D780">
            <v>0</v>
          </cell>
          <cell r="E780">
            <v>704.5</v>
          </cell>
          <cell r="G780">
            <v>1409</v>
          </cell>
          <cell r="H780">
            <v>0</v>
          </cell>
        </row>
        <row r="781">
          <cell r="A781" t="str">
            <v>155-10-014</v>
          </cell>
          <cell r="B781">
            <v>180</v>
          </cell>
          <cell r="C781" t="str">
            <v>PHOTOCOPY</v>
          </cell>
          <cell r="D781">
            <v>0</v>
          </cell>
          <cell r="E781">
            <v>2600.5</v>
          </cell>
          <cell r="G781">
            <v>5201</v>
          </cell>
          <cell r="H781">
            <v>0</v>
          </cell>
        </row>
        <row r="782">
          <cell r="A782" t="str">
            <v>155-10-015</v>
          </cell>
          <cell r="B782">
            <v>70</v>
          </cell>
          <cell r="C782" t="str">
            <v>COMPUTER MAINTAINANCE</v>
          </cell>
          <cell r="D782">
            <v>8000</v>
          </cell>
          <cell r="G782">
            <v>5000</v>
          </cell>
          <cell r="H782">
            <v>1.6</v>
          </cell>
        </row>
        <row r="783">
          <cell r="A783" t="str">
            <v>155-10-015</v>
          </cell>
          <cell r="B783">
            <v>150</v>
          </cell>
          <cell r="C783" t="str">
            <v>COMPUTER MAINTAINANCE</v>
          </cell>
          <cell r="D783">
            <v>5000</v>
          </cell>
          <cell r="E783">
            <v>0</v>
          </cell>
          <cell r="G783">
            <v>0</v>
          </cell>
          <cell r="H783" t="str">
            <v/>
          </cell>
        </row>
        <row r="784">
          <cell r="A784" t="str">
            <v>155-10-015</v>
          </cell>
          <cell r="B784">
            <v>120</v>
          </cell>
          <cell r="C784" t="str">
            <v>COMPUTER MAINTAINANCE</v>
          </cell>
          <cell r="D784">
            <v>8000</v>
          </cell>
          <cell r="E784">
            <v>14000</v>
          </cell>
          <cell r="G784">
            <v>28000</v>
          </cell>
          <cell r="H784">
            <v>0.2857142857142857</v>
          </cell>
        </row>
        <row r="785">
          <cell r="A785" t="str">
            <v>155-10-015</v>
          </cell>
          <cell r="B785">
            <v>160</v>
          </cell>
          <cell r="C785" t="str">
            <v>COMPUTER MAINTAINANCE</v>
          </cell>
          <cell r="D785">
            <v>3000</v>
          </cell>
          <cell r="E785">
            <v>0</v>
          </cell>
          <cell r="G785">
            <v>0</v>
          </cell>
          <cell r="H785" t="str">
            <v/>
          </cell>
        </row>
        <row r="786">
          <cell r="A786" t="str">
            <v>155-10-015</v>
          </cell>
          <cell r="B786">
            <v>90</v>
          </cell>
          <cell r="C786" t="str">
            <v>COMPUTER MAINTAINANCE</v>
          </cell>
          <cell r="D786">
            <v>2500</v>
          </cell>
          <cell r="E786">
            <v>0</v>
          </cell>
          <cell r="G786">
            <v>0</v>
          </cell>
          <cell r="H786" t="str">
            <v/>
          </cell>
        </row>
        <row r="787">
          <cell r="A787" t="str">
            <v>155-10-015</v>
          </cell>
          <cell r="B787">
            <v>80</v>
          </cell>
          <cell r="C787" t="str">
            <v>COMPUTER MAINTAINANCE</v>
          </cell>
          <cell r="D787">
            <v>8000</v>
          </cell>
          <cell r="E787">
            <v>0</v>
          </cell>
          <cell r="G787">
            <v>7500</v>
          </cell>
          <cell r="H787">
            <v>1.0666666666666667</v>
          </cell>
        </row>
        <row r="788">
          <cell r="A788" t="str">
            <v>155-10-015</v>
          </cell>
          <cell r="B788">
            <v>60</v>
          </cell>
          <cell r="C788" t="str">
            <v>COMPUTER MAINTAINANCE</v>
          </cell>
          <cell r="D788">
            <v>15000</v>
          </cell>
          <cell r="E788">
            <v>9000</v>
          </cell>
          <cell r="G788">
            <v>13500</v>
          </cell>
          <cell r="H788">
            <v>1.1111111111111112</v>
          </cell>
        </row>
        <row r="789">
          <cell r="A789" t="str">
            <v>155-10-015</v>
          </cell>
          <cell r="B789">
            <v>170</v>
          </cell>
          <cell r="C789" t="str">
            <v>COMPUTER MAINTAINANCE</v>
          </cell>
          <cell r="D789">
            <v>0</v>
          </cell>
          <cell r="E789">
            <v>0</v>
          </cell>
          <cell r="G789">
            <v>0</v>
          </cell>
          <cell r="H789" t="str">
            <v/>
          </cell>
        </row>
        <row r="790">
          <cell r="A790" t="str">
            <v>155-10-015</v>
          </cell>
          <cell r="B790">
            <v>110</v>
          </cell>
          <cell r="C790" t="str">
            <v>COMPUTER MAINTAINANCE</v>
          </cell>
          <cell r="D790">
            <v>5000</v>
          </cell>
          <cell r="E790">
            <v>0</v>
          </cell>
          <cell r="G790">
            <v>0</v>
          </cell>
          <cell r="H790" t="str">
            <v/>
          </cell>
        </row>
        <row r="791">
          <cell r="A791" t="str">
            <v>155-10-015</v>
          </cell>
          <cell r="B791">
            <v>50</v>
          </cell>
          <cell r="C791" t="str">
            <v>COMPUTER MAINTAINANCE</v>
          </cell>
          <cell r="D791">
            <v>10000</v>
          </cell>
          <cell r="E791">
            <v>0</v>
          </cell>
          <cell r="G791">
            <v>0</v>
          </cell>
          <cell r="H791" t="str">
            <v/>
          </cell>
        </row>
        <row r="792">
          <cell r="A792" t="str">
            <v>155-10-015</v>
          </cell>
          <cell r="B792">
            <v>30</v>
          </cell>
          <cell r="C792" t="str">
            <v>COMPUTER MAINTAINANCE</v>
          </cell>
          <cell r="D792">
            <v>5000</v>
          </cell>
          <cell r="E792">
            <v>0</v>
          </cell>
          <cell r="H792" t="str">
            <v/>
          </cell>
        </row>
        <row r="793">
          <cell r="A793" t="str">
            <v>155-10-015</v>
          </cell>
          <cell r="B793">
            <v>140</v>
          </cell>
          <cell r="C793" t="str">
            <v>COMPUTER MAINTAINANCE</v>
          </cell>
          <cell r="D793">
            <v>6000</v>
          </cell>
          <cell r="E793">
            <v>0</v>
          </cell>
          <cell r="G793">
            <v>0</v>
          </cell>
          <cell r="H793" t="str">
            <v/>
          </cell>
        </row>
        <row r="794">
          <cell r="A794" t="str">
            <v>155-10-015</v>
          </cell>
          <cell r="B794">
            <v>40</v>
          </cell>
          <cell r="C794" t="str">
            <v>COMPUTER MAINTAINANCE</v>
          </cell>
          <cell r="D794">
            <v>12000</v>
          </cell>
          <cell r="E794">
            <v>9500</v>
          </cell>
          <cell r="G794">
            <v>19000</v>
          </cell>
          <cell r="H794">
            <v>0.63157894736842102</v>
          </cell>
        </row>
        <row r="795">
          <cell r="A795" t="str">
            <v>155-10-015</v>
          </cell>
          <cell r="B795">
            <v>180</v>
          </cell>
          <cell r="C795" t="str">
            <v>COMPUTER MAINTAINANCE</v>
          </cell>
          <cell r="D795">
            <v>12000</v>
          </cell>
          <cell r="E795">
            <v>0</v>
          </cell>
          <cell r="G795">
            <v>0</v>
          </cell>
          <cell r="H795" t="str">
            <v/>
          </cell>
        </row>
        <row r="796">
          <cell r="A796" t="str">
            <v>155-10-016</v>
          </cell>
          <cell r="B796">
            <v>70</v>
          </cell>
          <cell r="C796" t="str">
            <v>EQUIPMENT&amp; FURNITURE REPAIRS &amp; MAINTENANCE</v>
          </cell>
          <cell r="D796">
            <v>8000</v>
          </cell>
          <cell r="E796">
            <v>600</v>
          </cell>
          <cell r="G796">
            <v>6000</v>
          </cell>
          <cell r="H796">
            <v>1.3333333333333333</v>
          </cell>
        </row>
        <row r="797">
          <cell r="A797" t="str">
            <v>155-10-016</v>
          </cell>
          <cell r="B797">
            <v>150</v>
          </cell>
          <cell r="C797" t="str">
            <v>EQUIPMENT&amp; FURNITURE REPAIRS &amp; MAINTENANCE</v>
          </cell>
          <cell r="D797">
            <v>1440</v>
          </cell>
          <cell r="E797">
            <v>0</v>
          </cell>
          <cell r="G797">
            <v>0</v>
          </cell>
          <cell r="H797" t="str">
            <v/>
          </cell>
        </row>
        <row r="798">
          <cell r="A798" t="str">
            <v>155-10-016</v>
          </cell>
          <cell r="B798">
            <v>120</v>
          </cell>
          <cell r="C798" t="str">
            <v>EQUIPMENT&amp; FURNITURE REPAIRS &amp; MAINTENANCE</v>
          </cell>
          <cell r="D798">
            <v>8000</v>
          </cell>
          <cell r="E798">
            <v>4000</v>
          </cell>
          <cell r="G798">
            <v>8000</v>
          </cell>
          <cell r="H798">
            <v>1</v>
          </cell>
        </row>
        <row r="799">
          <cell r="A799" t="str">
            <v>155-10-016</v>
          </cell>
          <cell r="B799">
            <v>160</v>
          </cell>
          <cell r="C799" t="str">
            <v>EQUIPMENT&amp; FURNITURE REPAIRS &amp; MAINTENANCE</v>
          </cell>
          <cell r="D799">
            <v>3000</v>
          </cell>
          <cell r="E799">
            <v>0</v>
          </cell>
          <cell r="G799">
            <v>0</v>
          </cell>
          <cell r="H799" t="str">
            <v/>
          </cell>
        </row>
        <row r="800">
          <cell r="A800" t="str">
            <v>155-10-016</v>
          </cell>
          <cell r="B800">
            <v>90</v>
          </cell>
          <cell r="C800" t="str">
            <v>EQUIPMENT&amp; FURNITURE REPAIRS &amp; MAINTENANCE</v>
          </cell>
          <cell r="G800">
            <v>0</v>
          </cell>
          <cell r="H800" t="str">
            <v/>
          </cell>
        </row>
        <row r="801">
          <cell r="A801" t="str">
            <v>155-10-016</v>
          </cell>
          <cell r="B801">
            <v>80</v>
          </cell>
          <cell r="C801" t="str">
            <v>EQUIPMENT&amp; FURNITURE REPAIRS &amp; MAINTENANCE</v>
          </cell>
          <cell r="D801">
            <v>8000</v>
          </cell>
          <cell r="E801">
            <v>1430</v>
          </cell>
          <cell r="G801">
            <v>2860</v>
          </cell>
          <cell r="H801">
            <v>2.7972027972027971</v>
          </cell>
        </row>
        <row r="802">
          <cell r="A802" t="str">
            <v>155-10-016</v>
          </cell>
          <cell r="B802">
            <v>60</v>
          </cell>
          <cell r="C802" t="str">
            <v>EQUIPMENT&amp; FURNITURE REPAIRS &amp; MAINTENANCE</v>
          </cell>
          <cell r="D802">
            <v>10000</v>
          </cell>
          <cell r="E802">
            <v>4350</v>
          </cell>
          <cell r="G802">
            <v>8700</v>
          </cell>
          <cell r="H802">
            <v>1.1494252873563218</v>
          </cell>
        </row>
        <row r="803">
          <cell r="A803" t="str">
            <v>155-10-016</v>
          </cell>
          <cell r="B803">
            <v>170</v>
          </cell>
          <cell r="C803" t="str">
            <v>EQUIPMENT&amp; FURNITURE REPAIRS &amp; MAINTENANCE</v>
          </cell>
          <cell r="D803">
            <v>36000</v>
          </cell>
          <cell r="E803">
            <v>27616</v>
          </cell>
          <cell r="G803">
            <v>45000</v>
          </cell>
          <cell r="H803">
            <v>0.8</v>
          </cell>
        </row>
        <row r="804">
          <cell r="A804" t="str">
            <v>155-10-016</v>
          </cell>
          <cell r="B804">
            <v>110</v>
          </cell>
          <cell r="C804" t="str">
            <v>EQUIPMENT&amp; FURNITURE REPAIRS &amp; MAINTENANCE</v>
          </cell>
          <cell r="D804">
            <v>7200</v>
          </cell>
          <cell r="E804">
            <v>2200</v>
          </cell>
          <cell r="G804">
            <v>4400</v>
          </cell>
          <cell r="H804">
            <v>1.6363636363636365</v>
          </cell>
        </row>
        <row r="805">
          <cell r="A805" t="str">
            <v>155-10-016</v>
          </cell>
          <cell r="B805">
            <v>50</v>
          </cell>
          <cell r="C805" t="str">
            <v>EQUIPMENT&amp; FURNITURE REPAIRS &amp; MAINTENANCE</v>
          </cell>
          <cell r="D805">
            <v>8000</v>
          </cell>
          <cell r="E805">
            <v>1150</v>
          </cell>
          <cell r="G805">
            <v>2300</v>
          </cell>
          <cell r="H805">
            <v>3.4782608695652173</v>
          </cell>
        </row>
        <row r="806">
          <cell r="A806" t="str">
            <v>155-10-016</v>
          </cell>
          <cell r="B806">
            <v>30</v>
          </cell>
          <cell r="C806" t="str">
            <v>EQUIPMENT&amp; FURNITURE REPAIRS &amp; MAINTENANCE</v>
          </cell>
          <cell r="D806">
            <v>8000</v>
          </cell>
          <cell r="E806">
            <v>8519.4</v>
          </cell>
          <cell r="G806">
            <v>9038.7999999999993</v>
          </cell>
          <cell r="H806">
            <v>0.88507323981059438</v>
          </cell>
        </row>
        <row r="807">
          <cell r="A807" t="str">
            <v>155-10-016</v>
          </cell>
          <cell r="B807">
            <v>140</v>
          </cell>
          <cell r="C807" t="str">
            <v>EQUIPMENT&amp; FURNITURE REPAIRS &amp; MAINTENANCE</v>
          </cell>
          <cell r="D807">
            <v>6000</v>
          </cell>
          <cell r="E807">
            <v>2660</v>
          </cell>
          <cell r="G807">
            <v>5320</v>
          </cell>
          <cell r="H807">
            <v>1.1278195488721805</v>
          </cell>
        </row>
        <row r="808">
          <cell r="A808" t="str">
            <v>155-10-016</v>
          </cell>
          <cell r="B808">
            <v>40</v>
          </cell>
          <cell r="C808" t="str">
            <v>EQUIPMENT&amp; FURNITURE REPAIRS &amp; MAINTENANCE</v>
          </cell>
          <cell r="D808">
            <v>0</v>
          </cell>
          <cell r="E808">
            <v>1480</v>
          </cell>
          <cell r="G808">
            <v>2960</v>
          </cell>
          <cell r="H808">
            <v>0</v>
          </cell>
        </row>
        <row r="809">
          <cell r="A809" t="str">
            <v>155-10-016</v>
          </cell>
          <cell r="B809">
            <v>180</v>
          </cell>
          <cell r="C809" t="str">
            <v>EQUIPMENT&amp; FURNITURE REPAIRS &amp; MAINTENANCE</v>
          </cell>
          <cell r="D809">
            <v>16000</v>
          </cell>
          <cell r="E809">
            <v>650</v>
          </cell>
          <cell r="G809">
            <v>1300</v>
          </cell>
          <cell r="H809">
            <v>12.307692307692308</v>
          </cell>
        </row>
        <row r="810">
          <cell r="A810" t="str">
            <v>155-10-017</v>
          </cell>
          <cell r="B810">
            <v>70</v>
          </cell>
          <cell r="C810" t="str">
            <v>SEMINARS &amp; SHORT TERM COURSES</v>
          </cell>
          <cell r="D810">
            <v>0</v>
          </cell>
          <cell r="G810">
            <v>0</v>
          </cell>
          <cell r="H810" t="str">
            <v/>
          </cell>
        </row>
        <row r="811">
          <cell r="A811" t="str">
            <v>155-10-017</v>
          </cell>
          <cell r="B811">
            <v>150</v>
          </cell>
          <cell r="C811" t="str">
            <v>SEMINARS &amp; SHORT TERM COURSES</v>
          </cell>
          <cell r="D811">
            <v>0</v>
          </cell>
          <cell r="E811">
            <v>0</v>
          </cell>
          <cell r="G811">
            <v>0</v>
          </cell>
          <cell r="H811" t="str">
            <v/>
          </cell>
        </row>
        <row r="812">
          <cell r="A812" t="str">
            <v>155-10-017</v>
          </cell>
          <cell r="B812">
            <v>120</v>
          </cell>
          <cell r="C812" t="str">
            <v>SEMINARS &amp; SHORT TERM COURSES</v>
          </cell>
          <cell r="D812">
            <v>8000</v>
          </cell>
          <cell r="G812">
            <v>0</v>
          </cell>
          <cell r="H812" t="str">
            <v/>
          </cell>
        </row>
        <row r="813">
          <cell r="A813" t="str">
            <v>155-10-017</v>
          </cell>
          <cell r="B813">
            <v>160</v>
          </cell>
          <cell r="C813" t="str">
            <v>SEMINARS &amp; SHORT TERM COURSES</v>
          </cell>
          <cell r="D813">
            <v>17500</v>
          </cell>
          <cell r="E813">
            <v>0</v>
          </cell>
          <cell r="G813">
            <v>15000</v>
          </cell>
          <cell r="H813">
            <v>1.1666666666666667</v>
          </cell>
        </row>
        <row r="814">
          <cell r="A814" t="str">
            <v>155-10-017</v>
          </cell>
          <cell r="B814">
            <v>90</v>
          </cell>
          <cell r="C814" t="str">
            <v>SEMINARS &amp; SHORT TERM COURSES</v>
          </cell>
          <cell r="D814">
            <v>0</v>
          </cell>
          <cell r="E814">
            <v>0</v>
          </cell>
          <cell r="G814">
            <v>0</v>
          </cell>
          <cell r="H814" t="str">
            <v/>
          </cell>
        </row>
        <row r="815">
          <cell r="A815" t="str">
            <v>155-10-017</v>
          </cell>
          <cell r="B815">
            <v>80</v>
          </cell>
          <cell r="C815" t="str">
            <v>SEMINARS &amp; SHORT TERM COURSES</v>
          </cell>
          <cell r="D815">
            <v>0</v>
          </cell>
          <cell r="E815">
            <v>0</v>
          </cell>
          <cell r="G815">
            <v>0</v>
          </cell>
          <cell r="H815" t="str">
            <v/>
          </cell>
        </row>
        <row r="816">
          <cell r="A816" t="str">
            <v>155-10-017</v>
          </cell>
          <cell r="B816">
            <v>60</v>
          </cell>
          <cell r="C816" t="str">
            <v>SEMINARS &amp; SHORT TERM COURSES</v>
          </cell>
          <cell r="D816">
            <v>0</v>
          </cell>
          <cell r="E816">
            <v>2000</v>
          </cell>
          <cell r="G816">
            <v>4000</v>
          </cell>
          <cell r="H816">
            <v>0</v>
          </cell>
        </row>
        <row r="817">
          <cell r="A817" t="str">
            <v>155-10-017</v>
          </cell>
          <cell r="B817">
            <v>170</v>
          </cell>
          <cell r="C817" t="str">
            <v>SEMINARS &amp; SHORT TERM COURSES</v>
          </cell>
          <cell r="D817">
            <v>55000</v>
          </cell>
          <cell r="E817">
            <v>0</v>
          </cell>
          <cell r="G817">
            <v>75000</v>
          </cell>
          <cell r="H817">
            <v>0.73333333333333328</v>
          </cell>
        </row>
        <row r="818">
          <cell r="A818" t="str">
            <v>155-10-017</v>
          </cell>
          <cell r="B818">
            <v>110</v>
          </cell>
          <cell r="C818" t="str">
            <v>SEMINARS &amp; SHORT TERM COURSES</v>
          </cell>
          <cell r="D818">
            <v>0</v>
          </cell>
          <cell r="E818">
            <v>0</v>
          </cell>
          <cell r="G818">
            <v>0</v>
          </cell>
          <cell r="H818" t="str">
            <v/>
          </cell>
        </row>
        <row r="819">
          <cell r="A819" t="str">
            <v>155-10-017</v>
          </cell>
          <cell r="B819">
            <v>50</v>
          </cell>
          <cell r="C819" t="str">
            <v>SEMINARS &amp; SHORT TERM COURSES</v>
          </cell>
          <cell r="D819">
            <v>20000</v>
          </cell>
          <cell r="E819">
            <v>0</v>
          </cell>
          <cell r="G819">
            <v>0</v>
          </cell>
          <cell r="H819" t="str">
            <v/>
          </cell>
        </row>
        <row r="820">
          <cell r="A820" t="str">
            <v>155-10-017</v>
          </cell>
          <cell r="B820">
            <v>30</v>
          </cell>
          <cell r="C820" t="str">
            <v>SEMINARS &amp; SHORT TERM COURSES</v>
          </cell>
          <cell r="D820">
            <v>0</v>
          </cell>
          <cell r="G820">
            <v>0</v>
          </cell>
          <cell r="H820" t="str">
            <v/>
          </cell>
        </row>
        <row r="821">
          <cell r="A821" t="str">
            <v>155-10-017</v>
          </cell>
          <cell r="B821">
            <v>140</v>
          </cell>
          <cell r="C821" t="str">
            <v>SEMINARS &amp; SHORT TERM COURSES</v>
          </cell>
          <cell r="D821">
            <v>0</v>
          </cell>
          <cell r="G821">
            <v>0</v>
          </cell>
          <cell r="H821" t="str">
            <v/>
          </cell>
        </row>
        <row r="822">
          <cell r="A822" t="str">
            <v>155-10-017</v>
          </cell>
          <cell r="B822">
            <v>40</v>
          </cell>
          <cell r="C822" t="str">
            <v>SEMINARS &amp; SHORT TERM COURSES</v>
          </cell>
          <cell r="D822">
            <v>0</v>
          </cell>
          <cell r="E822">
            <v>0</v>
          </cell>
          <cell r="G822">
            <v>0</v>
          </cell>
          <cell r="H822" t="str">
            <v/>
          </cell>
        </row>
        <row r="823">
          <cell r="A823" t="str">
            <v>155-10-017</v>
          </cell>
          <cell r="B823">
            <v>180</v>
          </cell>
          <cell r="C823" t="str">
            <v>SEMINARS &amp; SHORT TERM COURSES</v>
          </cell>
          <cell r="D823">
            <v>0</v>
          </cell>
          <cell r="E823">
            <v>0</v>
          </cell>
          <cell r="G823">
            <v>0</v>
          </cell>
          <cell r="H823" t="str">
            <v/>
          </cell>
        </row>
        <row r="824">
          <cell r="A824" t="str">
            <v>155-10-022</v>
          </cell>
          <cell r="B824">
            <v>70</v>
          </cell>
          <cell r="C824" t="str">
            <v>PRINTING &amp; STATIONERY</v>
          </cell>
          <cell r="D824">
            <v>90000</v>
          </cell>
          <cell r="E824">
            <v>62148</v>
          </cell>
          <cell r="G824">
            <v>75000</v>
          </cell>
          <cell r="H824">
            <v>1.2</v>
          </cell>
        </row>
        <row r="825">
          <cell r="A825" t="str">
            <v>155-10-022</v>
          </cell>
          <cell r="B825">
            <v>150</v>
          </cell>
          <cell r="C825" t="str">
            <v>PRINTING &amp; STATIONERY</v>
          </cell>
          <cell r="D825">
            <v>135000</v>
          </cell>
          <cell r="E825">
            <v>56544</v>
          </cell>
          <cell r="G825">
            <v>99000</v>
          </cell>
          <cell r="H825">
            <v>1.3636363636363635</v>
          </cell>
        </row>
        <row r="826">
          <cell r="A826" t="str">
            <v>155-10-022</v>
          </cell>
          <cell r="B826">
            <v>120</v>
          </cell>
          <cell r="C826" t="str">
            <v>PRINTING &amp; STATIONERY</v>
          </cell>
          <cell r="D826">
            <v>115000</v>
          </cell>
          <cell r="E826">
            <v>56000</v>
          </cell>
          <cell r="G826">
            <v>112000</v>
          </cell>
          <cell r="H826">
            <v>1.0267857142857142</v>
          </cell>
        </row>
        <row r="827">
          <cell r="A827" t="str">
            <v>155-10-022</v>
          </cell>
          <cell r="B827">
            <v>160</v>
          </cell>
          <cell r="C827" t="str">
            <v>PRINTING &amp; STATIONERY</v>
          </cell>
          <cell r="D827">
            <v>95000</v>
          </cell>
          <cell r="E827">
            <v>60211.85</v>
          </cell>
          <cell r="G827">
            <v>75000</v>
          </cell>
          <cell r="H827">
            <v>1.2666666666666666</v>
          </cell>
        </row>
        <row r="828">
          <cell r="A828" t="str">
            <v>155-10-022</v>
          </cell>
          <cell r="B828">
            <v>90</v>
          </cell>
          <cell r="C828" t="str">
            <v>PRINTING &amp; STATIONERY</v>
          </cell>
          <cell r="D828">
            <v>75000</v>
          </cell>
          <cell r="G828">
            <v>0</v>
          </cell>
          <cell r="H828" t="str">
            <v/>
          </cell>
        </row>
        <row r="829">
          <cell r="A829" t="str">
            <v>155-10-022</v>
          </cell>
          <cell r="B829">
            <v>80</v>
          </cell>
          <cell r="C829" t="str">
            <v>PRINTING &amp; STATIONERY</v>
          </cell>
          <cell r="D829">
            <v>175000</v>
          </cell>
          <cell r="E829">
            <v>80730</v>
          </cell>
          <cell r="G829">
            <v>161460</v>
          </cell>
          <cell r="H829">
            <v>1.0838597795119533</v>
          </cell>
        </row>
        <row r="830">
          <cell r="A830" t="str">
            <v>155-10-022</v>
          </cell>
          <cell r="B830">
            <v>60</v>
          </cell>
          <cell r="C830" t="str">
            <v>PRINTING &amp; STATIONERY</v>
          </cell>
          <cell r="D830">
            <v>215747.5</v>
          </cell>
          <cell r="E830">
            <v>106275.5</v>
          </cell>
          <cell r="G830">
            <v>212551</v>
          </cell>
          <cell r="H830">
            <v>1.0150387436427022</v>
          </cell>
        </row>
        <row r="831">
          <cell r="A831" t="str">
            <v>155-10-022</v>
          </cell>
          <cell r="B831">
            <v>170</v>
          </cell>
          <cell r="C831" t="str">
            <v>PRINTING &amp; STATIONERY</v>
          </cell>
          <cell r="D831">
            <v>703469</v>
          </cell>
          <cell r="E831">
            <v>570325</v>
          </cell>
          <cell r="G831">
            <v>640650</v>
          </cell>
          <cell r="H831">
            <v>1.0980551002887693</v>
          </cell>
        </row>
        <row r="832">
          <cell r="A832" t="str">
            <v>155-10-022</v>
          </cell>
          <cell r="B832">
            <v>110</v>
          </cell>
          <cell r="C832" t="str">
            <v>PRINTING &amp; STATIONERY</v>
          </cell>
          <cell r="D832">
            <v>112222</v>
          </cell>
          <cell r="E832">
            <v>42179</v>
          </cell>
          <cell r="G832">
            <v>96000</v>
          </cell>
          <cell r="H832">
            <v>1.1689791666666667</v>
          </cell>
        </row>
        <row r="833">
          <cell r="A833" t="str">
            <v>155-10-022</v>
          </cell>
          <cell r="B833">
            <v>50</v>
          </cell>
          <cell r="C833" t="str">
            <v>PRINTING &amp; STATIONERY</v>
          </cell>
          <cell r="D833">
            <v>130000</v>
          </cell>
          <cell r="E833">
            <v>55139</v>
          </cell>
          <cell r="G833">
            <v>110278</v>
          </cell>
          <cell r="H833">
            <v>1.1788389343296033</v>
          </cell>
        </row>
        <row r="834">
          <cell r="A834" t="str">
            <v>155-10-022</v>
          </cell>
          <cell r="B834">
            <v>30</v>
          </cell>
          <cell r="C834" t="str">
            <v>PRINTING &amp; STATIONERY</v>
          </cell>
          <cell r="D834">
            <v>115000</v>
          </cell>
          <cell r="E834">
            <v>49305</v>
          </cell>
          <cell r="G834">
            <v>80000</v>
          </cell>
          <cell r="H834">
            <v>1.4375</v>
          </cell>
        </row>
        <row r="835">
          <cell r="A835" t="str">
            <v>155-10-022</v>
          </cell>
          <cell r="B835">
            <v>140</v>
          </cell>
          <cell r="C835" t="str">
            <v>PRINTING &amp; STATIONERY</v>
          </cell>
          <cell r="D835">
            <v>150000</v>
          </cell>
          <cell r="E835">
            <v>93419.5</v>
          </cell>
          <cell r="G835">
            <v>124000</v>
          </cell>
          <cell r="H835">
            <v>1.2096774193548387</v>
          </cell>
        </row>
        <row r="836">
          <cell r="A836" t="str">
            <v>155-10-022</v>
          </cell>
          <cell r="B836">
            <v>40</v>
          </cell>
          <cell r="C836" t="str">
            <v>PRINTING &amp; STATIONERY</v>
          </cell>
          <cell r="D836">
            <v>150000</v>
          </cell>
          <cell r="E836">
            <v>66196</v>
          </cell>
          <cell r="G836">
            <v>132392</v>
          </cell>
          <cell r="H836">
            <v>1.132998972747598</v>
          </cell>
        </row>
        <row r="837">
          <cell r="A837" t="str">
            <v>155-10-022</v>
          </cell>
          <cell r="B837">
            <v>180</v>
          </cell>
          <cell r="C837" t="str">
            <v>PRINTING &amp; STATIONERY</v>
          </cell>
          <cell r="D837">
            <v>139000</v>
          </cell>
          <cell r="E837">
            <v>53930</v>
          </cell>
          <cell r="G837">
            <v>107860</v>
          </cell>
          <cell r="H837">
            <v>1.2887075839050621</v>
          </cell>
        </row>
        <row r="838">
          <cell r="A838" t="str">
            <v>155-10-025</v>
          </cell>
          <cell r="B838">
            <v>70</v>
          </cell>
          <cell r="C838" t="str">
            <v>STRATEGIC PLANNING</v>
          </cell>
          <cell r="D838">
            <v>0</v>
          </cell>
          <cell r="G838">
            <v>0</v>
          </cell>
          <cell r="H838" t="str">
            <v/>
          </cell>
        </row>
        <row r="839">
          <cell r="A839" t="str">
            <v>155-10-025</v>
          </cell>
          <cell r="B839">
            <v>150</v>
          </cell>
          <cell r="C839" t="str">
            <v>STRATEGIC PLANNING</v>
          </cell>
          <cell r="D839">
            <v>0</v>
          </cell>
          <cell r="E839">
            <v>0</v>
          </cell>
          <cell r="G839">
            <v>0</v>
          </cell>
          <cell r="H839" t="str">
            <v/>
          </cell>
        </row>
        <row r="840">
          <cell r="A840" t="str">
            <v>155-10-025</v>
          </cell>
          <cell r="B840">
            <v>120</v>
          </cell>
          <cell r="C840" t="str">
            <v>STRATEGIC PLANNING</v>
          </cell>
          <cell r="D840">
            <v>0</v>
          </cell>
          <cell r="G840">
            <v>0</v>
          </cell>
          <cell r="H840" t="str">
            <v/>
          </cell>
        </row>
        <row r="841">
          <cell r="A841" t="str">
            <v>155-10-025</v>
          </cell>
          <cell r="B841">
            <v>160</v>
          </cell>
          <cell r="C841" t="str">
            <v>STRATEGIC PLANNING</v>
          </cell>
          <cell r="D841">
            <v>0</v>
          </cell>
          <cell r="G841">
            <v>0</v>
          </cell>
          <cell r="H841" t="str">
            <v/>
          </cell>
        </row>
        <row r="842">
          <cell r="A842" t="str">
            <v>155-10-025</v>
          </cell>
          <cell r="B842">
            <v>90</v>
          </cell>
          <cell r="C842" t="str">
            <v>STRATEGIC PLANNING</v>
          </cell>
          <cell r="D842">
            <v>0</v>
          </cell>
          <cell r="E842">
            <v>0</v>
          </cell>
          <cell r="G842">
            <v>0</v>
          </cell>
          <cell r="H842" t="str">
            <v/>
          </cell>
        </row>
        <row r="843">
          <cell r="A843" t="str">
            <v>155-10-025</v>
          </cell>
          <cell r="B843">
            <v>80</v>
          </cell>
          <cell r="C843" t="str">
            <v>STRATEGIC PLANNING</v>
          </cell>
          <cell r="D843">
            <v>0</v>
          </cell>
          <cell r="G843">
            <v>0</v>
          </cell>
          <cell r="H843" t="str">
            <v/>
          </cell>
        </row>
        <row r="844">
          <cell r="A844" t="str">
            <v>155-10-025</v>
          </cell>
          <cell r="B844">
            <v>60</v>
          </cell>
          <cell r="C844" t="str">
            <v>STRATEGIC PLANNING</v>
          </cell>
          <cell r="D844">
            <v>0</v>
          </cell>
          <cell r="G844">
            <v>0</v>
          </cell>
          <cell r="H844" t="str">
            <v/>
          </cell>
        </row>
        <row r="845">
          <cell r="A845" t="str">
            <v>155-10-025</v>
          </cell>
          <cell r="B845">
            <v>170</v>
          </cell>
          <cell r="C845" t="str">
            <v>STRATEGIC PLANNING</v>
          </cell>
          <cell r="D845">
            <v>0</v>
          </cell>
          <cell r="E845">
            <v>0</v>
          </cell>
          <cell r="G845">
            <v>0</v>
          </cell>
          <cell r="H845" t="str">
            <v/>
          </cell>
        </row>
        <row r="846">
          <cell r="A846" t="str">
            <v>155-10-025</v>
          </cell>
          <cell r="B846">
            <v>110</v>
          </cell>
          <cell r="C846" t="str">
            <v>STRATEGIC PLANNING</v>
          </cell>
          <cell r="D846">
            <v>0</v>
          </cell>
          <cell r="G846">
            <v>0</v>
          </cell>
          <cell r="H846" t="str">
            <v/>
          </cell>
        </row>
        <row r="847">
          <cell r="A847" t="str">
            <v>155-10-025</v>
          </cell>
          <cell r="B847">
            <v>50</v>
          </cell>
          <cell r="C847" t="str">
            <v>STRATEGIC PLANNING</v>
          </cell>
          <cell r="D847">
            <v>0</v>
          </cell>
          <cell r="G847">
            <v>0</v>
          </cell>
          <cell r="H847" t="str">
            <v/>
          </cell>
        </row>
        <row r="848">
          <cell r="A848" t="str">
            <v>155-10-025</v>
          </cell>
          <cell r="B848">
            <v>30</v>
          </cell>
          <cell r="C848" t="str">
            <v>STRATEGIC PLANNING</v>
          </cell>
          <cell r="D848">
            <v>0</v>
          </cell>
          <cell r="E848">
            <v>0</v>
          </cell>
          <cell r="G848">
            <v>0</v>
          </cell>
          <cell r="H848" t="str">
            <v/>
          </cell>
        </row>
        <row r="849">
          <cell r="A849" t="str">
            <v>155-10-025</v>
          </cell>
          <cell r="B849">
            <v>140</v>
          </cell>
          <cell r="C849" t="str">
            <v>STRATEGIC PLANNING</v>
          </cell>
          <cell r="D849">
            <v>0</v>
          </cell>
          <cell r="E849">
            <v>0</v>
          </cell>
          <cell r="G849">
            <v>0</v>
          </cell>
          <cell r="H849" t="str">
            <v/>
          </cell>
        </row>
        <row r="850">
          <cell r="A850" t="str">
            <v>155-10-025</v>
          </cell>
          <cell r="B850">
            <v>40</v>
          </cell>
          <cell r="C850" t="str">
            <v>STRATEGIC PLANNING</v>
          </cell>
          <cell r="D850">
            <v>0</v>
          </cell>
          <cell r="G850">
            <v>0</v>
          </cell>
          <cell r="H850" t="str">
            <v/>
          </cell>
        </row>
        <row r="851">
          <cell r="A851" t="str">
            <v>155-10-025</v>
          </cell>
          <cell r="B851">
            <v>180</v>
          </cell>
          <cell r="C851" t="str">
            <v>STRATEGIC PLANNING</v>
          </cell>
          <cell r="D851">
            <v>0</v>
          </cell>
          <cell r="E851">
            <v>0</v>
          </cell>
          <cell r="G851">
            <v>0</v>
          </cell>
          <cell r="H851" t="str">
            <v/>
          </cell>
        </row>
        <row r="852">
          <cell r="A852" t="str">
            <v>155-10-027</v>
          </cell>
          <cell r="B852">
            <v>70</v>
          </cell>
          <cell r="C852" t="str">
            <v>PROFESSIONAL SUBSCRIPTIONS</v>
          </cell>
          <cell r="D852">
            <v>0</v>
          </cell>
          <cell r="G852">
            <v>0</v>
          </cell>
          <cell r="H852" t="str">
            <v/>
          </cell>
        </row>
        <row r="853">
          <cell r="A853" t="str">
            <v>155-10-027</v>
          </cell>
          <cell r="B853">
            <v>150</v>
          </cell>
          <cell r="C853" t="str">
            <v>PROFESSIONAL SUBSCRIPTIONS</v>
          </cell>
          <cell r="D853">
            <v>0</v>
          </cell>
          <cell r="E853">
            <v>0</v>
          </cell>
          <cell r="G853">
            <v>0</v>
          </cell>
          <cell r="H853" t="str">
            <v/>
          </cell>
        </row>
        <row r="854">
          <cell r="A854" t="str">
            <v>155-10-027</v>
          </cell>
          <cell r="B854">
            <v>120</v>
          </cell>
          <cell r="C854" t="str">
            <v>PROFESSIONAL SUBSCRIPTIONS</v>
          </cell>
          <cell r="D854">
            <v>0</v>
          </cell>
          <cell r="G854">
            <v>0</v>
          </cell>
          <cell r="H854" t="str">
            <v/>
          </cell>
        </row>
        <row r="855">
          <cell r="A855" t="str">
            <v>155-10-027</v>
          </cell>
          <cell r="B855">
            <v>160</v>
          </cell>
          <cell r="C855" t="str">
            <v>PROFESSIONAL SUBSCRIPTIONS</v>
          </cell>
          <cell r="D855">
            <v>0</v>
          </cell>
          <cell r="E855">
            <v>0</v>
          </cell>
          <cell r="G855">
            <v>0</v>
          </cell>
          <cell r="H855" t="str">
            <v/>
          </cell>
        </row>
        <row r="856">
          <cell r="A856" t="str">
            <v>155-10-027</v>
          </cell>
          <cell r="B856">
            <v>90</v>
          </cell>
          <cell r="C856" t="str">
            <v>PROFESSIONAL SUBSCRIPTIONS</v>
          </cell>
          <cell r="D856">
            <v>0</v>
          </cell>
          <cell r="E856">
            <v>0</v>
          </cell>
          <cell r="G856">
            <v>0</v>
          </cell>
          <cell r="H856" t="str">
            <v/>
          </cell>
        </row>
        <row r="857">
          <cell r="A857" t="str">
            <v>155-10-027</v>
          </cell>
          <cell r="B857">
            <v>80</v>
          </cell>
          <cell r="C857" t="str">
            <v>PROFESSIONAL SUBSCRIPTIONS</v>
          </cell>
          <cell r="D857">
            <v>0</v>
          </cell>
          <cell r="E857">
            <v>0</v>
          </cell>
          <cell r="G857">
            <v>0</v>
          </cell>
          <cell r="H857" t="str">
            <v/>
          </cell>
        </row>
        <row r="858">
          <cell r="A858" t="str">
            <v>155-10-027</v>
          </cell>
          <cell r="B858">
            <v>60</v>
          </cell>
          <cell r="C858" t="str">
            <v>PROFESSIONAL SUBSCRIPTIONS</v>
          </cell>
          <cell r="D858">
            <v>0</v>
          </cell>
          <cell r="G858">
            <v>0</v>
          </cell>
          <cell r="H858" t="str">
            <v/>
          </cell>
        </row>
        <row r="859">
          <cell r="A859" t="str">
            <v>155-10-027</v>
          </cell>
          <cell r="B859">
            <v>170</v>
          </cell>
          <cell r="C859" t="str">
            <v>PROFESSIONAL SUBSCRIPTIONS</v>
          </cell>
          <cell r="D859">
            <v>19625</v>
          </cell>
          <cell r="E859">
            <v>10093</v>
          </cell>
          <cell r="G859">
            <v>20186</v>
          </cell>
          <cell r="H859">
            <v>0.97220846130981864</v>
          </cell>
        </row>
        <row r="860">
          <cell r="A860" t="str">
            <v>155-10-027</v>
          </cell>
          <cell r="B860">
            <v>110</v>
          </cell>
          <cell r="C860" t="str">
            <v>PROFESSIONAL SUBSCRIPTIONS</v>
          </cell>
          <cell r="D860">
            <v>0</v>
          </cell>
          <cell r="E860">
            <v>0</v>
          </cell>
          <cell r="G860">
            <v>0</v>
          </cell>
          <cell r="H860" t="str">
            <v/>
          </cell>
        </row>
        <row r="861">
          <cell r="A861" t="str">
            <v>155-10-027</v>
          </cell>
          <cell r="B861">
            <v>50</v>
          </cell>
          <cell r="C861" t="str">
            <v>PROFESSIONAL SUBSCRIPTIONS</v>
          </cell>
          <cell r="D861">
            <v>29375</v>
          </cell>
          <cell r="E861">
            <v>0</v>
          </cell>
          <cell r="G861">
            <v>0</v>
          </cell>
          <cell r="H861" t="str">
            <v/>
          </cell>
        </row>
        <row r="862">
          <cell r="A862" t="str">
            <v>155-10-027</v>
          </cell>
          <cell r="B862">
            <v>30</v>
          </cell>
          <cell r="C862" t="str">
            <v>PROFESSIONAL SUBSCRIPTIONS</v>
          </cell>
          <cell r="D862">
            <v>0</v>
          </cell>
          <cell r="G862">
            <v>0</v>
          </cell>
          <cell r="H862" t="str">
            <v/>
          </cell>
        </row>
        <row r="863">
          <cell r="A863" t="str">
            <v>155-10-027</v>
          </cell>
          <cell r="B863">
            <v>140</v>
          </cell>
          <cell r="C863" t="str">
            <v>PROFESSIONAL SUBSCRIPTIONS</v>
          </cell>
          <cell r="D863">
            <v>0</v>
          </cell>
          <cell r="G863">
            <v>0</v>
          </cell>
          <cell r="H863" t="str">
            <v/>
          </cell>
        </row>
        <row r="864">
          <cell r="A864" t="str">
            <v>155-10-027</v>
          </cell>
          <cell r="B864">
            <v>40</v>
          </cell>
          <cell r="C864" t="str">
            <v>PROFESSIONAL SUBSCRIPTIONS</v>
          </cell>
          <cell r="D864">
            <v>0</v>
          </cell>
          <cell r="E864">
            <v>0</v>
          </cell>
          <cell r="G864">
            <v>0</v>
          </cell>
          <cell r="H864" t="str">
            <v/>
          </cell>
        </row>
        <row r="865">
          <cell r="A865" t="str">
            <v>155-10-027</v>
          </cell>
          <cell r="B865">
            <v>180</v>
          </cell>
          <cell r="C865" t="str">
            <v>PROFESSIONAL SUBSCRIPTIONS</v>
          </cell>
          <cell r="D865">
            <v>10625</v>
          </cell>
          <cell r="E865">
            <v>0</v>
          </cell>
          <cell r="G865">
            <v>0</v>
          </cell>
          <cell r="H865" t="str">
            <v/>
          </cell>
        </row>
        <row r="866">
          <cell r="A866" t="str">
            <v>155-10-028</v>
          </cell>
          <cell r="B866">
            <v>70</v>
          </cell>
          <cell r="C866" t="str">
            <v xml:space="preserve"> SUBSCRIPTIONS -COMPANY MEMBERSHIP</v>
          </cell>
          <cell r="D866">
            <v>0</v>
          </cell>
          <cell r="G866">
            <v>0</v>
          </cell>
          <cell r="H866" t="str">
            <v/>
          </cell>
        </row>
        <row r="867">
          <cell r="A867" t="str">
            <v>155-10-028</v>
          </cell>
          <cell r="B867">
            <v>150</v>
          </cell>
          <cell r="C867" t="str">
            <v xml:space="preserve"> SUBSCRIPTIONS -COMPANY MEMBERSHIP</v>
          </cell>
          <cell r="D867">
            <v>0</v>
          </cell>
          <cell r="E867">
            <v>0</v>
          </cell>
          <cell r="G867">
            <v>0</v>
          </cell>
          <cell r="H867" t="str">
            <v/>
          </cell>
        </row>
        <row r="868">
          <cell r="A868" t="str">
            <v>155-10-028</v>
          </cell>
          <cell r="B868">
            <v>120</v>
          </cell>
          <cell r="C868" t="str">
            <v xml:space="preserve"> SUBSCRIPTIONS -COMPANY MEMBERSHIP</v>
          </cell>
          <cell r="D868">
            <v>0</v>
          </cell>
          <cell r="G868">
            <v>0</v>
          </cell>
          <cell r="H868" t="str">
            <v/>
          </cell>
        </row>
        <row r="869">
          <cell r="A869" t="str">
            <v>155-10-028</v>
          </cell>
          <cell r="B869">
            <v>160</v>
          </cell>
          <cell r="C869" t="str">
            <v xml:space="preserve"> SUBSCRIPTIONS -COMPANY MEMBERSHIP</v>
          </cell>
          <cell r="D869">
            <v>0</v>
          </cell>
          <cell r="E869">
            <v>0</v>
          </cell>
          <cell r="G869">
            <v>0</v>
          </cell>
          <cell r="H869" t="str">
            <v/>
          </cell>
        </row>
        <row r="870">
          <cell r="A870" t="str">
            <v>155-10-028</v>
          </cell>
          <cell r="B870">
            <v>90</v>
          </cell>
          <cell r="C870" t="str">
            <v xml:space="preserve"> SUBSCRIPTIONS -COMPANY MEMBERSHIP</v>
          </cell>
          <cell r="D870">
            <v>0</v>
          </cell>
          <cell r="E870">
            <v>0</v>
          </cell>
          <cell r="G870">
            <v>0</v>
          </cell>
          <cell r="H870" t="str">
            <v/>
          </cell>
        </row>
        <row r="871">
          <cell r="A871" t="str">
            <v>155-10-028</v>
          </cell>
          <cell r="B871">
            <v>80</v>
          </cell>
          <cell r="C871" t="str">
            <v xml:space="preserve"> SUBSCRIPTIONS -COMPANY MEMBERSHIP</v>
          </cell>
          <cell r="D871">
            <v>0</v>
          </cell>
          <cell r="E871">
            <v>0</v>
          </cell>
          <cell r="G871">
            <v>0</v>
          </cell>
          <cell r="H871" t="str">
            <v/>
          </cell>
        </row>
        <row r="872">
          <cell r="A872" t="str">
            <v>155-10-028</v>
          </cell>
          <cell r="B872">
            <v>60</v>
          </cell>
          <cell r="C872" t="str">
            <v xml:space="preserve"> SUBSCRIPTIONS -COMPANY MEMBERSHIP</v>
          </cell>
          <cell r="D872">
            <v>0</v>
          </cell>
          <cell r="G872">
            <v>0</v>
          </cell>
          <cell r="H872" t="str">
            <v/>
          </cell>
        </row>
        <row r="873">
          <cell r="A873" t="str">
            <v>155-10-028</v>
          </cell>
          <cell r="B873">
            <v>170</v>
          </cell>
          <cell r="C873" t="str">
            <v xml:space="preserve"> SUBSCRIPTIONS -COMPANY MEMBERSHIP</v>
          </cell>
          <cell r="D873">
            <v>12000</v>
          </cell>
          <cell r="E873">
            <v>7500</v>
          </cell>
          <cell r="G873">
            <v>15000</v>
          </cell>
          <cell r="H873">
            <v>0.8</v>
          </cell>
        </row>
        <row r="874">
          <cell r="A874" t="str">
            <v>155-10-028</v>
          </cell>
          <cell r="B874">
            <v>110</v>
          </cell>
          <cell r="C874" t="str">
            <v xml:space="preserve"> SUBSCRIPTIONS -COMPANY MEMBERSHIP</v>
          </cell>
          <cell r="D874">
            <v>0</v>
          </cell>
          <cell r="E874">
            <v>0</v>
          </cell>
          <cell r="G874">
            <v>0</v>
          </cell>
          <cell r="H874" t="str">
            <v/>
          </cell>
        </row>
        <row r="875">
          <cell r="A875" t="str">
            <v>155-10-028</v>
          </cell>
          <cell r="B875">
            <v>50</v>
          </cell>
          <cell r="C875" t="str">
            <v xml:space="preserve"> SUBSCRIPTIONS -COMPANY MEMBERSHIP</v>
          </cell>
          <cell r="D875">
            <v>0</v>
          </cell>
          <cell r="E875">
            <v>0</v>
          </cell>
          <cell r="G875">
            <v>0</v>
          </cell>
          <cell r="H875" t="str">
            <v/>
          </cell>
        </row>
        <row r="876">
          <cell r="A876" t="str">
            <v>155-10-028</v>
          </cell>
          <cell r="B876">
            <v>30</v>
          </cell>
          <cell r="C876" t="str">
            <v xml:space="preserve"> SUBSCRIPTIONS -COMPANY MEMBERSHIP</v>
          </cell>
          <cell r="D876">
            <v>0</v>
          </cell>
          <cell r="G876">
            <v>0</v>
          </cell>
          <cell r="H876" t="str">
            <v/>
          </cell>
        </row>
        <row r="877">
          <cell r="A877" t="str">
            <v>155-10-028</v>
          </cell>
          <cell r="B877">
            <v>140</v>
          </cell>
          <cell r="C877" t="str">
            <v xml:space="preserve"> SUBSCRIPTIONS -COMPANY MEMBERSHIP</v>
          </cell>
          <cell r="D877">
            <v>0</v>
          </cell>
          <cell r="G877">
            <v>0</v>
          </cell>
          <cell r="H877" t="str">
            <v/>
          </cell>
        </row>
        <row r="878">
          <cell r="A878" t="str">
            <v>155-10-028</v>
          </cell>
          <cell r="B878">
            <v>40</v>
          </cell>
          <cell r="C878" t="str">
            <v xml:space="preserve"> SUBSCRIPTIONS -COMPANY MEMBERSHIP</v>
          </cell>
          <cell r="D878">
            <v>0</v>
          </cell>
          <cell r="E878">
            <v>0</v>
          </cell>
          <cell r="G878">
            <v>0</v>
          </cell>
          <cell r="H878" t="str">
            <v/>
          </cell>
        </row>
        <row r="879">
          <cell r="A879" t="str">
            <v>155-10-028</v>
          </cell>
          <cell r="B879">
            <v>180</v>
          </cell>
          <cell r="C879" t="str">
            <v xml:space="preserve"> SUBSCRIPTIONS -COMPANY MEMBERSHIP</v>
          </cell>
          <cell r="D879">
            <v>0</v>
          </cell>
          <cell r="E879">
            <v>0</v>
          </cell>
          <cell r="G879">
            <v>0</v>
          </cell>
          <cell r="H879" t="str">
            <v/>
          </cell>
        </row>
        <row r="880">
          <cell r="A880" t="str">
            <v>155-10-030</v>
          </cell>
          <cell r="B880">
            <v>70</v>
          </cell>
          <cell r="C880" t="str">
            <v>TRAVELLING &amp; ACCOMMODATION</v>
          </cell>
          <cell r="D880">
            <v>65000</v>
          </cell>
          <cell r="E880">
            <v>50520</v>
          </cell>
          <cell r="G880">
            <v>93000</v>
          </cell>
          <cell r="H880">
            <v>0.69892473118279574</v>
          </cell>
        </row>
        <row r="881">
          <cell r="A881" t="str">
            <v>155-10-030</v>
          </cell>
          <cell r="B881">
            <v>150</v>
          </cell>
          <cell r="C881" t="str">
            <v>TRAVELLING &amp; ACCOMMODATION</v>
          </cell>
          <cell r="D881">
            <v>5000</v>
          </cell>
          <cell r="E881">
            <v>3520</v>
          </cell>
          <cell r="G881">
            <v>6500</v>
          </cell>
          <cell r="H881">
            <v>0.76923076923076927</v>
          </cell>
        </row>
        <row r="882">
          <cell r="A882" t="str">
            <v>155-10-030</v>
          </cell>
          <cell r="B882">
            <v>120</v>
          </cell>
          <cell r="C882" t="str">
            <v>TRAVELLING &amp; ACCOMMODATION</v>
          </cell>
          <cell r="D882">
            <v>54000</v>
          </cell>
          <cell r="E882">
            <v>22000</v>
          </cell>
          <cell r="G882">
            <v>49000</v>
          </cell>
          <cell r="H882">
            <v>1.1020408163265305</v>
          </cell>
        </row>
        <row r="883">
          <cell r="A883" t="str">
            <v>155-10-030</v>
          </cell>
          <cell r="B883">
            <v>160</v>
          </cell>
          <cell r="C883" t="str">
            <v>TRAVELLING &amp; ACCOMMODATION</v>
          </cell>
          <cell r="D883">
            <v>7500</v>
          </cell>
          <cell r="E883">
            <v>0</v>
          </cell>
          <cell r="G883">
            <v>3000</v>
          </cell>
          <cell r="H883">
            <v>2.5</v>
          </cell>
        </row>
        <row r="884">
          <cell r="A884" t="str">
            <v>155-10-030</v>
          </cell>
          <cell r="B884">
            <v>90</v>
          </cell>
          <cell r="C884" t="str">
            <v>TRAVELLING &amp; ACCOMMODATION</v>
          </cell>
          <cell r="D884">
            <v>7500</v>
          </cell>
          <cell r="G884">
            <v>0</v>
          </cell>
          <cell r="H884" t="str">
            <v/>
          </cell>
        </row>
        <row r="885">
          <cell r="A885" t="str">
            <v>155-10-030</v>
          </cell>
          <cell r="B885">
            <v>80</v>
          </cell>
          <cell r="C885" t="str">
            <v>TRAVELLING &amp; ACCOMMODATION</v>
          </cell>
          <cell r="D885">
            <v>60000</v>
          </cell>
          <cell r="E885">
            <v>35970</v>
          </cell>
          <cell r="G885">
            <v>71940</v>
          </cell>
          <cell r="H885">
            <v>0.8340283569641368</v>
          </cell>
        </row>
        <row r="886">
          <cell r="A886" t="str">
            <v>155-10-030</v>
          </cell>
          <cell r="B886">
            <v>60</v>
          </cell>
          <cell r="C886" t="str">
            <v>TRAVELLING &amp; ACCOMMODATION</v>
          </cell>
          <cell r="D886">
            <v>98855</v>
          </cell>
          <cell r="E886">
            <v>44490</v>
          </cell>
          <cell r="G886">
            <v>88980</v>
          </cell>
          <cell r="H886">
            <v>1.1109799955046078</v>
          </cell>
        </row>
        <row r="887">
          <cell r="A887" t="str">
            <v>155-10-030</v>
          </cell>
          <cell r="B887">
            <v>170</v>
          </cell>
          <cell r="C887" t="str">
            <v>TRAVELLING &amp; ACCOMMODATION</v>
          </cell>
          <cell r="D887">
            <v>902804.6</v>
          </cell>
          <cell r="E887">
            <v>329262</v>
          </cell>
          <cell r="G887">
            <v>958524</v>
          </cell>
          <cell r="H887">
            <v>0.94186958281691435</v>
          </cell>
        </row>
        <row r="888">
          <cell r="A888" t="str">
            <v>155-10-030</v>
          </cell>
          <cell r="B888">
            <v>110</v>
          </cell>
          <cell r="C888" t="str">
            <v>TRAVELLING &amp; ACCOMMODATION</v>
          </cell>
          <cell r="D888">
            <v>55000</v>
          </cell>
          <cell r="E888">
            <v>23890</v>
          </cell>
          <cell r="G888">
            <v>47780</v>
          </cell>
          <cell r="H888">
            <v>1.151109250732524</v>
          </cell>
        </row>
        <row r="889">
          <cell r="A889" t="str">
            <v>155-10-030</v>
          </cell>
          <cell r="B889">
            <v>50</v>
          </cell>
          <cell r="C889" t="str">
            <v>TRAVELLING &amp; ACCOMMODATION</v>
          </cell>
          <cell r="D889">
            <v>54820.800000000003</v>
          </cell>
          <cell r="E889">
            <v>26644</v>
          </cell>
          <cell r="G889">
            <v>53288</v>
          </cell>
          <cell r="H889">
            <v>1.028764449782315</v>
          </cell>
        </row>
        <row r="890">
          <cell r="A890" t="str">
            <v>155-10-030</v>
          </cell>
          <cell r="B890">
            <v>30</v>
          </cell>
          <cell r="C890" t="str">
            <v>TRAVELLING &amp; ACCOMMODATION</v>
          </cell>
          <cell r="D890">
            <v>45000</v>
          </cell>
          <cell r="E890">
            <v>10170</v>
          </cell>
          <cell r="G890">
            <v>36000</v>
          </cell>
          <cell r="H890">
            <v>1.25</v>
          </cell>
        </row>
        <row r="891">
          <cell r="A891" t="str">
            <v>155-10-030</v>
          </cell>
          <cell r="B891">
            <v>140</v>
          </cell>
          <cell r="C891" t="str">
            <v>TRAVELLING &amp; ACCOMMODATION</v>
          </cell>
          <cell r="D891">
            <v>65000</v>
          </cell>
          <cell r="E891">
            <v>21718.2</v>
          </cell>
          <cell r="G891">
            <v>55000</v>
          </cell>
          <cell r="H891">
            <v>1.1818181818181819</v>
          </cell>
        </row>
        <row r="892">
          <cell r="A892" t="str">
            <v>155-10-030</v>
          </cell>
          <cell r="B892">
            <v>40</v>
          </cell>
          <cell r="C892" t="str">
            <v>TRAVELLING &amp; ACCOMMODATION</v>
          </cell>
          <cell r="D892">
            <v>60886</v>
          </cell>
          <cell r="E892">
            <v>23070</v>
          </cell>
          <cell r="G892">
            <v>46140</v>
          </cell>
          <cell r="H892">
            <v>1.3195925444299956</v>
          </cell>
        </row>
        <row r="893">
          <cell r="A893" t="str">
            <v>155-10-030</v>
          </cell>
          <cell r="B893">
            <v>180</v>
          </cell>
          <cell r="C893" t="str">
            <v>TRAVELLING &amp; ACCOMMODATION</v>
          </cell>
          <cell r="D893">
            <v>46107</v>
          </cell>
          <cell r="E893">
            <v>12780</v>
          </cell>
          <cell r="G893">
            <v>25560</v>
          </cell>
          <cell r="H893">
            <v>1.8038732394366197</v>
          </cell>
        </row>
        <row r="894">
          <cell r="A894" t="str">
            <v>155-10-032</v>
          </cell>
          <cell r="B894">
            <v>70</v>
          </cell>
          <cell r="C894" t="str">
            <v xml:space="preserve">MOTOR CAR EXPENSES </v>
          </cell>
          <cell r="D894">
            <v>0</v>
          </cell>
          <cell r="G894">
            <v>0</v>
          </cell>
          <cell r="H894" t="str">
            <v/>
          </cell>
        </row>
        <row r="895">
          <cell r="A895" t="str">
            <v>155-10-032</v>
          </cell>
          <cell r="B895">
            <v>150</v>
          </cell>
          <cell r="C895" t="str">
            <v xml:space="preserve">MOTOR CAR EXPENSES </v>
          </cell>
          <cell r="D895">
            <v>0</v>
          </cell>
          <cell r="E895">
            <v>0</v>
          </cell>
          <cell r="G895">
            <v>0</v>
          </cell>
          <cell r="H895" t="str">
            <v/>
          </cell>
        </row>
        <row r="896">
          <cell r="A896" t="str">
            <v>155-10-032</v>
          </cell>
          <cell r="B896">
            <v>120</v>
          </cell>
          <cell r="C896" t="str">
            <v xml:space="preserve">MOTOR CAR EXPENSES </v>
          </cell>
          <cell r="D896">
            <v>0</v>
          </cell>
          <cell r="G896">
            <v>0</v>
          </cell>
          <cell r="H896" t="str">
            <v/>
          </cell>
        </row>
        <row r="897">
          <cell r="A897" t="str">
            <v>155-10-032</v>
          </cell>
          <cell r="B897">
            <v>160</v>
          </cell>
          <cell r="C897" t="str">
            <v xml:space="preserve">MOTOR CAR EXPENSES </v>
          </cell>
          <cell r="D897">
            <v>0</v>
          </cell>
          <cell r="E897">
            <v>0</v>
          </cell>
          <cell r="G897">
            <v>0</v>
          </cell>
          <cell r="H897" t="str">
            <v/>
          </cell>
        </row>
        <row r="898">
          <cell r="A898" t="str">
            <v>155-10-032</v>
          </cell>
          <cell r="B898">
            <v>90</v>
          </cell>
          <cell r="C898" t="str">
            <v xml:space="preserve">MOTOR CAR EXPENSES </v>
          </cell>
          <cell r="D898">
            <v>0</v>
          </cell>
          <cell r="G898">
            <v>0</v>
          </cell>
          <cell r="H898" t="str">
            <v/>
          </cell>
        </row>
        <row r="899">
          <cell r="A899" t="str">
            <v>155-10-032</v>
          </cell>
          <cell r="B899">
            <v>80</v>
          </cell>
          <cell r="C899" t="str">
            <v xml:space="preserve">MOTOR CAR EXPENSES </v>
          </cell>
          <cell r="D899">
            <v>0</v>
          </cell>
          <cell r="E899">
            <v>0</v>
          </cell>
          <cell r="G899">
            <v>0</v>
          </cell>
          <cell r="H899" t="str">
            <v/>
          </cell>
        </row>
        <row r="900">
          <cell r="A900" t="str">
            <v>155-10-032</v>
          </cell>
          <cell r="B900">
            <v>60</v>
          </cell>
          <cell r="C900" t="str">
            <v xml:space="preserve">MOTOR CAR EXPENSES </v>
          </cell>
          <cell r="D900">
            <v>0</v>
          </cell>
          <cell r="G900">
            <v>0</v>
          </cell>
          <cell r="H900" t="str">
            <v/>
          </cell>
        </row>
        <row r="901">
          <cell r="A901" t="str">
            <v>155-10-032</v>
          </cell>
          <cell r="B901">
            <v>170</v>
          </cell>
          <cell r="C901" t="str">
            <v xml:space="preserve">MOTOR CAR EXPENSES </v>
          </cell>
          <cell r="D901">
            <v>150000</v>
          </cell>
          <cell r="E901">
            <v>24388</v>
          </cell>
          <cell r="G901">
            <v>148776</v>
          </cell>
          <cell r="H901">
            <v>1.0082271334086144</v>
          </cell>
        </row>
        <row r="902">
          <cell r="A902" t="str">
            <v>155-10-032</v>
          </cell>
          <cell r="B902">
            <v>110</v>
          </cell>
          <cell r="C902" t="str">
            <v xml:space="preserve">MOTOR CAR EXPENSES </v>
          </cell>
          <cell r="D902">
            <v>0</v>
          </cell>
          <cell r="E902">
            <v>0</v>
          </cell>
          <cell r="G902">
            <v>0</v>
          </cell>
          <cell r="H902" t="str">
            <v/>
          </cell>
        </row>
        <row r="903">
          <cell r="A903" t="str">
            <v>155-10-032</v>
          </cell>
          <cell r="B903">
            <v>50</v>
          </cell>
          <cell r="C903" t="str">
            <v xml:space="preserve">MOTOR CAR EXPENSES </v>
          </cell>
          <cell r="D903">
            <v>0</v>
          </cell>
          <cell r="E903">
            <v>0</v>
          </cell>
          <cell r="G903">
            <v>0</v>
          </cell>
          <cell r="H903" t="str">
            <v/>
          </cell>
        </row>
        <row r="904">
          <cell r="A904" t="str">
            <v>155-10-032</v>
          </cell>
          <cell r="B904">
            <v>30</v>
          </cell>
          <cell r="C904" t="str">
            <v xml:space="preserve">MOTOR CAR EXPENSES </v>
          </cell>
          <cell r="D904">
            <v>0</v>
          </cell>
          <cell r="E904">
            <v>0</v>
          </cell>
          <cell r="G904">
            <v>0</v>
          </cell>
          <cell r="H904" t="str">
            <v/>
          </cell>
        </row>
        <row r="905">
          <cell r="A905" t="str">
            <v>155-10-032</v>
          </cell>
          <cell r="B905">
            <v>140</v>
          </cell>
          <cell r="C905" t="str">
            <v xml:space="preserve">MOTOR CAR EXPENSES </v>
          </cell>
          <cell r="D905">
            <v>0</v>
          </cell>
          <cell r="E905">
            <v>0</v>
          </cell>
          <cell r="G905">
            <v>0</v>
          </cell>
          <cell r="H905" t="str">
            <v/>
          </cell>
        </row>
        <row r="906">
          <cell r="A906" t="str">
            <v>155-10-032</v>
          </cell>
          <cell r="B906">
            <v>40</v>
          </cell>
          <cell r="C906" t="str">
            <v xml:space="preserve">MOTOR CAR EXPENSES </v>
          </cell>
          <cell r="D906">
            <v>0</v>
          </cell>
          <cell r="E906">
            <v>0</v>
          </cell>
          <cell r="G906">
            <v>0</v>
          </cell>
          <cell r="H906" t="str">
            <v/>
          </cell>
        </row>
        <row r="907">
          <cell r="A907" t="str">
            <v>155-10-032</v>
          </cell>
          <cell r="B907">
            <v>180</v>
          </cell>
          <cell r="C907" t="str">
            <v xml:space="preserve">MOTOR CAR EXPENSES </v>
          </cell>
          <cell r="D907">
            <v>0</v>
          </cell>
          <cell r="E907">
            <v>0</v>
          </cell>
          <cell r="G907">
            <v>0</v>
          </cell>
          <cell r="H907" t="str">
            <v/>
          </cell>
        </row>
        <row r="908">
          <cell r="A908" t="str">
            <v>155-10-040</v>
          </cell>
          <cell r="B908">
            <v>70</v>
          </cell>
          <cell r="C908" t="str">
            <v>POSTAGE</v>
          </cell>
          <cell r="D908">
            <v>6336</v>
          </cell>
          <cell r="E908">
            <v>4538</v>
          </cell>
          <cell r="G908">
            <v>11500</v>
          </cell>
          <cell r="H908">
            <v>0.55095652173913046</v>
          </cell>
        </row>
        <row r="909">
          <cell r="A909" t="str">
            <v>155-10-040</v>
          </cell>
          <cell r="B909">
            <v>150</v>
          </cell>
          <cell r="C909" t="str">
            <v>POSTAGE</v>
          </cell>
          <cell r="D909">
            <v>1080</v>
          </cell>
          <cell r="E909">
            <v>420</v>
          </cell>
          <cell r="G909">
            <v>840</v>
          </cell>
          <cell r="H909">
            <v>1.2857142857142858</v>
          </cell>
        </row>
        <row r="910">
          <cell r="A910" t="str">
            <v>155-10-040</v>
          </cell>
          <cell r="B910">
            <v>120</v>
          </cell>
          <cell r="C910" t="str">
            <v>POSTAGE</v>
          </cell>
          <cell r="D910">
            <v>2700</v>
          </cell>
          <cell r="E910">
            <v>1000</v>
          </cell>
          <cell r="G910">
            <v>2000</v>
          </cell>
          <cell r="H910">
            <v>1.35</v>
          </cell>
        </row>
        <row r="911">
          <cell r="A911" t="str">
            <v>155-10-040</v>
          </cell>
          <cell r="B911">
            <v>160</v>
          </cell>
          <cell r="C911" t="str">
            <v>POSTAGE</v>
          </cell>
          <cell r="D911">
            <v>1500</v>
          </cell>
          <cell r="E911">
            <v>420</v>
          </cell>
          <cell r="G911">
            <v>1250</v>
          </cell>
          <cell r="H911">
            <v>1.2</v>
          </cell>
        </row>
        <row r="912">
          <cell r="A912" t="str">
            <v>155-10-040</v>
          </cell>
          <cell r="B912">
            <v>90</v>
          </cell>
          <cell r="C912" t="str">
            <v>POSTAGE</v>
          </cell>
          <cell r="D912">
            <v>2000</v>
          </cell>
          <cell r="G912">
            <v>0</v>
          </cell>
          <cell r="H912" t="str">
            <v/>
          </cell>
        </row>
        <row r="913">
          <cell r="A913" t="str">
            <v>155-10-040</v>
          </cell>
          <cell r="B913">
            <v>80</v>
          </cell>
          <cell r="C913" t="str">
            <v>POSTAGE</v>
          </cell>
          <cell r="D913">
            <v>12000</v>
          </cell>
          <cell r="E913">
            <v>4383</v>
          </cell>
          <cell r="G913">
            <v>8766</v>
          </cell>
          <cell r="H913">
            <v>1.3689253935660506</v>
          </cell>
        </row>
        <row r="914">
          <cell r="A914" t="str">
            <v>155-10-040</v>
          </cell>
          <cell r="B914">
            <v>60</v>
          </cell>
          <cell r="C914" t="str">
            <v>POSTAGE</v>
          </cell>
          <cell r="D914">
            <v>10200</v>
          </cell>
          <cell r="E914">
            <v>5646</v>
          </cell>
          <cell r="G914">
            <v>11292</v>
          </cell>
          <cell r="H914">
            <v>0.90329436769394267</v>
          </cell>
        </row>
        <row r="915">
          <cell r="A915" t="str">
            <v>155-10-040</v>
          </cell>
          <cell r="B915">
            <v>170</v>
          </cell>
          <cell r="C915" t="str">
            <v>POSTAGE</v>
          </cell>
          <cell r="D915">
            <v>4560</v>
          </cell>
          <cell r="E915">
            <v>2000</v>
          </cell>
          <cell r="G915">
            <v>4000</v>
          </cell>
          <cell r="H915">
            <v>1.1399999999999999</v>
          </cell>
        </row>
        <row r="916">
          <cell r="A916" t="str">
            <v>155-10-040</v>
          </cell>
          <cell r="B916">
            <v>110</v>
          </cell>
          <cell r="C916" t="str">
            <v>POSTAGE</v>
          </cell>
          <cell r="D916">
            <v>7500</v>
          </cell>
          <cell r="E916">
            <v>970</v>
          </cell>
          <cell r="G916">
            <v>1940</v>
          </cell>
          <cell r="H916">
            <v>3.865979381443299</v>
          </cell>
        </row>
        <row r="917">
          <cell r="A917" t="str">
            <v>155-10-040</v>
          </cell>
          <cell r="B917">
            <v>50</v>
          </cell>
          <cell r="C917" t="str">
            <v>POSTAGE</v>
          </cell>
          <cell r="D917">
            <v>5040</v>
          </cell>
          <cell r="E917">
            <v>0</v>
          </cell>
          <cell r="G917">
            <v>0</v>
          </cell>
          <cell r="H917" t="str">
            <v/>
          </cell>
        </row>
        <row r="918">
          <cell r="A918" t="str">
            <v>155-10-040</v>
          </cell>
          <cell r="B918">
            <v>30</v>
          </cell>
          <cell r="C918" t="str">
            <v>POSTAGE</v>
          </cell>
          <cell r="D918">
            <v>20000</v>
          </cell>
          <cell r="E918">
            <v>5768</v>
          </cell>
          <cell r="G918">
            <v>11536</v>
          </cell>
          <cell r="H918">
            <v>1.7337031900138695</v>
          </cell>
        </row>
        <row r="919">
          <cell r="A919" t="str">
            <v>155-10-040</v>
          </cell>
          <cell r="B919">
            <v>140</v>
          </cell>
          <cell r="C919" t="str">
            <v>POSTAGE</v>
          </cell>
          <cell r="D919">
            <v>14000</v>
          </cell>
          <cell r="E919">
            <v>8055</v>
          </cell>
          <cell r="G919">
            <v>16110</v>
          </cell>
          <cell r="H919">
            <v>0.86902545003103659</v>
          </cell>
        </row>
        <row r="920">
          <cell r="A920" t="str">
            <v>155-10-040</v>
          </cell>
          <cell r="B920">
            <v>40</v>
          </cell>
          <cell r="C920" t="str">
            <v>POSTAGE</v>
          </cell>
          <cell r="D920">
            <v>8664</v>
          </cell>
          <cell r="E920">
            <v>4245</v>
          </cell>
          <cell r="G920">
            <v>8490</v>
          </cell>
          <cell r="H920">
            <v>1.0204946996466431</v>
          </cell>
        </row>
        <row r="921">
          <cell r="A921" t="str">
            <v>155-10-040</v>
          </cell>
          <cell r="B921">
            <v>180</v>
          </cell>
          <cell r="C921" t="str">
            <v>POSTAGE</v>
          </cell>
          <cell r="D921">
            <v>6460</v>
          </cell>
          <cell r="E921">
            <v>3700</v>
          </cell>
          <cell r="G921">
            <v>7400</v>
          </cell>
          <cell r="H921">
            <v>0.87297297297297294</v>
          </cell>
        </row>
        <row r="922">
          <cell r="A922" t="str">
            <v>155-10-041</v>
          </cell>
          <cell r="B922">
            <v>70</v>
          </cell>
          <cell r="C922" t="str">
            <v>TELEPHONE &amp; FAX</v>
          </cell>
          <cell r="D922">
            <v>108000</v>
          </cell>
          <cell r="E922">
            <v>33113</v>
          </cell>
          <cell r="G922">
            <v>106500</v>
          </cell>
          <cell r="H922">
            <v>1.0140845070422535</v>
          </cell>
        </row>
        <row r="923">
          <cell r="A923" t="str">
            <v>155-10-041</v>
          </cell>
          <cell r="B923">
            <v>150</v>
          </cell>
          <cell r="C923" t="str">
            <v>TELEPHONE &amp; FAX</v>
          </cell>
          <cell r="D923">
            <v>45000</v>
          </cell>
          <cell r="E923">
            <v>23000</v>
          </cell>
          <cell r="G923">
            <v>35000</v>
          </cell>
          <cell r="H923">
            <v>1.2857142857142858</v>
          </cell>
        </row>
        <row r="924">
          <cell r="A924" t="str">
            <v>155-10-041</v>
          </cell>
          <cell r="B924">
            <v>120</v>
          </cell>
          <cell r="C924" t="str">
            <v>TELEPHONE &amp; FAX</v>
          </cell>
          <cell r="D924">
            <v>108000</v>
          </cell>
          <cell r="E924">
            <v>80000</v>
          </cell>
          <cell r="G924">
            <v>160000</v>
          </cell>
          <cell r="H924">
            <v>0.67500000000000004</v>
          </cell>
        </row>
        <row r="925">
          <cell r="A925" t="str">
            <v>155-10-041</v>
          </cell>
          <cell r="B925">
            <v>160</v>
          </cell>
          <cell r="C925" t="str">
            <v>TELEPHONE &amp; FAX</v>
          </cell>
          <cell r="D925">
            <v>40000</v>
          </cell>
          <cell r="E925">
            <v>23000</v>
          </cell>
          <cell r="G925">
            <v>34500</v>
          </cell>
          <cell r="H925">
            <v>1.1594202898550725</v>
          </cell>
        </row>
        <row r="926">
          <cell r="A926" t="str">
            <v>155-10-041</v>
          </cell>
          <cell r="B926">
            <v>90</v>
          </cell>
          <cell r="C926" t="str">
            <v>TELEPHONE &amp; FAX</v>
          </cell>
          <cell r="D926">
            <v>60000</v>
          </cell>
          <cell r="G926">
            <v>0</v>
          </cell>
          <cell r="H926" t="str">
            <v/>
          </cell>
        </row>
        <row r="927">
          <cell r="A927" t="str">
            <v>155-10-041</v>
          </cell>
          <cell r="B927">
            <v>80</v>
          </cell>
          <cell r="C927" t="str">
            <v>TELEPHONE &amp; FAX</v>
          </cell>
          <cell r="D927">
            <v>108000</v>
          </cell>
          <cell r="E927">
            <v>66630.45</v>
          </cell>
          <cell r="G927">
            <v>133260.9</v>
          </cell>
          <cell r="H927">
            <v>0.81044027167758892</v>
          </cell>
        </row>
        <row r="928">
          <cell r="A928" t="str">
            <v>155-10-041</v>
          </cell>
          <cell r="B928">
            <v>60</v>
          </cell>
          <cell r="C928" t="str">
            <v>TELEPHONE &amp; FAX</v>
          </cell>
          <cell r="D928">
            <v>108000</v>
          </cell>
          <cell r="E928">
            <v>45605.15</v>
          </cell>
          <cell r="G928">
            <v>91210.3</v>
          </cell>
          <cell r="H928">
            <v>1.1840767983440466</v>
          </cell>
        </row>
        <row r="929">
          <cell r="A929" t="str">
            <v>155-10-041</v>
          </cell>
          <cell r="B929">
            <v>170</v>
          </cell>
          <cell r="C929" t="str">
            <v>TELEPHONE &amp; FAX</v>
          </cell>
          <cell r="D929">
            <v>425000</v>
          </cell>
          <cell r="E929">
            <v>229067</v>
          </cell>
          <cell r="G929">
            <v>400000</v>
          </cell>
          <cell r="H929">
            <v>1.0625</v>
          </cell>
        </row>
        <row r="930">
          <cell r="A930" t="str">
            <v>155-10-041</v>
          </cell>
          <cell r="B930">
            <v>110</v>
          </cell>
          <cell r="C930" t="str">
            <v>TELEPHONE &amp; FAX</v>
          </cell>
          <cell r="D930">
            <v>108000</v>
          </cell>
          <cell r="E930">
            <v>53125.9</v>
          </cell>
          <cell r="G930">
            <v>139500</v>
          </cell>
          <cell r="H930">
            <v>0.77419354838709675</v>
          </cell>
        </row>
        <row r="931">
          <cell r="A931" t="str">
            <v>155-10-041</v>
          </cell>
          <cell r="B931">
            <v>50</v>
          </cell>
          <cell r="C931" t="str">
            <v>TELEPHONE &amp; FAX</v>
          </cell>
          <cell r="D931">
            <v>108000</v>
          </cell>
          <cell r="E931">
            <v>127307.85</v>
          </cell>
          <cell r="G931">
            <v>254615.7</v>
          </cell>
          <cell r="H931">
            <v>0.42416865888474276</v>
          </cell>
        </row>
        <row r="932">
          <cell r="A932" t="str">
            <v>155-10-041</v>
          </cell>
          <cell r="B932">
            <v>30</v>
          </cell>
          <cell r="C932" t="str">
            <v>TELEPHONE &amp; FAX</v>
          </cell>
          <cell r="D932">
            <v>75000</v>
          </cell>
          <cell r="E932">
            <v>39719.300000000003</v>
          </cell>
          <cell r="G932">
            <v>65000</v>
          </cell>
          <cell r="H932">
            <v>1.1538461538461537</v>
          </cell>
        </row>
        <row r="933">
          <cell r="A933" t="str">
            <v>155-10-041</v>
          </cell>
          <cell r="B933">
            <v>140</v>
          </cell>
          <cell r="C933" t="str">
            <v>TELEPHONE &amp; FAX</v>
          </cell>
          <cell r="D933">
            <v>108000</v>
          </cell>
          <cell r="E933">
            <v>25975.599999999999</v>
          </cell>
          <cell r="G933">
            <v>95000</v>
          </cell>
          <cell r="H933">
            <v>1.1368421052631579</v>
          </cell>
        </row>
        <row r="934">
          <cell r="A934" t="str">
            <v>155-10-041</v>
          </cell>
          <cell r="B934">
            <v>40</v>
          </cell>
          <cell r="C934" t="str">
            <v>TELEPHONE &amp; FAX</v>
          </cell>
          <cell r="D934">
            <v>108000</v>
          </cell>
          <cell r="E934">
            <v>229714.5</v>
          </cell>
          <cell r="G934">
            <v>289000</v>
          </cell>
          <cell r="H934">
            <v>0.37370242214532873</v>
          </cell>
        </row>
        <row r="935">
          <cell r="A935" t="str">
            <v>155-10-041</v>
          </cell>
          <cell r="B935">
            <v>180</v>
          </cell>
          <cell r="C935" t="str">
            <v>TELEPHONE &amp; FAX</v>
          </cell>
          <cell r="D935">
            <v>96000</v>
          </cell>
          <cell r="E935">
            <v>44783.5</v>
          </cell>
          <cell r="G935">
            <v>89567</v>
          </cell>
          <cell r="H935">
            <v>1.0718233277881362</v>
          </cell>
        </row>
        <row r="936">
          <cell r="A936" t="str">
            <v>155-10-044</v>
          </cell>
          <cell r="B936">
            <v>70</v>
          </cell>
          <cell r="C936" t="str">
            <v>PROFFESSIONAL TRAINING</v>
          </cell>
          <cell r="D936">
            <v>15625</v>
          </cell>
          <cell r="G936">
            <v>0</v>
          </cell>
          <cell r="H936" t="str">
            <v/>
          </cell>
        </row>
        <row r="937">
          <cell r="A937" t="str">
            <v>155-10-044</v>
          </cell>
          <cell r="B937">
            <v>150</v>
          </cell>
          <cell r="C937" t="str">
            <v>PROFFESSIONAL TRAINING</v>
          </cell>
          <cell r="D937">
            <v>0</v>
          </cell>
          <cell r="E937">
            <v>0</v>
          </cell>
          <cell r="G937">
            <v>0</v>
          </cell>
          <cell r="H937" t="str">
            <v/>
          </cell>
        </row>
        <row r="938">
          <cell r="A938" t="str">
            <v>155-10-044</v>
          </cell>
          <cell r="B938">
            <v>120</v>
          </cell>
          <cell r="C938" t="str">
            <v>PROFFESSIONAL TRAINING</v>
          </cell>
          <cell r="D938">
            <v>0</v>
          </cell>
          <cell r="E938">
            <v>10000</v>
          </cell>
          <cell r="G938">
            <v>10000</v>
          </cell>
          <cell r="H938">
            <v>0</v>
          </cell>
        </row>
        <row r="939">
          <cell r="A939" t="str">
            <v>155-10-044</v>
          </cell>
          <cell r="B939">
            <v>160</v>
          </cell>
          <cell r="C939" t="str">
            <v>PROFFESSIONAL TRAINING</v>
          </cell>
          <cell r="D939">
            <v>21250</v>
          </cell>
          <cell r="E939">
            <v>17250</v>
          </cell>
          <cell r="G939">
            <v>17000</v>
          </cell>
          <cell r="H939">
            <v>1.25</v>
          </cell>
        </row>
        <row r="940">
          <cell r="A940" t="str">
            <v>155-10-044</v>
          </cell>
          <cell r="B940">
            <v>90</v>
          </cell>
          <cell r="C940" t="str">
            <v>PROFFESSIONAL TRAINING</v>
          </cell>
          <cell r="D940">
            <v>0</v>
          </cell>
          <cell r="E940">
            <v>0</v>
          </cell>
          <cell r="G940">
            <v>0</v>
          </cell>
          <cell r="H940" t="str">
            <v/>
          </cell>
        </row>
        <row r="941">
          <cell r="A941" t="str">
            <v>155-10-044</v>
          </cell>
          <cell r="B941">
            <v>80</v>
          </cell>
          <cell r="C941" t="str">
            <v>PROFFESSIONAL TRAINING</v>
          </cell>
          <cell r="D941">
            <v>21250</v>
          </cell>
          <cell r="E941">
            <v>0</v>
          </cell>
          <cell r="G941">
            <v>0</v>
          </cell>
          <cell r="H941" t="str">
            <v/>
          </cell>
        </row>
        <row r="942">
          <cell r="A942" t="str">
            <v>155-10-044</v>
          </cell>
          <cell r="B942">
            <v>60</v>
          </cell>
          <cell r="C942" t="str">
            <v>PROFFESSIONAL TRAINING</v>
          </cell>
          <cell r="D942">
            <v>26250</v>
          </cell>
          <cell r="E942">
            <v>9000</v>
          </cell>
          <cell r="G942">
            <v>18000</v>
          </cell>
          <cell r="H942">
            <v>1.4583333333333333</v>
          </cell>
        </row>
        <row r="943">
          <cell r="A943" t="str">
            <v>155-10-044</v>
          </cell>
          <cell r="B943">
            <v>170</v>
          </cell>
          <cell r="C943" t="str">
            <v>PROFFESSIONAL TRAINING</v>
          </cell>
          <cell r="D943">
            <v>80500</v>
          </cell>
          <cell r="E943">
            <v>16023</v>
          </cell>
          <cell r="G943">
            <v>32046</v>
          </cell>
          <cell r="H943">
            <v>2.5120139799038883</v>
          </cell>
        </row>
        <row r="944">
          <cell r="A944" t="str">
            <v>155-10-044</v>
          </cell>
          <cell r="B944">
            <v>110</v>
          </cell>
          <cell r="C944" t="str">
            <v>PROFFESSIONAL TRAINING</v>
          </cell>
          <cell r="D944">
            <v>0</v>
          </cell>
          <cell r="E944">
            <v>0</v>
          </cell>
          <cell r="G944">
            <v>0</v>
          </cell>
          <cell r="H944" t="str">
            <v/>
          </cell>
        </row>
        <row r="945">
          <cell r="A945" t="str">
            <v>155-10-044</v>
          </cell>
          <cell r="B945">
            <v>50</v>
          </cell>
          <cell r="C945" t="str">
            <v>PROFFESSIONAL TRAINING</v>
          </cell>
          <cell r="D945">
            <v>5000</v>
          </cell>
          <cell r="E945">
            <v>0</v>
          </cell>
          <cell r="G945">
            <v>0</v>
          </cell>
          <cell r="H945" t="str">
            <v/>
          </cell>
        </row>
        <row r="946">
          <cell r="A946" t="str">
            <v>155-10-044</v>
          </cell>
          <cell r="B946">
            <v>30</v>
          </cell>
          <cell r="C946" t="str">
            <v>PROFFESSIONAL TRAINING</v>
          </cell>
          <cell r="D946">
            <v>0</v>
          </cell>
          <cell r="E946">
            <v>0</v>
          </cell>
          <cell r="G946">
            <v>0</v>
          </cell>
          <cell r="H946" t="str">
            <v/>
          </cell>
        </row>
        <row r="947">
          <cell r="A947" t="str">
            <v>155-10-044</v>
          </cell>
          <cell r="B947">
            <v>140</v>
          </cell>
          <cell r="C947" t="str">
            <v>PROFFESSIONAL TRAINING</v>
          </cell>
          <cell r="D947">
            <v>0</v>
          </cell>
          <cell r="E947">
            <v>0</v>
          </cell>
          <cell r="G947">
            <v>0</v>
          </cell>
          <cell r="H947" t="str">
            <v/>
          </cell>
        </row>
        <row r="948">
          <cell r="A948" t="str">
            <v>155-10-044</v>
          </cell>
          <cell r="B948">
            <v>40</v>
          </cell>
          <cell r="C948" t="str">
            <v>PROFFESSIONAL TRAINING</v>
          </cell>
          <cell r="D948">
            <v>0</v>
          </cell>
          <cell r="E948">
            <v>0</v>
          </cell>
          <cell r="G948">
            <v>0</v>
          </cell>
          <cell r="H948" t="str">
            <v/>
          </cell>
        </row>
        <row r="949">
          <cell r="A949" t="str">
            <v>155-10-044</v>
          </cell>
          <cell r="B949">
            <v>180</v>
          </cell>
          <cell r="C949" t="str">
            <v>PROFFESSIONAL TRAINING</v>
          </cell>
          <cell r="D949">
            <v>15625</v>
          </cell>
          <cell r="E949">
            <v>9500</v>
          </cell>
          <cell r="G949">
            <v>19000</v>
          </cell>
          <cell r="H949">
            <v>0.82236842105263153</v>
          </cell>
        </row>
        <row r="950">
          <cell r="A950" t="str">
            <v>155-10-046</v>
          </cell>
          <cell r="B950">
            <v>70</v>
          </cell>
          <cell r="C950" t="str">
            <v xml:space="preserve">SUBSCRIPTION- STAFF CLUB MEMBERSHIP </v>
          </cell>
          <cell r="D950">
            <v>60000</v>
          </cell>
          <cell r="G950">
            <v>0</v>
          </cell>
          <cell r="H950" t="str">
            <v/>
          </cell>
        </row>
        <row r="951">
          <cell r="A951" t="str">
            <v>155-10-046</v>
          </cell>
          <cell r="B951">
            <v>150</v>
          </cell>
          <cell r="C951" t="str">
            <v xml:space="preserve">SUBSCRIPTION- STAFF CLUB MEMBERSHIP </v>
          </cell>
          <cell r="D951">
            <v>0</v>
          </cell>
          <cell r="E951">
            <v>0</v>
          </cell>
          <cell r="G951">
            <v>0</v>
          </cell>
          <cell r="H951" t="str">
            <v/>
          </cell>
        </row>
        <row r="952">
          <cell r="A952" t="str">
            <v>155-10-046</v>
          </cell>
          <cell r="B952">
            <v>120</v>
          </cell>
          <cell r="C952" t="str">
            <v xml:space="preserve">SUBSCRIPTION- STAFF CLUB MEMBERSHIP </v>
          </cell>
          <cell r="D952">
            <v>0</v>
          </cell>
          <cell r="G952">
            <v>0</v>
          </cell>
          <cell r="H952" t="str">
            <v/>
          </cell>
        </row>
        <row r="953">
          <cell r="A953" t="str">
            <v>155-10-046</v>
          </cell>
          <cell r="B953">
            <v>160</v>
          </cell>
          <cell r="C953" t="str">
            <v xml:space="preserve">SUBSCRIPTION- STAFF CLUB MEMBERSHIP </v>
          </cell>
          <cell r="D953">
            <v>15000</v>
          </cell>
          <cell r="E953">
            <v>0</v>
          </cell>
          <cell r="G953">
            <v>0</v>
          </cell>
          <cell r="H953" t="str">
            <v/>
          </cell>
        </row>
        <row r="954">
          <cell r="A954" t="str">
            <v>155-10-046</v>
          </cell>
          <cell r="B954">
            <v>90</v>
          </cell>
          <cell r="C954" t="str">
            <v xml:space="preserve">SUBSCRIPTION- STAFF CLUB MEMBERSHIP </v>
          </cell>
          <cell r="D954">
            <v>0</v>
          </cell>
          <cell r="E954">
            <v>0</v>
          </cell>
          <cell r="G954">
            <v>0</v>
          </cell>
          <cell r="H954" t="str">
            <v/>
          </cell>
        </row>
        <row r="955">
          <cell r="A955" t="str">
            <v>155-10-046</v>
          </cell>
          <cell r="B955">
            <v>80</v>
          </cell>
          <cell r="C955" t="str">
            <v xml:space="preserve">SUBSCRIPTION- STAFF CLUB MEMBERSHIP </v>
          </cell>
          <cell r="D955">
            <v>5000</v>
          </cell>
          <cell r="E955">
            <v>0</v>
          </cell>
          <cell r="G955">
            <v>0</v>
          </cell>
          <cell r="H955" t="str">
            <v/>
          </cell>
        </row>
        <row r="956">
          <cell r="A956" t="str">
            <v>155-10-046</v>
          </cell>
          <cell r="B956">
            <v>60</v>
          </cell>
          <cell r="C956" t="str">
            <v xml:space="preserve">SUBSCRIPTION- STAFF CLUB MEMBERSHIP </v>
          </cell>
          <cell r="D956">
            <v>20000</v>
          </cell>
          <cell r="G956">
            <v>0</v>
          </cell>
          <cell r="H956" t="str">
            <v/>
          </cell>
        </row>
        <row r="957">
          <cell r="A957" t="str">
            <v>155-10-046</v>
          </cell>
          <cell r="B957">
            <v>170</v>
          </cell>
          <cell r="C957" t="str">
            <v xml:space="preserve">SUBSCRIPTION- STAFF CLUB MEMBERSHIP </v>
          </cell>
          <cell r="D957">
            <v>430000</v>
          </cell>
          <cell r="E957">
            <v>2500</v>
          </cell>
          <cell r="G957">
            <v>155000</v>
          </cell>
          <cell r="H957">
            <v>2.774193548387097</v>
          </cell>
        </row>
        <row r="958">
          <cell r="A958" t="str">
            <v>155-10-046</v>
          </cell>
          <cell r="B958">
            <v>110</v>
          </cell>
          <cell r="C958" t="str">
            <v xml:space="preserve">SUBSCRIPTION- STAFF CLUB MEMBERSHIP </v>
          </cell>
          <cell r="D958">
            <v>20000</v>
          </cell>
          <cell r="E958">
            <v>0</v>
          </cell>
          <cell r="G958">
            <v>0</v>
          </cell>
          <cell r="H958" t="str">
            <v/>
          </cell>
        </row>
        <row r="959">
          <cell r="A959" t="str">
            <v>155-10-046</v>
          </cell>
          <cell r="B959">
            <v>50</v>
          </cell>
          <cell r="C959" t="str">
            <v xml:space="preserve">SUBSCRIPTION- STAFF CLUB MEMBERSHIP </v>
          </cell>
          <cell r="D959">
            <v>20000</v>
          </cell>
          <cell r="E959">
            <v>0</v>
          </cell>
          <cell r="G959">
            <v>0</v>
          </cell>
          <cell r="H959" t="str">
            <v/>
          </cell>
        </row>
        <row r="960">
          <cell r="A960" t="str">
            <v>155-10-046</v>
          </cell>
          <cell r="B960">
            <v>30</v>
          </cell>
          <cell r="C960" t="str">
            <v xml:space="preserve">SUBSCRIPTION- STAFF CLUB MEMBERSHIP </v>
          </cell>
          <cell r="D960">
            <v>20000</v>
          </cell>
          <cell r="G960">
            <v>0</v>
          </cell>
          <cell r="H960" t="str">
            <v/>
          </cell>
        </row>
        <row r="961">
          <cell r="A961" t="str">
            <v>155-10-046</v>
          </cell>
          <cell r="B961">
            <v>140</v>
          </cell>
          <cell r="C961" t="str">
            <v xml:space="preserve">SUBSCRIPTION- STAFF CLUB MEMBERSHIP </v>
          </cell>
          <cell r="D961">
            <v>80000</v>
          </cell>
          <cell r="G961">
            <v>0</v>
          </cell>
          <cell r="H961" t="str">
            <v/>
          </cell>
        </row>
        <row r="962">
          <cell r="A962" t="str">
            <v>155-10-046</v>
          </cell>
          <cell r="B962">
            <v>40</v>
          </cell>
          <cell r="C962" t="str">
            <v xml:space="preserve">SUBSCRIPTION- STAFF CLUB MEMBERSHIP </v>
          </cell>
          <cell r="D962">
            <v>12000</v>
          </cell>
          <cell r="E962">
            <v>10000</v>
          </cell>
          <cell r="G962">
            <v>10000</v>
          </cell>
          <cell r="H962">
            <v>1.2</v>
          </cell>
        </row>
        <row r="963">
          <cell r="A963" t="str">
            <v>155-10-046</v>
          </cell>
          <cell r="B963">
            <v>180</v>
          </cell>
          <cell r="C963" t="str">
            <v xml:space="preserve">SUBSCRIPTION- STAFF CLUB MEMBERSHIP </v>
          </cell>
          <cell r="D963">
            <v>20000</v>
          </cell>
          <cell r="E963">
            <v>0</v>
          </cell>
          <cell r="G963">
            <v>0</v>
          </cell>
          <cell r="H963" t="str">
            <v/>
          </cell>
        </row>
        <row r="964">
          <cell r="A964" t="str">
            <v>155-10-054</v>
          </cell>
          <cell r="B964">
            <v>70</v>
          </cell>
          <cell r="C964" t="str">
            <v>LEASED LINES-INTERNET SERVICES</v>
          </cell>
          <cell r="D964">
            <v>26400</v>
          </cell>
          <cell r="E964">
            <v>13586.81</v>
          </cell>
          <cell r="G964">
            <v>27173.62</v>
          </cell>
          <cell r="H964">
            <v>0.97153047698466388</v>
          </cell>
        </row>
        <row r="965">
          <cell r="A965" t="str">
            <v>155-10-054</v>
          </cell>
          <cell r="B965">
            <v>150</v>
          </cell>
          <cell r="C965" t="str">
            <v>LEASED LINES-INTERNET SERVICES</v>
          </cell>
          <cell r="D965">
            <v>0</v>
          </cell>
          <cell r="E965">
            <v>0</v>
          </cell>
          <cell r="G965">
            <v>0</v>
          </cell>
          <cell r="H965" t="str">
            <v/>
          </cell>
        </row>
        <row r="966">
          <cell r="A966" t="str">
            <v>155-10-054</v>
          </cell>
          <cell r="B966">
            <v>120</v>
          </cell>
          <cell r="C966" t="str">
            <v>LEASED LINES-INTERNET SERVICES</v>
          </cell>
          <cell r="D966">
            <v>26400</v>
          </cell>
          <cell r="E966">
            <v>14000</v>
          </cell>
          <cell r="G966">
            <v>28000</v>
          </cell>
          <cell r="H966">
            <v>0.94285714285714284</v>
          </cell>
        </row>
        <row r="967">
          <cell r="A967" t="str">
            <v>155-10-054</v>
          </cell>
          <cell r="B967">
            <v>160</v>
          </cell>
          <cell r="C967" t="str">
            <v>LEASED LINES-INTERNET SERVICES</v>
          </cell>
          <cell r="D967">
            <v>0</v>
          </cell>
          <cell r="E967">
            <v>0</v>
          </cell>
          <cell r="G967">
            <v>0</v>
          </cell>
          <cell r="H967" t="str">
            <v/>
          </cell>
        </row>
        <row r="968">
          <cell r="A968" t="str">
            <v>155-10-054</v>
          </cell>
          <cell r="B968">
            <v>90</v>
          </cell>
          <cell r="C968" t="str">
            <v>LEASED LINES-INTERNET SERVICES</v>
          </cell>
          <cell r="D968">
            <v>0</v>
          </cell>
          <cell r="G968">
            <v>0</v>
          </cell>
          <cell r="H968" t="str">
            <v/>
          </cell>
        </row>
        <row r="969">
          <cell r="A969" t="str">
            <v>155-10-054</v>
          </cell>
          <cell r="B969">
            <v>80</v>
          </cell>
          <cell r="C969" t="str">
            <v>LEASED LINES-INTERNET SERVICES</v>
          </cell>
          <cell r="D969">
            <v>26400</v>
          </cell>
          <cell r="E969">
            <v>13586.81</v>
          </cell>
          <cell r="G969">
            <v>27173.62</v>
          </cell>
          <cell r="H969">
            <v>0.97153047698466388</v>
          </cell>
        </row>
        <row r="970">
          <cell r="A970" t="str">
            <v>155-10-054</v>
          </cell>
          <cell r="B970">
            <v>60</v>
          </cell>
          <cell r="C970" t="str">
            <v>LEASED LINES-INTERNET SERVICES</v>
          </cell>
          <cell r="D970">
            <v>26400</v>
          </cell>
          <cell r="E970">
            <v>13586.81</v>
          </cell>
          <cell r="G970">
            <v>27173.62</v>
          </cell>
          <cell r="H970">
            <v>0.97153047698466388</v>
          </cell>
        </row>
        <row r="971">
          <cell r="A971" t="str">
            <v>155-10-054</v>
          </cell>
          <cell r="B971">
            <v>170</v>
          </cell>
          <cell r="C971" t="str">
            <v>LEASED LINES-INTERNET SERVICES</v>
          </cell>
          <cell r="D971">
            <v>0</v>
          </cell>
          <cell r="E971">
            <v>0</v>
          </cell>
          <cell r="G971">
            <v>0</v>
          </cell>
          <cell r="H971" t="str">
            <v/>
          </cell>
        </row>
        <row r="972">
          <cell r="A972" t="str">
            <v>155-10-054</v>
          </cell>
          <cell r="B972">
            <v>110</v>
          </cell>
          <cell r="C972" t="str">
            <v>LEASED LINES-INTERNET SERVICES</v>
          </cell>
          <cell r="D972">
            <v>26400</v>
          </cell>
          <cell r="E972">
            <v>13586.81</v>
          </cell>
          <cell r="G972">
            <v>27173.62</v>
          </cell>
          <cell r="H972">
            <v>0.97153047698466388</v>
          </cell>
        </row>
        <row r="973">
          <cell r="A973" t="str">
            <v>155-10-054</v>
          </cell>
          <cell r="B973">
            <v>50</v>
          </cell>
          <cell r="C973" t="str">
            <v>LEASED LINES-INTERNET SERVICES</v>
          </cell>
          <cell r="D973">
            <v>26400</v>
          </cell>
          <cell r="E973">
            <v>13586.81</v>
          </cell>
          <cell r="G973">
            <v>27173.62</v>
          </cell>
          <cell r="H973">
            <v>0.97153047698466388</v>
          </cell>
        </row>
        <row r="974">
          <cell r="A974" t="str">
            <v>155-10-054</v>
          </cell>
          <cell r="B974">
            <v>30</v>
          </cell>
          <cell r="C974" t="str">
            <v>LEASED LINES-INTERNET SERVICES</v>
          </cell>
          <cell r="D974">
            <v>26400</v>
          </cell>
          <cell r="E974">
            <v>13586.81</v>
          </cell>
          <cell r="G974">
            <v>27173.62</v>
          </cell>
          <cell r="H974">
            <v>0.97153047698466388</v>
          </cell>
        </row>
        <row r="975">
          <cell r="A975" t="str">
            <v>155-10-054</v>
          </cell>
          <cell r="B975">
            <v>140</v>
          </cell>
          <cell r="C975" t="str">
            <v>LEASED LINES-INTERNET SERVICES</v>
          </cell>
          <cell r="D975">
            <v>26400</v>
          </cell>
          <cell r="E975">
            <v>13586.81</v>
          </cell>
          <cell r="G975">
            <v>27173.62</v>
          </cell>
          <cell r="H975">
            <v>0.97153047698466388</v>
          </cell>
        </row>
        <row r="976">
          <cell r="A976" t="str">
            <v>155-10-054</v>
          </cell>
          <cell r="B976">
            <v>40</v>
          </cell>
          <cell r="C976" t="str">
            <v>LEASED LINES-INTERNET SERVICES</v>
          </cell>
          <cell r="D976">
            <v>26400</v>
          </cell>
          <cell r="E976">
            <v>13586.81</v>
          </cell>
          <cell r="G976">
            <v>27173.62</v>
          </cell>
          <cell r="H976">
            <v>0.97153047698466388</v>
          </cell>
        </row>
        <row r="977">
          <cell r="A977" t="str">
            <v>155-10-054</v>
          </cell>
          <cell r="B977">
            <v>180</v>
          </cell>
          <cell r="C977" t="str">
            <v>LEASED LINES-INTERNET SERVICES</v>
          </cell>
          <cell r="D977">
            <v>26400</v>
          </cell>
          <cell r="E977">
            <v>13586.81</v>
          </cell>
          <cell r="G977">
            <v>27173.62</v>
          </cell>
          <cell r="H977">
            <v>0.97153047698466388</v>
          </cell>
        </row>
        <row r="978">
          <cell r="A978" t="str">
            <v>155-10-057</v>
          </cell>
          <cell r="B978">
            <v>70</v>
          </cell>
          <cell r="C978" t="str">
            <v>SOFTWARE LICENCES</v>
          </cell>
          <cell r="D978">
            <v>0</v>
          </cell>
          <cell r="G978">
            <v>0</v>
          </cell>
          <cell r="H978" t="str">
            <v/>
          </cell>
        </row>
        <row r="979">
          <cell r="A979" t="str">
            <v>155-10-057</v>
          </cell>
          <cell r="B979">
            <v>150</v>
          </cell>
          <cell r="C979" t="str">
            <v>SOFTWARE LICENCES</v>
          </cell>
          <cell r="D979">
            <v>0</v>
          </cell>
          <cell r="E979">
            <v>0</v>
          </cell>
          <cell r="G979">
            <v>0</v>
          </cell>
          <cell r="H979" t="str">
            <v/>
          </cell>
        </row>
        <row r="980">
          <cell r="A980" t="str">
            <v>155-10-057</v>
          </cell>
          <cell r="B980">
            <v>120</v>
          </cell>
          <cell r="C980" t="str">
            <v>SOFTWARE LICENCES</v>
          </cell>
          <cell r="D980">
            <v>0</v>
          </cell>
          <cell r="G980">
            <v>0</v>
          </cell>
          <cell r="H980" t="str">
            <v/>
          </cell>
        </row>
        <row r="981">
          <cell r="A981" t="str">
            <v>155-10-057</v>
          </cell>
          <cell r="B981">
            <v>160</v>
          </cell>
          <cell r="C981" t="str">
            <v>SOFTWARE LICENCES</v>
          </cell>
          <cell r="D981">
            <v>0</v>
          </cell>
          <cell r="G981">
            <v>0</v>
          </cell>
          <cell r="H981" t="str">
            <v/>
          </cell>
        </row>
        <row r="982">
          <cell r="A982" t="str">
            <v>155-10-057</v>
          </cell>
          <cell r="B982">
            <v>90</v>
          </cell>
          <cell r="C982" t="str">
            <v>SOFTWARE LICENCES</v>
          </cell>
          <cell r="D982">
            <v>0</v>
          </cell>
          <cell r="E982">
            <v>0</v>
          </cell>
          <cell r="G982">
            <v>0</v>
          </cell>
          <cell r="H982" t="str">
            <v/>
          </cell>
        </row>
        <row r="983">
          <cell r="A983" t="str">
            <v>155-10-057</v>
          </cell>
          <cell r="B983">
            <v>80</v>
          </cell>
          <cell r="C983" t="str">
            <v>SOFTWARE LICENCES</v>
          </cell>
          <cell r="D983">
            <v>0</v>
          </cell>
          <cell r="E983">
            <v>0</v>
          </cell>
          <cell r="G983">
            <v>0</v>
          </cell>
          <cell r="H983" t="str">
            <v/>
          </cell>
        </row>
        <row r="984">
          <cell r="A984" t="str">
            <v>155-10-057</v>
          </cell>
          <cell r="B984">
            <v>60</v>
          </cell>
          <cell r="C984" t="str">
            <v>SOFTWARE LICENCES</v>
          </cell>
          <cell r="D984">
            <v>0</v>
          </cell>
          <cell r="G984">
            <v>0</v>
          </cell>
          <cell r="H984" t="str">
            <v/>
          </cell>
        </row>
        <row r="985">
          <cell r="A985" t="str">
            <v>155-10-057</v>
          </cell>
          <cell r="B985">
            <v>170</v>
          </cell>
          <cell r="C985" t="str">
            <v>SOFTWARE LICENCES</v>
          </cell>
          <cell r="D985">
            <v>0</v>
          </cell>
          <cell r="E985">
            <v>0</v>
          </cell>
          <cell r="G985">
            <v>0</v>
          </cell>
          <cell r="H985" t="str">
            <v/>
          </cell>
        </row>
        <row r="986">
          <cell r="A986" t="str">
            <v>155-10-057</v>
          </cell>
          <cell r="B986">
            <v>110</v>
          </cell>
          <cell r="C986" t="str">
            <v>SOFTWARE LICENCES</v>
          </cell>
          <cell r="D986">
            <v>0</v>
          </cell>
          <cell r="G986">
            <v>0</v>
          </cell>
          <cell r="H986" t="str">
            <v/>
          </cell>
        </row>
        <row r="987">
          <cell r="A987" t="str">
            <v>155-10-057</v>
          </cell>
          <cell r="B987">
            <v>50</v>
          </cell>
          <cell r="C987" t="str">
            <v>SOFTWARE LICENCES</v>
          </cell>
          <cell r="D987">
            <v>0</v>
          </cell>
          <cell r="G987">
            <v>0</v>
          </cell>
          <cell r="H987" t="str">
            <v/>
          </cell>
        </row>
        <row r="988">
          <cell r="A988" t="str">
            <v>155-10-057</v>
          </cell>
          <cell r="B988">
            <v>30</v>
          </cell>
          <cell r="C988" t="str">
            <v>SOFTWARE LICENCES</v>
          </cell>
          <cell r="D988">
            <v>0</v>
          </cell>
          <cell r="G988">
            <v>0</v>
          </cell>
          <cell r="H988" t="str">
            <v/>
          </cell>
        </row>
        <row r="989">
          <cell r="A989" t="str">
            <v>155-10-057</v>
          </cell>
          <cell r="B989">
            <v>140</v>
          </cell>
          <cell r="C989" t="str">
            <v>SOFTWARE LICENCES</v>
          </cell>
          <cell r="D989">
            <v>0</v>
          </cell>
          <cell r="G989">
            <v>0</v>
          </cell>
          <cell r="H989" t="str">
            <v/>
          </cell>
        </row>
        <row r="990">
          <cell r="A990" t="str">
            <v>155-10-057</v>
          </cell>
          <cell r="B990">
            <v>40</v>
          </cell>
          <cell r="C990" t="str">
            <v>SOFTWARE LICENCES</v>
          </cell>
          <cell r="D990">
            <v>0</v>
          </cell>
          <cell r="G990">
            <v>0</v>
          </cell>
          <cell r="H990" t="str">
            <v/>
          </cell>
        </row>
        <row r="991">
          <cell r="A991" t="str">
            <v>155-10-057</v>
          </cell>
          <cell r="B991">
            <v>180</v>
          </cell>
          <cell r="C991" t="str">
            <v>SOFTWARE LICENCES</v>
          </cell>
          <cell r="D991">
            <v>0</v>
          </cell>
          <cell r="E991">
            <v>0</v>
          </cell>
          <cell r="G991">
            <v>0</v>
          </cell>
          <cell r="H991" t="str">
            <v/>
          </cell>
        </row>
        <row r="992">
          <cell r="A992" t="str">
            <v>155-10-062</v>
          </cell>
          <cell r="B992">
            <v>170</v>
          </cell>
          <cell r="C992" t="str">
            <v>EDUCATION EXPENSES</v>
          </cell>
          <cell r="D992">
            <v>939840</v>
          </cell>
          <cell r="E992">
            <v>411800</v>
          </cell>
          <cell r="G992">
            <v>823600</v>
          </cell>
          <cell r="H992">
            <v>1.1411364740165129</v>
          </cell>
        </row>
        <row r="993">
          <cell r="A993" t="str">
            <v>135-60-010</v>
          </cell>
          <cell r="B993">
            <v>170</v>
          </cell>
          <cell r="C993" t="str">
            <v>EMPLOYMENT COSTS</v>
          </cell>
          <cell r="D993">
            <v>3250000</v>
          </cell>
          <cell r="E993" t="str">
            <v>Actuals as at</v>
          </cell>
          <cell r="G993" t="str">
            <v>projected</v>
          </cell>
          <cell r="H993" t="str">
            <v>%</v>
          </cell>
        </row>
        <row r="994">
          <cell r="A994" t="str">
            <v>GL code</v>
          </cell>
          <cell r="C994" t="str">
            <v>EMPLOYMENT COSTS</v>
          </cell>
          <cell r="E994" t="str">
            <v>Actuals as at</v>
          </cell>
          <cell r="G994" t="str">
            <v>projected</v>
          </cell>
          <cell r="H994" t="str">
            <v>%</v>
          </cell>
        </row>
        <row r="995">
          <cell r="A995" t="str">
            <v>GL code</v>
          </cell>
          <cell r="C995" t="str">
            <v>EMPLOYMENT COSTS</v>
          </cell>
          <cell r="E995" t="str">
            <v>Actuals as at</v>
          </cell>
          <cell r="G995" t="str">
            <v>projected</v>
          </cell>
          <cell r="H995" t="str">
            <v>%</v>
          </cell>
        </row>
        <row r="996">
          <cell r="A996" t="str">
            <v>GL code</v>
          </cell>
          <cell r="C996" t="str">
            <v>EMPLOYMENT COSTS</v>
          </cell>
          <cell r="E996" t="str">
            <v>Actuals as at</v>
          </cell>
          <cell r="G996" t="str">
            <v>projected</v>
          </cell>
          <cell r="H996" t="str">
            <v>%</v>
          </cell>
        </row>
        <row r="997">
          <cell r="A997" t="str">
            <v>GL code</v>
          </cell>
          <cell r="C997" t="str">
            <v>EMPLOYMENT COSTS</v>
          </cell>
          <cell r="E997" t="str">
            <v>Actuals as at</v>
          </cell>
          <cell r="G997" t="str">
            <v>projected</v>
          </cell>
          <cell r="H997" t="str">
            <v>%</v>
          </cell>
        </row>
        <row r="998">
          <cell r="A998" t="str">
            <v>GL code</v>
          </cell>
          <cell r="C998" t="str">
            <v>EMPLOYMENT COSTS</v>
          </cell>
          <cell r="E998" t="str">
            <v>Actuals as at</v>
          </cell>
          <cell r="G998" t="str">
            <v>projected</v>
          </cell>
          <cell r="H998" t="str">
            <v>%</v>
          </cell>
        </row>
        <row r="999">
          <cell r="A999" t="str">
            <v>GL code</v>
          </cell>
          <cell r="C999" t="str">
            <v>EMPLOYMENT COSTS</v>
          </cell>
          <cell r="E999" t="str">
            <v>Actuals as at</v>
          </cell>
          <cell r="G999" t="str">
            <v>projected</v>
          </cell>
          <cell r="H999" t="str">
            <v>%</v>
          </cell>
        </row>
        <row r="1000">
          <cell r="A1000" t="str">
            <v>GL code</v>
          </cell>
          <cell r="C1000" t="str">
            <v>EMPLOYMENT COSTS</v>
          </cell>
          <cell r="E1000" t="str">
            <v>Actuals as at</v>
          </cell>
          <cell r="G1000" t="str">
            <v>projected</v>
          </cell>
          <cell r="H1000" t="str">
            <v>%</v>
          </cell>
        </row>
        <row r="1001">
          <cell r="A1001" t="str">
            <v>GL code</v>
          </cell>
          <cell r="C1001" t="str">
            <v>EMPLOYMENT COSTS</v>
          </cell>
          <cell r="E1001" t="str">
            <v>Actuals as at</v>
          </cell>
          <cell r="G1001" t="str">
            <v>projected</v>
          </cell>
          <cell r="H1001" t="str">
            <v>%</v>
          </cell>
        </row>
        <row r="1002">
          <cell r="A1002" t="str">
            <v>GL code</v>
          </cell>
          <cell r="C1002" t="str">
            <v>EMPLOYMENT COSTS</v>
          </cell>
          <cell r="E1002" t="str">
            <v>Actuals as at</v>
          </cell>
          <cell r="G1002" t="str">
            <v>projected</v>
          </cell>
          <cell r="H1002" t="str">
            <v>%</v>
          </cell>
        </row>
        <row r="1003">
          <cell r="A1003" t="str">
            <v>GL code</v>
          </cell>
          <cell r="C1003" t="str">
            <v>EMPLOYMENT COSTS</v>
          </cell>
          <cell r="E1003" t="str">
            <v>Actuals as at</v>
          </cell>
          <cell r="G1003" t="str">
            <v>projected</v>
          </cell>
          <cell r="H1003" t="str">
            <v>%</v>
          </cell>
        </row>
        <row r="1004">
          <cell r="A1004" t="str">
            <v>GL code</v>
          </cell>
          <cell r="C1004" t="str">
            <v>EMPLOYMENT COSTS</v>
          </cell>
          <cell r="E1004" t="str">
            <v>Actuals as at</v>
          </cell>
          <cell r="G1004" t="str">
            <v>projected</v>
          </cell>
          <cell r="H1004" t="str">
            <v>%</v>
          </cell>
        </row>
        <row r="1005">
          <cell r="A1005" t="str">
            <v>GL code</v>
          </cell>
          <cell r="C1005" t="str">
            <v>EMPLOYMENT COSTS</v>
          </cell>
          <cell r="E1005" t="str">
            <v>Actuals as at</v>
          </cell>
          <cell r="G1005" t="str">
            <v>projected</v>
          </cell>
          <cell r="H1005" t="str">
            <v>%</v>
          </cell>
        </row>
        <row r="1006">
          <cell r="A1006" t="str">
            <v>GL code</v>
          </cell>
          <cell r="C1006" t="str">
            <v>EMPLOYMENT COSTS</v>
          </cell>
          <cell r="E1006" t="str">
            <v>Actuals as at</v>
          </cell>
          <cell r="G1006" t="str">
            <v>projected</v>
          </cell>
          <cell r="H1006" t="str">
            <v>%</v>
          </cell>
        </row>
      </sheetData>
      <sheetData sheetId="22"/>
      <sheetData sheetId="23" refreshError="1">
        <row r="374">
          <cell r="A374" t="str">
            <v>Account</v>
          </cell>
          <cell r="D374" t="str">
            <v>JAN</v>
          </cell>
          <cell r="E374" t="str">
            <v>FEB</v>
          </cell>
          <cell r="F374" t="str">
            <v>MAR</v>
          </cell>
          <cell r="G374" t="str">
            <v>APR</v>
          </cell>
          <cell r="H374" t="str">
            <v>MAY</v>
          </cell>
          <cell r="I374" t="str">
            <v>JUN</v>
          </cell>
          <cell r="J374" t="str">
            <v>JUL</v>
          </cell>
          <cell r="K374" t="str">
            <v>AUG</v>
          </cell>
          <cell r="L374" t="str">
            <v>SEP</v>
          </cell>
          <cell r="M374" t="str">
            <v>OCT</v>
          </cell>
          <cell r="N374" t="str">
            <v>NOV</v>
          </cell>
          <cell r="O374" t="str">
            <v>DEC</v>
          </cell>
        </row>
        <row r="376">
          <cell r="B376" t="str">
            <v>AIB</v>
          </cell>
          <cell r="D376" t="e">
            <v>#REF!</v>
          </cell>
          <cell r="E376" t="e">
            <v>#REF!</v>
          </cell>
          <cell r="F376" t="e">
            <v>#REF!</v>
          </cell>
          <cell r="G376" t="e">
            <v>#REF!</v>
          </cell>
          <cell r="H376" t="e">
            <v>#REF!</v>
          </cell>
          <cell r="I376" t="e">
            <v>#REF!</v>
          </cell>
          <cell r="J376" t="e">
            <v>#REF!</v>
          </cell>
          <cell r="K376" t="e">
            <v>#REF!</v>
          </cell>
          <cell r="L376" t="e">
            <v>#REF!</v>
          </cell>
          <cell r="M376" t="e">
            <v>#REF!</v>
          </cell>
          <cell r="N376" t="e">
            <v>#REF!</v>
          </cell>
          <cell r="O376" t="e">
            <v>#REF!</v>
          </cell>
          <cell r="P376" t="e">
            <v>#REF!</v>
          </cell>
        </row>
        <row r="377">
          <cell r="B377" t="str">
            <v>OMEGA</v>
          </cell>
          <cell r="D377" t="e">
            <v>#REF!</v>
          </cell>
          <cell r="E377" t="e">
            <v>#REF!</v>
          </cell>
          <cell r="F377" t="e">
            <v>#REF!</v>
          </cell>
          <cell r="G377" t="e">
            <v>#REF!</v>
          </cell>
          <cell r="H377" t="e">
            <v>#REF!</v>
          </cell>
          <cell r="I377" t="e">
            <v>#REF!</v>
          </cell>
          <cell r="J377" t="e">
            <v>#REF!</v>
          </cell>
          <cell r="K377" t="e">
            <v>#REF!</v>
          </cell>
          <cell r="L377" t="e">
            <v>#REF!</v>
          </cell>
          <cell r="M377" t="e">
            <v>#REF!</v>
          </cell>
          <cell r="N377" t="e">
            <v>#REF!</v>
          </cell>
          <cell r="O377" t="e">
            <v>#REF!</v>
          </cell>
          <cell r="P377" t="e">
            <v>#REF!</v>
          </cell>
        </row>
        <row r="378">
          <cell r="B378" t="str">
            <v>L&amp;G</v>
          </cell>
          <cell r="D378" t="e">
            <v>#REF!</v>
          </cell>
          <cell r="E378" t="e">
            <v>#REF!</v>
          </cell>
          <cell r="F378" t="e">
            <v>#REF!</v>
          </cell>
          <cell r="G378" t="e">
            <v>#REF!</v>
          </cell>
          <cell r="H378" t="e">
            <v>#REF!</v>
          </cell>
          <cell r="I378" t="e">
            <v>#REF!</v>
          </cell>
          <cell r="J378" t="e">
            <v>#REF!</v>
          </cell>
          <cell r="K378" t="e">
            <v>#REF!</v>
          </cell>
          <cell r="L378" t="e">
            <v>#REF!</v>
          </cell>
          <cell r="M378" t="e">
            <v>#REF!</v>
          </cell>
          <cell r="N378" t="e">
            <v>#REF!</v>
          </cell>
          <cell r="O378" t="e">
            <v>#REF!</v>
          </cell>
          <cell r="P378" t="e">
            <v>#REF!</v>
          </cell>
        </row>
        <row r="379">
          <cell r="B379" t="str">
            <v>SEDGWICK</v>
          </cell>
          <cell r="D379" t="e">
            <v>#REF!</v>
          </cell>
          <cell r="E379" t="e">
            <v>#REF!</v>
          </cell>
          <cell r="F379" t="e">
            <v>#REF!</v>
          </cell>
          <cell r="G379" t="e">
            <v>#REF!</v>
          </cell>
          <cell r="H379" t="e">
            <v>#REF!</v>
          </cell>
          <cell r="I379" t="e">
            <v>#REF!</v>
          </cell>
          <cell r="J379" t="e">
            <v>#REF!</v>
          </cell>
          <cell r="K379" t="e">
            <v>#REF!</v>
          </cell>
          <cell r="L379" t="e">
            <v>#REF!</v>
          </cell>
          <cell r="M379" t="e">
            <v>#REF!</v>
          </cell>
          <cell r="N379" t="e">
            <v>#REF!</v>
          </cell>
          <cell r="O379" t="e">
            <v>#REF!</v>
          </cell>
          <cell r="P379" t="e">
            <v>#REF!</v>
          </cell>
        </row>
        <row r="380">
          <cell r="B380" t="str">
            <v>SHANGOR</v>
          </cell>
          <cell r="D380" t="e">
            <v>#REF!</v>
          </cell>
          <cell r="E380" t="e">
            <v>#REF!</v>
          </cell>
          <cell r="F380" t="e">
            <v>#REF!</v>
          </cell>
          <cell r="G380" t="e">
            <v>#REF!</v>
          </cell>
          <cell r="H380" t="e">
            <v>#REF!</v>
          </cell>
          <cell r="I380" t="e">
            <v>#REF!</v>
          </cell>
          <cell r="J380" t="e">
            <v>#REF!</v>
          </cell>
          <cell r="K380" t="e">
            <v>#REF!</v>
          </cell>
          <cell r="L380" t="e">
            <v>#REF!</v>
          </cell>
          <cell r="M380" t="e">
            <v>#REF!</v>
          </cell>
          <cell r="N380" t="e">
            <v>#REF!</v>
          </cell>
          <cell r="O380" t="e">
            <v>#REF!</v>
          </cell>
          <cell r="P380" t="e">
            <v>#REF!</v>
          </cell>
        </row>
        <row r="381">
          <cell r="B381" t="str">
            <v>SUNBIRD</v>
          </cell>
          <cell r="D381" t="e">
            <v>#REF!</v>
          </cell>
          <cell r="E381" t="e">
            <v>#REF!</v>
          </cell>
          <cell r="F381" t="e">
            <v>#REF!</v>
          </cell>
          <cell r="G381" t="e">
            <v>#REF!</v>
          </cell>
          <cell r="H381" t="e">
            <v>#REF!</v>
          </cell>
          <cell r="I381" t="e">
            <v>#REF!</v>
          </cell>
          <cell r="J381" t="e">
            <v>#REF!</v>
          </cell>
          <cell r="K381" t="e">
            <v>#REF!</v>
          </cell>
          <cell r="L381" t="e">
            <v>#REF!</v>
          </cell>
          <cell r="M381" t="e">
            <v>#REF!</v>
          </cell>
          <cell r="N381" t="e">
            <v>#REF!</v>
          </cell>
          <cell r="O381" t="e">
            <v>#REF!</v>
          </cell>
          <cell r="P381" t="e">
            <v>#REF!</v>
          </cell>
        </row>
        <row r="382">
          <cell r="B382" t="str">
            <v>DYNAMIC</v>
          </cell>
          <cell r="D382" t="e">
            <v>#REF!</v>
          </cell>
          <cell r="E382" t="e">
            <v>#REF!</v>
          </cell>
          <cell r="F382" t="e">
            <v>#REF!</v>
          </cell>
          <cell r="G382" t="e">
            <v>#REF!</v>
          </cell>
          <cell r="H382" t="e">
            <v>#REF!</v>
          </cell>
          <cell r="I382" t="e">
            <v>#REF!</v>
          </cell>
          <cell r="J382" t="e">
            <v>#REF!</v>
          </cell>
          <cell r="K382" t="e">
            <v>#REF!</v>
          </cell>
          <cell r="L382" t="e">
            <v>#REF!</v>
          </cell>
          <cell r="M382" t="e">
            <v>#REF!</v>
          </cell>
          <cell r="N382" t="e">
            <v>#REF!</v>
          </cell>
          <cell r="O382" t="e">
            <v>#REF!</v>
          </cell>
          <cell r="P382" t="e">
            <v>#REF!</v>
          </cell>
        </row>
        <row r="383">
          <cell r="B383" t="str">
            <v>LARK</v>
          </cell>
          <cell r="D383" t="e">
            <v>#REF!</v>
          </cell>
          <cell r="E383" t="e">
            <v>#REF!</v>
          </cell>
          <cell r="F383" t="e">
            <v>#REF!</v>
          </cell>
          <cell r="G383" t="e">
            <v>#REF!</v>
          </cell>
          <cell r="H383" t="e">
            <v>#REF!</v>
          </cell>
          <cell r="I383" t="e">
            <v>#REF!</v>
          </cell>
          <cell r="J383" t="e">
            <v>#REF!</v>
          </cell>
          <cell r="K383" t="e">
            <v>#REF!</v>
          </cell>
          <cell r="L383" t="e">
            <v>#REF!</v>
          </cell>
          <cell r="M383" t="e">
            <v>#REF!</v>
          </cell>
          <cell r="N383" t="e">
            <v>#REF!</v>
          </cell>
          <cell r="O383" t="e">
            <v>#REF!</v>
          </cell>
          <cell r="P383" t="e">
            <v>#REF!</v>
          </cell>
        </row>
        <row r="384">
          <cell r="B384" t="str">
            <v>GLOBAL</v>
          </cell>
          <cell r="D384" t="e">
            <v>#REF!</v>
          </cell>
          <cell r="E384" t="e">
            <v>#REF!</v>
          </cell>
          <cell r="F384" t="e">
            <v>#REF!</v>
          </cell>
          <cell r="G384" t="e">
            <v>#REF!</v>
          </cell>
          <cell r="H384" t="e">
            <v>#REF!</v>
          </cell>
          <cell r="I384" t="e">
            <v>#REF!</v>
          </cell>
          <cell r="J384" t="e">
            <v>#REF!</v>
          </cell>
          <cell r="K384" t="e">
            <v>#REF!</v>
          </cell>
          <cell r="L384" t="e">
            <v>#REF!</v>
          </cell>
          <cell r="M384" t="e">
            <v>#REF!</v>
          </cell>
          <cell r="N384" t="e">
            <v>#REF!</v>
          </cell>
          <cell r="O384" t="e">
            <v>#REF!</v>
          </cell>
          <cell r="P384" t="e">
            <v>#REF!</v>
          </cell>
        </row>
        <row r="385">
          <cell r="B385" t="str">
            <v>SALEYS</v>
          </cell>
          <cell r="D385" t="e">
            <v>#REF!</v>
          </cell>
          <cell r="E385" t="e">
            <v>#REF!</v>
          </cell>
          <cell r="F385" t="e">
            <v>#REF!</v>
          </cell>
          <cell r="G385" t="e">
            <v>#REF!</v>
          </cell>
          <cell r="H385" t="e">
            <v>#REF!</v>
          </cell>
          <cell r="I385" t="e">
            <v>#REF!</v>
          </cell>
          <cell r="J385" t="e">
            <v>#REF!</v>
          </cell>
          <cell r="K385" t="e">
            <v>#REF!</v>
          </cell>
          <cell r="L385" t="e">
            <v>#REF!</v>
          </cell>
          <cell r="M385" t="e">
            <v>#REF!</v>
          </cell>
          <cell r="N385" t="e">
            <v>#REF!</v>
          </cell>
          <cell r="O385" t="e">
            <v>#REF!</v>
          </cell>
          <cell r="P385" t="e">
            <v>#REF!</v>
          </cell>
        </row>
        <row r="386">
          <cell r="B386" t="str">
            <v>RECALL</v>
          </cell>
          <cell r="D386" t="e">
            <v>#REF!</v>
          </cell>
          <cell r="E386" t="e">
            <v>#REF!</v>
          </cell>
          <cell r="F386" t="e">
            <v>#REF!</v>
          </cell>
          <cell r="G386" t="e">
            <v>#REF!</v>
          </cell>
          <cell r="H386" t="e">
            <v>#REF!</v>
          </cell>
          <cell r="I386" t="e">
            <v>#REF!</v>
          </cell>
          <cell r="J386" t="e">
            <v>#REF!</v>
          </cell>
          <cell r="K386" t="e">
            <v>#REF!</v>
          </cell>
          <cell r="L386" t="e">
            <v>#REF!</v>
          </cell>
          <cell r="M386" t="e">
            <v>#REF!</v>
          </cell>
          <cell r="N386" t="e">
            <v>#REF!</v>
          </cell>
          <cell r="O386" t="e">
            <v>#REF!</v>
          </cell>
          <cell r="P386" t="e">
            <v>#REF!</v>
          </cell>
        </row>
        <row r="387">
          <cell r="B387" t="str">
            <v>SMP</v>
          </cell>
          <cell r="D387" t="e">
            <v>#REF!</v>
          </cell>
          <cell r="E387" t="e">
            <v>#REF!</v>
          </cell>
          <cell r="F387" t="e">
            <v>#REF!</v>
          </cell>
          <cell r="G387" t="e">
            <v>#REF!</v>
          </cell>
          <cell r="H387" t="e">
            <v>#REF!</v>
          </cell>
          <cell r="I387" t="e">
            <v>#REF!</v>
          </cell>
          <cell r="J387" t="e">
            <v>#REF!</v>
          </cell>
          <cell r="K387" t="e">
            <v>#REF!</v>
          </cell>
          <cell r="L387" t="e">
            <v>#REF!</v>
          </cell>
          <cell r="M387" t="e">
            <v>#REF!</v>
          </cell>
          <cell r="N387" t="e">
            <v>#REF!</v>
          </cell>
          <cell r="O387" t="e">
            <v>#REF!</v>
          </cell>
          <cell r="P387" t="e">
            <v>#REF!</v>
          </cell>
        </row>
        <row r="388">
          <cell r="B388" t="str">
            <v>MULTISURE</v>
          </cell>
          <cell r="D388" t="e">
            <v>#REF!</v>
          </cell>
          <cell r="E388" t="e">
            <v>#REF!</v>
          </cell>
          <cell r="F388" t="e">
            <v>#REF!</v>
          </cell>
          <cell r="G388" t="e">
            <v>#REF!</v>
          </cell>
          <cell r="H388" t="e">
            <v>#REF!</v>
          </cell>
          <cell r="I388" t="e">
            <v>#REF!</v>
          </cell>
          <cell r="J388" t="e">
            <v>#REF!</v>
          </cell>
          <cell r="K388" t="e">
            <v>#REF!</v>
          </cell>
          <cell r="L388" t="e">
            <v>#REF!</v>
          </cell>
          <cell r="M388" t="e">
            <v>#REF!</v>
          </cell>
          <cell r="N388" t="e">
            <v>#REF!</v>
          </cell>
          <cell r="O388" t="e">
            <v>#REF!</v>
          </cell>
          <cell r="P388" t="e">
            <v>#REF!</v>
          </cell>
        </row>
        <row r="389">
          <cell r="B389" t="str">
            <v>SONESTHERS</v>
          </cell>
          <cell r="D389" t="e">
            <v>#REF!</v>
          </cell>
          <cell r="E389" t="e">
            <v>#REF!</v>
          </cell>
          <cell r="F389" t="e">
            <v>#REF!</v>
          </cell>
          <cell r="G389" t="e">
            <v>#REF!</v>
          </cell>
          <cell r="H389" t="e">
            <v>#REF!</v>
          </cell>
          <cell r="I389" t="e">
            <v>#REF!</v>
          </cell>
          <cell r="J389" t="e">
            <v>#REF!</v>
          </cell>
          <cell r="K389" t="e">
            <v>#REF!</v>
          </cell>
          <cell r="L389" t="e">
            <v>#REF!</v>
          </cell>
          <cell r="M389" t="e">
            <v>#REF!</v>
          </cell>
          <cell r="N389" t="e">
            <v>#REF!</v>
          </cell>
          <cell r="O389" t="e">
            <v>#REF!</v>
          </cell>
          <cell r="P389" t="e">
            <v>#REF!</v>
          </cell>
        </row>
        <row r="390">
          <cell r="B390" t="str">
            <v>LIFE MARKETING</v>
          </cell>
          <cell r="D390" t="e">
            <v>#REF!</v>
          </cell>
          <cell r="E390" t="e">
            <v>#REF!</v>
          </cell>
          <cell r="F390" t="e">
            <v>#REF!</v>
          </cell>
          <cell r="G390" t="e">
            <v>#REF!</v>
          </cell>
          <cell r="H390" t="e">
            <v>#REF!</v>
          </cell>
          <cell r="I390" t="e">
            <v>#REF!</v>
          </cell>
          <cell r="J390" t="e">
            <v>#REF!</v>
          </cell>
          <cell r="K390" t="e">
            <v>#REF!</v>
          </cell>
          <cell r="L390" t="e">
            <v>#REF!</v>
          </cell>
          <cell r="M390" t="e">
            <v>#REF!</v>
          </cell>
          <cell r="N390" t="e">
            <v>#REF!</v>
          </cell>
          <cell r="O390" t="e">
            <v>#REF!</v>
          </cell>
          <cell r="P390" t="e">
            <v>#REF!</v>
          </cell>
        </row>
        <row r="391">
          <cell r="B391" t="str">
            <v>RHINO</v>
          </cell>
          <cell r="D391" t="e">
            <v>#REF!</v>
          </cell>
          <cell r="E391" t="e">
            <v>#REF!</v>
          </cell>
          <cell r="F391" t="e">
            <v>#REF!</v>
          </cell>
          <cell r="G391" t="e">
            <v>#REF!</v>
          </cell>
          <cell r="H391" t="e">
            <v>#REF!</v>
          </cell>
          <cell r="I391" t="e">
            <v>#REF!</v>
          </cell>
          <cell r="J391" t="e">
            <v>#REF!</v>
          </cell>
          <cell r="K391" t="e">
            <v>#REF!</v>
          </cell>
          <cell r="L391" t="e">
            <v>#REF!</v>
          </cell>
          <cell r="M391" t="e">
            <v>#REF!</v>
          </cell>
          <cell r="N391" t="e">
            <v>#REF!</v>
          </cell>
          <cell r="O391" t="e">
            <v>#REF!</v>
          </cell>
          <cell r="P391" t="e">
            <v>#REF!</v>
          </cell>
        </row>
        <row r="392">
          <cell r="B392" t="str">
            <v>BJM</v>
          </cell>
          <cell r="D392" t="e">
            <v>#REF!</v>
          </cell>
          <cell r="E392" t="e">
            <v>#REF!</v>
          </cell>
          <cell r="F392" t="e">
            <v>#REF!</v>
          </cell>
          <cell r="G392" t="e">
            <v>#REF!</v>
          </cell>
          <cell r="H392" t="e">
            <v>#REF!</v>
          </cell>
          <cell r="I392" t="e">
            <v>#REF!</v>
          </cell>
          <cell r="J392" t="e">
            <v>#REF!</v>
          </cell>
          <cell r="K392" t="e">
            <v>#REF!</v>
          </cell>
          <cell r="L392" t="e">
            <v>#REF!</v>
          </cell>
          <cell r="M392" t="e">
            <v>#REF!</v>
          </cell>
          <cell r="N392" t="e">
            <v>#REF!</v>
          </cell>
          <cell r="O392" t="e">
            <v>#REF!</v>
          </cell>
          <cell r="P392" t="e">
            <v>#REF!</v>
          </cell>
        </row>
        <row r="393">
          <cell r="B393" t="str">
            <v>MORTGAGE &amp; FUNERAL</v>
          </cell>
          <cell r="D393" t="e">
            <v>#REF!</v>
          </cell>
          <cell r="E393" t="e">
            <v>#REF!</v>
          </cell>
          <cell r="F393" t="e">
            <v>#REF!</v>
          </cell>
          <cell r="G393" t="e">
            <v>#REF!</v>
          </cell>
          <cell r="H393" t="e">
            <v>#REF!</v>
          </cell>
          <cell r="I393" t="e">
            <v>#REF!</v>
          </cell>
          <cell r="J393" t="e">
            <v>#REF!</v>
          </cell>
          <cell r="K393" t="e">
            <v>#REF!</v>
          </cell>
          <cell r="L393" t="e">
            <v>#REF!</v>
          </cell>
          <cell r="M393" t="e">
            <v>#REF!</v>
          </cell>
          <cell r="N393" t="e">
            <v>#REF!</v>
          </cell>
          <cell r="O393" t="e">
            <v>#REF!</v>
          </cell>
          <cell r="P393" t="e">
            <v>#REF!</v>
          </cell>
        </row>
        <row r="394">
          <cell r="B394" t="str">
            <v>DRIVE</v>
          </cell>
          <cell r="D394" t="e">
            <v>#REF!</v>
          </cell>
          <cell r="E394" t="e">
            <v>#REF!</v>
          </cell>
          <cell r="F394" t="e">
            <v>#REF!</v>
          </cell>
          <cell r="G394" t="e">
            <v>#REF!</v>
          </cell>
          <cell r="H394" t="e">
            <v>#REF!</v>
          </cell>
          <cell r="I394" t="e">
            <v>#REF!</v>
          </cell>
          <cell r="J394" t="e">
            <v>#REF!</v>
          </cell>
          <cell r="K394" t="e">
            <v>#REF!</v>
          </cell>
          <cell r="L394" t="e">
            <v>#REF!</v>
          </cell>
          <cell r="M394" t="e">
            <v>#REF!</v>
          </cell>
          <cell r="N394" t="e">
            <v>#REF!</v>
          </cell>
          <cell r="O394" t="e">
            <v>#REF!</v>
          </cell>
          <cell r="P394" t="e">
            <v>#REF!</v>
          </cell>
        </row>
        <row r="395">
          <cell r="B395" t="str">
            <v>MPR</v>
          </cell>
          <cell r="D395" t="e">
            <v>#REF!</v>
          </cell>
          <cell r="E395" t="e">
            <v>#REF!</v>
          </cell>
          <cell r="F395" t="e">
            <v>#REF!</v>
          </cell>
          <cell r="G395" t="e">
            <v>#REF!</v>
          </cell>
          <cell r="H395" t="e">
            <v>#REF!</v>
          </cell>
          <cell r="I395" t="e">
            <v>#REF!</v>
          </cell>
          <cell r="J395" t="e">
            <v>#REF!</v>
          </cell>
          <cell r="K395" t="e">
            <v>#REF!</v>
          </cell>
          <cell r="L395" t="e">
            <v>#REF!</v>
          </cell>
          <cell r="M395" t="e">
            <v>#REF!</v>
          </cell>
          <cell r="N395" t="e">
            <v>#REF!</v>
          </cell>
          <cell r="O395" t="e">
            <v>#REF!</v>
          </cell>
          <cell r="P395" t="e">
            <v>#REF!</v>
          </cell>
        </row>
        <row r="396">
          <cell r="B396" t="str">
            <v>CROSSROADS</v>
          </cell>
          <cell r="D396" t="e">
            <v>#REF!</v>
          </cell>
          <cell r="E396" t="e">
            <v>#REF!</v>
          </cell>
          <cell r="F396" t="e">
            <v>#REF!</v>
          </cell>
          <cell r="G396" t="e">
            <v>#REF!</v>
          </cell>
          <cell r="H396" t="e">
            <v>#REF!</v>
          </cell>
          <cell r="I396" t="e">
            <v>#REF!</v>
          </cell>
          <cell r="J396" t="e">
            <v>#REF!</v>
          </cell>
          <cell r="K396" t="e">
            <v>#REF!</v>
          </cell>
          <cell r="L396" t="e">
            <v>#REF!</v>
          </cell>
          <cell r="M396" t="e">
            <v>#REF!</v>
          </cell>
          <cell r="N396" t="e">
            <v>#REF!</v>
          </cell>
          <cell r="O396" t="e">
            <v>#REF!</v>
          </cell>
          <cell r="P396" t="e">
            <v>#REF!</v>
          </cell>
        </row>
        <row r="397">
          <cell r="B397" t="str">
            <v>BANAY</v>
          </cell>
          <cell r="D397" t="e">
            <v>#REF!</v>
          </cell>
          <cell r="E397" t="e">
            <v>#REF!</v>
          </cell>
          <cell r="F397" t="e">
            <v>#REF!</v>
          </cell>
          <cell r="G397" t="e">
            <v>#REF!</v>
          </cell>
          <cell r="H397" t="e">
            <v>#REF!</v>
          </cell>
          <cell r="I397" t="e">
            <v>#REF!</v>
          </cell>
          <cell r="J397" t="e">
            <v>#REF!</v>
          </cell>
          <cell r="K397" t="e">
            <v>#REF!</v>
          </cell>
          <cell r="L397" t="e">
            <v>#REF!</v>
          </cell>
          <cell r="M397" t="e">
            <v>#REF!</v>
          </cell>
          <cell r="N397" t="e">
            <v>#REF!</v>
          </cell>
          <cell r="O397" t="e">
            <v>#REF!</v>
          </cell>
          <cell r="P397" t="e">
            <v>#REF!</v>
          </cell>
        </row>
        <row r="398">
          <cell r="B398" t="str">
            <v>VISION</v>
          </cell>
          <cell r="D398" t="e">
            <v>#REF!</v>
          </cell>
          <cell r="E398" t="e">
            <v>#REF!</v>
          </cell>
          <cell r="F398" t="e">
            <v>#REF!</v>
          </cell>
          <cell r="G398" t="e">
            <v>#REF!</v>
          </cell>
          <cell r="H398" t="e">
            <v>#REF!</v>
          </cell>
          <cell r="I398" t="e">
            <v>#REF!</v>
          </cell>
          <cell r="J398" t="e">
            <v>#REF!</v>
          </cell>
          <cell r="K398" t="e">
            <v>#REF!</v>
          </cell>
          <cell r="L398" t="e">
            <v>#REF!</v>
          </cell>
          <cell r="M398" t="e">
            <v>#REF!</v>
          </cell>
          <cell r="N398" t="e">
            <v>#REF!</v>
          </cell>
          <cell r="O398" t="e">
            <v>#REF!</v>
          </cell>
          <cell r="P398" t="e">
            <v>#REF!</v>
          </cell>
        </row>
        <row r="399">
          <cell r="B399" t="str">
            <v>LETSHEGO</v>
          </cell>
          <cell r="D399" t="e">
            <v>#REF!</v>
          </cell>
          <cell r="E399" t="e">
            <v>#REF!</v>
          </cell>
          <cell r="F399" t="e">
            <v>#REF!</v>
          </cell>
          <cell r="G399" t="e">
            <v>#REF!</v>
          </cell>
          <cell r="H399" t="e">
            <v>#REF!</v>
          </cell>
          <cell r="I399" t="e">
            <v>#REF!</v>
          </cell>
          <cell r="J399" t="e">
            <v>#REF!</v>
          </cell>
          <cell r="K399" t="e">
            <v>#REF!</v>
          </cell>
          <cell r="L399" t="e">
            <v>#REF!</v>
          </cell>
          <cell r="M399" t="e">
            <v>#REF!</v>
          </cell>
          <cell r="N399" t="e">
            <v>#REF!</v>
          </cell>
          <cell r="O399" t="e">
            <v>#REF!</v>
          </cell>
          <cell r="P399" t="e">
            <v>#REF!</v>
          </cell>
        </row>
        <row r="400">
          <cell r="B400" t="str">
            <v xml:space="preserve">MEDVEST </v>
          </cell>
          <cell r="D400" t="e">
            <v>#REF!</v>
          </cell>
          <cell r="E400" t="e">
            <v>#REF!</v>
          </cell>
          <cell r="F400" t="e">
            <v>#REF!</v>
          </cell>
          <cell r="G400" t="e">
            <v>#REF!</v>
          </cell>
          <cell r="H400" t="e">
            <v>#REF!</v>
          </cell>
          <cell r="I400" t="e">
            <v>#REF!</v>
          </cell>
          <cell r="J400" t="e">
            <v>#REF!</v>
          </cell>
          <cell r="K400" t="e">
            <v>#REF!</v>
          </cell>
          <cell r="L400" t="e">
            <v>#REF!</v>
          </cell>
          <cell r="M400" t="e">
            <v>#REF!</v>
          </cell>
          <cell r="N400" t="e">
            <v>#REF!</v>
          </cell>
          <cell r="O400" t="e">
            <v>#REF!</v>
          </cell>
          <cell r="P400" t="e">
            <v>#REF!</v>
          </cell>
        </row>
        <row r="401">
          <cell r="B401" t="str">
            <v>NEW BROKER/AGENCIES</v>
          </cell>
          <cell r="D401" t="e">
            <v>#REF!</v>
          </cell>
          <cell r="E401" t="e">
            <v>#REF!</v>
          </cell>
          <cell r="F401" t="e">
            <v>#REF!</v>
          </cell>
          <cell r="G401" t="e">
            <v>#REF!</v>
          </cell>
          <cell r="H401" t="e">
            <v>#REF!</v>
          </cell>
          <cell r="I401" t="e">
            <v>#REF!</v>
          </cell>
          <cell r="J401" t="e">
            <v>#REF!</v>
          </cell>
          <cell r="K401" t="e">
            <v>#REF!</v>
          </cell>
          <cell r="L401" t="e">
            <v>#REF!</v>
          </cell>
          <cell r="M401" t="e">
            <v>#REF!</v>
          </cell>
          <cell r="N401" t="e">
            <v>#REF!</v>
          </cell>
          <cell r="O401" t="e">
            <v>#REF!</v>
          </cell>
          <cell r="P401" t="e">
            <v>#REF!</v>
          </cell>
        </row>
        <row r="402">
          <cell r="B402" t="str">
            <v>AV SALES PER MAN</v>
          </cell>
          <cell r="D402">
            <v>4</v>
          </cell>
          <cell r="E402">
            <v>5</v>
          </cell>
          <cell r="F402">
            <v>7</v>
          </cell>
          <cell r="G402">
            <v>5</v>
          </cell>
          <cell r="H402">
            <v>7</v>
          </cell>
          <cell r="I402">
            <v>5</v>
          </cell>
          <cell r="J402">
            <v>6</v>
          </cell>
          <cell r="K402">
            <v>5</v>
          </cell>
          <cell r="L402">
            <v>5</v>
          </cell>
          <cell r="M402">
            <v>7</v>
          </cell>
          <cell r="N402">
            <v>5</v>
          </cell>
          <cell r="O402">
            <v>4</v>
          </cell>
        </row>
        <row r="404">
          <cell r="B404" t="str">
            <v>AGENCY</v>
          </cell>
          <cell r="C404" t="str">
            <v>AGENTS STATUS</v>
          </cell>
        </row>
        <row r="406">
          <cell r="A406">
            <v>10020020</v>
          </cell>
          <cell r="B406" t="str">
            <v>Eldoret</v>
          </cell>
          <cell r="C406" t="str">
            <v>Unit Linked cases(conf'med)</v>
          </cell>
          <cell r="D406">
            <v>181</v>
          </cell>
          <cell r="E406">
            <v>241</v>
          </cell>
          <cell r="F406">
            <v>268</v>
          </cell>
          <cell r="G406">
            <v>241</v>
          </cell>
          <cell r="H406">
            <v>268</v>
          </cell>
          <cell r="I406">
            <v>365</v>
          </cell>
          <cell r="J406">
            <v>281</v>
          </cell>
          <cell r="K406">
            <v>247</v>
          </cell>
          <cell r="L406">
            <v>352</v>
          </cell>
          <cell r="M406">
            <v>269</v>
          </cell>
          <cell r="N406">
            <v>336</v>
          </cell>
          <cell r="O406">
            <v>207</v>
          </cell>
          <cell r="P406">
            <v>3256</v>
          </cell>
        </row>
        <row r="407">
          <cell r="A407">
            <v>10020010</v>
          </cell>
          <cell r="C407" t="str">
            <v>Funeral Plan cases(conf'med)</v>
          </cell>
          <cell r="D407">
            <v>89</v>
          </cell>
          <cell r="E407">
            <v>119</v>
          </cell>
          <cell r="F407">
            <v>132</v>
          </cell>
          <cell r="G407">
            <v>119</v>
          </cell>
          <cell r="H407">
            <v>132</v>
          </cell>
          <cell r="I407">
            <v>180</v>
          </cell>
          <cell r="J407">
            <v>139</v>
          </cell>
          <cell r="K407">
            <v>122</v>
          </cell>
          <cell r="L407">
            <v>173</v>
          </cell>
          <cell r="M407">
            <v>133</v>
          </cell>
          <cell r="N407">
            <v>166</v>
          </cell>
          <cell r="O407">
            <v>102</v>
          </cell>
          <cell r="P407">
            <v>1606</v>
          </cell>
        </row>
        <row r="408">
          <cell r="A408">
            <v>10020020</v>
          </cell>
          <cell r="C408" t="str">
            <v>Unit Linked cases(proba'ners)</v>
          </cell>
          <cell r="P408">
            <v>0</v>
          </cell>
        </row>
        <row r="409">
          <cell r="A409">
            <v>10020010</v>
          </cell>
          <cell r="C409" t="str">
            <v>Funeral Plan cases(proba'ners)</v>
          </cell>
          <cell r="P409">
            <v>0</v>
          </cell>
        </row>
        <row r="410">
          <cell r="C410" t="str">
            <v>total</v>
          </cell>
          <cell r="D410">
            <v>270</v>
          </cell>
          <cell r="E410">
            <v>360</v>
          </cell>
          <cell r="F410">
            <v>400</v>
          </cell>
          <cell r="G410">
            <v>360</v>
          </cell>
          <cell r="H410">
            <v>400</v>
          </cell>
          <cell r="I410">
            <v>545</v>
          </cell>
          <cell r="J410">
            <v>420</v>
          </cell>
          <cell r="K410">
            <v>369</v>
          </cell>
          <cell r="L410">
            <v>525</v>
          </cell>
          <cell r="M410">
            <v>402</v>
          </cell>
          <cell r="N410">
            <v>502</v>
          </cell>
          <cell r="O410">
            <v>309</v>
          </cell>
          <cell r="P410">
            <v>4862</v>
          </cell>
        </row>
        <row r="412">
          <cell r="A412">
            <v>10020020</v>
          </cell>
          <cell r="B412" t="str">
            <v>Capital</v>
          </cell>
          <cell r="C412" t="str">
            <v>Unit Linked cases(conf'med)</v>
          </cell>
          <cell r="P412">
            <v>0</v>
          </cell>
        </row>
        <row r="413">
          <cell r="A413">
            <v>10020010</v>
          </cell>
          <cell r="C413" t="str">
            <v>Funeral Plan cases(conf'med)</v>
          </cell>
          <cell r="P413">
            <v>0</v>
          </cell>
        </row>
        <row r="414">
          <cell r="A414">
            <v>10020020</v>
          </cell>
          <cell r="C414" t="str">
            <v>Unit Linked cases(proba'ners)</v>
          </cell>
          <cell r="P414">
            <v>0</v>
          </cell>
        </row>
        <row r="415">
          <cell r="A415">
            <v>10020010</v>
          </cell>
          <cell r="C415" t="str">
            <v>Funeral Plan cases(proba'ners)</v>
          </cell>
          <cell r="P415">
            <v>0</v>
          </cell>
        </row>
        <row r="416">
          <cell r="C416" t="str">
            <v>total</v>
          </cell>
          <cell r="D416">
            <v>0</v>
          </cell>
          <cell r="E416">
            <v>0</v>
          </cell>
          <cell r="F416">
            <v>0</v>
          </cell>
          <cell r="G416">
            <v>0</v>
          </cell>
          <cell r="H416">
            <v>0</v>
          </cell>
          <cell r="I416">
            <v>0</v>
          </cell>
          <cell r="J416">
            <v>0</v>
          </cell>
          <cell r="K416">
            <v>0</v>
          </cell>
          <cell r="L416">
            <v>0</v>
          </cell>
          <cell r="M416">
            <v>0</v>
          </cell>
          <cell r="N416">
            <v>0</v>
          </cell>
          <cell r="O416">
            <v>0</v>
          </cell>
          <cell r="P416">
            <v>0</v>
          </cell>
        </row>
        <row r="418">
          <cell r="A418">
            <v>10020020</v>
          </cell>
          <cell r="B418" t="str">
            <v>Nairobi Metro</v>
          </cell>
          <cell r="C418" t="str">
            <v>Unit Linked cases(conf'med)</v>
          </cell>
          <cell r="D418">
            <v>145</v>
          </cell>
          <cell r="E418">
            <v>193</v>
          </cell>
          <cell r="F418">
            <v>268</v>
          </cell>
          <cell r="G418">
            <v>241</v>
          </cell>
          <cell r="H418">
            <v>268</v>
          </cell>
          <cell r="I418">
            <v>365</v>
          </cell>
          <cell r="J418">
            <v>295</v>
          </cell>
          <cell r="K418">
            <v>261</v>
          </cell>
          <cell r="L418">
            <v>366</v>
          </cell>
          <cell r="M418">
            <v>283</v>
          </cell>
          <cell r="N418">
            <v>350</v>
          </cell>
          <cell r="O418">
            <v>221</v>
          </cell>
          <cell r="P418">
            <v>3256</v>
          </cell>
        </row>
        <row r="419">
          <cell r="A419">
            <v>10020010</v>
          </cell>
          <cell r="C419" t="str">
            <v>Funeral Plan cases(conf'med)</v>
          </cell>
          <cell r="D419">
            <v>71</v>
          </cell>
          <cell r="E419">
            <v>95</v>
          </cell>
          <cell r="F419">
            <v>132</v>
          </cell>
          <cell r="G419">
            <v>119</v>
          </cell>
          <cell r="H419">
            <v>132</v>
          </cell>
          <cell r="I419">
            <v>180</v>
          </cell>
          <cell r="J419">
            <v>146</v>
          </cell>
          <cell r="K419">
            <v>129</v>
          </cell>
          <cell r="L419">
            <v>180</v>
          </cell>
          <cell r="M419">
            <v>139</v>
          </cell>
          <cell r="N419">
            <v>173</v>
          </cell>
          <cell r="O419">
            <v>109</v>
          </cell>
          <cell r="P419">
            <v>1605</v>
          </cell>
        </row>
        <row r="420">
          <cell r="A420">
            <v>10020020</v>
          </cell>
          <cell r="C420" t="str">
            <v>Unit Linked cases(proba'ners)</v>
          </cell>
          <cell r="P420">
            <v>0</v>
          </cell>
        </row>
        <row r="421">
          <cell r="A421">
            <v>10020010</v>
          </cell>
          <cell r="C421" t="str">
            <v>Funeral Plan cases(proba'ners)</v>
          </cell>
          <cell r="P421">
            <v>0</v>
          </cell>
        </row>
        <row r="422">
          <cell r="C422" t="str">
            <v>total</v>
          </cell>
          <cell r="D422">
            <v>216</v>
          </cell>
          <cell r="E422">
            <v>288</v>
          </cell>
          <cell r="F422">
            <v>400</v>
          </cell>
          <cell r="G422">
            <v>360</v>
          </cell>
          <cell r="H422">
            <v>400</v>
          </cell>
          <cell r="I422">
            <v>545</v>
          </cell>
          <cell r="J422">
            <v>441</v>
          </cell>
          <cell r="K422">
            <v>390</v>
          </cell>
          <cell r="L422">
            <v>546</v>
          </cell>
          <cell r="M422">
            <v>422</v>
          </cell>
          <cell r="N422">
            <v>523</v>
          </cell>
          <cell r="O422">
            <v>330</v>
          </cell>
          <cell r="P422">
            <v>4861</v>
          </cell>
        </row>
        <row r="424">
          <cell r="A424">
            <v>10020020</v>
          </cell>
          <cell r="B424" t="str">
            <v>Kisii</v>
          </cell>
          <cell r="C424" t="str">
            <v>Unit Linked cases(conf'med)</v>
          </cell>
          <cell r="D424">
            <v>145</v>
          </cell>
          <cell r="E424">
            <v>193</v>
          </cell>
          <cell r="F424">
            <v>214</v>
          </cell>
          <cell r="G424">
            <v>193</v>
          </cell>
          <cell r="H424">
            <v>214</v>
          </cell>
          <cell r="I424">
            <v>292</v>
          </cell>
          <cell r="J424">
            <v>225</v>
          </cell>
          <cell r="K424">
            <v>198</v>
          </cell>
          <cell r="L424">
            <v>281</v>
          </cell>
          <cell r="M424">
            <v>214</v>
          </cell>
          <cell r="N424">
            <v>269</v>
          </cell>
          <cell r="O424">
            <v>166</v>
          </cell>
          <cell r="P424">
            <v>2604</v>
          </cell>
        </row>
        <row r="425">
          <cell r="A425">
            <v>10020010</v>
          </cell>
          <cell r="C425" t="str">
            <v>Funeral Plan cases(conf'med)</v>
          </cell>
          <cell r="D425">
            <v>71</v>
          </cell>
          <cell r="E425">
            <v>95</v>
          </cell>
          <cell r="F425">
            <v>106</v>
          </cell>
          <cell r="G425">
            <v>95</v>
          </cell>
          <cell r="H425">
            <v>106</v>
          </cell>
          <cell r="I425">
            <v>144</v>
          </cell>
          <cell r="J425">
            <v>111</v>
          </cell>
          <cell r="K425">
            <v>97</v>
          </cell>
          <cell r="L425">
            <v>139</v>
          </cell>
          <cell r="M425">
            <v>106</v>
          </cell>
          <cell r="N425">
            <v>133</v>
          </cell>
          <cell r="O425">
            <v>82</v>
          </cell>
          <cell r="P425">
            <v>1285</v>
          </cell>
        </row>
        <row r="426">
          <cell r="A426">
            <v>10020020</v>
          </cell>
          <cell r="C426" t="str">
            <v>Unit Linked cases(proba'ners)</v>
          </cell>
          <cell r="P426">
            <v>0</v>
          </cell>
        </row>
        <row r="427">
          <cell r="A427">
            <v>10020010</v>
          </cell>
          <cell r="C427" t="str">
            <v>Funeral Plan cases(proba'ners)</v>
          </cell>
          <cell r="P427">
            <v>0</v>
          </cell>
        </row>
        <row r="428">
          <cell r="C428" t="str">
            <v>total</v>
          </cell>
          <cell r="D428">
            <v>216</v>
          </cell>
          <cell r="E428">
            <v>288</v>
          </cell>
          <cell r="F428">
            <v>320</v>
          </cell>
          <cell r="G428">
            <v>288</v>
          </cell>
          <cell r="H428">
            <v>320</v>
          </cell>
          <cell r="I428">
            <v>436</v>
          </cell>
          <cell r="J428">
            <v>336</v>
          </cell>
          <cell r="K428">
            <v>295</v>
          </cell>
          <cell r="L428">
            <v>420</v>
          </cell>
          <cell r="M428">
            <v>320</v>
          </cell>
          <cell r="N428">
            <v>402</v>
          </cell>
          <cell r="O428">
            <v>248</v>
          </cell>
          <cell r="P428">
            <v>3889</v>
          </cell>
        </row>
        <row r="430">
          <cell r="A430">
            <v>10020020</v>
          </cell>
          <cell r="B430" t="str">
            <v>Kisumu</v>
          </cell>
          <cell r="C430" t="str">
            <v>Unit Linked cases(conf'med)</v>
          </cell>
          <cell r="D430">
            <v>145</v>
          </cell>
          <cell r="E430">
            <v>193</v>
          </cell>
          <cell r="F430">
            <v>214</v>
          </cell>
          <cell r="G430">
            <v>193</v>
          </cell>
          <cell r="H430">
            <v>214</v>
          </cell>
          <cell r="I430">
            <v>292</v>
          </cell>
          <cell r="J430">
            <v>225</v>
          </cell>
          <cell r="K430">
            <v>198</v>
          </cell>
          <cell r="L430">
            <v>281</v>
          </cell>
          <cell r="M430">
            <v>214</v>
          </cell>
          <cell r="N430">
            <v>269</v>
          </cell>
          <cell r="O430">
            <v>166</v>
          </cell>
          <cell r="P430">
            <v>2604</v>
          </cell>
        </row>
        <row r="431">
          <cell r="A431">
            <v>10020010</v>
          </cell>
          <cell r="C431" t="str">
            <v>Funeral Plan cases(conf'med)</v>
          </cell>
          <cell r="D431">
            <v>71</v>
          </cell>
          <cell r="E431">
            <v>95</v>
          </cell>
          <cell r="F431">
            <v>106</v>
          </cell>
          <cell r="G431">
            <v>95</v>
          </cell>
          <cell r="H431">
            <v>106</v>
          </cell>
          <cell r="I431">
            <v>144</v>
          </cell>
          <cell r="J431">
            <v>111</v>
          </cell>
          <cell r="K431">
            <v>97</v>
          </cell>
          <cell r="L431">
            <v>139</v>
          </cell>
          <cell r="M431">
            <v>106</v>
          </cell>
          <cell r="N431">
            <v>133</v>
          </cell>
          <cell r="O431">
            <v>82</v>
          </cell>
          <cell r="P431">
            <v>1285</v>
          </cell>
        </row>
        <row r="432">
          <cell r="A432">
            <v>10020020</v>
          </cell>
          <cell r="C432" t="str">
            <v>Unit Linked cases(proba'ners)</v>
          </cell>
          <cell r="P432">
            <v>0</v>
          </cell>
        </row>
        <row r="433">
          <cell r="A433">
            <v>10020010</v>
          </cell>
          <cell r="C433" t="str">
            <v>Funeral Plan cases(proba'ners)</v>
          </cell>
          <cell r="P433">
            <v>0</v>
          </cell>
        </row>
        <row r="434">
          <cell r="C434" t="str">
            <v>total</v>
          </cell>
          <cell r="D434">
            <v>216</v>
          </cell>
          <cell r="E434">
            <v>288</v>
          </cell>
          <cell r="F434">
            <v>320</v>
          </cell>
          <cell r="G434">
            <v>288</v>
          </cell>
          <cell r="H434">
            <v>320</v>
          </cell>
          <cell r="I434">
            <v>436</v>
          </cell>
          <cell r="J434">
            <v>336</v>
          </cell>
          <cell r="K434">
            <v>295</v>
          </cell>
          <cell r="L434">
            <v>420</v>
          </cell>
          <cell r="M434">
            <v>320</v>
          </cell>
          <cell r="N434">
            <v>402</v>
          </cell>
          <cell r="O434">
            <v>248</v>
          </cell>
          <cell r="P434">
            <v>3889</v>
          </cell>
        </row>
        <row r="436">
          <cell r="A436">
            <v>10020020</v>
          </cell>
          <cell r="B436" t="str">
            <v>Mombasa</v>
          </cell>
          <cell r="C436" t="str">
            <v>Unit Linked cases(conf'med)</v>
          </cell>
          <cell r="D436">
            <v>109</v>
          </cell>
          <cell r="E436">
            <v>145</v>
          </cell>
          <cell r="F436">
            <v>161</v>
          </cell>
          <cell r="G436">
            <v>145</v>
          </cell>
          <cell r="H436">
            <v>161</v>
          </cell>
          <cell r="I436">
            <v>219</v>
          </cell>
          <cell r="J436">
            <v>169</v>
          </cell>
          <cell r="K436">
            <v>148</v>
          </cell>
          <cell r="L436">
            <v>211</v>
          </cell>
          <cell r="M436">
            <v>161</v>
          </cell>
          <cell r="N436">
            <v>202</v>
          </cell>
          <cell r="O436">
            <v>125</v>
          </cell>
          <cell r="P436">
            <v>1956</v>
          </cell>
        </row>
        <row r="437">
          <cell r="A437">
            <v>10020010</v>
          </cell>
          <cell r="C437" t="str">
            <v>Funeral Plan cases(conf'med)</v>
          </cell>
          <cell r="D437">
            <v>53</v>
          </cell>
          <cell r="E437">
            <v>71</v>
          </cell>
          <cell r="F437">
            <v>79</v>
          </cell>
          <cell r="G437">
            <v>71</v>
          </cell>
          <cell r="H437">
            <v>79</v>
          </cell>
          <cell r="I437">
            <v>108</v>
          </cell>
          <cell r="J437">
            <v>83</v>
          </cell>
          <cell r="K437">
            <v>73</v>
          </cell>
          <cell r="L437">
            <v>104</v>
          </cell>
          <cell r="M437">
            <v>79</v>
          </cell>
          <cell r="N437">
            <v>99</v>
          </cell>
          <cell r="O437">
            <v>62</v>
          </cell>
          <cell r="P437">
            <v>961</v>
          </cell>
        </row>
        <row r="438">
          <cell r="A438">
            <v>10020020</v>
          </cell>
          <cell r="C438" t="str">
            <v>Unit Linked cases(proba'ners)</v>
          </cell>
          <cell r="P438">
            <v>0</v>
          </cell>
        </row>
        <row r="439">
          <cell r="A439">
            <v>10020010</v>
          </cell>
          <cell r="C439" t="str">
            <v>Funeral Plan cases(proba'ners)</v>
          </cell>
          <cell r="P439">
            <v>0</v>
          </cell>
        </row>
        <row r="440">
          <cell r="C440" t="str">
            <v>total</v>
          </cell>
          <cell r="D440">
            <v>162</v>
          </cell>
          <cell r="E440">
            <v>216</v>
          </cell>
          <cell r="F440">
            <v>240</v>
          </cell>
          <cell r="G440">
            <v>216</v>
          </cell>
          <cell r="H440">
            <v>240</v>
          </cell>
          <cell r="I440">
            <v>327</v>
          </cell>
          <cell r="J440">
            <v>252</v>
          </cell>
          <cell r="K440">
            <v>221</v>
          </cell>
          <cell r="L440">
            <v>315</v>
          </cell>
          <cell r="M440">
            <v>240</v>
          </cell>
          <cell r="N440">
            <v>301</v>
          </cell>
          <cell r="O440">
            <v>187</v>
          </cell>
          <cell r="P440">
            <v>2917</v>
          </cell>
        </row>
        <row r="442">
          <cell r="A442">
            <v>10020020</v>
          </cell>
          <cell r="B442" t="str">
            <v>Nakuru</v>
          </cell>
          <cell r="C442" t="str">
            <v>Unit Linked cases(conf'med)</v>
          </cell>
          <cell r="D442">
            <v>181</v>
          </cell>
          <cell r="E442">
            <v>241</v>
          </cell>
          <cell r="F442">
            <v>268</v>
          </cell>
          <cell r="G442">
            <v>241</v>
          </cell>
          <cell r="H442">
            <v>268</v>
          </cell>
          <cell r="I442">
            <v>365</v>
          </cell>
          <cell r="J442">
            <v>281</v>
          </cell>
          <cell r="K442">
            <v>247</v>
          </cell>
          <cell r="L442">
            <v>352</v>
          </cell>
          <cell r="M442">
            <v>269</v>
          </cell>
          <cell r="N442">
            <v>336</v>
          </cell>
          <cell r="O442">
            <v>207</v>
          </cell>
          <cell r="P442">
            <v>3256</v>
          </cell>
        </row>
        <row r="443">
          <cell r="A443">
            <v>10020010</v>
          </cell>
          <cell r="C443" t="str">
            <v>Funeral Plan cases(conf'med)</v>
          </cell>
          <cell r="D443">
            <v>89</v>
          </cell>
          <cell r="E443">
            <v>119</v>
          </cell>
          <cell r="F443">
            <v>132</v>
          </cell>
          <cell r="G443">
            <v>119</v>
          </cell>
          <cell r="H443">
            <v>132</v>
          </cell>
          <cell r="I443">
            <v>180</v>
          </cell>
          <cell r="J443">
            <v>139</v>
          </cell>
          <cell r="K443">
            <v>122</v>
          </cell>
          <cell r="L443">
            <v>173</v>
          </cell>
          <cell r="M443">
            <v>132</v>
          </cell>
          <cell r="N443">
            <v>166</v>
          </cell>
          <cell r="O443">
            <v>102</v>
          </cell>
          <cell r="P443">
            <v>1605</v>
          </cell>
        </row>
        <row r="444">
          <cell r="A444">
            <v>10020020</v>
          </cell>
          <cell r="C444" t="str">
            <v>Unit Linked cases(proba'ners)</v>
          </cell>
          <cell r="P444">
            <v>0</v>
          </cell>
        </row>
        <row r="445">
          <cell r="A445">
            <v>10020010</v>
          </cell>
          <cell r="C445" t="str">
            <v>Funeral Plan cases(proba'ners)</v>
          </cell>
          <cell r="P445">
            <v>0</v>
          </cell>
        </row>
        <row r="446">
          <cell r="C446" t="str">
            <v>total</v>
          </cell>
          <cell r="D446">
            <v>270</v>
          </cell>
          <cell r="E446">
            <v>360</v>
          </cell>
          <cell r="F446">
            <v>400</v>
          </cell>
          <cell r="G446">
            <v>360</v>
          </cell>
          <cell r="H446">
            <v>400</v>
          </cell>
          <cell r="I446">
            <v>545</v>
          </cell>
          <cell r="J446">
            <v>420</v>
          </cell>
          <cell r="K446">
            <v>369</v>
          </cell>
          <cell r="L446">
            <v>525</v>
          </cell>
          <cell r="M446">
            <v>401</v>
          </cell>
          <cell r="N446">
            <v>502</v>
          </cell>
          <cell r="O446">
            <v>309</v>
          </cell>
          <cell r="P446">
            <v>4861</v>
          </cell>
        </row>
        <row r="448">
          <cell r="A448">
            <v>10020020</v>
          </cell>
          <cell r="B448" t="str">
            <v>City Centre</v>
          </cell>
          <cell r="C448" t="str">
            <v>Unit Linked cases(conf'med)</v>
          </cell>
          <cell r="D448">
            <v>181</v>
          </cell>
          <cell r="E448">
            <v>241</v>
          </cell>
          <cell r="F448">
            <v>268</v>
          </cell>
          <cell r="G448">
            <v>241</v>
          </cell>
          <cell r="H448">
            <v>268</v>
          </cell>
          <cell r="I448">
            <v>365</v>
          </cell>
          <cell r="J448">
            <v>281</v>
          </cell>
          <cell r="K448">
            <v>247</v>
          </cell>
          <cell r="L448">
            <v>352</v>
          </cell>
          <cell r="M448">
            <v>269</v>
          </cell>
          <cell r="N448">
            <v>336</v>
          </cell>
          <cell r="O448">
            <v>207</v>
          </cell>
          <cell r="P448">
            <v>3256</v>
          </cell>
        </row>
        <row r="449">
          <cell r="A449">
            <v>10020010</v>
          </cell>
          <cell r="C449" t="str">
            <v>Funeral Plan cases(conf'med)</v>
          </cell>
          <cell r="D449">
            <v>89</v>
          </cell>
          <cell r="E449">
            <v>119</v>
          </cell>
          <cell r="F449">
            <v>132</v>
          </cell>
          <cell r="G449">
            <v>119</v>
          </cell>
          <cell r="H449">
            <v>132</v>
          </cell>
          <cell r="I449">
            <v>180</v>
          </cell>
          <cell r="J449">
            <v>139</v>
          </cell>
          <cell r="K449">
            <v>122</v>
          </cell>
          <cell r="L449">
            <v>173</v>
          </cell>
          <cell r="M449">
            <v>133</v>
          </cell>
          <cell r="N449">
            <v>166</v>
          </cell>
          <cell r="O449">
            <v>102</v>
          </cell>
          <cell r="P449">
            <v>1606</v>
          </cell>
        </row>
        <row r="450">
          <cell r="A450">
            <v>10020020</v>
          </cell>
          <cell r="C450" t="str">
            <v>Unit Linked cases(proba'ners)</v>
          </cell>
          <cell r="P450">
            <v>0</v>
          </cell>
        </row>
        <row r="451">
          <cell r="A451">
            <v>10020010</v>
          </cell>
          <cell r="C451" t="str">
            <v>Funeral Plan cases(proba'ners)</v>
          </cell>
          <cell r="P451">
            <v>0</v>
          </cell>
        </row>
        <row r="452">
          <cell r="C452" t="str">
            <v>total</v>
          </cell>
          <cell r="D452">
            <v>270</v>
          </cell>
          <cell r="E452">
            <v>360</v>
          </cell>
          <cell r="F452">
            <v>400</v>
          </cell>
          <cell r="G452">
            <v>360</v>
          </cell>
          <cell r="H452">
            <v>400</v>
          </cell>
          <cell r="I452">
            <v>545</v>
          </cell>
          <cell r="J452">
            <v>420</v>
          </cell>
          <cell r="K452">
            <v>369</v>
          </cell>
          <cell r="L452">
            <v>525</v>
          </cell>
          <cell r="M452">
            <v>402</v>
          </cell>
          <cell r="N452">
            <v>502</v>
          </cell>
          <cell r="O452">
            <v>309</v>
          </cell>
          <cell r="P452">
            <v>4862</v>
          </cell>
        </row>
        <row r="454">
          <cell r="A454">
            <v>10020020</v>
          </cell>
          <cell r="B454" t="str">
            <v>Embu</v>
          </cell>
          <cell r="C454" t="str">
            <v>Unit Linked cases(conf'med)</v>
          </cell>
          <cell r="D454">
            <v>109</v>
          </cell>
          <cell r="E454">
            <v>145</v>
          </cell>
          <cell r="F454">
            <v>161</v>
          </cell>
          <cell r="G454">
            <v>145</v>
          </cell>
          <cell r="H454">
            <v>161</v>
          </cell>
          <cell r="I454">
            <v>219</v>
          </cell>
          <cell r="J454">
            <v>169</v>
          </cell>
          <cell r="K454">
            <v>148</v>
          </cell>
          <cell r="L454">
            <v>211</v>
          </cell>
          <cell r="M454">
            <v>161</v>
          </cell>
          <cell r="N454">
            <v>202</v>
          </cell>
          <cell r="O454">
            <v>125</v>
          </cell>
          <cell r="P454">
            <v>1956</v>
          </cell>
        </row>
        <row r="455">
          <cell r="A455">
            <v>10020010</v>
          </cell>
          <cell r="C455" t="str">
            <v>Funeral Plan cases(conf'med)</v>
          </cell>
          <cell r="D455">
            <v>53</v>
          </cell>
          <cell r="E455">
            <v>71</v>
          </cell>
          <cell r="F455">
            <v>79</v>
          </cell>
          <cell r="G455">
            <v>71</v>
          </cell>
          <cell r="H455">
            <v>79</v>
          </cell>
          <cell r="I455">
            <v>108</v>
          </cell>
          <cell r="J455">
            <v>83</v>
          </cell>
          <cell r="K455">
            <v>73</v>
          </cell>
          <cell r="L455">
            <v>104</v>
          </cell>
          <cell r="M455">
            <v>79</v>
          </cell>
          <cell r="N455">
            <v>99</v>
          </cell>
          <cell r="O455">
            <v>62</v>
          </cell>
          <cell r="P455">
            <v>961</v>
          </cell>
        </row>
        <row r="456">
          <cell r="A456">
            <v>10020020</v>
          </cell>
          <cell r="C456" t="str">
            <v>Unit Linked cases(proba'ners)</v>
          </cell>
          <cell r="P456">
            <v>0</v>
          </cell>
        </row>
        <row r="457">
          <cell r="A457">
            <v>10020010</v>
          </cell>
          <cell r="C457" t="str">
            <v>Funeral Plan cases(proba'ners)</v>
          </cell>
          <cell r="P457">
            <v>0</v>
          </cell>
        </row>
        <row r="458">
          <cell r="C458" t="str">
            <v>total</v>
          </cell>
          <cell r="D458">
            <v>162</v>
          </cell>
          <cell r="E458">
            <v>216</v>
          </cell>
          <cell r="F458">
            <v>240</v>
          </cell>
          <cell r="G458">
            <v>216</v>
          </cell>
          <cell r="H458">
            <v>240</v>
          </cell>
          <cell r="I458">
            <v>327</v>
          </cell>
          <cell r="J458">
            <v>252</v>
          </cell>
          <cell r="K458">
            <v>221</v>
          </cell>
          <cell r="L458">
            <v>315</v>
          </cell>
          <cell r="M458">
            <v>240</v>
          </cell>
          <cell r="N458">
            <v>301</v>
          </cell>
          <cell r="O458">
            <v>187</v>
          </cell>
          <cell r="P458">
            <v>2917</v>
          </cell>
        </row>
        <row r="460">
          <cell r="A460">
            <v>10020020</v>
          </cell>
          <cell r="B460" t="str">
            <v>Machakos</v>
          </cell>
          <cell r="C460" t="str">
            <v>Unit Linked cases(conf'med)</v>
          </cell>
          <cell r="D460">
            <v>109</v>
          </cell>
          <cell r="E460">
            <v>145</v>
          </cell>
          <cell r="F460">
            <v>161</v>
          </cell>
          <cell r="G460">
            <v>145</v>
          </cell>
          <cell r="H460">
            <v>161</v>
          </cell>
          <cell r="I460">
            <v>219</v>
          </cell>
          <cell r="J460">
            <v>169</v>
          </cell>
          <cell r="K460">
            <v>148</v>
          </cell>
          <cell r="L460">
            <v>211</v>
          </cell>
          <cell r="M460">
            <v>161</v>
          </cell>
          <cell r="N460">
            <v>202</v>
          </cell>
          <cell r="O460">
            <v>125</v>
          </cell>
          <cell r="P460">
            <v>1956</v>
          </cell>
        </row>
        <row r="461">
          <cell r="A461">
            <v>10020010</v>
          </cell>
          <cell r="C461" t="str">
            <v>Funeral Plan cases(conf'med)</v>
          </cell>
          <cell r="D461">
            <v>53</v>
          </cell>
          <cell r="E461">
            <v>71</v>
          </cell>
          <cell r="F461">
            <v>79</v>
          </cell>
          <cell r="G461">
            <v>71</v>
          </cell>
          <cell r="H461">
            <v>79</v>
          </cell>
          <cell r="I461">
            <v>108</v>
          </cell>
          <cell r="J461">
            <v>83</v>
          </cell>
          <cell r="K461">
            <v>73</v>
          </cell>
          <cell r="L461">
            <v>104</v>
          </cell>
          <cell r="M461">
            <v>79</v>
          </cell>
          <cell r="N461">
            <v>99</v>
          </cell>
          <cell r="O461">
            <v>62</v>
          </cell>
          <cell r="P461">
            <v>961</v>
          </cell>
        </row>
        <row r="462">
          <cell r="A462">
            <v>10020020</v>
          </cell>
          <cell r="C462" t="str">
            <v>Unit Linked cases(proba'ners)</v>
          </cell>
          <cell r="P462">
            <v>0</v>
          </cell>
        </row>
        <row r="463">
          <cell r="A463">
            <v>10020010</v>
          </cell>
          <cell r="C463" t="str">
            <v>Funeral Plan cases(proba'ners)</v>
          </cell>
          <cell r="P463">
            <v>0</v>
          </cell>
        </row>
        <row r="464">
          <cell r="C464" t="str">
            <v>total</v>
          </cell>
          <cell r="D464">
            <v>162</v>
          </cell>
          <cell r="E464">
            <v>216</v>
          </cell>
          <cell r="F464">
            <v>240</v>
          </cell>
          <cell r="G464">
            <v>216</v>
          </cell>
          <cell r="H464">
            <v>240</v>
          </cell>
          <cell r="I464">
            <v>327</v>
          </cell>
          <cell r="J464">
            <v>252</v>
          </cell>
          <cell r="K464">
            <v>221</v>
          </cell>
          <cell r="L464">
            <v>315</v>
          </cell>
          <cell r="M464">
            <v>240</v>
          </cell>
          <cell r="N464">
            <v>301</v>
          </cell>
          <cell r="O464">
            <v>187</v>
          </cell>
          <cell r="P464">
            <v>2917</v>
          </cell>
        </row>
        <row r="466">
          <cell r="A466">
            <v>10020020</v>
          </cell>
          <cell r="B466" t="str">
            <v>Meru</v>
          </cell>
          <cell r="C466" t="str">
            <v>Unit Linked cases(conf'med)</v>
          </cell>
          <cell r="D466">
            <v>109</v>
          </cell>
          <cell r="E466">
            <v>145</v>
          </cell>
          <cell r="F466">
            <v>161</v>
          </cell>
          <cell r="G466">
            <v>145</v>
          </cell>
          <cell r="H466">
            <v>161</v>
          </cell>
          <cell r="I466">
            <v>219</v>
          </cell>
          <cell r="J466">
            <v>169</v>
          </cell>
          <cell r="K466">
            <v>148</v>
          </cell>
          <cell r="L466">
            <v>211</v>
          </cell>
          <cell r="M466">
            <v>161</v>
          </cell>
          <cell r="N466">
            <v>202</v>
          </cell>
          <cell r="O466">
            <v>125</v>
          </cell>
          <cell r="P466">
            <v>1956</v>
          </cell>
        </row>
        <row r="467">
          <cell r="A467">
            <v>10020010</v>
          </cell>
          <cell r="C467" t="str">
            <v>Funeral Plan cases(conf'med)</v>
          </cell>
          <cell r="D467">
            <v>53</v>
          </cell>
          <cell r="E467">
            <v>71</v>
          </cell>
          <cell r="F467">
            <v>79</v>
          </cell>
          <cell r="G467">
            <v>71</v>
          </cell>
          <cell r="H467">
            <v>79</v>
          </cell>
          <cell r="I467">
            <v>108</v>
          </cell>
          <cell r="J467">
            <v>83</v>
          </cell>
          <cell r="K467">
            <v>73</v>
          </cell>
          <cell r="L467">
            <v>104</v>
          </cell>
          <cell r="M467">
            <v>79</v>
          </cell>
          <cell r="N467">
            <v>99</v>
          </cell>
          <cell r="O467">
            <v>62</v>
          </cell>
          <cell r="P467">
            <v>961</v>
          </cell>
        </row>
        <row r="468">
          <cell r="A468">
            <v>10020020</v>
          </cell>
          <cell r="C468" t="str">
            <v>Unit Linked cases(proba'ners)</v>
          </cell>
          <cell r="P468">
            <v>0</v>
          </cell>
        </row>
        <row r="469">
          <cell r="A469">
            <v>10020010</v>
          </cell>
          <cell r="C469" t="str">
            <v>Funeral Plan cases(proba'ners)</v>
          </cell>
          <cell r="P469">
            <v>0</v>
          </cell>
        </row>
        <row r="470">
          <cell r="C470" t="str">
            <v>total</v>
          </cell>
          <cell r="D470">
            <v>162</v>
          </cell>
          <cell r="E470">
            <v>216</v>
          </cell>
          <cell r="F470">
            <v>240</v>
          </cell>
          <cell r="G470">
            <v>216</v>
          </cell>
          <cell r="H470">
            <v>240</v>
          </cell>
          <cell r="I470">
            <v>327</v>
          </cell>
          <cell r="J470">
            <v>252</v>
          </cell>
          <cell r="K470">
            <v>221</v>
          </cell>
          <cell r="L470">
            <v>315</v>
          </cell>
          <cell r="M470">
            <v>240</v>
          </cell>
          <cell r="N470">
            <v>301</v>
          </cell>
          <cell r="O470">
            <v>187</v>
          </cell>
          <cell r="P470">
            <v>2917</v>
          </cell>
        </row>
        <row r="472">
          <cell r="A472">
            <v>10020020</v>
          </cell>
          <cell r="B472" t="str">
            <v>Nyeri</v>
          </cell>
          <cell r="C472" t="str">
            <v>Unit Linked cases(conf'med)</v>
          </cell>
          <cell r="D472">
            <v>145</v>
          </cell>
          <cell r="E472">
            <v>193</v>
          </cell>
          <cell r="F472">
            <v>214</v>
          </cell>
          <cell r="G472">
            <v>193</v>
          </cell>
          <cell r="H472">
            <v>214</v>
          </cell>
          <cell r="I472">
            <v>292</v>
          </cell>
          <cell r="J472">
            <v>225</v>
          </cell>
          <cell r="K472">
            <v>198</v>
          </cell>
          <cell r="L472">
            <v>281</v>
          </cell>
          <cell r="M472">
            <v>214</v>
          </cell>
          <cell r="N472">
            <v>269</v>
          </cell>
          <cell r="O472">
            <v>166</v>
          </cell>
          <cell r="P472">
            <v>2604</v>
          </cell>
        </row>
        <row r="473">
          <cell r="A473">
            <v>10020010</v>
          </cell>
          <cell r="C473" t="str">
            <v>Funeral Plan cases(conf'med)</v>
          </cell>
          <cell r="D473">
            <v>71</v>
          </cell>
          <cell r="E473">
            <v>95</v>
          </cell>
          <cell r="F473">
            <v>106</v>
          </cell>
          <cell r="G473">
            <v>95</v>
          </cell>
          <cell r="H473">
            <v>106</v>
          </cell>
          <cell r="I473">
            <v>144</v>
          </cell>
          <cell r="J473">
            <v>111</v>
          </cell>
          <cell r="K473">
            <v>97</v>
          </cell>
          <cell r="L473">
            <v>139</v>
          </cell>
          <cell r="M473">
            <v>106</v>
          </cell>
          <cell r="N473">
            <v>133</v>
          </cell>
          <cell r="O473">
            <v>82</v>
          </cell>
          <cell r="P473">
            <v>1285</v>
          </cell>
        </row>
        <row r="474">
          <cell r="A474">
            <v>10020020</v>
          </cell>
          <cell r="C474" t="str">
            <v>Unit Linked cases(proba'ners)</v>
          </cell>
          <cell r="P474">
            <v>0</v>
          </cell>
        </row>
        <row r="475">
          <cell r="A475">
            <v>10020010</v>
          </cell>
          <cell r="C475" t="str">
            <v>Funeral Plan cases(proba'ners)</v>
          </cell>
          <cell r="P475">
            <v>0</v>
          </cell>
        </row>
        <row r="476">
          <cell r="C476" t="str">
            <v>total</v>
          </cell>
          <cell r="D476">
            <v>216</v>
          </cell>
          <cell r="E476">
            <v>288</v>
          </cell>
          <cell r="F476">
            <v>320</v>
          </cell>
          <cell r="G476">
            <v>288</v>
          </cell>
          <cell r="H476">
            <v>320</v>
          </cell>
          <cell r="I476">
            <v>436</v>
          </cell>
          <cell r="J476">
            <v>336</v>
          </cell>
          <cell r="K476">
            <v>295</v>
          </cell>
          <cell r="L476">
            <v>420</v>
          </cell>
          <cell r="M476">
            <v>320</v>
          </cell>
          <cell r="N476">
            <v>402</v>
          </cell>
          <cell r="O476">
            <v>248</v>
          </cell>
          <cell r="P476">
            <v>3889</v>
          </cell>
        </row>
        <row r="478">
          <cell r="A478">
            <v>10020020</v>
          </cell>
          <cell r="B478" t="str">
            <v>Thika</v>
          </cell>
          <cell r="C478" t="str">
            <v>Unit Linked cases(conf'med)</v>
          </cell>
          <cell r="D478">
            <v>145</v>
          </cell>
          <cell r="E478">
            <v>193</v>
          </cell>
          <cell r="F478">
            <v>214</v>
          </cell>
          <cell r="G478">
            <v>193</v>
          </cell>
          <cell r="H478">
            <v>214</v>
          </cell>
          <cell r="I478">
            <v>292</v>
          </cell>
          <cell r="J478">
            <v>225</v>
          </cell>
          <cell r="K478">
            <v>198</v>
          </cell>
          <cell r="L478">
            <v>281</v>
          </cell>
          <cell r="M478">
            <v>214</v>
          </cell>
          <cell r="N478">
            <v>269</v>
          </cell>
          <cell r="O478">
            <v>166</v>
          </cell>
          <cell r="P478">
            <v>2604</v>
          </cell>
        </row>
        <row r="479">
          <cell r="A479">
            <v>10020010</v>
          </cell>
          <cell r="C479" t="str">
            <v>Funeral Plan cases(conf'med)</v>
          </cell>
          <cell r="D479">
            <v>71</v>
          </cell>
          <cell r="E479">
            <v>95</v>
          </cell>
          <cell r="F479">
            <v>106</v>
          </cell>
          <cell r="G479">
            <v>95</v>
          </cell>
          <cell r="H479">
            <v>106</v>
          </cell>
          <cell r="I479">
            <v>144</v>
          </cell>
          <cell r="J479">
            <v>111</v>
          </cell>
          <cell r="K479">
            <v>97</v>
          </cell>
          <cell r="L479">
            <v>139</v>
          </cell>
          <cell r="M479">
            <v>106</v>
          </cell>
          <cell r="N479">
            <v>133</v>
          </cell>
          <cell r="O479">
            <v>82</v>
          </cell>
          <cell r="P479">
            <v>1285</v>
          </cell>
        </row>
        <row r="480">
          <cell r="A480">
            <v>10020020</v>
          </cell>
          <cell r="C480" t="str">
            <v>Unit Linked cases(proba'ners)</v>
          </cell>
          <cell r="P480">
            <v>0</v>
          </cell>
        </row>
        <row r="481">
          <cell r="A481">
            <v>10020010</v>
          </cell>
          <cell r="C481" t="str">
            <v>Funeral Plan cases(proba'ners)</v>
          </cell>
          <cell r="P481">
            <v>0</v>
          </cell>
        </row>
        <row r="482">
          <cell r="C482" t="str">
            <v>total</v>
          </cell>
          <cell r="D482">
            <v>216</v>
          </cell>
          <cell r="E482">
            <v>288</v>
          </cell>
          <cell r="F482">
            <v>320</v>
          </cell>
          <cell r="G482">
            <v>288</v>
          </cell>
          <cell r="H482">
            <v>320</v>
          </cell>
          <cell r="I482">
            <v>436</v>
          </cell>
          <cell r="J482">
            <v>336</v>
          </cell>
          <cell r="K482">
            <v>295</v>
          </cell>
          <cell r="L482">
            <v>420</v>
          </cell>
          <cell r="M482">
            <v>320</v>
          </cell>
          <cell r="N482">
            <v>402</v>
          </cell>
          <cell r="O482">
            <v>248</v>
          </cell>
          <cell r="P482">
            <v>3889</v>
          </cell>
        </row>
        <row r="631">
          <cell r="A631" t="str">
            <v>Account</v>
          </cell>
        </row>
        <row r="632">
          <cell r="B632" t="str">
            <v>API</v>
          </cell>
        </row>
        <row r="633">
          <cell r="A633">
            <v>10020020</v>
          </cell>
          <cell r="B633" t="str">
            <v xml:space="preserve"> - on Unit Linked policies</v>
          </cell>
          <cell r="D633">
            <v>14381.849999999999</v>
          </cell>
          <cell r="E633">
            <v>14381.849999999999</v>
          </cell>
          <cell r="F633">
            <v>14381.849999999999</v>
          </cell>
          <cell r="G633">
            <v>14381.849999999999</v>
          </cell>
          <cell r="H633">
            <v>14381.849999999999</v>
          </cell>
          <cell r="I633">
            <v>14381.849999999999</v>
          </cell>
          <cell r="J633">
            <v>14381.849999999999</v>
          </cell>
          <cell r="K633">
            <v>14381.849999999999</v>
          </cell>
          <cell r="L633">
            <v>14381.849999999999</v>
          </cell>
          <cell r="M633">
            <v>14381.849999999999</v>
          </cell>
          <cell r="N633">
            <v>14381.849999999999</v>
          </cell>
          <cell r="O633">
            <v>14381.849999999999</v>
          </cell>
        </row>
        <row r="634">
          <cell r="A634">
            <v>10020010</v>
          </cell>
          <cell r="B634" t="str">
            <v xml:space="preserve"> - on funeral plan policies</v>
          </cell>
          <cell r="D634">
            <v>11959.5</v>
          </cell>
          <cell r="E634">
            <v>11959.5</v>
          </cell>
          <cell r="F634">
            <v>11959.5</v>
          </cell>
          <cell r="G634">
            <v>11959.5</v>
          </cell>
          <cell r="H634">
            <v>11959.5</v>
          </cell>
          <cell r="I634">
            <v>11959.5</v>
          </cell>
          <cell r="J634">
            <v>11959.5</v>
          </cell>
          <cell r="K634">
            <v>11959.5</v>
          </cell>
          <cell r="L634">
            <v>11959.5</v>
          </cell>
          <cell r="M634">
            <v>11959.5</v>
          </cell>
          <cell r="N634">
            <v>11959.5</v>
          </cell>
          <cell r="O634">
            <v>11959.5</v>
          </cell>
        </row>
        <row r="637">
          <cell r="B637" t="str">
            <v>Eldoret</v>
          </cell>
        </row>
        <row r="638">
          <cell r="A638">
            <v>10020020</v>
          </cell>
          <cell r="B638" t="str">
            <v xml:space="preserve"> - on Unit Linked policies</v>
          </cell>
          <cell r="D638">
            <v>2603114.8499999996</v>
          </cell>
          <cell r="E638">
            <v>3466025.8499999996</v>
          </cell>
          <cell r="F638">
            <v>3854335.8</v>
          </cell>
          <cell r="G638">
            <v>3466025.8499999996</v>
          </cell>
          <cell r="H638">
            <v>3854335.8</v>
          </cell>
          <cell r="I638">
            <v>5249375.25</v>
          </cell>
          <cell r="J638">
            <v>4041299.8499999996</v>
          </cell>
          <cell r="K638">
            <v>3552316.9499999997</v>
          </cell>
          <cell r="L638">
            <v>5062411.1999999993</v>
          </cell>
          <cell r="M638">
            <v>3868717.6500000004</v>
          </cell>
          <cell r="N638">
            <v>4832301.5999999996</v>
          </cell>
          <cell r="O638">
            <v>2977042.9499999997</v>
          </cell>
          <cell r="P638">
            <v>46827303.600000001</v>
          </cell>
        </row>
        <row r="639">
          <cell r="A639">
            <v>10020010</v>
          </cell>
          <cell r="B639" t="str">
            <v xml:space="preserve"> - on funeral plan policies</v>
          </cell>
          <cell r="D639">
            <v>1064395.5</v>
          </cell>
          <cell r="E639">
            <v>1423180.5</v>
          </cell>
          <cell r="F639">
            <v>1578654</v>
          </cell>
          <cell r="G639">
            <v>1423180.5</v>
          </cell>
          <cell r="H639">
            <v>1578654</v>
          </cell>
          <cell r="I639">
            <v>2152710</v>
          </cell>
          <cell r="J639">
            <v>1662370.5</v>
          </cell>
          <cell r="K639">
            <v>1459059</v>
          </cell>
          <cell r="L639">
            <v>2068993.5</v>
          </cell>
          <cell r="M639">
            <v>1590613.5</v>
          </cell>
          <cell r="N639">
            <v>1985277</v>
          </cell>
          <cell r="O639">
            <v>1219869</v>
          </cell>
          <cell r="P639">
            <v>19206957</v>
          </cell>
        </row>
        <row r="640">
          <cell r="C640" t="str">
            <v>total</v>
          </cell>
          <cell r="D640">
            <v>3667510.3499999996</v>
          </cell>
          <cell r="E640">
            <v>4889206.3499999996</v>
          </cell>
          <cell r="F640">
            <v>5432989.7999999998</v>
          </cell>
          <cell r="G640">
            <v>4889206.3499999996</v>
          </cell>
          <cell r="H640">
            <v>5432989.7999999998</v>
          </cell>
          <cell r="I640">
            <v>7402085.25</v>
          </cell>
          <cell r="J640">
            <v>5703670.3499999996</v>
          </cell>
          <cell r="K640">
            <v>5011375.9499999993</v>
          </cell>
          <cell r="L640">
            <v>7131404.6999999993</v>
          </cell>
          <cell r="M640">
            <v>5459331.1500000004</v>
          </cell>
          <cell r="N640">
            <v>6817578.5999999996</v>
          </cell>
          <cell r="O640">
            <v>4196911.9499999993</v>
          </cell>
          <cell r="P640">
            <v>66034260.600000001</v>
          </cell>
        </row>
        <row r="641">
          <cell r="B641" t="str">
            <v>N3</v>
          </cell>
        </row>
        <row r="642">
          <cell r="A642">
            <v>10020020</v>
          </cell>
          <cell r="B642" t="str">
            <v xml:space="preserve"> - on Unit Linked policies</v>
          </cell>
          <cell r="D642">
            <v>0</v>
          </cell>
          <cell r="E642">
            <v>0</v>
          </cell>
          <cell r="F642">
            <v>0</v>
          </cell>
          <cell r="G642">
            <v>0</v>
          </cell>
          <cell r="H642">
            <v>0</v>
          </cell>
          <cell r="I642">
            <v>0</v>
          </cell>
          <cell r="J642">
            <v>0</v>
          </cell>
          <cell r="K642">
            <v>0</v>
          </cell>
          <cell r="L642">
            <v>0</v>
          </cell>
          <cell r="M642">
            <v>0</v>
          </cell>
          <cell r="N642">
            <v>0</v>
          </cell>
          <cell r="O642">
            <v>0</v>
          </cell>
          <cell r="P642">
            <v>0</v>
          </cell>
        </row>
        <row r="643">
          <cell r="A643">
            <v>10020010</v>
          </cell>
          <cell r="B643" t="str">
            <v xml:space="preserve"> - on funeral plan policies</v>
          </cell>
          <cell r="D643">
            <v>0</v>
          </cell>
          <cell r="E643">
            <v>0</v>
          </cell>
          <cell r="F643">
            <v>0</v>
          </cell>
          <cell r="G643">
            <v>0</v>
          </cell>
          <cell r="H643">
            <v>0</v>
          </cell>
          <cell r="I643">
            <v>0</v>
          </cell>
          <cell r="J643">
            <v>0</v>
          </cell>
          <cell r="K643">
            <v>0</v>
          </cell>
          <cell r="L643">
            <v>0</v>
          </cell>
          <cell r="M643">
            <v>0</v>
          </cell>
          <cell r="N643">
            <v>0</v>
          </cell>
          <cell r="O643">
            <v>0</v>
          </cell>
          <cell r="P643">
            <v>0</v>
          </cell>
        </row>
        <row r="644">
          <cell r="C644" t="str">
            <v>total</v>
          </cell>
          <cell r="D644">
            <v>0</v>
          </cell>
          <cell r="E644">
            <v>0</v>
          </cell>
          <cell r="F644">
            <v>0</v>
          </cell>
          <cell r="G644">
            <v>0</v>
          </cell>
          <cell r="H644">
            <v>0</v>
          </cell>
          <cell r="I644">
            <v>0</v>
          </cell>
          <cell r="J644">
            <v>0</v>
          </cell>
          <cell r="K644">
            <v>0</v>
          </cell>
          <cell r="L644">
            <v>0</v>
          </cell>
          <cell r="M644">
            <v>0</v>
          </cell>
          <cell r="N644">
            <v>0</v>
          </cell>
          <cell r="O644">
            <v>0</v>
          </cell>
          <cell r="P644">
            <v>0</v>
          </cell>
        </row>
        <row r="645">
          <cell r="B645" t="str">
            <v>Nairobi Metro</v>
          </cell>
        </row>
        <row r="646">
          <cell r="A646">
            <v>10020020</v>
          </cell>
          <cell r="B646" t="str">
            <v xml:space="preserve"> - on Unit Linked policies</v>
          </cell>
          <cell r="D646">
            <v>2085368.25</v>
          </cell>
          <cell r="E646">
            <v>2775697.05</v>
          </cell>
          <cell r="F646">
            <v>3854335.8</v>
          </cell>
          <cell r="G646">
            <v>3466025.8499999996</v>
          </cell>
          <cell r="H646">
            <v>3854335.8</v>
          </cell>
          <cell r="I646">
            <v>5249375.25</v>
          </cell>
          <cell r="J646">
            <v>4242645.75</v>
          </cell>
          <cell r="K646">
            <v>3753662.8499999996</v>
          </cell>
          <cell r="L646">
            <v>5263757.0999999996</v>
          </cell>
          <cell r="M646">
            <v>4070063.55</v>
          </cell>
          <cell r="N646">
            <v>5033647.5</v>
          </cell>
          <cell r="O646">
            <v>3178388.8499999996</v>
          </cell>
          <cell r="P646">
            <v>46827303.600000001</v>
          </cell>
        </row>
        <row r="647">
          <cell r="A647">
            <v>10020010</v>
          </cell>
          <cell r="B647" t="str">
            <v xml:space="preserve"> - on funeral plan policies</v>
          </cell>
          <cell r="D647">
            <v>849124.5</v>
          </cell>
          <cell r="E647">
            <v>1136152.5</v>
          </cell>
          <cell r="F647">
            <v>1578654</v>
          </cell>
          <cell r="G647">
            <v>1423180.5</v>
          </cell>
          <cell r="H647">
            <v>1578654</v>
          </cell>
          <cell r="I647">
            <v>2152710</v>
          </cell>
          <cell r="J647">
            <v>1746087</v>
          </cell>
          <cell r="K647">
            <v>1542775.5</v>
          </cell>
          <cell r="L647">
            <v>2152710</v>
          </cell>
          <cell r="M647">
            <v>1662370.5</v>
          </cell>
          <cell r="N647">
            <v>2068993.5</v>
          </cell>
          <cell r="O647">
            <v>1303585.5</v>
          </cell>
          <cell r="P647">
            <v>19194997.5</v>
          </cell>
        </row>
        <row r="648">
          <cell r="C648" t="str">
            <v>total</v>
          </cell>
          <cell r="D648">
            <v>2934492.75</v>
          </cell>
          <cell r="E648">
            <v>3911849.55</v>
          </cell>
          <cell r="F648">
            <v>5432989.7999999998</v>
          </cell>
          <cell r="G648">
            <v>4889206.3499999996</v>
          </cell>
          <cell r="H648">
            <v>5432989.7999999998</v>
          </cell>
          <cell r="I648">
            <v>7402085.25</v>
          </cell>
          <cell r="J648">
            <v>5988732.75</v>
          </cell>
          <cell r="K648">
            <v>5296438.3499999996</v>
          </cell>
          <cell r="L648">
            <v>7416467.0999999996</v>
          </cell>
          <cell r="M648">
            <v>5732434.0499999998</v>
          </cell>
          <cell r="N648">
            <v>7102641</v>
          </cell>
          <cell r="O648">
            <v>4481974.3499999996</v>
          </cell>
          <cell r="P648">
            <v>66022301.100000001</v>
          </cell>
        </row>
        <row r="649">
          <cell r="B649" t="str">
            <v>Kisii</v>
          </cell>
        </row>
        <row r="650">
          <cell r="A650">
            <v>10020020</v>
          </cell>
          <cell r="B650" t="str">
            <v xml:space="preserve"> - on Unit Linked policies</v>
          </cell>
          <cell r="D650">
            <v>2085368.25</v>
          </cell>
          <cell r="E650">
            <v>2775697.05</v>
          </cell>
          <cell r="F650">
            <v>3077715.9</v>
          </cell>
          <cell r="G650">
            <v>2775697.05</v>
          </cell>
          <cell r="H650">
            <v>3077715.9</v>
          </cell>
          <cell r="I650">
            <v>4199500.1999999993</v>
          </cell>
          <cell r="J650">
            <v>3235916.25</v>
          </cell>
          <cell r="K650">
            <v>2847606.3</v>
          </cell>
          <cell r="L650">
            <v>4041299.8499999996</v>
          </cell>
          <cell r="M650">
            <v>3077715.9</v>
          </cell>
          <cell r="N650">
            <v>3868717.6500000004</v>
          </cell>
          <cell r="O650">
            <v>2387387.0999999996</v>
          </cell>
          <cell r="P650">
            <v>37450337.399999999</v>
          </cell>
        </row>
        <row r="651">
          <cell r="A651">
            <v>10020010</v>
          </cell>
          <cell r="B651" t="str">
            <v xml:space="preserve"> - on funeral plan policies</v>
          </cell>
          <cell r="D651">
            <v>849124.5</v>
          </cell>
          <cell r="E651">
            <v>1136152.5</v>
          </cell>
          <cell r="F651">
            <v>1267707</v>
          </cell>
          <cell r="G651">
            <v>1136152.5</v>
          </cell>
          <cell r="H651">
            <v>1267707</v>
          </cell>
          <cell r="I651">
            <v>1722168</v>
          </cell>
          <cell r="J651">
            <v>1327504.5</v>
          </cell>
          <cell r="K651">
            <v>1160071.5</v>
          </cell>
          <cell r="L651">
            <v>1662370.5</v>
          </cell>
          <cell r="M651">
            <v>1267707</v>
          </cell>
          <cell r="N651">
            <v>1590613.5</v>
          </cell>
          <cell r="O651">
            <v>980679</v>
          </cell>
          <cell r="P651">
            <v>15367957.5</v>
          </cell>
        </row>
        <row r="652">
          <cell r="C652" t="str">
            <v>total</v>
          </cell>
          <cell r="D652">
            <v>2934492.75</v>
          </cell>
          <cell r="E652">
            <v>3911849.55</v>
          </cell>
          <cell r="F652">
            <v>4345422.9000000004</v>
          </cell>
          <cell r="G652">
            <v>3911849.55</v>
          </cell>
          <cell r="H652">
            <v>4345422.9000000004</v>
          </cell>
          <cell r="I652">
            <v>5921668.1999999993</v>
          </cell>
          <cell r="J652">
            <v>4563420.75</v>
          </cell>
          <cell r="K652">
            <v>4007677.8</v>
          </cell>
          <cell r="L652">
            <v>5703670.3499999996</v>
          </cell>
          <cell r="M652">
            <v>4345422.9000000004</v>
          </cell>
          <cell r="N652">
            <v>5459331.1500000004</v>
          </cell>
          <cell r="O652">
            <v>3368066.0999999996</v>
          </cell>
          <cell r="P652">
            <v>52818294.899999999</v>
          </cell>
        </row>
        <row r="653">
          <cell r="B653" t="str">
            <v>Kisumu</v>
          </cell>
        </row>
        <row r="654">
          <cell r="A654">
            <v>10020020</v>
          </cell>
          <cell r="B654" t="str">
            <v xml:space="preserve"> - on Unit Linked policies</v>
          </cell>
          <cell r="D654">
            <v>2085368.25</v>
          </cell>
          <cell r="E654">
            <v>2775697.05</v>
          </cell>
          <cell r="F654">
            <v>3077715.9</v>
          </cell>
          <cell r="G654">
            <v>2775697.05</v>
          </cell>
          <cell r="H654">
            <v>3077715.9</v>
          </cell>
          <cell r="I654">
            <v>4199500.1999999993</v>
          </cell>
          <cell r="J654">
            <v>3235916.25</v>
          </cell>
          <cell r="K654">
            <v>2847606.3</v>
          </cell>
          <cell r="L654">
            <v>4041299.8499999996</v>
          </cell>
          <cell r="M654">
            <v>3077715.9</v>
          </cell>
          <cell r="N654">
            <v>3868717.6500000004</v>
          </cell>
          <cell r="O654">
            <v>2387387.0999999996</v>
          </cell>
          <cell r="P654">
            <v>37450337.399999999</v>
          </cell>
        </row>
        <row r="655">
          <cell r="A655">
            <v>10020010</v>
          </cell>
          <cell r="B655" t="str">
            <v xml:space="preserve"> - on funeral plan policies</v>
          </cell>
          <cell r="D655">
            <v>849124.5</v>
          </cell>
          <cell r="E655">
            <v>1136152.5</v>
          </cell>
          <cell r="F655">
            <v>1267707</v>
          </cell>
          <cell r="G655">
            <v>1136152.5</v>
          </cell>
          <cell r="H655">
            <v>1267707</v>
          </cell>
          <cell r="I655">
            <v>1722168</v>
          </cell>
          <cell r="J655">
            <v>1327504.5</v>
          </cell>
          <cell r="K655">
            <v>1160071.5</v>
          </cell>
          <cell r="L655">
            <v>1662370.5</v>
          </cell>
          <cell r="M655">
            <v>1267707</v>
          </cell>
          <cell r="N655">
            <v>1590613.5</v>
          </cell>
          <cell r="O655">
            <v>980679</v>
          </cell>
          <cell r="P655">
            <v>15367957.5</v>
          </cell>
        </row>
        <row r="656">
          <cell r="C656" t="str">
            <v>total</v>
          </cell>
          <cell r="D656">
            <v>2934492.75</v>
          </cell>
          <cell r="E656">
            <v>3911849.55</v>
          </cell>
          <cell r="F656">
            <v>4345422.9000000004</v>
          </cell>
          <cell r="G656">
            <v>3911849.55</v>
          </cell>
          <cell r="H656">
            <v>4345422.9000000004</v>
          </cell>
          <cell r="I656">
            <v>5921668.1999999993</v>
          </cell>
          <cell r="J656">
            <v>4563420.75</v>
          </cell>
          <cell r="K656">
            <v>4007677.8</v>
          </cell>
          <cell r="L656">
            <v>5703670.3499999996</v>
          </cell>
          <cell r="M656">
            <v>4345422.9000000004</v>
          </cell>
          <cell r="N656">
            <v>5459331.1500000004</v>
          </cell>
          <cell r="O656">
            <v>3368066.0999999996</v>
          </cell>
          <cell r="P656">
            <v>52818294.899999999</v>
          </cell>
        </row>
        <row r="657">
          <cell r="B657" t="str">
            <v>Mombasa</v>
          </cell>
        </row>
        <row r="658">
          <cell r="A658">
            <v>10020020</v>
          </cell>
          <cell r="B658" t="str">
            <v xml:space="preserve"> - on Unit Linked policies</v>
          </cell>
          <cell r="D658">
            <v>1567621.65</v>
          </cell>
          <cell r="E658">
            <v>2085368.25</v>
          </cell>
          <cell r="F658">
            <v>2315477.8499999996</v>
          </cell>
          <cell r="G658">
            <v>2085368.25</v>
          </cell>
          <cell r="H658">
            <v>2315477.8499999996</v>
          </cell>
          <cell r="I658">
            <v>3149625.1500000004</v>
          </cell>
          <cell r="J658">
            <v>2430532.65</v>
          </cell>
          <cell r="K658">
            <v>2128513.7999999998</v>
          </cell>
          <cell r="L658">
            <v>3034570.3499999996</v>
          </cell>
          <cell r="M658">
            <v>2315477.8499999996</v>
          </cell>
          <cell r="N658">
            <v>2905133.6999999997</v>
          </cell>
          <cell r="O658">
            <v>1797731.25</v>
          </cell>
          <cell r="P658">
            <v>28130898.599999998</v>
          </cell>
        </row>
        <row r="659">
          <cell r="A659">
            <v>10020010</v>
          </cell>
          <cell r="B659" t="str">
            <v xml:space="preserve"> - on funeral plan policies</v>
          </cell>
          <cell r="D659">
            <v>633853.5</v>
          </cell>
          <cell r="E659">
            <v>849124.5</v>
          </cell>
          <cell r="F659">
            <v>944800.5</v>
          </cell>
          <cell r="G659">
            <v>849124.5</v>
          </cell>
          <cell r="H659">
            <v>944800.5</v>
          </cell>
          <cell r="I659">
            <v>1291626</v>
          </cell>
          <cell r="J659">
            <v>992638.5</v>
          </cell>
          <cell r="K659">
            <v>873043.5</v>
          </cell>
          <cell r="L659">
            <v>1243788</v>
          </cell>
          <cell r="M659">
            <v>944800.5</v>
          </cell>
          <cell r="N659">
            <v>1183990.5</v>
          </cell>
          <cell r="O659">
            <v>741489</v>
          </cell>
          <cell r="P659">
            <v>11493079.5</v>
          </cell>
        </row>
        <row r="660">
          <cell r="C660" t="str">
            <v>total</v>
          </cell>
          <cell r="D660">
            <v>2201475.15</v>
          </cell>
          <cell r="E660">
            <v>2934492.75</v>
          </cell>
          <cell r="F660">
            <v>3260278.3499999996</v>
          </cell>
          <cell r="G660">
            <v>2934492.75</v>
          </cell>
          <cell r="H660">
            <v>3260278.3499999996</v>
          </cell>
          <cell r="I660">
            <v>4441251.1500000004</v>
          </cell>
          <cell r="J660">
            <v>3423171.15</v>
          </cell>
          <cell r="K660">
            <v>3001557.3</v>
          </cell>
          <cell r="L660">
            <v>4278358.3499999996</v>
          </cell>
          <cell r="M660">
            <v>3260278.3499999996</v>
          </cell>
          <cell r="N660">
            <v>4089124.1999999997</v>
          </cell>
          <cell r="O660">
            <v>2539220.25</v>
          </cell>
          <cell r="P660">
            <v>39623978.099999994</v>
          </cell>
        </row>
        <row r="661">
          <cell r="B661" t="str">
            <v>Nakuru</v>
          </cell>
        </row>
        <row r="662">
          <cell r="A662">
            <v>10020020</v>
          </cell>
          <cell r="B662" t="str">
            <v xml:space="preserve"> - on Unit Linked policies</v>
          </cell>
          <cell r="D662">
            <v>2603114.8499999996</v>
          </cell>
          <cell r="E662">
            <v>3466025.8499999996</v>
          </cell>
          <cell r="F662">
            <v>3854335.8</v>
          </cell>
          <cell r="G662">
            <v>3466025.8499999996</v>
          </cell>
          <cell r="H662">
            <v>3854335.8</v>
          </cell>
          <cell r="I662">
            <v>5249375.25</v>
          </cell>
          <cell r="J662">
            <v>4041299.8499999996</v>
          </cell>
          <cell r="K662">
            <v>3552316.9499999997</v>
          </cell>
          <cell r="L662">
            <v>5062411.1999999993</v>
          </cell>
          <cell r="M662">
            <v>3868717.6500000004</v>
          </cell>
          <cell r="N662">
            <v>4832301.5999999996</v>
          </cell>
          <cell r="O662">
            <v>2977042.9499999997</v>
          </cell>
          <cell r="P662">
            <v>46827303.600000001</v>
          </cell>
        </row>
        <row r="663">
          <cell r="A663">
            <v>10020010</v>
          </cell>
          <cell r="B663" t="str">
            <v xml:space="preserve"> - on funeral plan policies</v>
          </cell>
          <cell r="D663">
            <v>1064395.5</v>
          </cell>
          <cell r="E663">
            <v>1423180.5</v>
          </cell>
          <cell r="F663">
            <v>1578654</v>
          </cell>
          <cell r="G663">
            <v>1423180.5</v>
          </cell>
          <cell r="H663">
            <v>1578654</v>
          </cell>
          <cell r="I663">
            <v>2152710</v>
          </cell>
          <cell r="J663">
            <v>1662370.5</v>
          </cell>
          <cell r="K663">
            <v>1459059</v>
          </cell>
          <cell r="L663">
            <v>2068993.5</v>
          </cell>
          <cell r="M663">
            <v>1578654</v>
          </cell>
          <cell r="N663">
            <v>1985277</v>
          </cell>
          <cell r="O663">
            <v>1219869</v>
          </cell>
          <cell r="P663">
            <v>19194997.5</v>
          </cell>
        </row>
        <row r="664">
          <cell r="C664" t="str">
            <v>total</v>
          </cell>
          <cell r="D664">
            <v>3667510.3499999996</v>
          </cell>
          <cell r="E664">
            <v>4889206.3499999996</v>
          </cell>
          <cell r="F664">
            <v>5432989.7999999998</v>
          </cell>
          <cell r="G664">
            <v>4889206.3499999996</v>
          </cell>
          <cell r="H664">
            <v>5432989.7999999998</v>
          </cell>
          <cell r="I664">
            <v>7402085.25</v>
          </cell>
          <cell r="J664">
            <v>5703670.3499999996</v>
          </cell>
          <cell r="K664">
            <v>5011375.9499999993</v>
          </cell>
          <cell r="L664">
            <v>7131404.6999999993</v>
          </cell>
          <cell r="M664">
            <v>5447371.6500000004</v>
          </cell>
          <cell r="N664">
            <v>6817578.5999999996</v>
          </cell>
          <cell r="O664">
            <v>4196911.9499999993</v>
          </cell>
          <cell r="P664">
            <v>66022301.100000001</v>
          </cell>
        </row>
        <row r="665">
          <cell r="B665" t="str">
            <v>City Centre</v>
          </cell>
        </row>
        <row r="666">
          <cell r="A666">
            <v>10020020</v>
          </cell>
          <cell r="B666" t="str">
            <v xml:space="preserve"> - on Unit Linked policies</v>
          </cell>
          <cell r="D666">
            <v>2603114.8499999996</v>
          </cell>
          <cell r="E666">
            <v>3466025.8499999996</v>
          </cell>
          <cell r="F666">
            <v>3854335.8</v>
          </cell>
          <cell r="G666">
            <v>3466025.8499999996</v>
          </cell>
          <cell r="H666">
            <v>3854335.8</v>
          </cell>
          <cell r="I666">
            <v>5249375.25</v>
          </cell>
          <cell r="J666">
            <v>4041299.8499999996</v>
          </cell>
          <cell r="K666">
            <v>3552316.9499999997</v>
          </cell>
          <cell r="L666">
            <v>5062411.1999999993</v>
          </cell>
          <cell r="M666">
            <v>3868717.6500000004</v>
          </cell>
          <cell r="N666">
            <v>4832301.5999999996</v>
          </cell>
          <cell r="O666">
            <v>2977042.9499999997</v>
          </cell>
          <cell r="P666">
            <v>46827303.600000001</v>
          </cell>
        </row>
        <row r="667">
          <cell r="A667">
            <v>10020010</v>
          </cell>
          <cell r="B667" t="str">
            <v xml:space="preserve"> - on funeral plan policies</v>
          </cell>
          <cell r="D667">
            <v>1064395.5</v>
          </cell>
          <cell r="E667">
            <v>1423180.5</v>
          </cell>
          <cell r="F667">
            <v>1578654</v>
          </cell>
          <cell r="G667">
            <v>1423180.5</v>
          </cell>
          <cell r="H667">
            <v>1578654</v>
          </cell>
          <cell r="I667">
            <v>2152710</v>
          </cell>
          <cell r="J667">
            <v>1662370.5</v>
          </cell>
          <cell r="K667">
            <v>1459059</v>
          </cell>
          <cell r="L667">
            <v>2068993.5</v>
          </cell>
          <cell r="M667">
            <v>1590613.5</v>
          </cell>
          <cell r="N667">
            <v>1985277</v>
          </cell>
          <cell r="O667">
            <v>1219869</v>
          </cell>
          <cell r="P667">
            <v>19206957</v>
          </cell>
        </row>
        <row r="668">
          <cell r="C668" t="str">
            <v>total</v>
          </cell>
          <cell r="D668">
            <v>3667510.3499999996</v>
          </cell>
          <cell r="E668">
            <v>4889206.3499999996</v>
          </cell>
          <cell r="F668">
            <v>5432989.7999999998</v>
          </cell>
          <cell r="G668">
            <v>4889206.3499999996</v>
          </cell>
          <cell r="H668">
            <v>5432989.7999999998</v>
          </cell>
          <cell r="I668">
            <v>7402085.25</v>
          </cell>
          <cell r="J668">
            <v>5703670.3499999996</v>
          </cell>
          <cell r="K668">
            <v>5011375.9499999993</v>
          </cell>
          <cell r="L668">
            <v>7131404.6999999993</v>
          </cell>
          <cell r="M668">
            <v>5459331.1500000004</v>
          </cell>
          <cell r="N668">
            <v>6817578.5999999996</v>
          </cell>
          <cell r="O668">
            <v>4196911.9499999993</v>
          </cell>
          <cell r="P668">
            <v>66034260.600000001</v>
          </cell>
        </row>
        <row r="669">
          <cell r="B669" t="str">
            <v>Embu</v>
          </cell>
        </row>
        <row r="670">
          <cell r="A670">
            <v>10020020</v>
          </cell>
          <cell r="B670" t="str">
            <v xml:space="preserve"> - on Unit Linked policies</v>
          </cell>
          <cell r="D670">
            <v>1567621.65</v>
          </cell>
          <cell r="E670">
            <v>2085368.25</v>
          </cell>
          <cell r="F670">
            <v>2315477.8499999996</v>
          </cell>
          <cell r="G670">
            <v>2085368.25</v>
          </cell>
          <cell r="H670">
            <v>2315477.8499999996</v>
          </cell>
          <cell r="I670">
            <v>3149625.1500000004</v>
          </cell>
          <cell r="J670">
            <v>2430532.65</v>
          </cell>
          <cell r="K670">
            <v>2128513.7999999998</v>
          </cell>
          <cell r="L670">
            <v>3034570.3499999996</v>
          </cell>
          <cell r="M670">
            <v>2315477.8499999996</v>
          </cell>
          <cell r="N670">
            <v>2905133.6999999997</v>
          </cell>
          <cell r="O670">
            <v>1797731.25</v>
          </cell>
          <cell r="P670">
            <v>28130898.599999998</v>
          </cell>
        </row>
        <row r="671">
          <cell r="A671">
            <v>10020010</v>
          </cell>
          <cell r="B671" t="str">
            <v xml:space="preserve"> - on funeral plan policies</v>
          </cell>
          <cell r="D671">
            <v>633853.5</v>
          </cell>
          <cell r="E671">
            <v>849124.5</v>
          </cell>
          <cell r="F671">
            <v>944800.5</v>
          </cell>
          <cell r="G671">
            <v>849124.5</v>
          </cell>
          <cell r="H671">
            <v>944800.5</v>
          </cell>
          <cell r="I671">
            <v>1291626</v>
          </cell>
          <cell r="J671">
            <v>992638.5</v>
          </cell>
          <cell r="K671">
            <v>873043.5</v>
          </cell>
          <cell r="L671">
            <v>1243788</v>
          </cell>
          <cell r="M671">
            <v>944800.5</v>
          </cell>
          <cell r="N671">
            <v>1183990.5</v>
          </cell>
          <cell r="O671">
            <v>741489</v>
          </cell>
          <cell r="P671">
            <v>11493079.5</v>
          </cell>
        </row>
        <row r="672">
          <cell r="C672" t="str">
            <v>total</v>
          </cell>
          <cell r="D672">
            <v>2201475.15</v>
          </cell>
          <cell r="E672">
            <v>2934492.75</v>
          </cell>
          <cell r="F672">
            <v>3260278.3499999996</v>
          </cell>
          <cell r="G672">
            <v>2934492.75</v>
          </cell>
          <cell r="H672">
            <v>3260278.3499999996</v>
          </cell>
          <cell r="I672">
            <v>4441251.1500000004</v>
          </cell>
          <cell r="J672">
            <v>3423171.15</v>
          </cell>
          <cell r="K672">
            <v>3001557.3</v>
          </cell>
          <cell r="L672">
            <v>4278358.3499999996</v>
          </cell>
          <cell r="M672">
            <v>3260278.3499999996</v>
          </cell>
          <cell r="N672">
            <v>4089124.1999999997</v>
          </cell>
          <cell r="O672">
            <v>2539220.25</v>
          </cell>
          <cell r="P672">
            <v>39623978.099999994</v>
          </cell>
        </row>
        <row r="673">
          <cell r="B673" t="str">
            <v>Machakos</v>
          </cell>
        </row>
        <row r="674">
          <cell r="A674">
            <v>10020020</v>
          </cell>
          <cell r="B674" t="str">
            <v xml:space="preserve"> - on Unit Linked policies</v>
          </cell>
          <cell r="D674">
            <v>1567621.65</v>
          </cell>
          <cell r="E674">
            <v>2085368.25</v>
          </cell>
          <cell r="F674">
            <v>2315477.8499999996</v>
          </cell>
          <cell r="G674">
            <v>2085368.25</v>
          </cell>
          <cell r="H674">
            <v>2315477.8499999996</v>
          </cell>
          <cell r="I674">
            <v>3149625.1500000004</v>
          </cell>
          <cell r="J674">
            <v>2430532.65</v>
          </cell>
          <cell r="K674">
            <v>2128513.7999999998</v>
          </cell>
          <cell r="L674">
            <v>3034570.3499999996</v>
          </cell>
          <cell r="M674">
            <v>2315477.8499999996</v>
          </cell>
          <cell r="N674">
            <v>2905133.6999999997</v>
          </cell>
          <cell r="O674">
            <v>1797731.25</v>
          </cell>
          <cell r="P674">
            <v>28130898.599999998</v>
          </cell>
        </row>
        <row r="675">
          <cell r="A675">
            <v>10020010</v>
          </cell>
          <cell r="B675" t="str">
            <v xml:space="preserve"> - on funeral plan policies</v>
          </cell>
          <cell r="D675">
            <v>633853.5</v>
          </cell>
          <cell r="E675">
            <v>849124.5</v>
          </cell>
          <cell r="F675">
            <v>944800.5</v>
          </cell>
          <cell r="G675">
            <v>849124.5</v>
          </cell>
          <cell r="H675">
            <v>944800.5</v>
          </cell>
          <cell r="I675">
            <v>1291626</v>
          </cell>
          <cell r="J675">
            <v>992638.5</v>
          </cell>
          <cell r="K675">
            <v>873043.5</v>
          </cell>
          <cell r="L675">
            <v>1243788</v>
          </cell>
          <cell r="M675">
            <v>944800.5</v>
          </cell>
          <cell r="N675">
            <v>1183990.5</v>
          </cell>
          <cell r="O675">
            <v>741489</v>
          </cell>
          <cell r="P675">
            <v>11493079.5</v>
          </cell>
        </row>
        <row r="676">
          <cell r="C676" t="str">
            <v>total</v>
          </cell>
          <cell r="D676">
            <v>2201475.15</v>
          </cell>
          <cell r="E676">
            <v>2934492.75</v>
          </cell>
          <cell r="F676">
            <v>3260278.3499999996</v>
          </cell>
          <cell r="G676">
            <v>2934492.75</v>
          </cell>
          <cell r="H676">
            <v>3260278.3499999996</v>
          </cell>
          <cell r="I676">
            <v>4441251.1500000004</v>
          </cell>
          <cell r="J676">
            <v>3423171.15</v>
          </cell>
          <cell r="K676">
            <v>3001557.3</v>
          </cell>
          <cell r="L676">
            <v>4278358.3499999996</v>
          </cell>
          <cell r="M676">
            <v>3260278.3499999996</v>
          </cell>
          <cell r="N676">
            <v>4089124.1999999997</v>
          </cell>
          <cell r="O676">
            <v>2539220.25</v>
          </cell>
          <cell r="P676">
            <v>39623978.099999994</v>
          </cell>
        </row>
        <row r="677">
          <cell r="B677" t="str">
            <v>Meru</v>
          </cell>
        </row>
        <row r="678">
          <cell r="A678">
            <v>10020020</v>
          </cell>
          <cell r="B678" t="str">
            <v xml:space="preserve"> - on Unit Linked policies</v>
          </cell>
          <cell r="D678">
            <v>1567621.65</v>
          </cell>
          <cell r="E678">
            <v>2085368.25</v>
          </cell>
          <cell r="F678">
            <v>2315477.8499999996</v>
          </cell>
          <cell r="G678">
            <v>2085368.25</v>
          </cell>
          <cell r="H678">
            <v>2315477.8499999996</v>
          </cell>
          <cell r="I678">
            <v>3149625.1500000004</v>
          </cell>
          <cell r="J678">
            <v>2430532.65</v>
          </cell>
          <cell r="K678">
            <v>2128513.7999999998</v>
          </cell>
          <cell r="L678">
            <v>3034570.3499999996</v>
          </cell>
          <cell r="M678">
            <v>2315477.8499999996</v>
          </cell>
          <cell r="N678">
            <v>2905133.6999999997</v>
          </cell>
          <cell r="O678">
            <v>1797731.25</v>
          </cell>
          <cell r="P678">
            <v>28130898.599999998</v>
          </cell>
        </row>
        <row r="679">
          <cell r="A679">
            <v>10020010</v>
          </cell>
          <cell r="B679" t="str">
            <v xml:space="preserve"> - on funeral plan policies</v>
          </cell>
          <cell r="D679">
            <v>633853.5</v>
          </cell>
          <cell r="E679">
            <v>849124.5</v>
          </cell>
          <cell r="F679">
            <v>944800.5</v>
          </cell>
          <cell r="G679">
            <v>849124.5</v>
          </cell>
          <cell r="H679">
            <v>944800.5</v>
          </cell>
          <cell r="I679">
            <v>1291626</v>
          </cell>
          <cell r="J679">
            <v>992638.5</v>
          </cell>
          <cell r="K679">
            <v>873043.5</v>
          </cell>
          <cell r="L679">
            <v>1243788</v>
          </cell>
          <cell r="M679">
            <v>944800.5</v>
          </cell>
          <cell r="N679">
            <v>1183990.5</v>
          </cell>
          <cell r="O679">
            <v>741489</v>
          </cell>
          <cell r="P679">
            <v>11493079.5</v>
          </cell>
        </row>
        <row r="680">
          <cell r="C680" t="str">
            <v>total</v>
          </cell>
          <cell r="D680">
            <v>2201475.15</v>
          </cell>
          <cell r="E680">
            <v>2934492.75</v>
          </cell>
          <cell r="F680">
            <v>3260278.3499999996</v>
          </cell>
          <cell r="G680">
            <v>2934492.75</v>
          </cell>
          <cell r="H680">
            <v>3260278.3499999996</v>
          </cell>
          <cell r="I680">
            <v>4441251.1500000004</v>
          </cell>
          <cell r="J680">
            <v>3423171.15</v>
          </cell>
          <cell r="K680">
            <v>3001557.3</v>
          </cell>
          <cell r="L680">
            <v>4278358.3499999996</v>
          </cell>
          <cell r="M680">
            <v>3260278.3499999996</v>
          </cell>
          <cell r="N680">
            <v>4089124.1999999997</v>
          </cell>
          <cell r="O680">
            <v>2539220.25</v>
          </cell>
          <cell r="P680">
            <v>39623978.099999994</v>
          </cell>
        </row>
        <row r="681">
          <cell r="B681" t="str">
            <v>Nyeri</v>
          </cell>
        </row>
        <row r="682">
          <cell r="A682">
            <v>10020020</v>
          </cell>
          <cell r="B682" t="str">
            <v xml:space="preserve"> - on Unit Linked policies</v>
          </cell>
          <cell r="D682">
            <v>2085368.25</v>
          </cell>
          <cell r="E682">
            <v>2775697.05</v>
          </cell>
          <cell r="F682">
            <v>3077715.9</v>
          </cell>
          <cell r="G682">
            <v>2775697.05</v>
          </cell>
          <cell r="H682">
            <v>3077715.9</v>
          </cell>
          <cell r="I682">
            <v>4199500.1999999993</v>
          </cell>
          <cell r="J682">
            <v>3235916.25</v>
          </cell>
          <cell r="K682">
            <v>2847606.3</v>
          </cell>
          <cell r="L682">
            <v>4041299.8499999996</v>
          </cell>
          <cell r="M682">
            <v>3077715.9</v>
          </cell>
          <cell r="N682">
            <v>3868717.6500000004</v>
          </cell>
          <cell r="O682">
            <v>2387387.0999999996</v>
          </cell>
          <cell r="P682">
            <v>37450337.399999999</v>
          </cell>
        </row>
        <row r="683">
          <cell r="A683">
            <v>10020010</v>
          </cell>
          <cell r="B683" t="str">
            <v xml:space="preserve"> - on funeral plan policies</v>
          </cell>
          <cell r="D683">
            <v>849124.5</v>
          </cell>
          <cell r="E683">
            <v>1136152.5</v>
          </cell>
          <cell r="F683">
            <v>1267707</v>
          </cell>
          <cell r="G683">
            <v>1136152.5</v>
          </cell>
          <cell r="H683">
            <v>1267707</v>
          </cell>
          <cell r="I683">
            <v>1722168</v>
          </cell>
          <cell r="J683">
            <v>1327504.5</v>
          </cell>
          <cell r="K683">
            <v>1160071.5</v>
          </cell>
          <cell r="L683">
            <v>1662370.5</v>
          </cell>
          <cell r="M683">
            <v>1267707</v>
          </cell>
          <cell r="N683">
            <v>1590613.5</v>
          </cell>
          <cell r="O683">
            <v>980679</v>
          </cell>
          <cell r="P683">
            <v>15367957.5</v>
          </cell>
        </row>
        <row r="684">
          <cell r="C684" t="str">
            <v>total</v>
          </cell>
          <cell r="D684">
            <v>2934492.75</v>
          </cell>
          <cell r="E684">
            <v>3911849.55</v>
          </cell>
          <cell r="F684">
            <v>4345422.9000000004</v>
          </cell>
          <cell r="G684">
            <v>3911849.55</v>
          </cell>
          <cell r="H684">
            <v>4345422.9000000004</v>
          </cell>
          <cell r="I684">
            <v>5921668.1999999993</v>
          </cell>
          <cell r="J684">
            <v>4563420.75</v>
          </cell>
          <cell r="K684">
            <v>4007677.8</v>
          </cell>
          <cell r="L684">
            <v>5703670.3499999996</v>
          </cell>
          <cell r="M684">
            <v>4345422.9000000004</v>
          </cell>
          <cell r="N684">
            <v>5459331.1500000004</v>
          </cell>
          <cell r="O684">
            <v>3368066.0999999996</v>
          </cell>
          <cell r="P684">
            <v>52818294.899999999</v>
          </cell>
        </row>
        <row r="685">
          <cell r="B685" t="str">
            <v>Thika</v>
          </cell>
        </row>
        <row r="686">
          <cell r="A686">
            <v>10020020</v>
          </cell>
          <cell r="B686" t="str">
            <v xml:space="preserve"> - on Unit Linked policies</v>
          </cell>
          <cell r="D686">
            <v>2085368.25</v>
          </cell>
          <cell r="E686">
            <v>2775697.05</v>
          </cell>
          <cell r="F686">
            <v>3077715.9</v>
          </cell>
          <cell r="G686">
            <v>2775697.05</v>
          </cell>
          <cell r="H686">
            <v>3077715.9</v>
          </cell>
          <cell r="I686">
            <v>4199500.1999999993</v>
          </cell>
          <cell r="J686">
            <v>3235916.25</v>
          </cell>
          <cell r="K686">
            <v>2847606.3</v>
          </cell>
          <cell r="L686">
            <v>4041299.8499999996</v>
          </cell>
          <cell r="M686">
            <v>3077715.9</v>
          </cell>
          <cell r="N686">
            <v>3868717.6500000004</v>
          </cell>
          <cell r="O686">
            <v>2382697.0999999996</v>
          </cell>
          <cell r="P686">
            <v>37445647.399999999</v>
          </cell>
        </row>
        <row r="687">
          <cell r="A687">
            <v>10020010</v>
          </cell>
          <cell r="B687" t="str">
            <v xml:space="preserve"> - on funeral plan policies</v>
          </cell>
          <cell r="D687">
            <v>849124.5</v>
          </cell>
          <cell r="E687">
            <v>1136152.5</v>
          </cell>
          <cell r="F687">
            <v>1267707</v>
          </cell>
          <cell r="G687">
            <v>1136152.5</v>
          </cell>
          <cell r="H687">
            <v>1267707</v>
          </cell>
          <cell r="I687">
            <v>1722168</v>
          </cell>
          <cell r="J687">
            <v>1327504.5</v>
          </cell>
          <cell r="K687">
            <v>1160071.5</v>
          </cell>
          <cell r="L687">
            <v>1662370.5</v>
          </cell>
          <cell r="M687">
            <v>1267707</v>
          </cell>
          <cell r="N687">
            <v>1590613.5</v>
          </cell>
          <cell r="O687">
            <v>980679</v>
          </cell>
          <cell r="P687">
            <v>15367957.5</v>
          </cell>
        </row>
        <row r="688">
          <cell r="C688" t="str">
            <v>total</v>
          </cell>
          <cell r="D688">
            <v>2934492.75</v>
          </cell>
          <cell r="E688">
            <v>3911849.55</v>
          </cell>
          <cell r="F688">
            <v>4345422.9000000004</v>
          </cell>
          <cell r="G688">
            <v>3911849.55</v>
          </cell>
          <cell r="H688">
            <v>4345422.9000000004</v>
          </cell>
          <cell r="I688">
            <v>5921668.1999999993</v>
          </cell>
          <cell r="J688">
            <v>4563420.75</v>
          </cell>
          <cell r="K688">
            <v>4007677.8</v>
          </cell>
          <cell r="L688">
            <v>5703670.3499999996</v>
          </cell>
          <cell r="M688">
            <v>4345422.9000000004</v>
          </cell>
          <cell r="N688">
            <v>5459331.1500000004</v>
          </cell>
          <cell r="O688">
            <v>3363376.0999999996</v>
          </cell>
          <cell r="P688">
            <v>52813604.899999999</v>
          </cell>
        </row>
        <row r="690">
          <cell r="B690" t="str">
            <v>Total agency new API</v>
          </cell>
          <cell r="D690">
            <v>34480895.399999999</v>
          </cell>
          <cell r="E690">
            <v>45964837.799999997</v>
          </cell>
          <cell r="F690">
            <v>52154764.200000003</v>
          </cell>
          <cell r="G690">
            <v>46942194.599999994</v>
          </cell>
          <cell r="H690">
            <v>52154764.200000003</v>
          </cell>
          <cell r="I690">
            <v>71060018.399999991</v>
          </cell>
          <cell r="J690">
            <v>55046111.399999999</v>
          </cell>
          <cell r="K690">
            <v>48367506.599999987</v>
          </cell>
          <cell r="L690">
            <v>68738796</v>
          </cell>
          <cell r="M690">
            <v>52521273</v>
          </cell>
          <cell r="N690">
            <v>65749198.200000003</v>
          </cell>
          <cell r="O690">
            <v>40697165.600000001</v>
          </cell>
          <cell r="P690">
            <v>633877525.39999998</v>
          </cell>
        </row>
        <row r="692">
          <cell r="B692" t="str">
            <v>DIRECT BUSINESS</v>
          </cell>
          <cell r="D692">
            <v>0</v>
          </cell>
          <cell r="E692">
            <v>0</v>
          </cell>
          <cell r="F692">
            <v>0</v>
          </cell>
          <cell r="G692">
            <v>0</v>
          </cell>
          <cell r="H692">
            <v>0</v>
          </cell>
          <cell r="I692">
            <v>0</v>
          </cell>
          <cell r="J692">
            <v>0</v>
          </cell>
          <cell r="K692">
            <v>0</v>
          </cell>
          <cell r="L692">
            <v>0</v>
          </cell>
          <cell r="M692">
            <v>0</v>
          </cell>
          <cell r="N692">
            <v>0</v>
          </cell>
          <cell r="O692">
            <v>0</v>
          </cell>
          <cell r="P692">
            <v>0</v>
          </cell>
        </row>
        <row r="694">
          <cell r="B694" t="str">
            <v>TOTAL new API</v>
          </cell>
          <cell r="D694">
            <v>34480895.399999999</v>
          </cell>
          <cell r="E694">
            <v>45964837.799999997</v>
          </cell>
          <cell r="F694">
            <v>52154764.200000003</v>
          </cell>
          <cell r="G694">
            <v>46942194.599999994</v>
          </cell>
          <cell r="H694">
            <v>52154764.200000003</v>
          </cell>
          <cell r="I694">
            <v>71060018.399999991</v>
          </cell>
          <cell r="J694">
            <v>55046111.399999999</v>
          </cell>
          <cell r="K694">
            <v>48367506.599999987</v>
          </cell>
          <cell r="L694">
            <v>68738796</v>
          </cell>
          <cell r="M694">
            <v>52521273</v>
          </cell>
          <cell r="N694">
            <v>65749198.200000003</v>
          </cell>
          <cell r="O694">
            <v>40697165.600000001</v>
          </cell>
          <cell r="P694">
            <v>633877525.39999998</v>
          </cell>
        </row>
        <row r="696">
          <cell r="B696" t="str">
            <v>API</v>
          </cell>
        </row>
        <row r="697">
          <cell r="B697" t="str">
            <v xml:space="preserve"> - on Unit Linked policies</v>
          </cell>
          <cell r="D697">
            <v>24506672.399999995</v>
          </cell>
          <cell r="E697">
            <v>32618035.800000004</v>
          </cell>
          <cell r="F697">
            <v>36990118.200000003</v>
          </cell>
          <cell r="G697">
            <v>33308364.600000001</v>
          </cell>
          <cell r="H697">
            <v>36990118.200000003</v>
          </cell>
          <cell r="I697">
            <v>50394002.399999991</v>
          </cell>
          <cell r="J697">
            <v>39032340.899999999</v>
          </cell>
          <cell r="K697">
            <v>34315094.100000001</v>
          </cell>
          <cell r="L697">
            <v>48754471.500000007</v>
          </cell>
          <cell r="M697">
            <v>37248991.5</v>
          </cell>
          <cell r="N697">
            <v>46625957.699999996</v>
          </cell>
          <cell r="O697">
            <v>28845301.100000001</v>
          </cell>
          <cell r="P697">
            <v>449629468.39999998</v>
          </cell>
        </row>
        <row r="698">
          <cell r="B698" t="str">
            <v xml:space="preserve"> - on funeral plan policies</v>
          </cell>
          <cell r="D698">
            <v>9974223</v>
          </cell>
          <cell r="E698">
            <v>13346802</v>
          </cell>
          <cell r="F698">
            <v>15164646</v>
          </cell>
          <cell r="G698">
            <v>13633830</v>
          </cell>
          <cell r="H698">
            <v>15164646</v>
          </cell>
          <cell r="I698">
            <v>20666016</v>
          </cell>
          <cell r="J698">
            <v>16013770.5</v>
          </cell>
          <cell r="K698">
            <v>14052412.5</v>
          </cell>
          <cell r="L698">
            <v>19984324.5</v>
          </cell>
          <cell r="M698">
            <v>15272281.5</v>
          </cell>
          <cell r="N698">
            <v>19123240.5</v>
          </cell>
          <cell r="O698">
            <v>11851864.5</v>
          </cell>
          <cell r="P698">
            <v>184248057</v>
          </cell>
        </row>
        <row r="699">
          <cell r="B699" t="str">
            <v xml:space="preserve"> - direct</v>
          </cell>
          <cell r="D699">
            <v>0</v>
          </cell>
          <cell r="E699">
            <v>0</v>
          </cell>
          <cell r="F699">
            <v>0</v>
          </cell>
          <cell r="G699">
            <v>0</v>
          </cell>
          <cell r="H699">
            <v>0</v>
          </cell>
          <cell r="I699">
            <v>0</v>
          </cell>
          <cell r="J699">
            <v>0</v>
          </cell>
          <cell r="K699">
            <v>0</v>
          </cell>
          <cell r="L699">
            <v>0</v>
          </cell>
          <cell r="M699">
            <v>0</v>
          </cell>
          <cell r="N699">
            <v>0</v>
          </cell>
          <cell r="O699">
            <v>0</v>
          </cell>
          <cell r="P699">
            <v>0</v>
          </cell>
        </row>
        <row r="700">
          <cell r="D700">
            <v>34480895.399999991</v>
          </cell>
          <cell r="E700">
            <v>45964837.800000004</v>
          </cell>
          <cell r="F700">
            <v>52154764.200000003</v>
          </cell>
          <cell r="G700">
            <v>46942194.600000001</v>
          </cell>
          <cell r="H700">
            <v>52154764.200000003</v>
          </cell>
          <cell r="I700">
            <v>71060018.399999991</v>
          </cell>
          <cell r="J700">
            <v>55046111.399999999</v>
          </cell>
          <cell r="K700">
            <v>48367506.600000001</v>
          </cell>
          <cell r="L700">
            <v>68738796</v>
          </cell>
          <cell r="M700">
            <v>52521273</v>
          </cell>
          <cell r="N700">
            <v>65749198.199999996</v>
          </cell>
          <cell r="O700">
            <v>40697165.600000001</v>
          </cell>
          <cell r="P700">
            <v>633877525.39999998</v>
          </cell>
        </row>
      </sheetData>
      <sheetData sheetId="24" refreshError="1">
        <row r="13">
          <cell r="A13" t="str">
            <v>account</v>
          </cell>
          <cell r="D13" t="str">
            <v>Jan</v>
          </cell>
          <cell r="E13" t="str">
            <v>Feb</v>
          </cell>
          <cell r="F13" t="str">
            <v>Mar</v>
          </cell>
          <cell r="G13" t="str">
            <v>Apr</v>
          </cell>
          <cell r="H13" t="str">
            <v>May</v>
          </cell>
          <cell r="I13" t="str">
            <v>Jun</v>
          </cell>
          <cell r="J13" t="str">
            <v>Jul</v>
          </cell>
          <cell r="K13" t="str">
            <v>Aug</v>
          </cell>
          <cell r="L13" t="str">
            <v>Sep</v>
          </cell>
          <cell r="M13" t="str">
            <v>Oct</v>
          </cell>
          <cell r="N13" t="str">
            <v>Nov</v>
          </cell>
          <cell r="O13" t="str">
            <v>Dec</v>
          </cell>
        </row>
        <row r="14">
          <cell r="B14" t="str">
            <v>Wealth Provider:</v>
          </cell>
        </row>
        <row r="16">
          <cell r="B16" t="str">
            <v>new cases each month</v>
          </cell>
          <cell r="D16">
            <v>2362.75</v>
          </cell>
          <cell r="E16">
            <v>1117.3500000000001</v>
          </cell>
          <cell r="F16">
            <v>1704</v>
          </cell>
          <cell r="G16">
            <v>2268</v>
          </cell>
          <cell r="H16">
            <v>2572</v>
          </cell>
          <cell r="I16">
            <v>2316</v>
          </cell>
          <cell r="J16">
            <v>2572</v>
          </cell>
          <cell r="K16">
            <v>3504</v>
          </cell>
          <cell r="L16">
            <v>2714</v>
          </cell>
          <cell r="M16">
            <v>2386</v>
          </cell>
          <cell r="N16">
            <v>3390</v>
          </cell>
          <cell r="O16">
            <v>2590</v>
          </cell>
        </row>
        <row r="18">
          <cell r="A18">
            <v>10030020</v>
          </cell>
          <cell r="B18" t="str">
            <v xml:space="preserve">RTB's </v>
          </cell>
          <cell r="C18">
            <v>1.4999999999999999E-2</v>
          </cell>
          <cell r="D18">
            <v>-59</v>
          </cell>
          <cell r="E18">
            <v>-28</v>
          </cell>
          <cell r="F18">
            <v>-26</v>
          </cell>
          <cell r="G18">
            <v>-34</v>
          </cell>
          <cell r="H18">
            <v>-39</v>
          </cell>
          <cell r="I18">
            <v>-35</v>
          </cell>
          <cell r="J18">
            <v>-39</v>
          </cell>
          <cell r="K18">
            <v>-53</v>
          </cell>
          <cell r="L18">
            <v>-41</v>
          </cell>
          <cell r="M18">
            <v>-36</v>
          </cell>
          <cell r="N18">
            <v>-51</v>
          </cell>
          <cell r="O18">
            <v>-39</v>
          </cell>
        </row>
        <row r="19">
          <cell r="A19">
            <v>11020020</v>
          </cell>
          <cell r="B19" t="str">
            <v>NTU's - 15%</v>
          </cell>
          <cell r="C19">
            <v>0.2</v>
          </cell>
          <cell r="D19">
            <v>-346</v>
          </cell>
          <cell r="E19">
            <v>-163</v>
          </cell>
          <cell r="F19">
            <v>-252</v>
          </cell>
          <cell r="G19">
            <v>-335</v>
          </cell>
          <cell r="H19">
            <v>-380</v>
          </cell>
          <cell r="I19">
            <v>-342</v>
          </cell>
          <cell r="J19">
            <v>-380</v>
          </cell>
          <cell r="K19">
            <v>-518</v>
          </cell>
          <cell r="L19">
            <v>-401</v>
          </cell>
          <cell r="M19">
            <v>-353</v>
          </cell>
          <cell r="N19">
            <v>-501</v>
          </cell>
          <cell r="O19">
            <v>-383</v>
          </cell>
        </row>
        <row r="20">
          <cell r="B20" t="str">
            <v>Net Issued cases</v>
          </cell>
          <cell r="D20">
            <v>1957.75</v>
          </cell>
          <cell r="E20">
            <v>926.35000000000014</v>
          </cell>
          <cell r="F20">
            <v>1426</v>
          </cell>
          <cell r="G20">
            <v>1899</v>
          </cell>
          <cell r="H20">
            <v>2153</v>
          </cell>
          <cell r="I20">
            <v>1939</v>
          </cell>
          <cell r="J20">
            <v>2153</v>
          </cell>
          <cell r="K20">
            <v>2933</v>
          </cell>
          <cell r="L20">
            <v>2272</v>
          </cell>
          <cell r="M20">
            <v>1997</v>
          </cell>
          <cell r="N20">
            <v>2838</v>
          </cell>
          <cell r="O20">
            <v>2168</v>
          </cell>
        </row>
        <row r="21">
          <cell r="A21">
            <v>30010020</v>
          </cell>
          <cell r="B21" t="str">
            <v>Lapses @ 10% - Jan</v>
          </cell>
          <cell r="C21">
            <v>0.1</v>
          </cell>
          <cell r="D21">
            <v>-38</v>
          </cell>
          <cell r="E21">
            <v>-37</v>
          </cell>
          <cell r="F21">
            <v>-36</v>
          </cell>
          <cell r="G21">
            <v>-35</v>
          </cell>
          <cell r="H21">
            <v>-35</v>
          </cell>
          <cell r="I21">
            <v>-34</v>
          </cell>
          <cell r="J21">
            <v>-33</v>
          </cell>
          <cell r="K21">
            <v>-33</v>
          </cell>
          <cell r="L21">
            <v>-32</v>
          </cell>
          <cell r="M21">
            <v>-32</v>
          </cell>
          <cell r="N21">
            <v>-31</v>
          </cell>
          <cell r="O21">
            <v>-30</v>
          </cell>
        </row>
        <row r="22">
          <cell r="A22">
            <v>30010020</v>
          </cell>
          <cell r="B22" t="str">
            <v>Lapses @ 10% - Feb</v>
          </cell>
          <cell r="C22">
            <v>0.1</v>
          </cell>
          <cell r="E22">
            <v>-18</v>
          </cell>
          <cell r="F22">
            <v>-17</v>
          </cell>
          <cell r="G22">
            <v>-17</v>
          </cell>
          <cell r="H22">
            <v>-17</v>
          </cell>
          <cell r="I22">
            <v>-16</v>
          </cell>
          <cell r="J22">
            <v>-16</v>
          </cell>
          <cell r="K22">
            <v>-16</v>
          </cell>
          <cell r="L22">
            <v>-16</v>
          </cell>
          <cell r="M22">
            <v>-15</v>
          </cell>
          <cell r="N22">
            <v>-15</v>
          </cell>
          <cell r="O22">
            <v>-15</v>
          </cell>
        </row>
        <row r="23">
          <cell r="A23">
            <v>30010020</v>
          </cell>
          <cell r="B23" t="str">
            <v>Lapses @ 10% - Mar</v>
          </cell>
          <cell r="C23">
            <v>0.1</v>
          </cell>
          <cell r="F23">
            <v>-27</v>
          </cell>
          <cell r="G23">
            <v>-27</v>
          </cell>
          <cell r="H23">
            <v>-26</v>
          </cell>
          <cell r="I23">
            <v>-26</v>
          </cell>
          <cell r="J23">
            <v>-25</v>
          </cell>
          <cell r="K23">
            <v>-25</v>
          </cell>
          <cell r="L23">
            <v>-24</v>
          </cell>
          <cell r="M23">
            <v>-24</v>
          </cell>
          <cell r="N23">
            <v>-23</v>
          </cell>
          <cell r="O23">
            <v>-23</v>
          </cell>
        </row>
        <row r="24">
          <cell r="A24">
            <v>30010020</v>
          </cell>
          <cell r="B24" t="str">
            <v>Lapses @ 10% - Apr</v>
          </cell>
          <cell r="C24">
            <v>0.1</v>
          </cell>
          <cell r="G24">
            <v>-36</v>
          </cell>
          <cell r="H24">
            <v>-36</v>
          </cell>
          <cell r="I24">
            <v>-35</v>
          </cell>
          <cell r="J24">
            <v>-34</v>
          </cell>
          <cell r="K24">
            <v>-34</v>
          </cell>
          <cell r="L24">
            <v>-33</v>
          </cell>
          <cell r="M24">
            <v>-32</v>
          </cell>
          <cell r="N24">
            <v>-32</v>
          </cell>
          <cell r="O24">
            <v>-31</v>
          </cell>
        </row>
        <row r="25">
          <cell r="A25">
            <v>30010020</v>
          </cell>
          <cell r="B25" t="str">
            <v>Lapses @ 10% - May</v>
          </cell>
          <cell r="C25">
            <v>0.1</v>
          </cell>
          <cell r="H25">
            <v>-41</v>
          </cell>
          <cell r="I25">
            <v>-40</v>
          </cell>
          <cell r="J25">
            <v>-40</v>
          </cell>
          <cell r="K25">
            <v>-39</v>
          </cell>
          <cell r="L25">
            <v>-38</v>
          </cell>
          <cell r="M25">
            <v>-37</v>
          </cell>
          <cell r="N25">
            <v>-37</v>
          </cell>
          <cell r="O25">
            <v>-36</v>
          </cell>
        </row>
        <row r="26">
          <cell r="A26">
            <v>30010020</v>
          </cell>
          <cell r="B26" t="str">
            <v>Lapses @ 10% - Jun</v>
          </cell>
          <cell r="C26">
            <v>0.1</v>
          </cell>
          <cell r="I26">
            <v>-37</v>
          </cell>
          <cell r="J26">
            <v>-36</v>
          </cell>
          <cell r="K26">
            <v>-36</v>
          </cell>
          <cell r="L26">
            <v>-35</v>
          </cell>
          <cell r="M26">
            <v>-34</v>
          </cell>
          <cell r="N26">
            <v>-34</v>
          </cell>
          <cell r="O26">
            <v>-33</v>
          </cell>
        </row>
        <row r="27">
          <cell r="A27">
            <v>30010020</v>
          </cell>
          <cell r="B27" t="str">
            <v>Lapses @ 10% - Jul</v>
          </cell>
          <cell r="C27">
            <v>0.1</v>
          </cell>
          <cell r="J27">
            <v>-41</v>
          </cell>
          <cell r="K27">
            <v>-40</v>
          </cell>
          <cell r="L27">
            <v>-40</v>
          </cell>
          <cell r="M27">
            <v>-39</v>
          </cell>
          <cell r="N27">
            <v>-38</v>
          </cell>
          <cell r="O27">
            <v>-37</v>
          </cell>
        </row>
        <row r="28">
          <cell r="A28">
            <v>30010020</v>
          </cell>
          <cell r="B28" t="str">
            <v>Lapses @ 10% - Aug</v>
          </cell>
          <cell r="C28">
            <v>0.1</v>
          </cell>
          <cell r="K28">
            <v>-56</v>
          </cell>
          <cell r="L28">
            <v>-55</v>
          </cell>
          <cell r="M28">
            <v>-54</v>
          </cell>
          <cell r="N28">
            <v>-53</v>
          </cell>
          <cell r="O28">
            <v>-52</v>
          </cell>
        </row>
        <row r="29">
          <cell r="A29">
            <v>30010020</v>
          </cell>
          <cell r="B29" t="str">
            <v>Lapses @ 10% - Sep</v>
          </cell>
          <cell r="C29">
            <v>0.1</v>
          </cell>
          <cell r="L29">
            <v>-44</v>
          </cell>
          <cell r="M29">
            <v>-43</v>
          </cell>
          <cell r="N29">
            <v>-42</v>
          </cell>
          <cell r="O29">
            <v>-41</v>
          </cell>
        </row>
        <row r="30">
          <cell r="A30">
            <v>30010020</v>
          </cell>
          <cell r="B30" t="str">
            <v>Lapses @ 10% - Oct</v>
          </cell>
          <cell r="C30">
            <v>0.1</v>
          </cell>
          <cell r="M30">
            <v>-38</v>
          </cell>
          <cell r="N30">
            <v>-38</v>
          </cell>
          <cell r="O30">
            <v>-37</v>
          </cell>
        </row>
        <row r="31">
          <cell r="A31">
            <v>30010020</v>
          </cell>
          <cell r="B31" t="str">
            <v>Lapses @ 10% - Nov</v>
          </cell>
          <cell r="C31">
            <v>0.1</v>
          </cell>
          <cell r="N31">
            <v>-54</v>
          </cell>
          <cell r="O31">
            <v>-53</v>
          </cell>
        </row>
        <row r="32">
          <cell r="A32">
            <v>30010020</v>
          </cell>
          <cell r="B32" t="str">
            <v>Lapses @ 10% - Dec</v>
          </cell>
          <cell r="C32">
            <v>0.1</v>
          </cell>
          <cell r="O32">
            <v>-42</v>
          </cell>
        </row>
        <row r="34">
          <cell r="B34" t="str">
            <v>Total lapses</v>
          </cell>
          <cell r="D34">
            <v>-38</v>
          </cell>
          <cell r="E34">
            <v>-55</v>
          </cell>
          <cell r="F34">
            <v>-80</v>
          </cell>
          <cell r="G34">
            <v>-115</v>
          </cell>
          <cell r="H34">
            <v>-155</v>
          </cell>
          <cell r="I34">
            <v>-188</v>
          </cell>
          <cell r="J34">
            <v>-225</v>
          </cell>
          <cell r="K34">
            <v>-279</v>
          </cell>
          <cell r="L34">
            <v>-317</v>
          </cell>
          <cell r="M34">
            <v>-348</v>
          </cell>
          <cell r="N34">
            <v>-397</v>
          </cell>
          <cell r="O34">
            <v>-430</v>
          </cell>
        </row>
        <row r="36">
          <cell r="B36" t="str">
            <v>Net new cases per month</v>
          </cell>
          <cell r="D36">
            <v>1919.75</v>
          </cell>
          <cell r="E36">
            <v>871.35000000000014</v>
          </cell>
          <cell r="F36">
            <v>1346</v>
          </cell>
          <cell r="G36">
            <v>1784</v>
          </cell>
          <cell r="H36">
            <v>1998</v>
          </cell>
          <cell r="I36">
            <v>1751</v>
          </cell>
          <cell r="J36">
            <v>1928</v>
          </cell>
          <cell r="K36">
            <v>2654</v>
          </cell>
          <cell r="L36">
            <v>1955</v>
          </cell>
          <cell r="M36">
            <v>1649</v>
          </cell>
          <cell r="N36">
            <v>2441</v>
          </cell>
          <cell r="O36">
            <v>1738</v>
          </cell>
        </row>
        <row r="38">
          <cell r="B38" t="str">
            <v>Cumulative for year</v>
          </cell>
          <cell r="D38">
            <v>1919.75</v>
          </cell>
          <cell r="E38">
            <v>2791.1000000000004</v>
          </cell>
          <cell r="F38">
            <v>4137.1000000000004</v>
          </cell>
          <cell r="G38">
            <v>5921.1</v>
          </cell>
          <cell r="H38">
            <v>7919.1</v>
          </cell>
          <cell r="I38">
            <v>9670.1</v>
          </cell>
          <cell r="J38">
            <v>11598.1</v>
          </cell>
          <cell r="K38">
            <v>14252.1</v>
          </cell>
          <cell r="L38">
            <v>16207.1</v>
          </cell>
          <cell r="M38">
            <v>17856.099999999999</v>
          </cell>
          <cell r="N38">
            <v>20297.099999999999</v>
          </cell>
          <cell r="O38">
            <v>22035.1</v>
          </cell>
          <cell r="AD38">
            <v>-2479</v>
          </cell>
        </row>
        <row r="40">
          <cell r="B40" t="str">
            <v>Average MPI</v>
          </cell>
          <cell r="D40">
            <v>1141.4166666666667</v>
          </cell>
          <cell r="E40">
            <v>1141.4166666666667</v>
          </cell>
          <cell r="F40">
            <v>1198.4875</v>
          </cell>
          <cell r="G40">
            <v>1198.4875</v>
          </cell>
          <cell r="H40">
            <v>1198.4875</v>
          </cell>
          <cell r="I40">
            <v>1198.4875</v>
          </cell>
          <cell r="J40">
            <v>1198.4875</v>
          </cell>
          <cell r="K40">
            <v>1198.4875</v>
          </cell>
          <cell r="L40">
            <v>1198.4875</v>
          </cell>
          <cell r="M40">
            <v>1198.4875</v>
          </cell>
          <cell r="N40">
            <v>1198.4875</v>
          </cell>
          <cell r="O40">
            <v>1198.4875</v>
          </cell>
        </row>
        <row r="42">
          <cell r="A42">
            <v>80010010</v>
          </cell>
          <cell r="B42" t="str">
            <v>Premium flow:</v>
          </cell>
          <cell r="D42">
            <v>2191234.6458333335</v>
          </cell>
          <cell r="E42">
            <v>3185808.058333334</v>
          </cell>
          <cell r="F42">
            <v>4958262.6362500004</v>
          </cell>
          <cell r="G42">
            <v>7096364.3362499997</v>
          </cell>
          <cell r="H42">
            <v>9490942.3612500001</v>
          </cell>
          <cell r="I42">
            <v>11589493.973750001</v>
          </cell>
          <cell r="J42">
            <v>13900177.873749999</v>
          </cell>
          <cell r="K42">
            <v>17080963.69875</v>
          </cell>
          <cell r="L42">
            <v>19424006.76125</v>
          </cell>
          <cell r="M42">
            <v>21400312.648749996</v>
          </cell>
          <cell r="N42">
            <v>24325820.636249997</v>
          </cell>
          <cell r="O42">
            <v>26408791.911249999</v>
          </cell>
        </row>
        <row r="45">
          <cell r="D45" t="str">
            <v>JAN</v>
          </cell>
          <cell r="E45" t="str">
            <v>Feb</v>
          </cell>
          <cell r="F45" t="str">
            <v>Mar</v>
          </cell>
          <cell r="G45" t="str">
            <v>Apr</v>
          </cell>
          <cell r="H45" t="str">
            <v>May</v>
          </cell>
          <cell r="I45" t="str">
            <v>Jun</v>
          </cell>
          <cell r="J45" t="str">
            <v>Jul</v>
          </cell>
          <cell r="K45" t="str">
            <v>Aug</v>
          </cell>
          <cell r="L45" t="str">
            <v>Sep</v>
          </cell>
          <cell r="M45" t="str">
            <v>Oct</v>
          </cell>
          <cell r="N45" t="str">
            <v>Nov</v>
          </cell>
          <cell r="O45" t="str">
            <v>Dec</v>
          </cell>
        </row>
        <row r="46">
          <cell r="B46" t="str">
            <v>new cases each month</v>
          </cell>
          <cell r="D46">
            <v>1272.25</v>
          </cell>
          <cell r="E46">
            <v>601.65</v>
          </cell>
          <cell r="F46">
            <v>834</v>
          </cell>
          <cell r="G46">
            <v>1116</v>
          </cell>
          <cell r="H46">
            <v>1268</v>
          </cell>
          <cell r="I46">
            <v>1140</v>
          </cell>
          <cell r="J46">
            <v>1268</v>
          </cell>
          <cell r="K46">
            <v>1728</v>
          </cell>
          <cell r="L46">
            <v>1339</v>
          </cell>
          <cell r="M46">
            <v>1175</v>
          </cell>
          <cell r="N46">
            <v>1671</v>
          </cell>
          <cell r="O46">
            <v>1277</v>
          </cell>
        </row>
        <row r="48">
          <cell r="A48">
            <v>10030010</v>
          </cell>
          <cell r="B48" t="str">
            <v xml:space="preserve">RTB's </v>
          </cell>
          <cell r="C48">
            <v>1.4999999999999999E-2</v>
          </cell>
          <cell r="D48">
            <v>-32</v>
          </cell>
          <cell r="E48">
            <v>-15</v>
          </cell>
          <cell r="F48">
            <v>-13</v>
          </cell>
          <cell r="G48">
            <v>-17</v>
          </cell>
          <cell r="H48">
            <v>-19</v>
          </cell>
          <cell r="I48">
            <v>-17</v>
          </cell>
          <cell r="J48">
            <v>-19</v>
          </cell>
          <cell r="K48">
            <v>-26</v>
          </cell>
          <cell r="L48">
            <v>-20</v>
          </cell>
          <cell r="M48">
            <v>-18</v>
          </cell>
          <cell r="N48">
            <v>-25</v>
          </cell>
          <cell r="O48">
            <v>-19</v>
          </cell>
        </row>
        <row r="49">
          <cell r="A49">
            <v>11020010</v>
          </cell>
          <cell r="B49" t="str">
            <v xml:space="preserve">NTU's </v>
          </cell>
          <cell r="C49">
            <v>0.2</v>
          </cell>
          <cell r="D49">
            <v>-186</v>
          </cell>
          <cell r="E49">
            <v>-88</v>
          </cell>
          <cell r="F49">
            <v>-123</v>
          </cell>
          <cell r="G49">
            <v>-165</v>
          </cell>
          <cell r="H49">
            <v>-187</v>
          </cell>
          <cell r="I49">
            <v>-168</v>
          </cell>
          <cell r="J49">
            <v>-187</v>
          </cell>
          <cell r="K49">
            <v>-255</v>
          </cell>
          <cell r="L49">
            <v>-198</v>
          </cell>
          <cell r="M49">
            <v>-174</v>
          </cell>
          <cell r="N49">
            <v>-247</v>
          </cell>
          <cell r="O49">
            <v>-189</v>
          </cell>
        </row>
        <row r="50">
          <cell r="B50" t="str">
            <v>Net Issued cases</v>
          </cell>
          <cell r="D50">
            <v>1054.25</v>
          </cell>
          <cell r="E50">
            <v>498.65</v>
          </cell>
          <cell r="F50">
            <v>698</v>
          </cell>
          <cell r="G50">
            <v>934</v>
          </cell>
          <cell r="H50">
            <v>1062</v>
          </cell>
          <cell r="I50">
            <v>955</v>
          </cell>
          <cell r="J50">
            <v>1062</v>
          </cell>
          <cell r="K50">
            <v>1447</v>
          </cell>
          <cell r="L50">
            <v>1121</v>
          </cell>
          <cell r="M50">
            <v>983</v>
          </cell>
          <cell r="N50">
            <v>1399</v>
          </cell>
          <cell r="O50">
            <v>1069</v>
          </cell>
        </row>
        <row r="51">
          <cell r="A51">
            <v>30010010</v>
          </cell>
          <cell r="B51" t="str">
            <v>Lapses  - Jan</v>
          </cell>
          <cell r="C51">
            <v>0.1</v>
          </cell>
          <cell r="D51">
            <v>-24</v>
          </cell>
          <cell r="E51">
            <v>-23</v>
          </cell>
          <cell r="F51">
            <v>-23</v>
          </cell>
          <cell r="G51">
            <v>-22</v>
          </cell>
          <cell r="H51">
            <v>-22</v>
          </cell>
          <cell r="I51">
            <v>-21</v>
          </cell>
          <cell r="J51">
            <v>-21</v>
          </cell>
          <cell r="K51">
            <v>-20</v>
          </cell>
          <cell r="L51">
            <v>-20</v>
          </cell>
          <cell r="M51">
            <v>-19</v>
          </cell>
          <cell r="N51">
            <v>-19</v>
          </cell>
          <cell r="O51">
            <v>-18</v>
          </cell>
        </row>
        <row r="52">
          <cell r="A52">
            <v>30010010</v>
          </cell>
          <cell r="B52" t="str">
            <v>Lapses  - Feb</v>
          </cell>
          <cell r="C52">
            <v>0.1</v>
          </cell>
          <cell r="E52">
            <v>-11</v>
          </cell>
          <cell r="F52">
            <v>-11</v>
          </cell>
          <cell r="G52">
            <v>-11</v>
          </cell>
          <cell r="H52">
            <v>-10</v>
          </cell>
          <cell r="I52">
            <v>-10</v>
          </cell>
          <cell r="J52">
            <v>-10</v>
          </cell>
          <cell r="K52">
            <v>-10</v>
          </cell>
          <cell r="L52">
            <v>-10</v>
          </cell>
          <cell r="M52">
            <v>-9</v>
          </cell>
          <cell r="N52">
            <v>-9</v>
          </cell>
          <cell r="O52">
            <v>-9</v>
          </cell>
        </row>
        <row r="53">
          <cell r="A53">
            <v>30010010</v>
          </cell>
          <cell r="B53" t="str">
            <v>Lapses  - Mar</v>
          </cell>
          <cell r="C53">
            <v>0.1</v>
          </cell>
          <cell r="F53">
            <v>-16</v>
          </cell>
          <cell r="G53">
            <v>-15</v>
          </cell>
          <cell r="H53">
            <v>-15</v>
          </cell>
          <cell r="I53">
            <v>-15</v>
          </cell>
          <cell r="J53">
            <v>-14</v>
          </cell>
          <cell r="K53">
            <v>-14</v>
          </cell>
          <cell r="L53">
            <v>-14</v>
          </cell>
          <cell r="M53">
            <v>-13</v>
          </cell>
          <cell r="N53">
            <v>-13</v>
          </cell>
          <cell r="O53">
            <v>-13</v>
          </cell>
        </row>
        <row r="54">
          <cell r="A54">
            <v>30010010</v>
          </cell>
          <cell r="B54" t="str">
            <v>Lapses  - Apr</v>
          </cell>
          <cell r="C54">
            <v>0.1</v>
          </cell>
          <cell r="G54">
            <v>-21</v>
          </cell>
          <cell r="H54">
            <v>-21</v>
          </cell>
          <cell r="I54">
            <v>-20</v>
          </cell>
          <cell r="J54">
            <v>-20</v>
          </cell>
          <cell r="K54">
            <v>-19</v>
          </cell>
          <cell r="L54">
            <v>-19</v>
          </cell>
          <cell r="M54">
            <v>-18</v>
          </cell>
          <cell r="N54">
            <v>-18</v>
          </cell>
          <cell r="O54">
            <v>-18</v>
          </cell>
        </row>
        <row r="55">
          <cell r="A55">
            <v>30010010</v>
          </cell>
          <cell r="B55" t="str">
            <v>Lapses  - May</v>
          </cell>
          <cell r="C55">
            <v>0.1</v>
          </cell>
          <cell r="H55">
            <v>-24</v>
          </cell>
          <cell r="I55">
            <v>-23</v>
          </cell>
          <cell r="J55">
            <v>-23</v>
          </cell>
          <cell r="K55">
            <v>-22</v>
          </cell>
          <cell r="L55">
            <v>-22</v>
          </cell>
          <cell r="M55">
            <v>-21</v>
          </cell>
          <cell r="N55">
            <v>-21</v>
          </cell>
          <cell r="O55">
            <v>-20</v>
          </cell>
        </row>
        <row r="56">
          <cell r="A56">
            <v>30010010</v>
          </cell>
          <cell r="B56" t="str">
            <v>Lapses  - Jun</v>
          </cell>
          <cell r="C56">
            <v>0.1</v>
          </cell>
          <cell r="I56">
            <v>-21</v>
          </cell>
          <cell r="J56">
            <v>-21</v>
          </cell>
          <cell r="K56">
            <v>-21</v>
          </cell>
          <cell r="L56">
            <v>-20</v>
          </cell>
          <cell r="M56">
            <v>-20</v>
          </cell>
          <cell r="N56">
            <v>-19</v>
          </cell>
          <cell r="O56">
            <v>-19</v>
          </cell>
        </row>
        <row r="57">
          <cell r="A57">
            <v>30010010</v>
          </cell>
          <cell r="B57" t="str">
            <v>Lapses  - Jul</v>
          </cell>
          <cell r="C57">
            <v>0.1</v>
          </cell>
          <cell r="J57">
            <v>-24</v>
          </cell>
          <cell r="K57">
            <v>-23</v>
          </cell>
          <cell r="L57">
            <v>-23</v>
          </cell>
          <cell r="M57">
            <v>-22</v>
          </cell>
          <cell r="N57">
            <v>-22</v>
          </cell>
          <cell r="O57">
            <v>-21</v>
          </cell>
        </row>
        <row r="58">
          <cell r="A58">
            <v>30010010</v>
          </cell>
          <cell r="B58" t="str">
            <v>Lapses  - Aug</v>
          </cell>
          <cell r="C58">
            <v>0.1</v>
          </cell>
          <cell r="K58">
            <v>-33</v>
          </cell>
          <cell r="L58">
            <v>-32</v>
          </cell>
          <cell r="M58">
            <v>-31</v>
          </cell>
          <cell r="N58">
            <v>-30</v>
          </cell>
          <cell r="O58">
            <v>-30</v>
          </cell>
        </row>
        <row r="59">
          <cell r="A59">
            <v>30010010</v>
          </cell>
          <cell r="B59" t="str">
            <v>Lapses  - Sep</v>
          </cell>
          <cell r="C59">
            <v>0.1</v>
          </cell>
          <cell r="L59">
            <v>-25</v>
          </cell>
          <cell r="M59">
            <v>-25</v>
          </cell>
          <cell r="N59">
            <v>-24</v>
          </cell>
          <cell r="O59">
            <v>-24</v>
          </cell>
        </row>
        <row r="60">
          <cell r="A60">
            <v>30010010</v>
          </cell>
          <cell r="B60" t="str">
            <v>Lapses  - Oct</v>
          </cell>
          <cell r="C60">
            <v>0.1</v>
          </cell>
          <cell r="M60">
            <v>-22</v>
          </cell>
          <cell r="N60">
            <v>-22</v>
          </cell>
          <cell r="O60">
            <v>-21</v>
          </cell>
        </row>
        <row r="61">
          <cell r="A61">
            <v>30010010</v>
          </cell>
          <cell r="B61" t="str">
            <v>Lapses  - Nov</v>
          </cell>
          <cell r="C61">
            <v>0.1</v>
          </cell>
          <cell r="N61">
            <v>-31</v>
          </cell>
          <cell r="O61">
            <v>-31</v>
          </cell>
        </row>
        <row r="62">
          <cell r="A62">
            <v>30010010</v>
          </cell>
          <cell r="B62" t="str">
            <v>Lapses  - Dec</v>
          </cell>
          <cell r="C62">
            <v>0.1</v>
          </cell>
          <cell r="O62">
            <v>-24</v>
          </cell>
        </row>
        <row r="64">
          <cell r="B64" t="str">
            <v>Total lapses/ntu's - new</v>
          </cell>
          <cell r="D64">
            <v>-24</v>
          </cell>
          <cell r="E64">
            <v>-34</v>
          </cell>
          <cell r="F64">
            <v>-50</v>
          </cell>
          <cell r="G64">
            <v>-69</v>
          </cell>
          <cell r="H64">
            <v>-92</v>
          </cell>
          <cell r="I64">
            <v>-110</v>
          </cell>
          <cell r="J64">
            <v>-133</v>
          </cell>
          <cell r="K64">
            <v>-162</v>
          </cell>
          <cell r="L64">
            <v>-185</v>
          </cell>
          <cell r="M64">
            <v>-200</v>
          </cell>
          <cell r="N64">
            <v>-228</v>
          </cell>
          <cell r="O64">
            <v>-248</v>
          </cell>
        </row>
        <row r="66">
          <cell r="B66" t="str">
            <v>Net new cases per month</v>
          </cell>
          <cell r="D66">
            <v>1030.25</v>
          </cell>
          <cell r="E66">
            <v>464.65</v>
          </cell>
          <cell r="F66">
            <v>648</v>
          </cell>
          <cell r="G66">
            <v>865</v>
          </cell>
          <cell r="H66">
            <v>970</v>
          </cell>
          <cell r="I66">
            <v>845</v>
          </cell>
          <cell r="J66">
            <v>929</v>
          </cell>
          <cell r="K66">
            <v>1285</v>
          </cell>
          <cell r="L66">
            <v>936</v>
          </cell>
          <cell r="M66">
            <v>783</v>
          </cell>
          <cell r="N66">
            <v>1171</v>
          </cell>
          <cell r="O66">
            <v>821</v>
          </cell>
        </row>
        <row r="68">
          <cell r="B68" t="str">
            <v>Cumulative for year</v>
          </cell>
          <cell r="D68">
            <v>1030.25</v>
          </cell>
          <cell r="E68">
            <v>1494.9</v>
          </cell>
          <cell r="F68">
            <v>2142.9</v>
          </cell>
          <cell r="G68">
            <v>3007.9</v>
          </cell>
          <cell r="H68">
            <v>3977.9</v>
          </cell>
          <cell r="I68">
            <v>4822.8999999999996</v>
          </cell>
          <cell r="J68">
            <v>5751.9</v>
          </cell>
          <cell r="K68">
            <v>7036.9</v>
          </cell>
          <cell r="L68">
            <v>7972.9</v>
          </cell>
          <cell r="M68">
            <v>8755.9</v>
          </cell>
          <cell r="N68">
            <v>9926.9</v>
          </cell>
          <cell r="O68">
            <v>10747.9</v>
          </cell>
          <cell r="AD68">
            <v>-1402</v>
          </cell>
        </row>
        <row r="70">
          <cell r="B70" t="str">
            <v>Average MPI</v>
          </cell>
          <cell r="D70">
            <v>949.16666666666663</v>
          </cell>
          <cell r="E70">
            <v>949.16666666666663</v>
          </cell>
          <cell r="F70">
            <v>996.625</v>
          </cell>
          <cell r="G70">
            <v>996.625</v>
          </cell>
          <cell r="H70">
            <v>996.625</v>
          </cell>
          <cell r="I70">
            <v>996.625</v>
          </cell>
          <cell r="J70">
            <v>996.625</v>
          </cell>
          <cell r="K70">
            <v>996.625</v>
          </cell>
          <cell r="L70">
            <v>996.625</v>
          </cell>
          <cell r="M70">
            <v>996.625</v>
          </cell>
          <cell r="N70">
            <v>996.625</v>
          </cell>
          <cell r="O70">
            <v>996.625</v>
          </cell>
        </row>
        <row r="72">
          <cell r="A72">
            <v>80020010</v>
          </cell>
          <cell r="B72" t="str">
            <v>Premium flow:</v>
          </cell>
          <cell r="D72">
            <v>977878.95833333326</v>
          </cell>
          <cell r="E72">
            <v>1418909.25</v>
          </cell>
          <cell r="F72">
            <v>2135667.7124999999</v>
          </cell>
          <cell r="G72">
            <v>2997748.3374999999</v>
          </cell>
          <cell r="H72">
            <v>3964474.5874999999</v>
          </cell>
          <cell r="I72">
            <v>4806622.7124999994</v>
          </cell>
          <cell r="J72">
            <v>5732487.3374999994</v>
          </cell>
          <cell r="K72">
            <v>7013150.4624999994</v>
          </cell>
          <cell r="L72">
            <v>7945991.4624999994</v>
          </cell>
          <cell r="M72">
            <v>8726348.8375000004</v>
          </cell>
          <cell r="N72">
            <v>9893396.7125000004</v>
          </cell>
          <cell r="O72">
            <v>10711625.8375</v>
          </cell>
        </row>
        <row r="113">
          <cell r="D113" t="str">
            <v>Jan</v>
          </cell>
          <cell r="E113" t="str">
            <v>Feb</v>
          </cell>
          <cell r="F113" t="str">
            <v>Mar</v>
          </cell>
          <cell r="G113" t="str">
            <v>Apr</v>
          </cell>
          <cell r="H113" t="str">
            <v>May</v>
          </cell>
          <cell r="I113" t="str">
            <v>Jun</v>
          </cell>
          <cell r="J113" t="str">
            <v>Jul</v>
          </cell>
          <cell r="K113" t="str">
            <v>Aug</v>
          </cell>
          <cell r="L113" t="str">
            <v>Sep</v>
          </cell>
          <cell r="M113" t="str">
            <v>Oct</v>
          </cell>
          <cell r="N113" t="str">
            <v>Nov</v>
          </cell>
          <cell r="O113" t="str">
            <v>Dec</v>
          </cell>
          <cell r="P113" t="str">
            <v>Total</v>
          </cell>
        </row>
        <row r="114">
          <cell r="B114" t="str">
            <v>RENEWAL BUSINESS (2nd year)</v>
          </cell>
        </row>
        <row r="115">
          <cell r="D115" t="str">
            <v>Units</v>
          </cell>
          <cell r="E115" t="str">
            <v>API</v>
          </cell>
        </row>
        <row r="116">
          <cell r="B116" t="str">
            <v>no. of cases at beginning of year</v>
          </cell>
          <cell r="D116">
            <v>24390.280000000002</v>
          </cell>
          <cell r="E116">
            <v>305050759.87</v>
          </cell>
        </row>
        <row r="117">
          <cell r="B117" t="str">
            <v>FFP</v>
          </cell>
          <cell r="D117">
            <v>8344.2000000000007</v>
          </cell>
          <cell r="E117">
            <v>96117707.819999993</v>
          </cell>
        </row>
        <row r="118">
          <cell r="B118" t="str">
            <v>WP</v>
          </cell>
          <cell r="D118">
            <v>16046.080000000002</v>
          </cell>
          <cell r="E118">
            <v>208933052.04999998</v>
          </cell>
        </row>
        <row r="120">
          <cell r="B120" t="str">
            <v>Lapses</v>
          </cell>
        </row>
        <row r="121">
          <cell r="A121">
            <v>40010020</v>
          </cell>
          <cell r="B121" t="str">
            <v>FFP</v>
          </cell>
          <cell r="C121">
            <v>0.1</v>
          </cell>
          <cell r="D121">
            <v>-139</v>
          </cell>
          <cell r="E121">
            <v>-137</v>
          </cell>
          <cell r="F121">
            <v>-134</v>
          </cell>
          <cell r="G121">
            <v>-132</v>
          </cell>
          <cell r="H121">
            <v>-130</v>
          </cell>
          <cell r="I121">
            <v>-128</v>
          </cell>
          <cell r="J121">
            <v>-126</v>
          </cell>
          <cell r="K121">
            <v>-124</v>
          </cell>
          <cell r="L121">
            <v>-122</v>
          </cell>
          <cell r="M121">
            <v>-120</v>
          </cell>
          <cell r="N121">
            <v>-118</v>
          </cell>
          <cell r="O121">
            <v>-116</v>
          </cell>
          <cell r="P121">
            <v>-1526</v>
          </cell>
        </row>
        <row r="122">
          <cell r="A122">
            <v>40010030</v>
          </cell>
          <cell r="B122" t="str">
            <v>WP</v>
          </cell>
          <cell r="C122">
            <v>0.1</v>
          </cell>
          <cell r="D122">
            <v>-201</v>
          </cell>
          <cell r="E122">
            <v>-198</v>
          </cell>
          <cell r="F122">
            <v>-196</v>
          </cell>
          <cell r="G122">
            <v>-193</v>
          </cell>
          <cell r="H122">
            <v>-191</v>
          </cell>
          <cell r="I122">
            <v>-188</v>
          </cell>
          <cell r="J122">
            <v>-186</v>
          </cell>
          <cell r="K122">
            <v>-184</v>
          </cell>
          <cell r="L122">
            <v>-181</v>
          </cell>
          <cell r="M122">
            <v>-179</v>
          </cell>
          <cell r="N122">
            <v>-177</v>
          </cell>
          <cell r="O122">
            <v>-175</v>
          </cell>
          <cell r="P122">
            <v>-2249</v>
          </cell>
          <cell r="R122">
            <v>-3775</v>
          </cell>
        </row>
        <row r="123">
          <cell r="A123">
            <v>40010020</v>
          </cell>
          <cell r="B123" t="str">
            <v>FFP</v>
          </cell>
          <cell r="C123" t="str">
            <v>DIA@25%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</row>
        <row r="124">
          <cell r="A124">
            <v>40010030</v>
          </cell>
          <cell r="B124" t="str">
            <v>WP</v>
          </cell>
          <cell r="C124" t="str">
            <v>DI A@25%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</row>
        <row r="125">
          <cell r="B125" t="str">
            <v>Net no. of cases each month</v>
          </cell>
          <cell r="D125">
            <v>24050.280000000002</v>
          </cell>
          <cell r="E125">
            <v>23715.280000000002</v>
          </cell>
          <cell r="F125">
            <v>23385.280000000002</v>
          </cell>
          <cell r="G125">
            <v>23060.280000000002</v>
          </cell>
          <cell r="H125">
            <v>22739.280000000002</v>
          </cell>
          <cell r="I125">
            <v>22423.280000000002</v>
          </cell>
          <cell r="J125">
            <v>22111.280000000002</v>
          </cell>
          <cell r="K125">
            <v>21803.280000000002</v>
          </cell>
          <cell r="L125">
            <v>21500.280000000002</v>
          </cell>
          <cell r="M125">
            <v>21201.280000000002</v>
          </cell>
          <cell r="N125">
            <v>20906.280000000002</v>
          </cell>
          <cell r="O125">
            <v>20615.280000000002</v>
          </cell>
          <cell r="Q125">
            <v>0</v>
          </cell>
        </row>
        <row r="126">
          <cell r="B126" t="str">
            <v>FFP</v>
          </cell>
          <cell r="D126">
            <v>8205.2000000000007</v>
          </cell>
          <cell r="E126">
            <v>8068.2000000000007</v>
          </cell>
          <cell r="F126">
            <v>7934.2000000000007</v>
          </cell>
          <cell r="G126">
            <v>7802.2000000000007</v>
          </cell>
          <cell r="H126">
            <v>7672.2000000000007</v>
          </cell>
          <cell r="I126">
            <v>7544.2000000000007</v>
          </cell>
          <cell r="J126">
            <v>7418.2000000000007</v>
          </cell>
          <cell r="K126">
            <v>7294.2000000000007</v>
          </cell>
          <cell r="L126">
            <v>7172.2000000000007</v>
          </cell>
          <cell r="M126">
            <v>7052.2000000000007</v>
          </cell>
          <cell r="N126">
            <v>6934.2000000000007</v>
          </cell>
          <cell r="O126">
            <v>6818.2000000000007</v>
          </cell>
        </row>
        <row r="127">
          <cell r="B127" t="str">
            <v>WP</v>
          </cell>
          <cell r="D127">
            <v>15845.080000000002</v>
          </cell>
          <cell r="E127">
            <v>15647.080000000002</v>
          </cell>
          <cell r="F127">
            <v>15451.080000000002</v>
          </cell>
          <cell r="G127">
            <v>15258.080000000002</v>
          </cell>
          <cell r="H127">
            <v>15067.080000000002</v>
          </cell>
          <cell r="I127">
            <v>14879.080000000002</v>
          </cell>
          <cell r="J127">
            <v>14693.080000000002</v>
          </cell>
          <cell r="K127">
            <v>14509.080000000002</v>
          </cell>
          <cell r="L127">
            <v>14328.080000000002</v>
          </cell>
          <cell r="M127">
            <v>14149.080000000002</v>
          </cell>
          <cell r="N127">
            <v>13972.080000000002</v>
          </cell>
          <cell r="O127">
            <v>13797.080000000002</v>
          </cell>
        </row>
        <row r="129">
          <cell r="B129" t="str">
            <v>Average PI for 2nd yr business</v>
          </cell>
          <cell r="D129">
            <v>1042.2552203514404</v>
          </cell>
          <cell r="E129">
            <v>948</v>
          </cell>
          <cell r="F129">
            <v>948</v>
          </cell>
          <cell r="G129">
            <v>948</v>
          </cell>
          <cell r="H129">
            <v>948</v>
          </cell>
          <cell r="I129">
            <v>948</v>
          </cell>
          <cell r="J129">
            <v>948</v>
          </cell>
          <cell r="K129">
            <v>948</v>
          </cell>
          <cell r="L129">
            <v>948</v>
          </cell>
          <cell r="M129">
            <v>948</v>
          </cell>
          <cell r="N129">
            <v>948</v>
          </cell>
          <cell r="O129">
            <v>948</v>
          </cell>
        </row>
        <row r="130">
          <cell r="B130" t="str">
            <v>FFP</v>
          </cell>
          <cell r="D130">
            <v>959.92533556242643</v>
          </cell>
          <cell r="E130">
            <v>959.92533556242643</v>
          </cell>
          <cell r="F130">
            <v>959.92533556242643</v>
          </cell>
          <cell r="G130">
            <v>959.92533556242643</v>
          </cell>
          <cell r="H130">
            <v>959.92533556242643</v>
          </cell>
          <cell r="I130">
            <v>959.92533556242643</v>
          </cell>
          <cell r="J130">
            <v>959.92533556242643</v>
          </cell>
          <cell r="K130">
            <v>959.92533556242643</v>
          </cell>
          <cell r="L130">
            <v>959.92533556242643</v>
          </cell>
          <cell r="M130">
            <v>959.92533556242643</v>
          </cell>
          <cell r="N130">
            <v>959.92533556242643</v>
          </cell>
          <cell r="O130">
            <v>959.92533556242643</v>
          </cell>
        </row>
        <row r="131">
          <cell r="B131" t="str">
            <v>WP</v>
          </cell>
          <cell r="D131">
            <v>1085.0679836342167</v>
          </cell>
          <cell r="E131">
            <v>1085.0679836342167</v>
          </cell>
          <cell r="F131">
            <v>1085.0679836342167</v>
          </cell>
          <cell r="G131">
            <v>1085.0679836342167</v>
          </cell>
          <cell r="H131">
            <v>1085.0679836342167</v>
          </cell>
          <cell r="I131">
            <v>1085.0679836342167</v>
          </cell>
          <cell r="J131">
            <v>1085.0679836342167</v>
          </cell>
          <cell r="K131">
            <v>1085.0679836342167</v>
          </cell>
          <cell r="L131">
            <v>1085.0679836342167</v>
          </cell>
          <cell r="M131">
            <v>1085.0679836342167</v>
          </cell>
          <cell r="N131">
            <v>1085.0679836342167</v>
          </cell>
          <cell r="O131">
            <v>1085.0679836342167</v>
          </cell>
        </row>
        <row r="133">
          <cell r="B133" t="str">
            <v>Premium flow - 2nd yr business (net)</v>
          </cell>
          <cell r="D133">
            <v>25069368.369479679</v>
          </cell>
          <cell r="E133">
            <v>24723015.137748051</v>
          </cell>
          <cell r="F133">
            <v>24381711.817990381</v>
          </cell>
          <cell r="G133">
            <v>24045583.552854735</v>
          </cell>
          <cell r="H133">
            <v>23713545.274357487</v>
          </cell>
          <cell r="I133">
            <v>23386682.050482258</v>
          </cell>
          <cell r="J133">
            <v>23063908.813245431</v>
          </cell>
          <cell r="K133">
            <v>22745225.562646993</v>
          </cell>
          <cell r="L133">
            <v>22431717.366670586</v>
          </cell>
          <cell r="M133">
            <v>22122299.157332569</v>
          </cell>
          <cell r="N133">
            <v>21816970.934632946</v>
          </cell>
          <cell r="O133">
            <v>21515732.698571719</v>
          </cell>
          <cell r="P133">
            <v>279015760.73601282</v>
          </cell>
        </row>
        <row r="136">
          <cell r="B136" t="str">
            <v>RENEWAL BUSINESS (3rd year)</v>
          </cell>
        </row>
        <row r="137">
          <cell r="D137" t="str">
            <v>Units</v>
          </cell>
          <cell r="E137" t="str">
            <v>Api</v>
          </cell>
        </row>
        <row r="138">
          <cell r="B138" t="str">
            <v>no. of cases at beginning of year</v>
          </cell>
          <cell r="D138">
            <v>14070</v>
          </cell>
          <cell r="E138">
            <v>14290983</v>
          </cell>
        </row>
        <row r="139">
          <cell r="B139" t="str">
            <v>Old Paic Series</v>
          </cell>
          <cell r="D139">
            <v>125</v>
          </cell>
          <cell r="E139">
            <v>135637</v>
          </cell>
        </row>
        <row r="140">
          <cell r="B140" t="str">
            <v>FFP</v>
          </cell>
          <cell r="D140">
            <v>1061</v>
          </cell>
          <cell r="E140">
            <v>949025</v>
          </cell>
        </row>
        <row r="141">
          <cell r="B141" t="str">
            <v>WP</v>
          </cell>
          <cell r="D141">
            <v>12884</v>
          </cell>
          <cell r="E141">
            <v>13206321</v>
          </cell>
        </row>
        <row r="143">
          <cell r="A143">
            <v>40010010</v>
          </cell>
          <cell r="B143" t="str">
            <v>Old Paic Series</v>
          </cell>
          <cell r="C143" t="str">
            <v>Lapses @ 5% pm</v>
          </cell>
          <cell r="D143">
            <v>-0.52083333333333337</v>
          </cell>
          <cell r="E143">
            <v>-0.52083333333333337</v>
          </cell>
          <cell r="F143">
            <v>-0.52083333333333337</v>
          </cell>
          <cell r="G143">
            <v>-0.52083333333333337</v>
          </cell>
          <cell r="H143">
            <v>-0.52083333333333337</v>
          </cell>
          <cell r="I143">
            <v>-0.52083333333333337</v>
          </cell>
          <cell r="J143">
            <v>-0.52083333333333337</v>
          </cell>
          <cell r="K143">
            <v>-0.52083333333333337</v>
          </cell>
          <cell r="L143">
            <v>-0.52083333333333337</v>
          </cell>
          <cell r="M143">
            <v>-0.52083333333333337</v>
          </cell>
          <cell r="N143">
            <v>-0.52083333333333337</v>
          </cell>
          <cell r="O143">
            <v>-0.52083333333333337</v>
          </cell>
          <cell r="P143">
            <v>-6.2499999999999991</v>
          </cell>
        </row>
        <row r="144">
          <cell r="A144">
            <v>400100201</v>
          </cell>
          <cell r="B144" t="str">
            <v>FFP</v>
          </cell>
          <cell r="C144" t="str">
            <v>Lapses @ 5% pm</v>
          </cell>
          <cell r="D144">
            <v>-9</v>
          </cell>
          <cell r="E144">
            <v>-9</v>
          </cell>
          <cell r="F144">
            <v>-9</v>
          </cell>
          <cell r="G144">
            <v>-9</v>
          </cell>
          <cell r="H144">
            <v>-9</v>
          </cell>
          <cell r="I144">
            <v>-8</v>
          </cell>
          <cell r="J144">
            <v>-8</v>
          </cell>
          <cell r="K144">
            <v>-8</v>
          </cell>
          <cell r="L144">
            <v>-8</v>
          </cell>
          <cell r="M144">
            <v>-8</v>
          </cell>
          <cell r="N144">
            <v>-8</v>
          </cell>
          <cell r="O144">
            <v>-8</v>
          </cell>
          <cell r="P144">
            <v>-101</v>
          </cell>
        </row>
        <row r="145">
          <cell r="A145">
            <v>400100301</v>
          </cell>
          <cell r="B145" t="str">
            <v>WP</v>
          </cell>
          <cell r="C145" t="str">
            <v>Lapses @ 5% pm</v>
          </cell>
          <cell r="D145">
            <v>-107</v>
          </cell>
          <cell r="E145">
            <v>-106</v>
          </cell>
          <cell r="F145">
            <v>-106</v>
          </cell>
          <cell r="G145">
            <v>-105</v>
          </cell>
          <cell r="H145">
            <v>-104</v>
          </cell>
          <cell r="I145">
            <v>-103</v>
          </cell>
          <cell r="J145">
            <v>-102</v>
          </cell>
          <cell r="K145">
            <v>-101</v>
          </cell>
          <cell r="L145">
            <v>-100</v>
          </cell>
          <cell r="M145">
            <v>-100</v>
          </cell>
          <cell r="N145">
            <v>-99</v>
          </cell>
          <cell r="O145">
            <v>-98</v>
          </cell>
          <cell r="P145">
            <v>-1231</v>
          </cell>
          <cell r="R145">
            <v>-1338.25</v>
          </cell>
        </row>
        <row r="146">
          <cell r="B146" t="str">
            <v>Total Exits</v>
          </cell>
          <cell r="D146">
            <v>-116.52083333333333</v>
          </cell>
          <cell r="E146">
            <v>-115.52083333333333</v>
          </cell>
          <cell r="F146">
            <v>-115.52083333333333</v>
          </cell>
          <cell r="G146">
            <v>-114.52083333333333</v>
          </cell>
          <cell r="H146">
            <v>-113.52083333333333</v>
          </cell>
          <cell r="I146">
            <v>-111.52083333333333</v>
          </cell>
          <cell r="J146">
            <v>-110.52083333333333</v>
          </cell>
          <cell r="K146">
            <v>-109.52083333333333</v>
          </cell>
          <cell r="L146">
            <v>-108.52083333333333</v>
          </cell>
          <cell r="M146">
            <v>-108.52083333333333</v>
          </cell>
          <cell r="N146">
            <v>-107.52083333333333</v>
          </cell>
          <cell r="O146">
            <v>-106.52083333333333</v>
          </cell>
          <cell r="P146">
            <v>-1338.25</v>
          </cell>
        </row>
        <row r="148">
          <cell r="B148" t="str">
            <v>Net no. of cases each month</v>
          </cell>
          <cell r="D148">
            <v>13953.479166666666</v>
          </cell>
          <cell r="E148">
            <v>13837.958333333332</v>
          </cell>
          <cell r="F148">
            <v>13722.437499999998</v>
          </cell>
          <cell r="G148">
            <v>13607.916666666664</v>
          </cell>
          <cell r="H148">
            <v>13494.39583333333</v>
          </cell>
          <cell r="I148">
            <v>13382.874999999996</v>
          </cell>
          <cell r="J148">
            <v>13272.354166666662</v>
          </cell>
          <cell r="K148">
            <v>13162.833333333328</v>
          </cell>
          <cell r="L148">
            <v>13054.312499999995</v>
          </cell>
          <cell r="M148">
            <v>12945.791666666661</v>
          </cell>
          <cell r="N148">
            <v>12838.270833333327</v>
          </cell>
          <cell r="O148">
            <v>12731.749999999993</v>
          </cell>
        </row>
        <row r="150">
          <cell r="B150" t="str">
            <v>Average PI for 3rd yr business</v>
          </cell>
          <cell r="D150">
            <v>1015.7059701492537</v>
          </cell>
          <cell r="E150">
            <v>1015.7059701492537</v>
          </cell>
          <cell r="F150">
            <v>1015.7059701492537</v>
          </cell>
          <cell r="G150">
            <v>1015.7059701492537</v>
          </cell>
          <cell r="H150">
            <v>1015.7059701492537</v>
          </cell>
          <cell r="I150">
            <v>1015.7059701492537</v>
          </cell>
          <cell r="J150">
            <v>1015.7059701492537</v>
          </cell>
          <cell r="K150">
            <v>1015.7059701492537</v>
          </cell>
          <cell r="L150">
            <v>1015.7059701492537</v>
          </cell>
          <cell r="M150">
            <v>1015.7059701492537</v>
          </cell>
          <cell r="N150">
            <v>1015.7059701492537</v>
          </cell>
          <cell r="O150">
            <v>1015.7059701492537</v>
          </cell>
        </row>
        <row r="153">
          <cell r="B153" t="str">
            <v>Premium flow - 3rd yr business (net)</v>
          </cell>
          <cell r="D153">
            <v>14172632.093936566</v>
          </cell>
          <cell r="E153">
            <v>14055296.893843282</v>
          </cell>
          <cell r="F153">
            <v>13937961.693749998</v>
          </cell>
          <cell r="G153">
            <v>13821642.199626863</v>
          </cell>
          <cell r="H153">
            <v>13706338.411473878</v>
          </cell>
          <cell r="I153">
            <v>13593066.035261191</v>
          </cell>
          <cell r="J153">
            <v>13480809.365018653</v>
          </cell>
          <cell r="K153">
            <v>13369568.400746264</v>
          </cell>
          <cell r="L153">
            <v>13259343.142444024</v>
          </cell>
          <cell r="M153">
            <v>13149117.884141784</v>
          </cell>
          <cell r="N153">
            <v>13039908.331809696</v>
          </cell>
          <cell r="O153">
            <v>12931714.485447753</v>
          </cell>
          <cell r="P153">
            <v>162517398.93749997</v>
          </cell>
          <cell r="Q153" t="str">
            <v>t</v>
          </cell>
        </row>
        <row r="155">
          <cell r="B155" t="str">
            <v>RENEWAL BUSINESS (3rd year+)</v>
          </cell>
        </row>
        <row r="156">
          <cell r="D156" t="str">
            <v>Units</v>
          </cell>
          <cell r="E156" t="str">
            <v>Api</v>
          </cell>
          <cell r="F156">
            <v>0.89500000000000002</v>
          </cell>
        </row>
        <row r="157">
          <cell r="B157" t="str">
            <v>no. of cases at beginning of year</v>
          </cell>
          <cell r="D157">
            <v>25068.95</v>
          </cell>
          <cell r="E157">
            <v>18286000.074999999</v>
          </cell>
          <cell r="P157">
            <v>25068.95</v>
          </cell>
        </row>
        <row r="158">
          <cell r="C158" t="str">
            <v>Paic Series</v>
          </cell>
          <cell r="D158">
            <v>21755.66</v>
          </cell>
          <cell r="E158">
            <v>16005597.355</v>
          </cell>
        </row>
        <row r="159">
          <cell r="C159" t="str">
            <v>FFP</v>
          </cell>
          <cell r="D159">
            <v>1479.4349999999999</v>
          </cell>
          <cell r="E159">
            <v>139202.035</v>
          </cell>
        </row>
        <row r="160">
          <cell r="C160" t="str">
            <v>WP</v>
          </cell>
          <cell r="D160">
            <v>1833.855</v>
          </cell>
          <cell r="E160">
            <v>2141200.6850000001</v>
          </cell>
        </row>
        <row r="162">
          <cell r="B162" t="str">
            <v>Lapses</v>
          </cell>
        </row>
        <row r="163">
          <cell r="A163">
            <v>40010010</v>
          </cell>
          <cell r="B163" t="str">
            <v>Paic Series</v>
          </cell>
          <cell r="C163">
            <v>0.1</v>
          </cell>
          <cell r="D163">
            <v>-181</v>
          </cell>
          <cell r="E163">
            <v>-181</v>
          </cell>
          <cell r="F163">
            <v>-181</v>
          </cell>
          <cell r="G163">
            <v>-181</v>
          </cell>
          <cell r="H163">
            <v>-181</v>
          </cell>
          <cell r="I163">
            <v>-181</v>
          </cell>
          <cell r="J163">
            <v>-181</v>
          </cell>
          <cell r="K163">
            <v>-181</v>
          </cell>
          <cell r="L163">
            <v>-181</v>
          </cell>
          <cell r="M163">
            <v>-181</v>
          </cell>
          <cell r="N163">
            <v>-181</v>
          </cell>
          <cell r="O163">
            <v>-181</v>
          </cell>
          <cell r="P163">
            <v>-2172</v>
          </cell>
        </row>
        <row r="164">
          <cell r="A164">
            <v>40010020</v>
          </cell>
          <cell r="B164" t="str">
            <v>FFP</v>
          </cell>
          <cell r="C164">
            <v>0.1</v>
          </cell>
          <cell r="D164">
            <v>-12</v>
          </cell>
          <cell r="E164">
            <v>-12</v>
          </cell>
          <cell r="F164">
            <v>-12</v>
          </cell>
          <cell r="G164">
            <v>-12</v>
          </cell>
          <cell r="H164">
            <v>-12</v>
          </cell>
          <cell r="I164">
            <v>-12</v>
          </cell>
          <cell r="J164">
            <v>-12</v>
          </cell>
          <cell r="K164">
            <v>-12</v>
          </cell>
          <cell r="L164">
            <v>-12</v>
          </cell>
          <cell r="M164">
            <v>-12</v>
          </cell>
          <cell r="N164">
            <v>-12</v>
          </cell>
          <cell r="O164">
            <v>-12</v>
          </cell>
          <cell r="P164">
            <v>-144</v>
          </cell>
        </row>
        <row r="165">
          <cell r="A165">
            <v>40010030</v>
          </cell>
          <cell r="B165" t="str">
            <v>WP</v>
          </cell>
          <cell r="C165">
            <v>0.1</v>
          </cell>
          <cell r="D165">
            <v>-15</v>
          </cell>
          <cell r="E165">
            <v>-15</v>
          </cell>
          <cell r="F165">
            <v>-15</v>
          </cell>
          <cell r="G165">
            <v>-15</v>
          </cell>
          <cell r="H165">
            <v>-15</v>
          </cell>
          <cell r="I165">
            <v>-15</v>
          </cell>
          <cell r="J165">
            <v>-15</v>
          </cell>
          <cell r="K165">
            <v>-15</v>
          </cell>
          <cell r="L165">
            <v>-15</v>
          </cell>
          <cell r="M165">
            <v>-15</v>
          </cell>
          <cell r="N165">
            <v>-15</v>
          </cell>
          <cell r="O165">
            <v>-15</v>
          </cell>
          <cell r="P165">
            <v>-180</v>
          </cell>
        </row>
        <row r="166">
          <cell r="B166" t="str">
            <v>Paid ups</v>
          </cell>
          <cell r="P166">
            <v>0</v>
          </cell>
        </row>
        <row r="167">
          <cell r="A167">
            <v>40060010</v>
          </cell>
          <cell r="B167" t="str">
            <v>Paic Series</v>
          </cell>
          <cell r="C167">
            <v>0.08</v>
          </cell>
          <cell r="D167">
            <v>-145</v>
          </cell>
          <cell r="E167">
            <v>-145</v>
          </cell>
          <cell r="F167">
            <v>-145</v>
          </cell>
          <cell r="G167">
            <v>-145</v>
          </cell>
          <cell r="H167">
            <v>-145</v>
          </cell>
          <cell r="I167">
            <v>-145</v>
          </cell>
          <cell r="J167">
            <v>-145</v>
          </cell>
          <cell r="K167">
            <v>-145</v>
          </cell>
          <cell r="L167">
            <v>-145</v>
          </cell>
          <cell r="M167">
            <v>-145</v>
          </cell>
          <cell r="N167">
            <v>-145</v>
          </cell>
          <cell r="O167">
            <v>-145</v>
          </cell>
          <cell r="P167">
            <v>-1740</v>
          </cell>
        </row>
        <row r="168">
          <cell r="A168">
            <v>40060020</v>
          </cell>
          <cell r="B168" t="str">
            <v>FFP</v>
          </cell>
          <cell r="C168">
            <v>0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</row>
        <row r="169">
          <cell r="A169">
            <v>40060030</v>
          </cell>
          <cell r="B169" t="str">
            <v>WP</v>
          </cell>
          <cell r="C169">
            <v>0.08</v>
          </cell>
          <cell r="D169">
            <v>-12</v>
          </cell>
          <cell r="E169">
            <v>-12</v>
          </cell>
          <cell r="F169">
            <v>-12</v>
          </cell>
          <cell r="G169">
            <v>-12</v>
          </cell>
          <cell r="H169">
            <v>-12</v>
          </cell>
          <cell r="I169">
            <v>-12</v>
          </cell>
          <cell r="J169">
            <v>-12</v>
          </cell>
          <cell r="K169">
            <v>-12</v>
          </cell>
          <cell r="L169">
            <v>-12</v>
          </cell>
          <cell r="M169">
            <v>-12</v>
          </cell>
          <cell r="N169">
            <v>-12</v>
          </cell>
          <cell r="O169">
            <v>-12</v>
          </cell>
          <cell r="P169">
            <v>-144</v>
          </cell>
        </row>
        <row r="170">
          <cell r="B170" t="str">
            <v xml:space="preserve">Surrenders </v>
          </cell>
          <cell r="P170">
            <v>0</v>
          </cell>
        </row>
        <row r="171">
          <cell r="A171">
            <v>40040010</v>
          </cell>
          <cell r="B171" t="str">
            <v>Paic Series</v>
          </cell>
          <cell r="C171">
            <v>0.05</v>
          </cell>
          <cell r="D171">
            <v>-91</v>
          </cell>
          <cell r="E171">
            <v>-91</v>
          </cell>
          <cell r="F171">
            <v>-91</v>
          </cell>
          <cell r="G171">
            <v>-91</v>
          </cell>
          <cell r="H171">
            <v>-91</v>
          </cell>
          <cell r="I171">
            <v>-91</v>
          </cell>
          <cell r="J171">
            <v>-91</v>
          </cell>
          <cell r="K171">
            <v>-91</v>
          </cell>
          <cell r="L171">
            <v>-91</v>
          </cell>
          <cell r="M171">
            <v>-91</v>
          </cell>
          <cell r="N171">
            <v>-91</v>
          </cell>
          <cell r="O171">
            <v>-91</v>
          </cell>
          <cell r="P171">
            <v>-1092</v>
          </cell>
        </row>
        <row r="172">
          <cell r="A172">
            <v>40040020</v>
          </cell>
          <cell r="B172" t="str">
            <v>FFP</v>
          </cell>
          <cell r="C172">
            <v>0.05</v>
          </cell>
          <cell r="D172">
            <v>-6</v>
          </cell>
          <cell r="E172">
            <v>-6</v>
          </cell>
          <cell r="F172">
            <v>-6</v>
          </cell>
          <cell r="G172">
            <v>-6</v>
          </cell>
          <cell r="H172">
            <v>-6</v>
          </cell>
          <cell r="I172">
            <v>-6</v>
          </cell>
          <cell r="J172">
            <v>-6</v>
          </cell>
          <cell r="K172">
            <v>-6</v>
          </cell>
          <cell r="L172">
            <v>-6</v>
          </cell>
          <cell r="M172">
            <v>-6</v>
          </cell>
          <cell r="N172">
            <v>-6</v>
          </cell>
          <cell r="O172">
            <v>-6</v>
          </cell>
          <cell r="P172">
            <v>-72</v>
          </cell>
        </row>
        <row r="173">
          <cell r="A173">
            <v>40040030</v>
          </cell>
          <cell r="B173" t="str">
            <v>WP</v>
          </cell>
          <cell r="C173">
            <v>0.05</v>
          </cell>
          <cell r="D173">
            <v>-8</v>
          </cell>
          <cell r="E173">
            <v>-8</v>
          </cell>
          <cell r="F173">
            <v>-8</v>
          </cell>
          <cell r="G173">
            <v>-8</v>
          </cell>
          <cell r="H173">
            <v>-8</v>
          </cell>
          <cell r="I173">
            <v>-8</v>
          </cell>
          <cell r="J173">
            <v>-8</v>
          </cell>
          <cell r="K173">
            <v>-8</v>
          </cell>
          <cell r="L173">
            <v>-8</v>
          </cell>
          <cell r="M173">
            <v>-8</v>
          </cell>
          <cell r="N173">
            <v>-8</v>
          </cell>
          <cell r="O173">
            <v>-8</v>
          </cell>
          <cell r="P173">
            <v>-96</v>
          </cell>
        </row>
        <row r="174">
          <cell r="B174" t="str">
            <v>Death</v>
          </cell>
          <cell r="P174">
            <v>0</v>
          </cell>
        </row>
        <row r="175">
          <cell r="A175">
            <v>40020010</v>
          </cell>
          <cell r="B175" t="str">
            <v>Paic Series</v>
          </cell>
          <cell r="C175">
            <v>0.01</v>
          </cell>
          <cell r="D175">
            <v>-18</v>
          </cell>
          <cell r="E175">
            <v>-18</v>
          </cell>
          <cell r="F175">
            <v>-18</v>
          </cell>
          <cell r="G175">
            <v>-18</v>
          </cell>
          <cell r="H175">
            <v>-18</v>
          </cell>
          <cell r="I175">
            <v>-18</v>
          </cell>
          <cell r="J175">
            <v>-18</v>
          </cell>
          <cell r="K175">
            <v>-18</v>
          </cell>
          <cell r="L175">
            <v>-18</v>
          </cell>
          <cell r="M175">
            <v>-18</v>
          </cell>
          <cell r="N175">
            <v>-18</v>
          </cell>
          <cell r="O175">
            <v>-18</v>
          </cell>
          <cell r="P175">
            <v>-216</v>
          </cell>
        </row>
        <row r="176">
          <cell r="A176">
            <v>40020020</v>
          </cell>
          <cell r="B176" t="str">
            <v>FFP</v>
          </cell>
          <cell r="C176">
            <v>0.01</v>
          </cell>
          <cell r="D176">
            <v>-1</v>
          </cell>
          <cell r="E176">
            <v>-1</v>
          </cell>
          <cell r="F176">
            <v>-1</v>
          </cell>
          <cell r="G176">
            <v>-1</v>
          </cell>
          <cell r="H176">
            <v>-1</v>
          </cell>
          <cell r="I176">
            <v>-1</v>
          </cell>
          <cell r="J176">
            <v>-1</v>
          </cell>
          <cell r="K176">
            <v>-1</v>
          </cell>
          <cell r="L176">
            <v>-1</v>
          </cell>
          <cell r="M176">
            <v>-1</v>
          </cell>
          <cell r="N176">
            <v>-1</v>
          </cell>
          <cell r="O176">
            <v>-1</v>
          </cell>
          <cell r="P176">
            <v>-12</v>
          </cell>
        </row>
        <row r="177">
          <cell r="A177">
            <v>40020030</v>
          </cell>
          <cell r="B177" t="str">
            <v>WP</v>
          </cell>
          <cell r="C177">
            <v>0.01</v>
          </cell>
          <cell r="D177">
            <v>-2</v>
          </cell>
          <cell r="E177">
            <v>-2</v>
          </cell>
          <cell r="F177">
            <v>-2</v>
          </cell>
          <cell r="G177">
            <v>-2</v>
          </cell>
          <cell r="H177">
            <v>-2</v>
          </cell>
          <cell r="I177">
            <v>-2</v>
          </cell>
          <cell r="J177">
            <v>-2</v>
          </cell>
          <cell r="K177">
            <v>-2</v>
          </cell>
          <cell r="L177">
            <v>-2</v>
          </cell>
          <cell r="M177">
            <v>-2</v>
          </cell>
          <cell r="N177">
            <v>-2</v>
          </cell>
          <cell r="O177">
            <v>-2</v>
          </cell>
          <cell r="P177">
            <v>-24</v>
          </cell>
        </row>
        <row r="178">
          <cell r="P178">
            <v>0</v>
          </cell>
        </row>
        <row r="179">
          <cell r="B179" t="str">
            <v>Maturities</v>
          </cell>
          <cell r="P179">
            <v>0</v>
          </cell>
        </row>
        <row r="180">
          <cell r="A180">
            <v>40040010</v>
          </cell>
          <cell r="B180" t="str">
            <v>Paic Series</v>
          </cell>
          <cell r="C180">
            <v>0.05</v>
          </cell>
          <cell r="D180">
            <v>-91</v>
          </cell>
          <cell r="E180">
            <v>-91</v>
          </cell>
          <cell r="F180">
            <v>-91</v>
          </cell>
          <cell r="G180">
            <v>-91</v>
          </cell>
          <cell r="H180">
            <v>-91</v>
          </cell>
          <cell r="I180">
            <v>-91</v>
          </cell>
          <cell r="J180">
            <v>-91</v>
          </cell>
          <cell r="K180">
            <v>-91</v>
          </cell>
          <cell r="L180">
            <v>-91</v>
          </cell>
          <cell r="M180">
            <v>-91</v>
          </cell>
          <cell r="N180">
            <v>-91</v>
          </cell>
          <cell r="O180">
            <v>-91</v>
          </cell>
          <cell r="P180">
            <v>-1092</v>
          </cell>
          <cell r="R180">
            <v>-6984</v>
          </cell>
        </row>
        <row r="181">
          <cell r="A181">
            <v>40040020</v>
          </cell>
          <cell r="B181" t="str">
            <v>FFP</v>
          </cell>
          <cell r="C181">
            <v>0</v>
          </cell>
          <cell r="D181">
            <v>0</v>
          </cell>
          <cell r="E181">
            <v>0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R181">
            <v>-12097.25</v>
          </cell>
        </row>
        <row r="182">
          <cell r="A182">
            <v>40040030</v>
          </cell>
          <cell r="B182" t="str">
            <v>WP</v>
          </cell>
          <cell r="C182">
            <v>0</v>
          </cell>
          <cell r="D182">
            <v>0</v>
          </cell>
          <cell r="E182">
            <v>0</v>
          </cell>
          <cell r="F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</row>
        <row r="184">
          <cell r="Q184">
            <v>0</v>
          </cell>
        </row>
        <row r="185">
          <cell r="B185" t="str">
            <v>Net no. of cases each month</v>
          </cell>
          <cell r="D185">
            <v>24486.95</v>
          </cell>
          <cell r="E185">
            <v>23904.95</v>
          </cell>
          <cell r="F185">
            <v>23322.95</v>
          </cell>
          <cell r="G185">
            <v>22740.95</v>
          </cell>
          <cell r="H185">
            <v>22158.95</v>
          </cell>
          <cell r="I185">
            <v>21576.95</v>
          </cell>
          <cell r="J185">
            <v>20994.95</v>
          </cell>
          <cell r="K185">
            <v>20412.95</v>
          </cell>
          <cell r="L185">
            <v>19830.95</v>
          </cell>
          <cell r="M185">
            <v>19248.95</v>
          </cell>
          <cell r="N185">
            <v>18666.95</v>
          </cell>
          <cell r="O185">
            <v>18084.95</v>
          </cell>
        </row>
        <row r="186">
          <cell r="B186" t="str">
            <v>Paic Series</v>
          </cell>
          <cell r="D186">
            <v>21229.66</v>
          </cell>
          <cell r="E186">
            <v>20703.66</v>
          </cell>
          <cell r="F186">
            <v>20177.66</v>
          </cell>
          <cell r="G186">
            <v>19651.66</v>
          </cell>
          <cell r="H186">
            <v>19125.66</v>
          </cell>
          <cell r="I186">
            <v>18599.66</v>
          </cell>
          <cell r="J186">
            <v>18073.66</v>
          </cell>
          <cell r="K186">
            <v>17547.66</v>
          </cell>
          <cell r="L186">
            <v>17021.66</v>
          </cell>
          <cell r="M186">
            <v>16495.66</v>
          </cell>
          <cell r="N186">
            <v>15969.66</v>
          </cell>
          <cell r="O186">
            <v>15443.66</v>
          </cell>
        </row>
        <row r="187">
          <cell r="B187" t="str">
            <v>FFP</v>
          </cell>
          <cell r="D187">
            <v>1460.4349999999999</v>
          </cell>
          <cell r="E187">
            <v>1441.4349999999999</v>
          </cell>
          <cell r="F187">
            <v>1422.4349999999999</v>
          </cell>
          <cell r="G187">
            <v>1403.4349999999999</v>
          </cell>
          <cell r="H187">
            <v>1384.4349999999999</v>
          </cell>
          <cell r="I187">
            <v>1365.4349999999999</v>
          </cell>
          <cell r="J187">
            <v>1346.4349999999999</v>
          </cell>
          <cell r="K187">
            <v>1327.4349999999999</v>
          </cell>
          <cell r="L187">
            <v>1308.4349999999999</v>
          </cell>
          <cell r="M187">
            <v>1289.4349999999999</v>
          </cell>
          <cell r="N187">
            <v>1270.4349999999999</v>
          </cell>
          <cell r="O187">
            <v>1251.4349999999999</v>
          </cell>
        </row>
        <row r="188">
          <cell r="B188" t="str">
            <v>WP</v>
          </cell>
          <cell r="D188">
            <v>1796.855</v>
          </cell>
          <cell r="E188">
            <v>1759.855</v>
          </cell>
          <cell r="F188">
            <v>1722.855</v>
          </cell>
          <cell r="G188">
            <v>1685.855</v>
          </cell>
          <cell r="H188">
            <v>1648.855</v>
          </cell>
          <cell r="I188">
            <v>1611.855</v>
          </cell>
          <cell r="J188">
            <v>1574.855</v>
          </cell>
          <cell r="K188">
            <v>1537.855</v>
          </cell>
          <cell r="L188">
            <v>1500.855</v>
          </cell>
          <cell r="M188">
            <v>1463.855</v>
          </cell>
          <cell r="N188">
            <v>1426.855</v>
          </cell>
          <cell r="O188">
            <v>1389.855</v>
          </cell>
        </row>
        <row r="190">
          <cell r="B190" t="str">
            <v>Average PI for 3rd yr business</v>
          </cell>
          <cell r="D190">
            <v>729.42823991431624</v>
          </cell>
          <cell r="E190">
            <v>729.42823991431624</v>
          </cell>
          <cell r="F190">
            <v>729.42823991431624</v>
          </cell>
          <cell r="G190">
            <v>729.42823991431624</v>
          </cell>
          <cell r="H190">
            <v>729.42823991431624</v>
          </cell>
          <cell r="I190">
            <v>729.42823991431624</v>
          </cell>
          <cell r="J190">
            <v>729.42823991431624</v>
          </cell>
          <cell r="K190">
            <v>729.42823991431624</v>
          </cell>
          <cell r="L190">
            <v>729.42823991431624</v>
          </cell>
          <cell r="M190">
            <v>729.42823991431624</v>
          </cell>
          <cell r="N190">
            <v>729.42823991431624</v>
          </cell>
          <cell r="O190">
            <v>729.42823991431624</v>
          </cell>
        </row>
        <row r="191">
          <cell r="B191" t="str">
            <v>Paic Series</v>
          </cell>
          <cell r="D191">
            <v>735.69808293565904</v>
          </cell>
          <cell r="E191">
            <v>735.69808293565904</v>
          </cell>
          <cell r="F191">
            <v>735.69808293565904</v>
          </cell>
          <cell r="G191">
            <v>735.69808293565904</v>
          </cell>
          <cell r="H191">
            <v>735.69808293565904</v>
          </cell>
          <cell r="I191">
            <v>735.69808293565904</v>
          </cell>
          <cell r="J191">
            <v>735.69808293565904</v>
          </cell>
          <cell r="K191">
            <v>735.69808293565904</v>
          </cell>
          <cell r="L191">
            <v>735.69808293565904</v>
          </cell>
          <cell r="M191">
            <v>735.69808293565904</v>
          </cell>
          <cell r="N191">
            <v>735.69808293565904</v>
          </cell>
          <cell r="O191">
            <v>735.69808293565904</v>
          </cell>
        </row>
        <row r="192">
          <cell r="B192" t="str">
            <v>FFP</v>
          </cell>
          <cell r="D192">
            <v>94.091349062310954</v>
          </cell>
          <cell r="E192">
            <v>94.091349062310954</v>
          </cell>
          <cell r="F192">
            <v>94.091349062310954</v>
          </cell>
          <cell r="G192">
            <v>94.091349062310954</v>
          </cell>
          <cell r="H192">
            <v>94.091349062310954</v>
          </cell>
          <cell r="I192">
            <v>94.091349062310954</v>
          </cell>
          <cell r="J192">
            <v>94.091349062310954</v>
          </cell>
          <cell r="K192">
            <v>94.091349062310954</v>
          </cell>
          <cell r="L192">
            <v>94.091349062310954</v>
          </cell>
          <cell r="M192">
            <v>94.091349062310954</v>
          </cell>
          <cell r="N192">
            <v>94.091349062310954</v>
          </cell>
          <cell r="O192">
            <v>94.091349062310954</v>
          </cell>
        </row>
        <row r="193">
          <cell r="B193" t="str">
            <v>WP</v>
          </cell>
          <cell r="D193">
            <v>1167.5954123962908</v>
          </cell>
          <cell r="E193">
            <v>1167.5954123962908</v>
          </cell>
          <cell r="F193">
            <v>1167.5954123962908</v>
          </cell>
          <cell r="G193">
            <v>1167.5954123962908</v>
          </cell>
          <cell r="H193">
            <v>1167.5954123962908</v>
          </cell>
          <cell r="I193">
            <v>1167.5954123962908</v>
          </cell>
          <cell r="J193">
            <v>1167.5954123962908</v>
          </cell>
          <cell r="K193">
            <v>1167.5954123962908</v>
          </cell>
          <cell r="L193">
            <v>1167.5954123962908</v>
          </cell>
          <cell r="M193">
            <v>1167.5954123962908</v>
          </cell>
          <cell r="N193">
            <v>1167.5954123962908</v>
          </cell>
          <cell r="O193">
            <v>1167.5954123962908</v>
          </cell>
        </row>
        <row r="195">
          <cell r="B195" t="str">
            <v>Premium flow - 3rd yr+ business (net)</v>
          </cell>
          <cell r="D195">
            <v>17854034.117484994</v>
          </cell>
          <cell r="E195">
            <v>17436945.603739735</v>
          </cell>
          <cell r="F195">
            <v>17012418.368109602</v>
          </cell>
          <cell r="G195">
            <v>16587891.13247947</v>
          </cell>
          <cell r="H195">
            <v>16163363.896849338</v>
          </cell>
          <cell r="I195">
            <v>15738836.661219206</v>
          </cell>
          <cell r="J195">
            <v>15314309.425589073</v>
          </cell>
          <cell r="K195">
            <v>14889782.189958943</v>
          </cell>
          <cell r="L195">
            <v>14465254.954328811</v>
          </cell>
          <cell r="M195">
            <v>14040727.718698679</v>
          </cell>
          <cell r="N195">
            <v>13616200.483068546</v>
          </cell>
          <cell r="O195">
            <v>13191673.247438414</v>
          </cell>
          <cell r="P195">
            <v>186311437.7989648</v>
          </cell>
        </row>
        <row r="198">
          <cell r="A198">
            <v>80030010</v>
          </cell>
          <cell r="B198" t="str">
            <v>TOTAL RENEWAL PREMIUM FLOW</v>
          </cell>
          <cell r="D198">
            <v>57096034.580901235</v>
          </cell>
          <cell r="E198">
            <v>56215257.635331064</v>
          </cell>
          <cell r="F198">
            <v>55332091.879849985</v>
          </cell>
          <cell r="G198">
            <v>54455116.884961069</v>
          </cell>
          <cell r="H198">
            <v>53583247.582680702</v>
          </cell>
          <cell r="I198">
            <v>52718584.746962652</v>
          </cell>
          <cell r="J198">
            <v>51859027.603853159</v>
          </cell>
          <cell r="K198">
            <v>51004576.153352201</v>
          </cell>
          <cell r="L198">
            <v>50156315.463443421</v>
          </cell>
          <cell r="M198">
            <v>49312144.76017303</v>
          </cell>
          <cell r="N198">
            <v>48473079.749511182</v>
          </cell>
          <cell r="O198">
            <v>47639120.431457885</v>
          </cell>
          <cell r="P198">
            <v>627844597.47247756</v>
          </cell>
          <cell r="Q198">
            <v>0</v>
          </cell>
        </row>
        <row r="199">
          <cell r="Q199">
            <v>627844597.47247756</v>
          </cell>
        </row>
        <row r="201">
          <cell r="B201" t="str">
            <v>Total new and Renewal premium flow</v>
          </cell>
          <cell r="D201">
            <v>60265148.1850679</v>
          </cell>
          <cell r="E201">
            <v>60819974.943664402</v>
          </cell>
          <cell r="F201">
            <v>62426022.228599988</v>
          </cell>
          <cell r="G201">
            <v>64549229.558711067</v>
          </cell>
          <cell r="H201">
            <v>67038664.531430706</v>
          </cell>
          <cell r="I201">
            <v>69114701.433212653</v>
          </cell>
          <cell r="J201">
            <v>71491692.815103158</v>
          </cell>
          <cell r="K201">
            <v>75098690.314602196</v>
          </cell>
          <cell r="L201">
            <v>77526313.687193424</v>
          </cell>
          <cell r="M201">
            <v>79438806.246423036</v>
          </cell>
          <cell r="N201">
            <v>82692297.098261178</v>
          </cell>
          <cell r="O201">
            <v>84759538.180207878</v>
          </cell>
          <cell r="P201">
            <v>855221079.22247756</v>
          </cell>
        </row>
        <row r="202">
          <cell r="P202">
            <v>0</v>
          </cell>
        </row>
        <row r="203">
          <cell r="A203" t="str">
            <v>135-30-010</v>
          </cell>
          <cell r="B203" t="str">
            <v>New business Commission-FFP</v>
          </cell>
          <cell r="D203">
            <v>356525.28046875005</v>
          </cell>
          <cell r="E203">
            <v>518030.69718750002</v>
          </cell>
          <cell r="F203">
            <v>798067.16423437512</v>
          </cell>
          <cell r="G203">
            <v>1135587.675796875</v>
          </cell>
          <cell r="H203">
            <v>1513734.4067343751</v>
          </cell>
          <cell r="I203">
            <v>1844563.1272031253</v>
          </cell>
          <cell r="J203">
            <v>2208674.836265625</v>
          </cell>
          <cell r="K203">
            <v>2710587.8431406249</v>
          </cell>
          <cell r="L203">
            <v>3079124.8001718749</v>
          </cell>
          <cell r="M203">
            <v>3389249.4172031251</v>
          </cell>
          <cell r="N203">
            <v>3849661.9517343747</v>
          </cell>
          <cell r="O203">
            <v>4176046.9967343751</v>
          </cell>
          <cell r="P203">
            <v>25579854.196874999</v>
          </cell>
        </row>
        <row r="204">
          <cell r="A204" t="str">
            <v>135-30-010</v>
          </cell>
          <cell r="B204" t="str">
            <v>New business Commission-WP</v>
          </cell>
          <cell r="D204">
            <v>903197.37718750001</v>
          </cell>
          <cell r="E204">
            <v>1312344.4328750002</v>
          </cell>
          <cell r="F204">
            <v>2021770.1493937501</v>
          </cell>
          <cell r="G204">
            <v>2876822.11201875</v>
          </cell>
          <cell r="H204">
            <v>3834793.8303937498</v>
          </cell>
          <cell r="I204">
            <v>4672893.2555812504</v>
          </cell>
          <cell r="J204">
            <v>5595309.5852062497</v>
          </cell>
          <cell r="K204">
            <v>6866822.5359562505</v>
          </cell>
          <cell r="L204">
            <v>7800449.4937687498</v>
          </cell>
          <cell r="M204">
            <v>8586098.5235812496</v>
          </cell>
          <cell r="N204">
            <v>9752476.9443937484</v>
          </cell>
          <cell r="O204">
            <v>10579319.05839375</v>
          </cell>
          <cell r="P204">
            <v>64802297.298749998</v>
          </cell>
        </row>
        <row r="205">
          <cell r="P205">
            <v>0</v>
          </cell>
        </row>
        <row r="206">
          <cell r="A206" t="str">
            <v>135-30-020</v>
          </cell>
          <cell r="B206" t="str">
            <v>2nd Year Renewal</v>
          </cell>
          <cell r="D206">
            <v>5013873.6738959355</v>
          </cell>
          <cell r="E206">
            <v>4944603.0275496105</v>
          </cell>
          <cell r="F206">
            <v>4876342.3635980766</v>
          </cell>
          <cell r="G206">
            <v>4809116.7105709473</v>
          </cell>
          <cell r="H206">
            <v>4742709.0548714977</v>
          </cell>
          <cell r="I206">
            <v>4677336.4100964516</v>
          </cell>
          <cell r="J206">
            <v>4612781.7626490863</v>
          </cell>
          <cell r="K206">
            <v>4549045.1125293989</v>
          </cell>
          <cell r="L206">
            <v>4486343.4733341178</v>
          </cell>
          <cell r="M206">
            <v>4424459.8314665137</v>
          </cell>
          <cell r="N206">
            <v>4363394.1869265893</v>
          </cell>
          <cell r="O206">
            <v>4303146.5397143438</v>
          </cell>
          <cell r="P206">
            <v>55803152.147202566</v>
          </cell>
        </row>
        <row r="207">
          <cell r="A207" t="str">
            <v>135-30-020</v>
          </cell>
          <cell r="B207" t="str">
            <v>3rd Year renewal</v>
          </cell>
          <cell r="D207">
            <v>708631.60469682841</v>
          </cell>
          <cell r="E207">
            <v>702764.8446921641</v>
          </cell>
          <cell r="F207">
            <v>696898.08468749991</v>
          </cell>
          <cell r="G207">
            <v>691082.10998134315</v>
          </cell>
          <cell r="H207">
            <v>685316.92057369393</v>
          </cell>
          <cell r="I207">
            <v>679653.30176305957</v>
          </cell>
          <cell r="J207">
            <v>674040.46825093264</v>
          </cell>
          <cell r="K207">
            <v>668478.42003731325</v>
          </cell>
          <cell r="L207">
            <v>662967.15712220129</v>
          </cell>
          <cell r="M207">
            <v>657455.89420708921</v>
          </cell>
          <cell r="N207">
            <v>651995.41659048479</v>
          </cell>
          <cell r="O207">
            <v>646585.72427238768</v>
          </cell>
          <cell r="P207">
            <v>8125869.9468749976</v>
          </cell>
        </row>
        <row r="208">
          <cell r="A208" t="str">
            <v>135-30-020</v>
          </cell>
          <cell r="B208" t="str">
            <v>3rd Year+  renewal</v>
          </cell>
          <cell r="D208">
            <v>892701.7058742498</v>
          </cell>
          <cell r="E208">
            <v>871847.28018698678</v>
          </cell>
          <cell r="F208">
            <v>850620.91840548022</v>
          </cell>
          <cell r="G208">
            <v>829394.55662397353</v>
          </cell>
          <cell r="H208">
            <v>808168.19484246697</v>
          </cell>
          <cell r="I208">
            <v>786941.83306096029</v>
          </cell>
          <cell r="J208">
            <v>765715.47127945372</v>
          </cell>
          <cell r="K208">
            <v>744489.10949794715</v>
          </cell>
          <cell r="L208">
            <v>723262.74771644059</v>
          </cell>
          <cell r="M208">
            <v>702036.38593493402</v>
          </cell>
          <cell r="N208">
            <v>680810.02415342734</v>
          </cell>
          <cell r="O208">
            <v>659583.66237192077</v>
          </cell>
          <cell r="P208">
            <v>9315571.8899482395</v>
          </cell>
        </row>
        <row r="209">
          <cell r="B209" t="str">
            <v>Total Commission OutGO</v>
          </cell>
          <cell r="D209">
            <v>7874929.6421232633</v>
          </cell>
          <cell r="E209">
            <v>8349590.2824912611</v>
          </cell>
          <cell r="F209">
            <v>9243698.6803191826</v>
          </cell>
          <cell r="G209">
            <v>10342003.164991889</v>
          </cell>
          <cell r="H209">
            <v>11584722.407415785</v>
          </cell>
          <cell r="I209">
            <v>12661387.927704848</v>
          </cell>
          <cell r="J209">
            <v>13856522.123651346</v>
          </cell>
          <cell r="K209">
            <v>15539423.021161534</v>
          </cell>
          <cell r="L209">
            <v>16752147.672113383</v>
          </cell>
          <cell r="M209">
            <v>17759300.052392911</v>
          </cell>
          <cell r="N209">
            <v>19298338.523798626</v>
          </cell>
          <cell r="O209">
            <v>20364681.981486782</v>
          </cell>
          <cell r="P209">
            <v>163626745.47965083</v>
          </cell>
        </row>
        <row r="211">
          <cell r="B211" t="str">
            <v>Override</v>
          </cell>
        </row>
        <row r="212">
          <cell r="A212" t="str">
            <v>135-10-030</v>
          </cell>
          <cell r="B212" t="str">
            <v>Unit Manager</v>
          </cell>
          <cell r="D212">
            <v>1181239.4463184895</v>
          </cell>
          <cell r="E212">
            <v>1252438.5423736891</v>
          </cell>
          <cell r="F212">
            <v>1386554.8020478773</v>
          </cell>
          <cell r="G212">
            <v>1551300.4747487833</v>
          </cell>
          <cell r="H212">
            <v>1737708.3611123676</v>
          </cell>
          <cell r="I212">
            <v>1899208.1891557272</v>
          </cell>
          <cell r="J212">
            <v>2078478.3185477019</v>
          </cell>
          <cell r="K212">
            <v>2330913.4531742302</v>
          </cell>
          <cell r="L212">
            <v>2512822.1508170073</v>
          </cell>
          <cell r="M212">
            <v>2663895.0078589367</v>
          </cell>
          <cell r="N212">
            <v>2894750.7785697938</v>
          </cell>
          <cell r="O212">
            <v>3054702.2972230171</v>
          </cell>
          <cell r="P212">
            <v>24544011.821947619</v>
          </cell>
        </row>
        <row r="213">
          <cell r="A213" t="str">
            <v>135-10-030</v>
          </cell>
          <cell r="B213" t="str">
            <v>Sales Manager</v>
          </cell>
          <cell r="D213">
            <v>787492.96421232633</v>
          </cell>
          <cell r="E213">
            <v>834959.02824912616</v>
          </cell>
          <cell r="F213">
            <v>924369.8680319183</v>
          </cell>
          <cell r="G213">
            <v>1034200.316499189</v>
          </cell>
          <cell r="H213">
            <v>1158472.2407415786</v>
          </cell>
          <cell r="I213">
            <v>1266138.7927704849</v>
          </cell>
          <cell r="J213">
            <v>1385652.2123651346</v>
          </cell>
          <cell r="K213">
            <v>1553942.3021161535</v>
          </cell>
          <cell r="L213">
            <v>1675214.7672113385</v>
          </cell>
          <cell r="M213">
            <v>1775930.0052392911</v>
          </cell>
          <cell r="N213">
            <v>1929833.8523798627</v>
          </cell>
          <cell r="O213">
            <v>2036468.1981486783</v>
          </cell>
          <cell r="P213">
            <v>16362674.547965081</v>
          </cell>
        </row>
        <row r="214">
          <cell r="A214" t="str">
            <v>135-38-050</v>
          </cell>
          <cell r="B214" t="str">
            <v>Zone Manager</v>
          </cell>
          <cell r="D214">
            <v>313870.57144517789</v>
          </cell>
          <cell r="E214">
            <v>355541.67247393477</v>
          </cell>
          <cell r="F214">
            <v>430106.12129845936</v>
          </cell>
          <cell r="G214">
            <v>520648.10017922858</v>
          </cell>
          <cell r="H214">
            <v>622485.31933534902</v>
          </cell>
          <cell r="I214">
            <v>711236.61582091544</v>
          </cell>
          <cell r="J214">
            <v>809246.62991183298</v>
          </cell>
          <cell r="K214">
            <v>945501.77269810147</v>
          </cell>
          <cell r="L214">
            <v>1044802.5793716146</v>
          </cell>
          <cell r="M214">
            <v>1127930.2819982774</v>
          </cell>
          <cell r="N214">
            <v>1252766.0691802911</v>
          </cell>
          <cell r="O214">
            <v>1340459.8013676566</v>
          </cell>
          <cell r="P214">
            <v>9474595.5350808389</v>
          </cell>
        </row>
        <row r="216">
          <cell r="A216" t="str">
            <v>160-10-010</v>
          </cell>
          <cell r="B216" t="str">
            <v>Premium Collection Charges</v>
          </cell>
          <cell r="D216">
            <v>1928484.7419221727</v>
          </cell>
          <cell r="E216">
            <v>1946239.198197261</v>
          </cell>
          <cell r="F216">
            <v>1997632.7113151997</v>
          </cell>
          <cell r="G216">
            <v>2065575.3458787543</v>
          </cell>
          <cell r="H216">
            <v>2145237.2650057827</v>
          </cell>
          <cell r="I216">
            <v>2211670.445862805</v>
          </cell>
          <cell r="J216">
            <v>2287734.1700833011</v>
          </cell>
          <cell r="K216">
            <v>2403158.0900672702</v>
          </cell>
          <cell r="L216">
            <v>2480842.0379901896</v>
          </cell>
          <cell r="M216">
            <v>2542041.799885537</v>
          </cell>
          <cell r="N216">
            <v>2646153.5071443575</v>
          </cell>
          <cell r="O216">
            <v>2712305.2217666521</v>
          </cell>
          <cell r="P216">
            <v>27367074.535119284</v>
          </cell>
        </row>
        <row r="217">
          <cell r="A217" t="str">
            <v>165-10-020</v>
          </cell>
          <cell r="B217" t="str">
            <v>Revenue stamps</v>
          </cell>
          <cell r="D217">
            <v>266000</v>
          </cell>
          <cell r="E217">
            <v>266000</v>
          </cell>
          <cell r="F217">
            <v>266000</v>
          </cell>
          <cell r="G217">
            <v>266000</v>
          </cell>
          <cell r="H217">
            <v>266000</v>
          </cell>
          <cell r="I217">
            <v>266000</v>
          </cell>
          <cell r="J217">
            <v>266000</v>
          </cell>
          <cell r="K217">
            <v>266000</v>
          </cell>
          <cell r="L217">
            <v>266000</v>
          </cell>
          <cell r="M217">
            <v>266000</v>
          </cell>
          <cell r="N217">
            <v>266000</v>
          </cell>
          <cell r="O217">
            <v>266000</v>
          </cell>
          <cell r="P217">
            <v>3192000</v>
          </cell>
        </row>
        <row r="218">
          <cell r="B218" t="str">
            <v>Reassurance premium</v>
          </cell>
          <cell r="D218">
            <v>66220</v>
          </cell>
          <cell r="E218">
            <v>66220</v>
          </cell>
          <cell r="F218">
            <v>66220</v>
          </cell>
          <cell r="G218">
            <v>66220</v>
          </cell>
          <cell r="H218">
            <v>66220</v>
          </cell>
          <cell r="I218">
            <v>66220</v>
          </cell>
          <cell r="J218">
            <v>66220</v>
          </cell>
          <cell r="K218">
            <v>66220</v>
          </cell>
          <cell r="L218">
            <v>66220</v>
          </cell>
          <cell r="M218">
            <v>66220</v>
          </cell>
          <cell r="N218">
            <v>66220</v>
          </cell>
          <cell r="O218">
            <v>66220</v>
          </cell>
          <cell r="P218">
            <v>794640</v>
          </cell>
        </row>
        <row r="219">
          <cell r="A219" t="str">
            <v>165-10-030</v>
          </cell>
          <cell r="B219" t="str">
            <v>premium tax</v>
          </cell>
          <cell r="D219">
            <v>903977.22277601843</v>
          </cell>
          <cell r="E219">
            <v>912299.62415496598</v>
          </cell>
          <cell r="F219">
            <v>936390.33342899976</v>
          </cell>
          <cell r="G219">
            <v>968238.44338066597</v>
          </cell>
          <cell r="H219">
            <v>1005579.9679714605</v>
          </cell>
          <cell r="I219">
            <v>1036720.5214981898</v>
          </cell>
          <cell r="J219">
            <v>1072375.3922265472</v>
          </cell>
          <cell r="K219">
            <v>1126480.354719033</v>
          </cell>
          <cell r="L219">
            <v>1162894.7053079014</v>
          </cell>
          <cell r="M219">
            <v>1191582.0936963456</v>
          </cell>
          <cell r="N219">
            <v>1240384.4564739177</v>
          </cell>
          <cell r="O219">
            <v>1271393.0727031182</v>
          </cell>
          <cell r="P219">
            <v>12828316.18833716</v>
          </cell>
        </row>
        <row r="222">
          <cell r="D222">
            <v>63529.229999999996</v>
          </cell>
        </row>
        <row r="225">
          <cell r="B225" t="str">
            <v>ACTIVE FILE SIZE</v>
          </cell>
          <cell r="D225">
            <v>65440.709166666667</v>
          </cell>
          <cell r="E225">
            <v>65744.188333333339</v>
          </cell>
          <cell r="F225">
            <v>66710.667499999996</v>
          </cell>
          <cell r="G225">
            <v>68338.146666666667</v>
          </cell>
          <cell r="H225">
            <v>70289.625833333339</v>
          </cell>
          <cell r="I225">
            <v>71876.104999999996</v>
          </cell>
          <cell r="J225">
            <v>73728.584166666667</v>
          </cell>
          <cell r="K225">
            <v>76668.063333333324</v>
          </cell>
          <cell r="L225">
            <v>78565.542499999996</v>
          </cell>
          <cell r="M225">
            <v>80008.021666666667</v>
          </cell>
          <cell r="N225">
            <v>82635.500833333324</v>
          </cell>
          <cell r="O225">
            <v>84214.98</v>
          </cell>
        </row>
        <row r="226">
          <cell r="B226" t="str">
            <v>monthly movement</v>
          </cell>
          <cell r="E226">
            <v>303.47916666667152</v>
          </cell>
          <cell r="F226">
            <v>966.47916666665697</v>
          </cell>
          <cell r="G226">
            <v>1627.4791666666715</v>
          </cell>
          <cell r="H226">
            <v>1951.4791666666715</v>
          </cell>
          <cell r="I226">
            <v>1586.479166666657</v>
          </cell>
          <cell r="J226">
            <v>1852.4791666666715</v>
          </cell>
          <cell r="K226">
            <v>2939.479166666657</v>
          </cell>
          <cell r="L226">
            <v>1897.4791666666715</v>
          </cell>
          <cell r="M226">
            <v>1442.4791666666715</v>
          </cell>
          <cell r="N226">
            <v>2627.479166666657</v>
          </cell>
          <cell r="O226">
            <v>1579.4791666666715</v>
          </cell>
          <cell r="P226">
            <v>18774.270833333328</v>
          </cell>
        </row>
        <row r="227">
          <cell r="D227">
            <v>1</v>
          </cell>
          <cell r="E227">
            <v>2</v>
          </cell>
          <cell r="F227">
            <v>3</v>
          </cell>
          <cell r="G227">
            <v>4</v>
          </cell>
          <cell r="H227">
            <v>5</v>
          </cell>
          <cell r="I227">
            <v>6</v>
          </cell>
          <cell r="J227">
            <v>7</v>
          </cell>
          <cell r="K227">
            <v>8</v>
          </cell>
          <cell r="L227">
            <v>9</v>
          </cell>
          <cell r="M227">
            <v>10</v>
          </cell>
          <cell r="N227">
            <v>11</v>
          </cell>
          <cell r="O227">
            <v>12</v>
          </cell>
        </row>
        <row r="454">
          <cell r="I454">
            <v>-25978818.375624999</v>
          </cell>
          <cell r="J454">
            <v>-14503415.317916665</v>
          </cell>
        </row>
      </sheetData>
      <sheetData sheetId="25" refreshError="1">
        <row r="151">
          <cell r="A151" t="str">
            <v>Account</v>
          </cell>
        </row>
        <row r="152">
          <cell r="A152">
            <v>10030010</v>
          </cell>
        </row>
        <row r="153">
          <cell r="A153" t="str">
            <v>Account</v>
          </cell>
        </row>
        <row r="154">
          <cell r="A154">
            <v>10030020</v>
          </cell>
        </row>
        <row r="157">
          <cell r="A157" t="str">
            <v>Account</v>
          </cell>
        </row>
        <row r="158">
          <cell r="A158">
            <v>10040010</v>
          </cell>
        </row>
        <row r="159">
          <cell r="A159" t="str">
            <v>Account</v>
          </cell>
        </row>
        <row r="160">
          <cell r="A160">
            <v>10040020</v>
          </cell>
        </row>
        <row r="163">
          <cell r="A163" t="str">
            <v>Account</v>
          </cell>
        </row>
        <row r="164">
          <cell r="A164">
            <v>10050010</v>
          </cell>
        </row>
        <row r="165">
          <cell r="A165" t="str">
            <v>Account</v>
          </cell>
        </row>
        <row r="166">
          <cell r="A166">
            <v>10050020</v>
          </cell>
        </row>
        <row r="171">
          <cell r="A171" t="str">
            <v>Account</v>
          </cell>
        </row>
        <row r="172">
          <cell r="A172">
            <v>10060010</v>
          </cell>
        </row>
        <row r="173">
          <cell r="A173" t="str">
            <v>Account</v>
          </cell>
        </row>
        <row r="174">
          <cell r="A174">
            <v>10060020</v>
          </cell>
        </row>
        <row r="177">
          <cell r="A177" t="str">
            <v>Account</v>
          </cell>
        </row>
        <row r="178">
          <cell r="A178">
            <v>10070010</v>
          </cell>
        </row>
        <row r="179">
          <cell r="A179" t="str">
            <v>Account</v>
          </cell>
        </row>
        <row r="180">
          <cell r="A180">
            <v>10070020</v>
          </cell>
        </row>
        <row r="184">
          <cell r="A184" t="str">
            <v>Account</v>
          </cell>
        </row>
        <row r="185">
          <cell r="A185">
            <v>10080010</v>
          </cell>
        </row>
        <row r="186">
          <cell r="A186" t="str">
            <v>Account</v>
          </cell>
        </row>
        <row r="187">
          <cell r="A187">
            <v>10080020</v>
          </cell>
        </row>
        <row r="191">
          <cell r="A191" t="str">
            <v>Account</v>
          </cell>
        </row>
        <row r="192">
          <cell r="A192">
            <v>10090010</v>
          </cell>
        </row>
        <row r="193">
          <cell r="A193" t="str">
            <v>Account</v>
          </cell>
        </row>
        <row r="194">
          <cell r="A194">
            <v>10090020</v>
          </cell>
        </row>
        <row r="202">
          <cell r="A202" t="str">
            <v>Account</v>
          </cell>
        </row>
        <row r="203">
          <cell r="A203">
            <v>11020010</v>
          </cell>
        </row>
        <row r="204">
          <cell r="A204" t="str">
            <v>Account</v>
          </cell>
        </row>
        <row r="205">
          <cell r="A205">
            <v>11020020</v>
          </cell>
        </row>
        <row r="208">
          <cell r="A208" t="str">
            <v>Account</v>
          </cell>
        </row>
        <row r="209">
          <cell r="A209">
            <v>11030010</v>
          </cell>
        </row>
        <row r="210">
          <cell r="A210" t="str">
            <v>Account</v>
          </cell>
        </row>
        <row r="211">
          <cell r="A211">
            <v>11030020</v>
          </cell>
        </row>
        <row r="214">
          <cell r="A214" t="str">
            <v>Account</v>
          </cell>
        </row>
        <row r="215">
          <cell r="A215">
            <v>20010010</v>
          </cell>
        </row>
        <row r="216">
          <cell r="A216" t="str">
            <v>Account</v>
          </cell>
        </row>
        <row r="217">
          <cell r="A217">
            <v>20010020</v>
          </cell>
        </row>
        <row r="220">
          <cell r="A220" t="str">
            <v>Account</v>
          </cell>
        </row>
        <row r="221">
          <cell r="A221">
            <v>20020010</v>
          </cell>
        </row>
        <row r="222">
          <cell r="A222" t="str">
            <v>Account</v>
          </cell>
        </row>
        <row r="223">
          <cell r="A223">
            <v>20020020</v>
          </cell>
        </row>
        <row r="226">
          <cell r="A226" t="str">
            <v>Account</v>
          </cell>
        </row>
        <row r="227">
          <cell r="A227">
            <v>20030010</v>
          </cell>
        </row>
        <row r="228">
          <cell r="A228" t="str">
            <v>Account</v>
          </cell>
        </row>
        <row r="229">
          <cell r="A229">
            <v>20030020</v>
          </cell>
        </row>
        <row r="230">
          <cell r="A230" t="str">
            <v>Account</v>
          </cell>
        </row>
        <row r="231">
          <cell r="A231">
            <v>20030030</v>
          </cell>
        </row>
        <row r="240">
          <cell r="A240" t="str">
            <v>Account</v>
          </cell>
        </row>
        <row r="241">
          <cell r="A241">
            <v>30020010</v>
          </cell>
        </row>
        <row r="242">
          <cell r="A242" t="str">
            <v>Account</v>
          </cell>
        </row>
        <row r="243">
          <cell r="A243">
            <v>30020020</v>
          </cell>
        </row>
        <row r="246">
          <cell r="A246" t="str">
            <v>Account</v>
          </cell>
        </row>
        <row r="247">
          <cell r="A247">
            <v>30030010</v>
          </cell>
        </row>
        <row r="248">
          <cell r="A248" t="str">
            <v>Account</v>
          </cell>
        </row>
        <row r="249">
          <cell r="A249">
            <v>30030020</v>
          </cell>
        </row>
        <row r="252">
          <cell r="A252" t="str">
            <v>Account</v>
          </cell>
        </row>
        <row r="253">
          <cell r="A253">
            <v>30040010</v>
          </cell>
        </row>
        <row r="254">
          <cell r="A254" t="str">
            <v>Account</v>
          </cell>
        </row>
        <row r="255">
          <cell r="A255">
            <v>30040020</v>
          </cell>
        </row>
        <row r="263">
          <cell r="A263" t="str">
            <v>Account</v>
          </cell>
        </row>
        <row r="264">
          <cell r="A264">
            <v>40010020</v>
          </cell>
        </row>
        <row r="311">
          <cell r="A311" t="str">
            <v>Account</v>
          </cell>
        </row>
        <row r="312">
          <cell r="A312">
            <v>50010020</v>
          </cell>
        </row>
        <row r="313">
          <cell r="A313" t="str">
            <v>Account</v>
          </cell>
        </row>
        <row r="314">
          <cell r="A314">
            <v>50010030</v>
          </cell>
        </row>
        <row r="317">
          <cell r="A317" t="str">
            <v>Account</v>
          </cell>
        </row>
        <row r="318">
          <cell r="A318">
            <v>40099010</v>
          </cell>
        </row>
        <row r="319">
          <cell r="A319" t="str">
            <v>Account</v>
          </cell>
        </row>
        <row r="320">
          <cell r="A320">
            <v>40099020</v>
          </cell>
        </row>
        <row r="321">
          <cell r="A321" t="str">
            <v>Account</v>
          </cell>
        </row>
        <row r="322">
          <cell r="A322">
            <v>40099030</v>
          </cell>
        </row>
      </sheetData>
      <sheetData sheetId="26" refreshError="1">
        <row r="154">
          <cell r="B154" t="str">
            <v>ACCOUNT</v>
          </cell>
          <cell r="C154" t="str">
            <v>Particulars</v>
          </cell>
        </row>
        <row r="155">
          <cell r="B155">
            <v>37</v>
          </cell>
        </row>
        <row r="191">
          <cell r="B191" t="str">
            <v>ACCOUNT</v>
          </cell>
          <cell r="C191" t="str">
            <v>Particulars</v>
          </cell>
        </row>
        <row r="192">
          <cell r="B192">
            <v>80010010</v>
          </cell>
        </row>
        <row r="193">
          <cell r="B193" t="str">
            <v>ACCOUNT</v>
          </cell>
          <cell r="C193" t="str">
            <v>Particulars</v>
          </cell>
        </row>
        <row r="194">
          <cell r="B194">
            <v>80020010</v>
          </cell>
        </row>
        <row r="196">
          <cell r="B196" t="str">
            <v>ACCOUNT</v>
          </cell>
          <cell r="C196" t="str">
            <v>Particulars</v>
          </cell>
        </row>
        <row r="197">
          <cell r="B197">
            <v>80030010</v>
          </cell>
        </row>
        <row r="244">
          <cell r="A244" t="str">
            <v>Month</v>
          </cell>
        </row>
        <row r="245">
          <cell r="A245">
            <v>1</v>
          </cell>
        </row>
        <row r="246">
          <cell r="A246">
            <v>2</v>
          </cell>
        </row>
        <row r="247">
          <cell r="A247">
            <v>3</v>
          </cell>
        </row>
        <row r="248">
          <cell r="A248">
            <v>4</v>
          </cell>
        </row>
        <row r="249">
          <cell r="A249">
            <v>5</v>
          </cell>
        </row>
        <row r="250">
          <cell r="A250">
            <v>6</v>
          </cell>
        </row>
        <row r="251">
          <cell r="A251">
            <v>7</v>
          </cell>
        </row>
        <row r="252">
          <cell r="A252">
            <v>8</v>
          </cell>
        </row>
        <row r="253">
          <cell r="A253">
            <v>9</v>
          </cell>
        </row>
        <row r="254">
          <cell r="A254">
            <v>10</v>
          </cell>
        </row>
        <row r="255">
          <cell r="A255">
            <v>11</v>
          </cell>
        </row>
        <row r="256">
          <cell r="A256">
            <v>12</v>
          </cell>
        </row>
      </sheetData>
      <sheetData sheetId="27"/>
      <sheetData sheetId="28"/>
      <sheetData sheetId="29"/>
      <sheetData sheetId="30" refreshError="1">
        <row r="1">
          <cell r="A1" t="str">
            <v>Account</v>
          </cell>
          <cell r="B1" t="str">
            <v>Branch Code</v>
          </cell>
          <cell r="C1" t="str">
            <v>Details</v>
          </cell>
          <cell r="D1" t="str">
            <v>Budget</v>
          </cell>
          <cell r="E1" t="str">
            <v>Actuals</v>
          </cell>
          <cell r="F1" t="str">
            <v>Projected</v>
          </cell>
          <cell r="G1" t="str">
            <v>% Age</v>
          </cell>
          <cell r="H1" t="str">
            <v>Narative</v>
          </cell>
        </row>
        <row r="2">
          <cell r="A2" t="str">
            <v>Gl Code</v>
          </cell>
          <cell r="B2" t="str">
            <v>Account</v>
          </cell>
          <cell r="C2" t="str">
            <v>Details</v>
          </cell>
          <cell r="D2" t="str">
            <v>Budget</v>
          </cell>
          <cell r="E2" t="str">
            <v>Actuals</v>
          </cell>
          <cell r="F2" t="str">
            <v>Projected</v>
          </cell>
          <cell r="G2" t="str">
            <v>% Age</v>
          </cell>
          <cell r="H2" t="str">
            <v>Narative</v>
          </cell>
        </row>
        <row r="3">
          <cell r="A3" t="str">
            <v>105-10-010</v>
          </cell>
          <cell r="B3">
            <v>1</v>
          </cell>
          <cell r="C3" t="str">
            <v>BASIC SALARY</v>
          </cell>
          <cell r="D3">
            <v>18992198.400000002</v>
          </cell>
          <cell r="E3">
            <v>10603000</v>
          </cell>
          <cell r="F3">
            <v>17668550</v>
          </cell>
          <cell r="G3">
            <v>1.0749155080637631</v>
          </cell>
        </row>
        <row r="4">
          <cell r="A4" t="str">
            <v>105-10-012</v>
          </cell>
          <cell r="B4">
            <v>1</v>
          </cell>
          <cell r="C4" t="str">
            <v>PROVISION FOR MORT. RATE ADJUSTMENTS</v>
          </cell>
          <cell r="D4">
            <v>732600</v>
          </cell>
          <cell r="E4">
            <v>445000</v>
          </cell>
          <cell r="F4">
            <v>750250</v>
          </cell>
          <cell r="G4">
            <v>0.97647450849716766</v>
          </cell>
        </row>
        <row r="5">
          <cell r="A5" t="str">
            <v>105-10-020</v>
          </cell>
          <cell r="B5">
            <v>1</v>
          </cell>
          <cell r="C5" t="str">
            <v>HOUSE ALLOWANCE</v>
          </cell>
          <cell r="D5">
            <v>2371800</v>
          </cell>
          <cell r="E5">
            <v>1397000</v>
          </cell>
          <cell r="F5">
            <v>2385250</v>
          </cell>
          <cell r="G5">
            <v>0.99436117807357716</v>
          </cell>
        </row>
        <row r="6">
          <cell r="A6" t="str">
            <v>105-10-030</v>
          </cell>
          <cell r="B6">
            <v>1</v>
          </cell>
          <cell r="C6" t="str">
            <v>UTILITIES</v>
          </cell>
          <cell r="D6">
            <v>30000</v>
          </cell>
          <cell r="E6">
            <v>46000</v>
          </cell>
          <cell r="F6">
            <v>58500</v>
          </cell>
          <cell r="G6">
            <v>0.51282051282051277</v>
          </cell>
        </row>
        <row r="7">
          <cell r="A7" t="str">
            <v>105-10-040</v>
          </cell>
          <cell r="B7">
            <v>1</v>
          </cell>
          <cell r="C7" t="str">
            <v>SECURITY ALLOWANCE</v>
          </cell>
          <cell r="D7">
            <v>300000</v>
          </cell>
          <cell r="E7">
            <v>175000</v>
          </cell>
          <cell r="F7">
            <v>300000</v>
          </cell>
          <cell r="G7">
            <v>1</v>
          </cell>
        </row>
        <row r="8">
          <cell r="A8" t="str">
            <v>105-10-050</v>
          </cell>
          <cell r="B8">
            <v>1</v>
          </cell>
          <cell r="C8" t="str">
            <v>EDUCATION ALLOWANCE</v>
          </cell>
          <cell r="D8">
            <v>480000</v>
          </cell>
          <cell r="E8">
            <v>0</v>
          </cell>
          <cell r="G8">
            <v>0</v>
          </cell>
        </row>
        <row r="9">
          <cell r="A9" t="str">
            <v>105-10-060</v>
          </cell>
          <cell r="B9">
            <v>1</v>
          </cell>
          <cell r="C9" t="str">
            <v>TRAVEL ALLOWANCE</v>
          </cell>
          <cell r="D9">
            <v>1334400</v>
          </cell>
          <cell r="E9">
            <v>694000</v>
          </cell>
          <cell r="F9">
            <v>1250000</v>
          </cell>
          <cell r="G9">
            <v>1.06752</v>
          </cell>
        </row>
        <row r="10">
          <cell r="A10" t="str">
            <v>105-20-010</v>
          </cell>
          <cell r="B10">
            <v>1</v>
          </cell>
          <cell r="C10" t="str">
            <v>NSSF</v>
          </cell>
          <cell r="D10">
            <v>9600</v>
          </cell>
          <cell r="E10">
            <v>4000</v>
          </cell>
          <cell r="F10">
            <v>8000</v>
          </cell>
          <cell r="G10">
            <v>1.2</v>
          </cell>
        </row>
        <row r="11">
          <cell r="A11" t="str">
            <v>105-20-020</v>
          </cell>
          <cell r="B11">
            <v>1</v>
          </cell>
          <cell r="C11" t="str">
            <v>NHIF</v>
          </cell>
          <cell r="D11">
            <v>11520</v>
          </cell>
          <cell r="E11">
            <v>5000</v>
          </cell>
          <cell r="F11">
            <v>9800</v>
          </cell>
          <cell r="G11">
            <v>1.1755102040816328</v>
          </cell>
        </row>
        <row r="12">
          <cell r="A12" t="str">
            <v>105-30-010</v>
          </cell>
          <cell r="B12">
            <v>1</v>
          </cell>
          <cell r="C12" t="str">
            <v xml:space="preserve">PENSION </v>
          </cell>
          <cell r="D12">
            <v>738192</v>
          </cell>
          <cell r="E12">
            <v>395000</v>
          </cell>
          <cell r="F12">
            <v>702580</v>
          </cell>
          <cell r="G12">
            <v>1.0506874661960204</v>
          </cell>
        </row>
        <row r="13">
          <cell r="A13" t="str">
            <v>105-30-020</v>
          </cell>
          <cell r="B13">
            <v>1</v>
          </cell>
          <cell r="C13" t="str">
            <v>LAST EXPENSE</v>
          </cell>
          <cell r="D13">
            <v>6000</v>
          </cell>
          <cell r="E13">
            <v>4000</v>
          </cell>
          <cell r="F13">
            <v>6857.1428571428569</v>
          </cell>
          <cell r="G13">
            <v>0.875</v>
          </cell>
        </row>
        <row r="14">
          <cell r="A14" t="str">
            <v>105-30-030</v>
          </cell>
          <cell r="B14">
            <v>1</v>
          </cell>
          <cell r="C14" t="str">
            <v>GROUP LIFE ASSURANCE</v>
          </cell>
          <cell r="D14">
            <v>409941</v>
          </cell>
          <cell r="E14">
            <v>307000</v>
          </cell>
          <cell r="F14">
            <v>526285.71428571432</v>
          </cell>
          <cell r="G14">
            <v>0.77893241042345274</v>
          </cell>
        </row>
        <row r="15">
          <cell r="A15" t="str">
            <v>105-30-040</v>
          </cell>
          <cell r="B15">
            <v>1</v>
          </cell>
          <cell r="C15" t="str">
            <v>STAFF MEDICAL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</row>
        <row r="16">
          <cell r="A16" t="str">
            <v>105-30-050</v>
          </cell>
          <cell r="B16">
            <v>1</v>
          </cell>
          <cell r="C16" t="str">
            <v>CASH IN LIEU OF LEAVE</v>
          </cell>
          <cell r="D16">
            <v>246060</v>
          </cell>
          <cell r="E16">
            <v>249000</v>
          </cell>
          <cell r="F16">
            <v>426857.14285714284</v>
          </cell>
          <cell r="G16">
            <v>0.57644578313253014</v>
          </cell>
        </row>
        <row r="17">
          <cell r="A17" t="str">
            <v>105-30-060</v>
          </cell>
          <cell r="B17">
            <v>1</v>
          </cell>
          <cell r="C17" t="str">
            <v>GRATUITY</v>
          </cell>
          <cell r="D17">
            <v>4673796</v>
          </cell>
          <cell r="E17">
            <v>2465000</v>
          </cell>
          <cell r="F17">
            <v>4225714.2857142854</v>
          </cell>
          <cell r="G17">
            <v>1.1060369168356998</v>
          </cell>
        </row>
        <row r="18">
          <cell r="A18" t="str">
            <v>105-30-070</v>
          </cell>
          <cell r="B18">
            <v>1</v>
          </cell>
          <cell r="C18" t="str">
            <v>LONG SERVICE AWARDS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</row>
        <row r="19">
          <cell r="A19" t="str">
            <v>105-30-080</v>
          </cell>
          <cell r="B19">
            <v>1</v>
          </cell>
          <cell r="C19" t="str">
            <v>STAFF RECRUITMENT &amp; REMOVALS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A20" t="str">
            <v>115-10-010</v>
          </cell>
          <cell r="B20">
            <v>1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</row>
        <row r="21">
          <cell r="A21" t="str">
            <v>115-10-010</v>
          </cell>
          <cell r="B21">
            <v>1</v>
          </cell>
          <cell r="D21">
            <v>0</v>
          </cell>
          <cell r="F21">
            <v>0</v>
          </cell>
          <cell r="G21">
            <v>0</v>
          </cell>
        </row>
        <row r="22">
          <cell r="A22" t="str">
            <v>115-10-020</v>
          </cell>
          <cell r="B22">
            <v>1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</row>
        <row r="23">
          <cell r="A23" t="str">
            <v>115-10-020</v>
          </cell>
          <cell r="B23">
            <v>1</v>
          </cell>
          <cell r="D23">
            <v>0</v>
          </cell>
          <cell r="G23">
            <v>0</v>
          </cell>
        </row>
        <row r="24">
          <cell r="A24" t="str">
            <v>115-10-030</v>
          </cell>
          <cell r="B24">
            <v>1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</row>
        <row r="25">
          <cell r="A25" t="str">
            <v>115-10-030</v>
          </cell>
          <cell r="B25">
            <v>1</v>
          </cell>
          <cell r="D25">
            <v>0</v>
          </cell>
          <cell r="F25">
            <v>0</v>
          </cell>
          <cell r="G25">
            <v>0</v>
          </cell>
        </row>
        <row r="26">
          <cell r="A26" t="str">
            <v>115-10-040</v>
          </cell>
          <cell r="B26">
            <v>1</v>
          </cell>
          <cell r="D26">
            <v>0</v>
          </cell>
          <cell r="G26">
            <v>0</v>
          </cell>
        </row>
        <row r="27">
          <cell r="A27" t="str">
            <v>115-10-040</v>
          </cell>
          <cell r="B27">
            <v>1</v>
          </cell>
          <cell r="F27">
            <v>0</v>
          </cell>
          <cell r="G27">
            <v>0</v>
          </cell>
        </row>
        <row r="28">
          <cell r="A28" t="str">
            <v>115-10-050</v>
          </cell>
          <cell r="B28">
            <v>1</v>
          </cell>
          <cell r="C28" t="str">
            <v>OFFICE CATERING &amp; STAFF WELFARE</v>
          </cell>
          <cell r="D28">
            <v>0</v>
          </cell>
          <cell r="G28">
            <v>0</v>
          </cell>
        </row>
        <row r="29">
          <cell r="A29" t="str">
            <v>115-10-051</v>
          </cell>
          <cell r="B29">
            <v>1</v>
          </cell>
          <cell r="C29" t="str">
            <v>OFFICE CLEANING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</row>
        <row r="30">
          <cell r="A30" t="str">
            <v>115-10-060</v>
          </cell>
          <cell r="B30">
            <v>1</v>
          </cell>
          <cell r="C30" t="str">
            <v>OFFICE WATER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</row>
        <row r="31">
          <cell r="A31" t="str">
            <v>115-10-070</v>
          </cell>
          <cell r="B31">
            <v>1</v>
          </cell>
          <cell r="C31" t="str">
            <v>OFFICE ELECTRICITY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</row>
        <row r="32">
          <cell r="A32" t="str">
            <v>115-10-080</v>
          </cell>
          <cell r="B32">
            <v>1</v>
          </cell>
          <cell r="C32" t="str">
            <v>OFFICE SECURITY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A33" t="str">
            <v>125-10-010</v>
          </cell>
          <cell r="B33">
            <v>1</v>
          </cell>
          <cell r="C33" t="str">
            <v>BANK CHARGES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A34" t="str">
            <v>125-10-020</v>
          </cell>
          <cell r="B34">
            <v>1</v>
          </cell>
          <cell r="C34" t="str">
            <v>BANK OVERDRART CHARGES</v>
          </cell>
          <cell r="E34">
            <v>0</v>
          </cell>
          <cell r="F34">
            <v>0</v>
          </cell>
          <cell r="G34">
            <v>0</v>
          </cell>
        </row>
        <row r="35">
          <cell r="A35" t="str">
            <v>145-10-010</v>
          </cell>
          <cell r="B35">
            <v>1</v>
          </cell>
          <cell r="C35" t="str">
            <v>ALA Group charges- Individual life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</row>
        <row r="36">
          <cell r="A36" t="str">
            <v>145-10-020</v>
          </cell>
          <cell r="B36">
            <v>1</v>
          </cell>
          <cell r="C36" t="str">
            <v>Actuarial fees- Individual life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</row>
        <row r="37">
          <cell r="A37" t="str">
            <v>145-10-030</v>
          </cell>
          <cell r="B37">
            <v>1</v>
          </cell>
          <cell r="C37" t="str">
            <v>Audit fee -individual life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A38" t="str">
            <v>145-10-031</v>
          </cell>
          <cell r="B38">
            <v>1</v>
          </cell>
          <cell r="C38" t="str">
            <v>Tax filing returns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</row>
        <row r="39">
          <cell r="A39" t="str">
            <v>145-10-040</v>
          </cell>
          <cell r="B39">
            <v>1</v>
          </cell>
          <cell r="C39" t="str">
            <v>Legal fees</v>
          </cell>
          <cell r="D39">
            <v>0</v>
          </cell>
          <cell r="G39">
            <v>0</v>
          </cell>
        </row>
        <row r="40">
          <cell r="A40" t="str">
            <v>145-10-060</v>
          </cell>
          <cell r="B40">
            <v>1</v>
          </cell>
          <cell r="C40" t="str">
            <v>Intra company charges- individual life</v>
          </cell>
          <cell r="G40">
            <v>0</v>
          </cell>
        </row>
        <row r="41">
          <cell r="A41" t="str">
            <v>145-10-060</v>
          </cell>
          <cell r="B41">
            <v>1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</row>
        <row r="42">
          <cell r="A42" t="str">
            <v>145-10-080</v>
          </cell>
          <cell r="B42">
            <v>1</v>
          </cell>
          <cell r="C42" t="str">
            <v>40% Excutive recharge</v>
          </cell>
          <cell r="F42">
            <v>0</v>
          </cell>
          <cell r="G42">
            <v>0</v>
          </cell>
        </row>
        <row r="43">
          <cell r="A43" t="str">
            <v>145-10-090</v>
          </cell>
          <cell r="B43">
            <v>1</v>
          </cell>
          <cell r="C43" t="str">
            <v xml:space="preserve">Recharges: 20% recharge to Corporate </v>
          </cell>
          <cell r="D43">
            <v>-7453954.7800000012</v>
          </cell>
          <cell r="E43">
            <v>-4182000</v>
          </cell>
          <cell r="F43">
            <v>-7169142.8571428582</v>
          </cell>
          <cell r="G43">
            <v>1.0397274721026621</v>
          </cell>
        </row>
        <row r="44">
          <cell r="A44" t="str">
            <v>145-10-100</v>
          </cell>
          <cell r="B44">
            <v>1</v>
          </cell>
          <cell r="D44">
            <v>-1863488.6950000003</v>
          </cell>
          <cell r="E44">
            <v>-1267000</v>
          </cell>
          <cell r="F44">
            <v>-2172000</v>
          </cell>
          <cell r="G44">
            <v>0.85795980432780861</v>
          </cell>
        </row>
        <row r="45">
          <cell r="A45" t="str">
            <v>155-10-007</v>
          </cell>
          <cell r="B45">
            <v>1</v>
          </cell>
          <cell r="C45" t="str">
            <v>NEWSPAPERS &amp; JOURNALS</v>
          </cell>
          <cell r="D45">
            <v>46080</v>
          </cell>
          <cell r="E45">
            <v>16000</v>
          </cell>
          <cell r="F45">
            <v>46080</v>
          </cell>
          <cell r="G45">
            <v>1</v>
          </cell>
        </row>
        <row r="46">
          <cell r="A46" t="str">
            <v>155-10-008</v>
          </cell>
          <cell r="B46">
            <v>1</v>
          </cell>
          <cell r="C46" t="str">
            <v>ENTERTAINMENT &amp; DONATIONS</v>
          </cell>
          <cell r="D46">
            <v>322500</v>
          </cell>
          <cell r="E46">
            <v>112000</v>
          </cell>
          <cell r="F46">
            <v>192000</v>
          </cell>
          <cell r="G46">
            <v>1.6796875</v>
          </cell>
        </row>
        <row r="47">
          <cell r="A47" t="str">
            <v>155-10-009</v>
          </cell>
          <cell r="B47">
            <v>1</v>
          </cell>
          <cell r="C47" t="str">
            <v>COURIER &amp; FREIGHT CHARGES</v>
          </cell>
          <cell r="D47">
            <v>52820</v>
          </cell>
          <cell r="E47">
            <v>34000</v>
          </cell>
          <cell r="F47">
            <v>58285.714285714283</v>
          </cell>
          <cell r="G47">
            <v>0.90622549019607845</v>
          </cell>
        </row>
        <row r="48">
          <cell r="A48" t="str">
            <v>155-10-010</v>
          </cell>
          <cell r="B48">
            <v>1</v>
          </cell>
          <cell r="C48" t="str">
            <v>ADVERTISING &amp; PUBLICITY</v>
          </cell>
          <cell r="D48">
            <v>764000</v>
          </cell>
          <cell r="E48">
            <v>1006000</v>
          </cell>
          <cell r="F48">
            <v>1050000</v>
          </cell>
          <cell r="G48">
            <v>0.72761904761904761</v>
          </cell>
        </row>
        <row r="49">
          <cell r="A49" t="str">
            <v>155-10-012</v>
          </cell>
          <cell r="B49">
            <v>1</v>
          </cell>
          <cell r="C49" t="str">
            <v>TRADE LICENCES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A50" t="str">
            <v>155-10-013</v>
          </cell>
          <cell r="B50">
            <v>1</v>
          </cell>
          <cell r="C50" t="str">
            <v>INSURANCES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A51" t="str">
            <v>155-10-014</v>
          </cell>
          <cell r="B51">
            <v>1</v>
          </cell>
          <cell r="C51" t="str">
            <v>PHOTOCOPY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A52" t="str">
            <v>155-10-015</v>
          </cell>
          <cell r="B52">
            <v>1</v>
          </cell>
          <cell r="C52" t="str">
            <v>COMPUTER MAINTAINANCE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</row>
        <row r="53">
          <cell r="A53" t="str">
            <v>155-10-016</v>
          </cell>
          <cell r="B53">
            <v>1</v>
          </cell>
          <cell r="C53" t="str">
            <v>EQUIPMENT&amp; FURNITURE REPAIRS &amp; MAINTENANCE</v>
          </cell>
          <cell r="D53">
            <v>0</v>
          </cell>
          <cell r="G53">
            <v>0</v>
          </cell>
        </row>
        <row r="54">
          <cell r="A54" t="str">
            <v>155-10-017</v>
          </cell>
          <cell r="B54">
            <v>1</v>
          </cell>
          <cell r="C54" t="str">
            <v>SEMINARS &amp; SHORT TERM COURSES</v>
          </cell>
          <cell r="D54">
            <v>86000</v>
          </cell>
          <cell r="E54">
            <v>9000</v>
          </cell>
          <cell r="F54">
            <v>15428.571428571429</v>
          </cell>
          <cell r="G54">
            <v>5.5740740740740735</v>
          </cell>
        </row>
        <row r="55">
          <cell r="A55" t="str">
            <v>155-10-022</v>
          </cell>
          <cell r="B55">
            <v>1</v>
          </cell>
          <cell r="C55" t="str">
            <v>PRINTING &amp; STATIONERY</v>
          </cell>
          <cell r="D55">
            <v>126266.5</v>
          </cell>
          <cell r="E55">
            <v>110000</v>
          </cell>
          <cell r="F55">
            <v>188571.42857142858</v>
          </cell>
          <cell r="G55">
            <v>0.66959507575757571</v>
          </cell>
        </row>
        <row r="56">
          <cell r="A56" t="str">
            <v>155-10-025</v>
          </cell>
          <cell r="B56">
            <v>1</v>
          </cell>
          <cell r="C56" t="str">
            <v>STRATEGIC PLANNING</v>
          </cell>
          <cell r="D56">
            <v>1000000</v>
          </cell>
          <cell r="E56">
            <v>701000</v>
          </cell>
          <cell r="F56">
            <v>500000</v>
          </cell>
          <cell r="G56">
            <v>2</v>
          </cell>
        </row>
        <row r="57">
          <cell r="A57" t="str">
            <v>155-10-027</v>
          </cell>
          <cell r="B57">
            <v>1</v>
          </cell>
          <cell r="C57" t="str">
            <v>PROFESSIONAL SUBSCRIPTIONS</v>
          </cell>
          <cell r="D57">
            <v>85500</v>
          </cell>
          <cell r="E57">
            <v>2000</v>
          </cell>
          <cell r="F57">
            <v>75000</v>
          </cell>
          <cell r="G57">
            <v>1.1399999999999999</v>
          </cell>
        </row>
        <row r="58">
          <cell r="A58" t="str">
            <v>155-10-028</v>
          </cell>
          <cell r="B58">
            <v>1</v>
          </cell>
          <cell r="C58" t="str">
            <v xml:space="preserve"> SUBSCRIPTIONS -COMPANY MEMBERSHIP</v>
          </cell>
          <cell r="D58">
            <v>35000</v>
          </cell>
          <cell r="E58">
            <v>20000</v>
          </cell>
          <cell r="F58">
            <v>34285.71428571429</v>
          </cell>
          <cell r="G58">
            <v>1.0208333333333333</v>
          </cell>
        </row>
        <row r="59">
          <cell r="A59" t="str">
            <v>155-10-030</v>
          </cell>
          <cell r="B59">
            <v>1</v>
          </cell>
          <cell r="C59" t="str">
            <v>TRAVELLING &amp; ACCOMMODATION</v>
          </cell>
          <cell r="D59">
            <v>1753100</v>
          </cell>
          <cell r="E59">
            <v>867000</v>
          </cell>
          <cell r="F59">
            <v>1986285.7142857143</v>
          </cell>
          <cell r="G59">
            <v>0.88260212888377443</v>
          </cell>
        </row>
        <row r="60">
          <cell r="A60" t="str">
            <v>155-10-032</v>
          </cell>
          <cell r="B60">
            <v>1</v>
          </cell>
          <cell r="C60" t="str">
            <v xml:space="preserve">MOTOR CAR EXPENSES </v>
          </cell>
          <cell r="D60">
            <v>286000</v>
          </cell>
          <cell r="E60">
            <v>166000</v>
          </cell>
          <cell r="F60">
            <v>284571.42857142858</v>
          </cell>
          <cell r="G60">
            <v>1.0050200803212852</v>
          </cell>
        </row>
        <row r="61">
          <cell r="A61" t="str">
            <v>155-10-040</v>
          </cell>
          <cell r="B61">
            <v>1</v>
          </cell>
          <cell r="C61" t="str">
            <v>POSTAGE</v>
          </cell>
          <cell r="D61">
            <v>10800</v>
          </cell>
          <cell r="E61">
            <v>4000</v>
          </cell>
          <cell r="F61">
            <v>6857.1428571428569</v>
          </cell>
          <cell r="G61">
            <v>1.575</v>
          </cell>
        </row>
        <row r="62">
          <cell r="A62" t="str">
            <v>155-10-041</v>
          </cell>
          <cell r="B62">
            <v>1</v>
          </cell>
          <cell r="C62" t="str">
            <v>TELEPHONE &amp; FAX</v>
          </cell>
          <cell r="D62">
            <v>294000</v>
          </cell>
          <cell r="E62">
            <v>174000</v>
          </cell>
          <cell r="F62">
            <v>298285.71428571432</v>
          </cell>
          <cell r="G62">
            <v>0.98563218390804586</v>
          </cell>
        </row>
        <row r="63">
          <cell r="A63" t="str">
            <v>155-10-044</v>
          </cell>
          <cell r="B63">
            <v>1</v>
          </cell>
          <cell r="C63" t="str">
            <v>PROFFESSIONAL TRAINING</v>
          </cell>
          <cell r="D63">
            <v>137600</v>
          </cell>
          <cell r="E63">
            <v>0</v>
          </cell>
          <cell r="F63">
            <v>120000</v>
          </cell>
          <cell r="G63">
            <v>1.1466666666666667</v>
          </cell>
        </row>
        <row r="64">
          <cell r="A64" t="str">
            <v>155-10-046</v>
          </cell>
          <cell r="B64">
            <v>1</v>
          </cell>
          <cell r="C64" t="str">
            <v xml:space="preserve">SUBSCRIPTION- STAFF CLUB MEMBERSHIP </v>
          </cell>
          <cell r="D64">
            <v>346000</v>
          </cell>
          <cell r="E64">
            <v>163000</v>
          </cell>
          <cell r="F64">
            <v>279428.57142857142</v>
          </cell>
          <cell r="G64">
            <v>1.2382413087934561</v>
          </cell>
        </row>
        <row r="65">
          <cell r="A65" t="str">
            <v>155-10-054</v>
          </cell>
          <cell r="B65">
            <v>1</v>
          </cell>
          <cell r="C65" t="str">
            <v>LEASED LINES-INTERNET SERVICES</v>
          </cell>
          <cell r="D65">
            <v>0</v>
          </cell>
          <cell r="G65">
            <v>0</v>
          </cell>
        </row>
        <row r="66">
          <cell r="A66" t="str">
            <v>155-10-057</v>
          </cell>
          <cell r="B66">
            <v>1</v>
          </cell>
          <cell r="C66" t="str">
            <v>SOFTWARE LICENCES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</row>
        <row r="67">
          <cell r="A67" t="str">
            <v>155-10-059</v>
          </cell>
          <cell r="B67">
            <v>1</v>
          </cell>
          <cell r="E67">
            <v>0</v>
          </cell>
          <cell r="G67">
            <v>0</v>
          </cell>
        </row>
        <row r="68">
          <cell r="A68" t="str">
            <v>155-10-060</v>
          </cell>
          <cell r="B68">
            <v>1</v>
          </cell>
          <cell r="E68">
            <v>0</v>
          </cell>
          <cell r="G68">
            <v>0</v>
          </cell>
        </row>
        <row r="69">
          <cell r="A69" t="str">
            <v>155-10-062</v>
          </cell>
          <cell r="B69">
            <v>1</v>
          </cell>
          <cell r="C69" t="str">
            <v>EDUCATION EXPENSES</v>
          </cell>
          <cell r="D69">
            <v>1588000</v>
          </cell>
          <cell r="E69">
            <v>1079000</v>
          </cell>
          <cell r="F69">
            <v>1849714.2857142854</v>
          </cell>
          <cell r="G69">
            <v>0.85851096694470197</v>
          </cell>
        </row>
        <row r="70">
          <cell r="A70" t="str">
            <v>165-10-040</v>
          </cell>
          <cell r="B70">
            <v>1</v>
          </cell>
          <cell r="C70" t="str">
            <v>EXCEPTIONAL ITEMS</v>
          </cell>
          <cell r="E70">
            <v>503000</v>
          </cell>
          <cell r="F70">
            <v>503000</v>
          </cell>
          <cell r="G70">
            <v>0</v>
          </cell>
        </row>
        <row r="71">
          <cell r="A71" t="str">
            <v>105-10-010</v>
          </cell>
          <cell r="B71">
            <v>2</v>
          </cell>
          <cell r="C71" t="str">
            <v>BASIC SALARY</v>
          </cell>
          <cell r="D71">
            <v>7193712</v>
          </cell>
          <cell r="E71">
            <v>491000</v>
          </cell>
          <cell r="F71">
            <v>733750</v>
          </cell>
          <cell r="G71">
            <v>9.8040367972742768</v>
          </cell>
          <cell r="H71" t="str">
            <v>Budget for Factory Manager</v>
          </cell>
        </row>
        <row r="72">
          <cell r="A72" t="str">
            <v>105-10-012</v>
          </cell>
          <cell r="B72">
            <v>2</v>
          </cell>
          <cell r="C72" t="str">
            <v>PROVISION FOR MORT. RATE ADJUSTMENTS</v>
          </cell>
          <cell r="D72">
            <v>387000</v>
          </cell>
          <cell r="E72">
            <v>0</v>
          </cell>
          <cell r="F72">
            <v>0</v>
          </cell>
          <cell r="G72">
            <v>0</v>
          </cell>
        </row>
        <row r="73">
          <cell r="A73" t="str">
            <v>105-10-020</v>
          </cell>
          <cell r="B73">
            <v>2</v>
          </cell>
          <cell r="C73" t="str">
            <v>HOUSE ALLOWANCE</v>
          </cell>
          <cell r="D73">
            <v>1345800</v>
          </cell>
          <cell r="E73">
            <v>70000</v>
          </cell>
          <cell r="F73">
            <v>105750</v>
          </cell>
          <cell r="G73">
            <v>12.726241134751772</v>
          </cell>
        </row>
        <row r="74">
          <cell r="A74" t="str">
            <v>105-10-030</v>
          </cell>
          <cell r="B74">
            <v>2</v>
          </cell>
          <cell r="C74" t="str">
            <v>TELEPHONE ALLOWANCE</v>
          </cell>
          <cell r="D74">
            <v>40500</v>
          </cell>
          <cell r="E74">
            <v>0</v>
          </cell>
          <cell r="F74">
            <v>0</v>
          </cell>
          <cell r="G74">
            <v>0</v>
          </cell>
        </row>
        <row r="75">
          <cell r="A75" t="str">
            <v>105-10-040</v>
          </cell>
          <cell r="B75">
            <v>2</v>
          </cell>
          <cell r="C75" t="str">
            <v>SECURITY ALLOWANCE</v>
          </cell>
          <cell r="D75">
            <v>225000</v>
          </cell>
          <cell r="E75">
            <v>0</v>
          </cell>
          <cell r="F75">
            <v>0</v>
          </cell>
          <cell r="G75">
            <v>0</v>
          </cell>
        </row>
        <row r="76">
          <cell r="A76" t="str">
            <v>105-10-050</v>
          </cell>
          <cell r="B76">
            <v>2</v>
          </cell>
          <cell r="C76" t="str">
            <v>EDUCATION ALLOWANCE</v>
          </cell>
          <cell r="D76">
            <v>180000</v>
          </cell>
          <cell r="E76">
            <v>0</v>
          </cell>
          <cell r="F76">
            <v>0</v>
          </cell>
          <cell r="G76">
            <v>0</v>
          </cell>
        </row>
        <row r="77">
          <cell r="A77" t="str">
            <v>105-10-060</v>
          </cell>
          <cell r="B77">
            <v>2</v>
          </cell>
          <cell r="C77" t="str">
            <v>TRAVEL ALLOWANCE</v>
          </cell>
          <cell r="D77">
            <v>832500</v>
          </cell>
          <cell r="E77">
            <v>0</v>
          </cell>
          <cell r="F77">
            <v>0</v>
          </cell>
          <cell r="G77">
            <v>0</v>
          </cell>
        </row>
        <row r="78">
          <cell r="A78" t="str">
            <v>105-20-010</v>
          </cell>
          <cell r="B78">
            <v>2</v>
          </cell>
          <cell r="C78" t="str">
            <v>NSSF</v>
          </cell>
          <cell r="D78">
            <v>6600</v>
          </cell>
          <cell r="E78">
            <v>4000</v>
          </cell>
          <cell r="F78">
            <v>6000</v>
          </cell>
          <cell r="G78">
            <v>1.1000000000000001</v>
          </cell>
        </row>
        <row r="79">
          <cell r="A79" t="str">
            <v>105-20-020</v>
          </cell>
          <cell r="B79">
            <v>2</v>
          </cell>
          <cell r="C79" t="str">
            <v>NHIF</v>
          </cell>
          <cell r="D79">
            <v>7920</v>
          </cell>
          <cell r="E79">
            <v>5000</v>
          </cell>
          <cell r="F79">
            <v>7400</v>
          </cell>
          <cell r="G79">
            <v>1.0702702702702702</v>
          </cell>
        </row>
        <row r="80">
          <cell r="A80" t="str">
            <v>105-30-010</v>
          </cell>
          <cell r="B80">
            <v>2</v>
          </cell>
          <cell r="C80" t="str">
            <v xml:space="preserve">PENSION </v>
          </cell>
          <cell r="D80">
            <v>81564</v>
          </cell>
          <cell r="E80">
            <v>60000</v>
          </cell>
          <cell r="F80">
            <v>93985</v>
          </cell>
          <cell r="G80">
            <v>0.8678406128637548</v>
          </cell>
        </row>
        <row r="81">
          <cell r="A81" t="str">
            <v>105-30-020</v>
          </cell>
          <cell r="B81">
            <v>2</v>
          </cell>
          <cell r="C81" t="str">
            <v>LAST EXPENSE</v>
          </cell>
          <cell r="D81">
            <v>1250</v>
          </cell>
          <cell r="E81">
            <v>3000</v>
          </cell>
          <cell r="F81">
            <v>5142.8571428571431</v>
          </cell>
          <cell r="G81">
            <v>0.24305555555555555</v>
          </cell>
        </row>
        <row r="82">
          <cell r="A82" t="str">
            <v>105-30-030</v>
          </cell>
          <cell r="B82">
            <v>2</v>
          </cell>
          <cell r="C82" t="str">
            <v>GROUP LIFE ASSURANCE</v>
          </cell>
          <cell r="D82">
            <v>8499.67</v>
          </cell>
          <cell r="E82">
            <v>13000</v>
          </cell>
          <cell r="F82">
            <v>22285.714285714286</v>
          </cell>
          <cell r="G82">
            <v>0.38139544871794862</v>
          </cell>
        </row>
        <row r="83">
          <cell r="A83" t="str">
            <v>105-30-040</v>
          </cell>
          <cell r="B83">
            <v>2</v>
          </cell>
          <cell r="C83" t="str">
            <v>STAFF MEDICAL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</row>
        <row r="84">
          <cell r="A84" t="str">
            <v>105-30-050</v>
          </cell>
          <cell r="B84">
            <v>2</v>
          </cell>
          <cell r="C84" t="str">
            <v>CASH IN LIEU OF LEAVE</v>
          </cell>
          <cell r="D84">
            <v>16312.8</v>
          </cell>
          <cell r="E84">
            <v>-2000</v>
          </cell>
          <cell r="F84">
            <v>-3428.5714285714284</v>
          </cell>
          <cell r="G84">
            <v>-4.7579000000000002</v>
          </cell>
        </row>
        <row r="85">
          <cell r="A85" t="str">
            <v>105-30-060</v>
          </cell>
          <cell r="B85">
            <v>2</v>
          </cell>
          <cell r="C85" t="str">
            <v>GRATUITY</v>
          </cell>
          <cell r="D85">
            <v>2336142.8571428573</v>
          </cell>
          <cell r="E85">
            <v>0</v>
          </cell>
          <cell r="F85">
            <v>0</v>
          </cell>
          <cell r="G85">
            <v>0</v>
          </cell>
        </row>
        <row r="86">
          <cell r="A86" t="str">
            <v>105-30-070</v>
          </cell>
          <cell r="B86">
            <v>2</v>
          </cell>
          <cell r="C86" t="str">
            <v>LONG SERVICE AWARDS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</row>
        <row r="87">
          <cell r="A87" t="str">
            <v>105-30-080</v>
          </cell>
          <cell r="B87">
            <v>2</v>
          </cell>
          <cell r="C87" t="str">
            <v>STAFF RECRUITMENT &amp; REMOVALS</v>
          </cell>
          <cell r="D87">
            <v>3435434.2857142901</v>
          </cell>
          <cell r="E87">
            <v>0</v>
          </cell>
          <cell r="F87">
            <v>0</v>
          </cell>
          <cell r="G87">
            <v>0</v>
          </cell>
        </row>
        <row r="88">
          <cell r="A88" t="str">
            <v>115-10-010</v>
          </cell>
          <cell r="B88">
            <v>2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</row>
        <row r="89">
          <cell r="A89" t="str">
            <v>115-10-010</v>
          </cell>
          <cell r="B89">
            <v>2</v>
          </cell>
          <cell r="D89">
            <v>0</v>
          </cell>
          <cell r="F89">
            <v>0</v>
          </cell>
          <cell r="G89">
            <v>0</v>
          </cell>
        </row>
        <row r="90">
          <cell r="A90" t="str">
            <v>115-10-020</v>
          </cell>
          <cell r="B90">
            <v>2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</row>
        <row r="91">
          <cell r="A91" t="str">
            <v>115-10-020</v>
          </cell>
          <cell r="B91">
            <v>2</v>
          </cell>
          <cell r="D91">
            <v>0</v>
          </cell>
          <cell r="G91">
            <v>0</v>
          </cell>
        </row>
        <row r="92">
          <cell r="A92" t="str">
            <v>115-10-030</v>
          </cell>
          <cell r="B92">
            <v>2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</row>
        <row r="93">
          <cell r="A93" t="str">
            <v>115-10-030</v>
          </cell>
          <cell r="B93">
            <v>2</v>
          </cell>
          <cell r="D93">
            <v>0</v>
          </cell>
          <cell r="F93">
            <v>0</v>
          </cell>
          <cell r="G93">
            <v>0</v>
          </cell>
        </row>
        <row r="94">
          <cell r="A94" t="str">
            <v>115-10-040</v>
          </cell>
          <cell r="B94">
            <v>2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</row>
        <row r="95">
          <cell r="A95" t="str">
            <v>115-10-040</v>
          </cell>
          <cell r="B95">
            <v>2</v>
          </cell>
          <cell r="D95">
            <v>0</v>
          </cell>
          <cell r="F95">
            <v>0</v>
          </cell>
          <cell r="G95">
            <v>0</v>
          </cell>
        </row>
        <row r="96">
          <cell r="A96" t="str">
            <v>115-10-050</v>
          </cell>
          <cell r="B96">
            <v>2</v>
          </cell>
          <cell r="C96" t="str">
            <v>OFFICE CATERING &amp; STAFF WELFARE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</row>
        <row r="97">
          <cell r="A97" t="str">
            <v>115-10-051</v>
          </cell>
          <cell r="B97">
            <v>2</v>
          </cell>
          <cell r="C97" t="str">
            <v>OFFICE CLEANING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</row>
        <row r="98">
          <cell r="A98" t="str">
            <v>115-10-060</v>
          </cell>
          <cell r="B98">
            <v>2</v>
          </cell>
          <cell r="C98" t="str">
            <v>OFFICE WATER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</row>
        <row r="99">
          <cell r="A99" t="str">
            <v>115-10-070</v>
          </cell>
          <cell r="B99">
            <v>2</v>
          </cell>
          <cell r="C99" t="str">
            <v>OFFICE ELECTRICITY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</row>
        <row r="100">
          <cell r="A100" t="str">
            <v>115-10-080</v>
          </cell>
          <cell r="B100">
            <v>2</v>
          </cell>
          <cell r="C100" t="str">
            <v>OFFICE SECURITY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</row>
        <row r="101">
          <cell r="A101" t="str">
            <v>125-10-010</v>
          </cell>
          <cell r="B101">
            <v>2</v>
          </cell>
          <cell r="C101" t="str">
            <v>BANK CHARGES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</row>
        <row r="102">
          <cell r="A102" t="str">
            <v>125-10-020</v>
          </cell>
          <cell r="B102">
            <v>2</v>
          </cell>
          <cell r="C102" t="str">
            <v>BANK OVERDRART CHARGES</v>
          </cell>
          <cell r="E102">
            <v>0</v>
          </cell>
          <cell r="F102">
            <v>0</v>
          </cell>
          <cell r="G102">
            <v>0</v>
          </cell>
        </row>
        <row r="103">
          <cell r="A103" t="str">
            <v>145-10-010</v>
          </cell>
          <cell r="B103">
            <v>2</v>
          </cell>
          <cell r="C103" t="str">
            <v>ALA Group charges- Individual life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</row>
        <row r="104">
          <cell r="A104" t="str">
            <v>145-10-020</v>
          </cell>
          <cell r="B104">
            <v>2</v>
          </cell>
          <cell r="C104" t="str">
            <v>Actuarial fees- Individual life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</row>
        <row r="105">
          <cell r="A105" t="str">
            <v>145-10-030</v>
          </cell>
          <cell r="B105">
            <v>2</v>
          </cell>
          <cell r="C105" t="str">
            <v>Audit fee -individual life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</row>
        <row r="106">
          <cell r="A106" t="str">
            <v>145-10-031</v>
          </cell>
          <cell r="B106">
            <v>2</v>
          </cell>
          <cell r="C106" t="str">
            <v>Tax filing returns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</row>
        <row r="107">
          <cell r="A107" t="str">
            <v>145-10-040</v>
          </cell>
          <cell r="B107">
            <v>2</v>
          </cell>
          <cell r="C107" t="str">
            <v>Legal fees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</row>
        <row r="108">
          <cell r="A108" t="str">
            <v>145-10-060</v>
          </cell>
          <cell r="B108">
            <v>2</v>
          </cell>
          <cell r="C108" t="str">
            <v>Intra company charges- individual life</v>
          </cell>
          <cell r="G108">
            <v>0</v>
          </cell>
        </row>
        <row r="109">
          <cell r="A109" t="str">
            <v>145-10-060</v>
          </cell>
          <cell r="B109">
            <v>2</v>
          </cell>
          <cell r="E109">
            <v>0</v>
          </cell>
          <cell r="G109">
            <v>0</v>
          </cell>
        </row>
        <row r="110">
          <cell r="A110" t="str">
            <v>145-10-080</v>
          </cell>
          <cell r="B110">
            <v>2</v>
          </cell>
          <cell r="C110" t="str">
            <v>40% Excutive recharge</v>
          </cell>
          <cell r="F110">
            <v>0</v>
          </cell>
          <cell r="G110">
            <v>0</v>
          </cell>
        </row>
        <row r="111">
          <cell r="A111" t="str">
            <v>145-10-080</v>
          </cell>
          <cell r="B111">
            <v>2</v>
          </cell>
          <cell r="C111" t="str">
            <v xml:space="preserve">Recharges: 10% recharge to Corporate </v>
          </cell>
          <cell r="E111">
            <v>0</v>
          </cell>
          <cell r="G111">
            <v>0</v>
          </cell>
        </row>
        <row r="112">
          <cell r="A112" t="str">
            <v>145-10-100</v>
          </cell>
          <cell r="B112">
            <v>2</v>
          </cell>
          <cell r="E112">
            <v>0</v>
          </cell>
          <cell r="G112">
            <v>0</v>
          </cell>
        </row>
        <row r="113">
          <cell r="A113" t="str">
            <v>155-10-007</v>
          </cell>
          <cell r="B113">
            <v>2</v>
          </cell>
          <cell r="C113" t="str">
            <v>NEWSPAPERS &amp; JOURNALS</v>
          </cell>
          <cell r="D113">
            <v>19200</v>
          </cell>
          <cell r="E113">
            <v>0</v>
          </cell>
          <cell r="F113">
            <v>0</v>
          </cell>
          <cell r="G113">
            <v>0</v>
          </cell>
          <cell r="H113" t="str">
            <v>Budget for Factory Manager</v>
          </cell>
        </row>
        <row r="114">
          <cell r="A114" t="str">
            <v>155-10-008</v>
          </cell>
          <cell r="B114">
            <v>2</v>
          </cell>
          <cell r="C114" t="str">
            <v>ENTERTAINMENT &amp; DONATIONS</v>
          </cell>
          <cell r="D114">
            <v>70000</v>
          </cell>
          <cell r="E114">
            <v>0</v>
          </cell>
          <cell r="F114">
            <v>0</v>
          </cell>
          <cell r="G114">
            <v>0</v>
          </cell>
          <cell r="H114" t="str">
            <v>Budget for Factory Manager</v>
          </cell>
        </row>
        <row r="115">
          <cell r="A115" t="str">
            <v>155-10-009</v>
          </cell>
          <cell r="B115">
            <v>2</v>
          </cell>
          <cell r="C115" t="str">
            <v>COURIER &amp; FREIGHT CHARGES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</row>
        <row r="116">
          <cell r="A116" t="str">
            <v>155-10-010</v>
          </cell>
          <cell r="B116">
            <v>2</v>
          </cell>
          <cell r="C116" t="str">
            <v>ADVERTISING &amp; PUBLICITY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</row>
        <row r="117">
          <cell r="A117" t="str">
            <v>155-10-012</v>
          </cell>
          <cell r="B117">
            <v>2</v>
          </cell>
          <cell r="C117" t="str">
            <v>TRADE LICENCES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</row>
        <row r="118">
          <cell r="A118" t="str">
            <v>155-10-013</v>
          </cell>
          <cell r="B118">
            <v>2</v>
          </cell>
          <cell r="C118" t="str">
            <v>INSURANCES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</row>
        <row r="119">
          <cell r="A119" t="str">
            <v>155-10-014</v>
          </cell>
          <cell r="B119">
            <v>2</v>
          </cell>
          <cell r="C119" t="str">
            <v>PHOTOCOPY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</row>
        <row r="120">
          <cell r="A120" t="str">
            <v>155-10-015</v>
          </cell>
          <cell r="B120">
            <v>2</v>
          </cell>
          <cell r="C120" t="str">
            <v>COMPUTER MAINTAINANCE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</row>
        <row r="121">
          <cell r="A121" t="str">
            <v>155-10-016</v>
          </cell>
          <cell r="B121">
            <v>2</v>
          </cell>
          <cell r="C121" t="str">
            <v>EQUIPMENT&amp; FURNITURE REPAIRS &amp; MAINTENANCE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</row>
        <row r="122">
          <cell r="A122" t="str">
            <v>155-10-017</v>
          </cell>
          <cell r="B122">
            <v>2</v>
          </cell>
          <cell r="C122" t="str">
            <v>SEMINARS &amp; SHORT TERM COURSES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 t="str">
            <v>Budget for Factory Manager</v>
          </cell>
        </row>
        <row r="123">
          <cell r="A123" t="str">
            <v>155-10-022</v>
          </cell>
          <cell r="B123">
            <v>2</v>
          </cell>
          <cell r="C123" t="str">
            <v>PRINTING &amp; STATIONERY</v>
          </cell>
          <cell r="D123">
            <v>19978.5</v>
          </cell>
          <cell r="E123">
            <v>0</v>
          </cell>
          <cell r="F123">
            <v>0</v>
          </cell>
          <cell r="G123">
            <v>0</v>
          </cell>
          <cell r="H123" t="str">
            <v>Budget for Factory Manager</v>
          </cell>
        </row>
        <row r="124">
          <cell r="A124" t="str">
            <v>155-10-025</v>
          </cell>
          <cell r="B124">
            <v>2</v>
          </cell>
          <cell r="C124" t="str">
            <v>STRATEGIC PLANNING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</row>
        <row r="125">
          <cell r="A125" t="str">
            <v>155-10-027</v>
          </cell>
          <cell r="B125">
            <v>2</v>
          </cell>
          <cell r="C125" t="str">
            <v>PROFESSIONAL SUBSCRIPTIONS</v>
          </cell>
          <cell r="D125">
            <v>0</v>
          </cell>
          <cell r="E125">
            <v>0</v>
          </cell>
          <cell r="F125">
            <v>0</v>
          </cell>
          <cell r="G125">
            <v>0</v>
          </cell>
        </row>
        <row r="126">
          <cell r="A126" t="str">
            <v>155-10-028</v>
          </cell>
          <cell r="B126">
            <v>2</v>
          </cell>
          <cell r="C126" t="str">
            <v xml:space="preserve"> SUBSCRIPTIONS -COMPANY MEMBERSHIP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</row>
        <row r="127">
          <cell r="A127" t="str">
            <v>155-10-030</v>
          </cell>
          <cell r="B127">
            <v>2</v>
          </cell>
          <cell r="C127" t="str">
            <v>TRAVELLING &amp; ACCOMMODATION</v>
          </cell>
          <cell r="D127">
            <v>255423.45</v>
          </cell>
          <cell r="E127">
            <v>1000</v>
          </cell>
          <cell r="F127">
            <v>1714.2857142857142</v>
          </cell>
          <cell r="G127">
            <v>148.99701250000001</v>
          </cell>
          <cell r="H127" t="str">
            <v>Budget for Factory Manager</v>
          </cell>
        </row>
        <row r="128">
          <cell r="A128" t="str">
            <v>155-10-032</v>
          </cell>
          <cell r="B128">
            <v>2</v>
          </cell>
          <cell r="C128" t="str">
            <v xml:space="preserve">MOTOR CAR EXPENSES 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</row>
        <row r="129">
          <cell r="A129" t="str">
            <v>155-10-040</v>
          </cell>
          <cell r="B129">
            <v>2</v>
          </cell>
          <cell r="C129" t="str">
            <v>POSTAGE</v>
          </cell>
          <cell r="D129">
            <v>8100</v>
          </cell>
          <cell r="E129">
            <v>11000</v>
          </cell>
          <cell r="F129">
            <v>18857.142857142855</v>
          </cell>
          <cell r="G129">
            <v>0.42954545454545462</v>
          </cell>
        </row>
        <row r="130">
          <cell r="A130" t="str">
            <v>155-10-041</v>
          </cell>
          <cell r="B130">
            <v>2</v>
          </cell>
          <cell r="C130" t="str">
            <v>TELEPHONE &amp; FAX</v>
          </cell>
          <cell r="D130">
            <v>111000</v>
          </cell>
          <cell r="E130">
            <v>85000</v>
          </cell>
          <cell r="F130">
            <v>140000</v>
          </cell>
          <cell r="G130">
            <v>0.79285714285714282</v>
          </cell>
          <cell r="H130" t="str">
            <v>Budget for Factory Manager</v>
          </cell>
        </row>
        <row r="131">
          <cell r="A131" t="str">
            <v>155-10-044</v>
          </cell>
          <cell r="B131">
            <v>2</v>
          </cell>
          <cell r="C131" t="str">
            <v>PROFFESSIONAL TRAINING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 t="str">
            <v>Budget for Factory Manager</v>
          </cell>
        </row>
        <row r="132">
          <cell r="A132" t="str">
            <v>155-10-046</v>
          </cell>
          <cell r="B132">
            <v>2</v>
          </cell>
          <cell r="C132" t="str">
            <v xml:space="preserve">SUBSCRIPTION- STAFF CLUB MEMBERSHIP </v>
          </cell>
          <cell r="D132">
            <v>180000</v>
          </cell>
          <cell r="E132">
            <v>0</v>
          </cell>
          <cell r="F132">
            <v>0</v>
          </cell>
          <cell r="G132">
            <v>0</v>
          </cell>
          <cell r="H132" t="str">
            <v>Budget for Factory Manager</v>
          </cell>
        </row>
        <row r="133">
          <cell r="A133" t="str">
            <v>155-10-054</v>
          </cell>
          <cell r="B133">
            <v>2</v>
          </cell>
          <cell r="C133" t="str">
            <v>LEASED LINES-INTERNET SERVICES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</row>
        <row r="134">
          <cell r="A134" t="str">
            <v>155-10-057</v>
          </cell>
          <cell r="B134">
            <v>2</v>
          </cell>
          <cell r="C134" t="str">
            <v>SOFTWARE LICENCES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</row>
        <row r="135">
          <cell r="A135" t="str">
            <v>155-10-059</v>
          </cell>
          <cell r="B135">
            <v>2</v>
          </cell>
          <cell r="E135">
            <v>0</v>
          </cell>
          <cell r="G135">
            <v>0</v>
          </cell>
        </row>
        <row r="136">
          <cell r="A136" t="str">
            <v>155-10-060</v>
          </cell>
          <cell r="B136">
            <v>2</v>
          </cell>
          <cell r="E136">
            <v>0</v>
          </cell>
          <cell r="G136">
            <v>0</v>
          </cell>
        </row>
        <row r="137">
          <cell r="A137" t="str">
            <v>155-10-062</v>
          </cell>
          <cell r="B137">
            <v>2</v>
          </cell>
          <cell r="C137" t="str">
            <v>EDUCATION EXPENSES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</row>
        <row r="138">
          <cell r="A138" t="str">
            <v>105-10-010</v>
          </cell>
          <cell r="B138">
            <v>3</v>
          </cell>
          <cell r="C138" t="str">
            <v>BASIC SALARY</v>
          </cell>
          <cell r="D138">
            <v>3927504</v>
          </cell>
          <cell r="E138">
            <v>1992500</v>
          </cell>
          <cell r="F138">
            <v>3453625</v>
          </cell>
          <cell r="G138">
            <v>1.1372120597922475</v>
          </cell>
          <cell r="H138" t="str">
            <v>Deployment of  S. Simwa from Customer Service and budget for new staff</v>
          </cell>
        </row>
        <row r="139">
          <cell r="A139" t="str">
            <v>105-10-012</v>
          </cell>
          <cell r="B139">
            <v>3</v>
          </cell>
          <cell r="C139" t="str">
            <v>PROVISION FOR MORT. RATE ADJUSTMENTS</v>
          </cell>
          <cell r="D139">
            <v>17700</v>
          </cell>
          <cell r="E139">
            <v>10000</v>
          </cell>
          <cell r="F139">
            <v>17375</v>
          </cell>
          <cell r="G139">
            <v>1.0187050359712231</v>
          </cell>
        </row>
        <row r="140">
          <cell r="A140" t="str">
            <v>105-10-020</v>
          </cell>
          <cell r="B140">
            <v>3</v>
          </cell>
          <cell r="C140" t="str">
            <v>HOUSE ALLOWANCE</v>
          </cell>
          <cell r="D140">
            <v>435600</v>
          </cell>
          <cell r="E140">
            <v>323500</v>
          </cell>
          <cell r="F140">
            <v>505000</v>
          </cell>
          <cell r="G140">
            <v>0.86257425742574256</v>
          </cell>
        </row>
        <row r="141">
          <cell r="A141" t="str">
            <v>105-10-030</v>
          </cell>
          <cell r="B141">
            <v>3</v>
          </cell>
          <cell r="C141" t="str">
            <v>TELEPHONE ALLOWANCE</v>
          </cell>
          <cell r="D141">
            <v>0</v>
          </cell>
          <cell r="E141">
            <v>18000</v>
          </cell>
          <cell r="F141">
            <v>18000</v>
          </cell>
          <cell r="G141">
            <v>0</v>
          </cell>
        </row>
        <row r="142">
          <cell r="A142" t="str">
            <v>105-10-040</v>
          </cell>
          <cell r="B142">
            <v>3</v>
          </cell>
          <cell r="C142" t="str">
            <v>SECURITY ALLOWANCE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</row>
        <row r="143">
          <cell r="A143" t="str">
            <v>105-10-050</v>
          </cell>
          <cell r="B143">
            <v>3</v>
          </cell>
          <cell r="C143" t="str">
            <v>EDUCATION ALLOWANCE</v>
          </cell>
          <cell r="D143">
            <v>0</v>
          </cell>
          <cell r="E143">
            <v>0</v>
          </cell>
          <cell r="G143">
            <v>0</v>
          </cell>
        </row>
        <row r="144">
          <cell r="A144" t="str">
            <v>105-10-060</v>
          </cell>
          <cell r="B144">
            <v>3</v>
          </cell>
          <cell r="C144" t="str">
            <v>TRAVEL ALLOWANCE</v>
          </cell>
          <cell r="D144">
            <v>124800</v>
          </cell>
          <cell r="E144">
            <v>73000</v>
          </cell>
          <cell r="F144">
            <v>125000</v>
          </cell>
          <cell r="G144">
            <v>0.99839999999999995</v>
          </cell>
        </row>
        <row r="145">
          <cell r="A145" t="str">
            <v>105-20-010</v>
          </cell>
          <cell r="B145">
            <v>3</v>
          </cell>
          <cell r="C145" t="str">
            <v>NSSF</v>
          </cell>
          <cell r="D145">
            <v>14400</v>
          </cell>
          <cell r="E145">
            <v>7000</v>
          </cell>
          <cell r="F145">
            <v>13000</v>
          </cell>
          <cell r="G145">
            <v>1.1076923076923078</v>
          </cell>
          <cell r="H145" t="str">
            <v>Deployment of  S. Simwa from Customer Service and budget for new staff</v>
          </cell>
        </row>
        <row r="146">
          <cell r="A146" t="str">
            <v>105-20-020</v>
          </cell>
          <cell r="B146">
            <v>3</v>
          </cell>
          <cell r="C146" t="str">
            <v>NHIF</v>
          </cell>
          <cell r="D146">
            <v>17280</v>
          </cell>
          <cell r="E146">
            <v>8000</v>
          </cell>
          <cell r="F146">
            <v>15200</v>
          </cell>
          <cell r="G146">
            <v>1.1368421052631579</v>
          </cell>
          <cell r="H146" t="str">
            <v>Deployment of  S. Simwa from Customer Service and budget for new staff</v>
          </cell>
        </row>
        <row r="147">
          <cell r="A147" t="str">
            <v>105-30-010</v>
          </cell>
          <cell r="B147">
            <v>3</v>
          </cell>
          <cell r="C147" t="str">
            <v xml:space="preserve">PENSION </v>
          </cell>
          <cell r="D147">
            <v>490938</v>
          </cell>
          <cell r="E147">
            <v>217000</v>
          </cell>
          <cell r="F147">
            <v>421557.5</v>
          </cell>
          <cell r="G147">
            <v>1.1645813441819921</v>
          </cell>
          <cell r="H147" t="str">
            <v>Deployment of  S. Simwa from Customer Service and budget for new staff</v>
          </cell>
        </row>
        <row r="148">
          <cell r="A148" t="str">
            <v>105-30-020</v>
          </cell>
          <cell r="B148">
            <v>3</v>
          </cell>
          <cell r="C148" t="str">
            <v>LAST EXPENSE</v>
          </cell>
          <cell r="D148">
            <v>9000</v>
          </cell>
          <cell r="E148">
            <v>4000</v>
          </cell>
          <cell r="F148">
            <v>6857.1428571428569</v>
          </cell>
          <cell r="G148">
            <v>1.3125</v>
          </cell>
        </row>
        <row r="149">
          <cell r="A149" t="str">
            <v>105-30-030</v>
          </cell>
          <cell r="B149">
            <v>3</v>
          </cell>
          <cell r="C149" t="str">
            <v>GROUP LIFE ASSURANCE</v>
          </cell>
          <cell r="D149">
            <v>70245.58</v>
          </cell>
          <cell r="E149">
            <v>55000</v>
          </cell>
          <cell r="F149">
            <v>94285.71428571429</v>
          </cell>
          <cell r="G149">
            <v>0.74502887878787882</v>
          </cell>
        </row>
        <row r="150">
          <cell r="A150" t="str">
            <v>105-30-040</v>
          </cell>
          <cell r="B150">
            <v>3</v>
          </cell>
          <cell r="C150" t="str">
            <v>STAFF MEDICAL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</row>
        <row r="151">
          <cell r="A151" t="str">
            <v>105-30-050</v>
          </cell>
          <cell r="B151">
            <v>3</v>
          </cell>
          <cell r="C151" t="str">
            <v>CASH IN LIEU OF LEAVE</v>
          </cell>
          <cell r="D151">
            <v>98187.6</v>
          </cell>
          <cell r="E151">
            <v>88000</v>
          </cell>
          <cell r="F151">
            <v>150857.14285714284</v>
          </cell>
          <cell r="G151">
            <v>0.65086477272727283</v>
          </cell>
        </row>
        <row r="152">
          <cell r="A152" t="str">
            <v>105-30-060</v>
          </cell>
          <cell r="B152">
            <v>3</v>
          </cell>
          <cell r="C152" t="str">
            <v>GRATUITY</v>
          </cell>
          <cell r="E152">
            <v>0</v>
          </cell>
          <cell r="F152">
            <v>0</v>
          </cell>
          <cell r="G152">
            <v>0</v>
          </cell>
        </row>
        <row r="153">
          <cell r="A153" t="str">
            <v>105-30-070</v>
          </cell>
          <cell r="B153">
            <v>3</v>
          </cell>
          <cell r="C153" t="str">
            <v>LONG SERVICE AWARDS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</row>
        <row r="154">
          <cell r="A154" t="str">
            <v>105-30-080</v>
          </cell>
          <cell r="B154">
            <v>3</v>
          </cell>
          <cell r="C154" t="str">
            <v>STAFF RECRUITMENT &amp; REMOVALS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</row>
        <row r="155">
          <cell r="A155" t="str">
            <v>115-10-010</v>
          </cell>
          <cell r="B155">
            <v>3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</row>
        <row r="156">
          <cell r="A156" t="str">
            <v>115-10-010</v>
          </cell>
          <cell r="B156">
            <v>3</v>
          </cell>
          <cell r="D156">
            <v>0</v>
          </cell>
          <cell r="F156">
            <v>0</v>
          </cell>
          <cell r="G156">
            <v>0</v>
          </cell>
        </row>
        <row r="157">
          <cell r="A157" t="str">
            <v>115-10-020</v>
          </cell>
          <cell r="B157">
            <v>3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</row>
        <row r="158">
          <cell r="A158" t="str">
            <v>115-10-020</v>
          </cell>
          <cell r="B158">
            <v>3</v>
          </cell>
          <cell r="D158">
            <v>0</v>
          </cell>
          <cell r="G158">
            <v>0</v>
          </cell>
        </row>
        <row r="159">
          <cell r="A159" t="str">
            <v>115-10-030</v>
          </cell>
          <cell r="B159">
            <v>3</v>
          </cell>
          <cell r="D159">
            <v>0</v>
          </cell>
          <cell r="E159">
            <v>0</v>
          </cell>
          <cell r="F159">
            <v>0</v>
          </cell>
          <cell r="G159">
            <v>0</v>
          </cell>
        </row>
        <row r="160">
          <cell r="A160" t="str">
            <v>115-10-030</v>
          </cell>
          <cell r="B160">
            <v>3</v>
          </cell>
          <cell r="D160">
            <v>0</v>
          </cell>
          <cell r="F160">
            <v>0</v>
          </cell>
          <cell r="G160">
            <v>0</v>
          </cell>
        </row>
        <row r="161">
          <cell r="A161" t="str">
            <v>115-10-040</v>
          </cell>
          <cell r="B161">
            <v>3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 t="str">
            <v>Based on Current Year's occupied Space &amp; Budget</v>
          </cell>
        </row>
        <row r="162">
          <cell r="A162" t="str">
            <v>115-10-040</v>
          </cell>
          <cell r="B162">
            <v>3</v>
          </cell>
          <cell r="D162">
            <v>0</v>
          </cell>
          <cell r="F162">
            <v>0</v>
          </cell>
          <cell r="G162">
            <v>0</v>
          </cell>
        </row>
        <row r="163">
          <cell r="A163" t="str">
            <v>115-10-050</v>
          </cell>
          <cell r="B163">
            <v>3</v>
          </cell>
          <cell r="C163" t="str">
            <v>OFFICE CATERING &amp; STAFF WELFARE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</row>
        <row r="164">
          <cell r="A164" t="str">
            <v>115-10-051</v>
          </cell>
          <cell r="B164">
            <v>3</v>
          </cell>
          <cell r="C164" t="str">
            <v>OFFICE CLEANING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</row>
        <row r="165">
          <cell r="A165" t="str">
            <v>115-10-060</v>
          </cell>
          <cell r="B165">
            <v>3</v>
          </cell>
          <cell r="C165" t="str">
            <v>OFFICE WATER</v>
          </cell>
          <cell r="D165">
            <v>0</v>
          </cell>
          <cell r="E165">
            <v>0</v>
          </cell>
          <cell r="F165">
            <v>0</v>
          </cell>
          <cell r="G165">
            <v>0</v>
          </cell>
        </row>
        <row r="166">
          <cell r="A166" t="str">
            <v>115-10-070</v>
          </cell>
          <cell r="B166">
            <v>3</v>
          </cell>
          <cell r="C166" t="str">
            <v>OFFICE ELECTRICITY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</row>
        <row r="167">
          <cell r="A167" t="str">
            <v>115-10-080</v>
          </cell>
          <cell r="B167">
            <v>3</v>
          </cell>
          <cell r="C167" t="str">
            <v>OFFICE SECURITY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</row>
        <row r="168">
          <cell r="A168" t="str">
            <v>125-10-010</v>
          </cell>
          <cell r="B168">
            <v>3</v>
          </cell>
          <cell r="C168" t="str">
            <v>BANK CHARGES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</row>
        <row r="169">
          <cell r="A169" t="str">
            <v>125-10-020</v>
          </cell>
          <cell r="B169">
            <v>3</v>
          </cell>
          <cell r="C169" t="str">
            <v>BANK OVERDRART CHARGES</v>
          </cell>
          <cell r="E169">
            <v>0</v>
          </cell>
          <cell r="F169">
            <v>0</v>
          </cell>
          <cell r="G169">
            <v>0</v>
          </cell>
        </row>
        <row r="170">
          <cell r="A170" t="str">
            <v>145-10-010</v>
          </cell>
          <cell r="B170">
            <v>3</v>
          </cell>
          <cell r="C170" t="str">
            <v>ALA Group charges- Individual life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</row>
        <row r="171">
          <cell r="A171" t="str">
            <v>145-10-020</v>
          </cell>
          <cell r="B171">
            <v>3</v>
          </cell>
          <cell r="C171" t="str">
            <v>Actuarial fees- Individual life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</row>
        <row r="172">
          <cell r="A172" t="str">
            <v>145-10-030</v>
          </cell>
          <cell r="B172">
            <v>3</v>
          </cell>
          <cell r="C172" t="str">
            <v>Audit fee -individual life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</row>
        <row r="173">
          <cell r="A173" t="str">
            <v>145-10-031</v>
          </cell>
          <cell r="B173">
            <v>3</v>
          </cell>
          <cell r="C173" t="str">
            <v>Tax filing returns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</row>
        <row r="174">
          <cell r="A174" t="str">
            <v>145-10-040</v>
          </cell>
          <cell r="B174">
            <v>3</v>
          </cell>
          <cell r="C174" t="str">
            <v>Legal fees</v>
          </cell>
          <cell r="D174">
            <v>0</v>
          </cell>
          <cell r="E174">
            <v>0</v>
          </cell>
          <cell r="F174">
            <v>0</v>
          </cell>
          <cell r="G174">
            <v>0</v>
          </cell>
        </row>
        <row r="175">
          <cell r="A175" t="str">
            <v>145-10-060</v>
          </cell>
          <cell r="B175">
            <v>3</v>
          </cell>
          <cell r="C175" t="str">
            <v>Intra company charges- individual life</v>
          </cell>
          <cell r="G175">
            <v>0</v>
          </cell>
        </row>
        <row r="176">
          <cell r="A176" t="str">
            <v>145-10-060</v>
          </cell>
          <cell r="B176">
            <v>3</v>
          </cell>
          <cell r="E176">
            <v>0</v>
          </cell>
          <cell r="G176">
            <v>0</v>
          </cell>
        </row>
        <row r="177">
          <cell r="A177" t="str">
            <v>145-10-080</v>
          </cell>
          <cell r="B177">
            <v>3</v>
          </cell>
          <cell r="C177" t="str">
            <v>40% Excutive recharge</v>
          </cell>
          <cell r="F177">
            <v>0</v>
          </cell>
          <cell r="G177">
            <v>0</v>
          </cell>
        </row>
        <row r="178">
          <cell r="A178" t="str">
            <v>145-10-080</v>
          </cell>
          <cell r="B178">
            <v>3</v>
          </cell>
          <cell r="C178" t="str">
            <v xml:space="preserve">Recharges: 10% recharge to Corporate </v>
          </cell>
          <cell r="E178">
            <v>0</v>
          </cell>
          <cell r="G178">
            <v>0</v>
          </cell>
        </row>
        <row r="179">
          <cell r="A179" t="str">
            <v>145-10-100</v>
          </cell>
          <cell r="B179">
            <v>3</v>
          </cell>
          <cell r="E179">
            <v>0</v>
          </cell>
          <cell r="G179">
            <v>0</v>
          </cell>
        </row>
        <row r="180">
          <cell r="A180" t="str">
            <v>155-10-007</v>
          </cell>
          <cell r="B180">
            <v>3</v>
          </cell>
          <cell r="C180" t="str">
            <v>NEWSPAPERS &amp; JOURNALS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</row>
        <row r="181">
          <cell r="A181" t="str">
            <v>155-10-008</v>
          </cell>
          <cell r="B181">
            <v>3</v>
          </cell>
          <cell r="C181" t="str">
            <v>ENTERTAINMENT &amp; DONATIONS</v>
          </cell>
          <cell r="D181">
            <v>15000</v>
          </cell>
          <cell r="E181">
            <v>8000</v>
          </cell>
          <cell r="F181">
            <v>13714.285714285714</v>
          </cell>
          <cell r="G181">
            <v>1.09375</v>
          </cell>
        </row>
        <row r="182">
          <cell r="A182" t="str">
            <v>155-10-009</v>
          </cell>
          <cell r="B182">
            <v>3</v>
          </cell>
          <cell r="C182" t="str">
            <v>COURIER &amp; FREIGHT CHARGES</v>
          </cell>
          <cell r="D182">
            <v>0</v>
          </cell>
          <cell r="E182">
            <v>0</v>
          </cell>
          <cell r="F182">
            <v>0</v>
          </cell>
          <cell r="G182">
            <v>0</v>
          </cell>
        </row>
        <row r="183">
          <cell r="A183" t="str">
            <v>155-10-010</v>
          </cell>
          <cell r="B183">
            <v>3</v>
          </cell>
          <cell r="C183" t="str">
            <v>ADVERTISING &amp; PUBLICITY</v>
          </cell>
          <cell r="D183">
            <v>525000</v>
          </cell>
          <cell r="E183">
            <v>75000</v>
          </cell>
          <cell r="F183">
            <v>630000</v>
          </cell>
          <cell r="G183">
            <v>0.83333333333333337</v>
          </cell>
        </row>
        <row r="184">
          <cell r="A184" t="str">
            <v>155-10-012</v>
          </cell>
          <cell r="B184">
            <v>3</v>
          </cell>
          <cell r="C184" t="str">
            <v>TRADE LICENCES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</row>
        <row r="185">
          <cell r="A185" t="str">
            <v>155-10-013</v>
          </cell>
          <cell r="B185">
            <v>3</v>
          </cell>
          <cell r="C185" t="str">
            <v>INSURANCES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</row>
        <row r="186">
          <cell r="A186" t="str">
            <v>155-10-014</v>
          </cell>
          <cell r="B186">
            <v>3</v>
          </cell>
          <cell r="C186" t="str">
            <v>PHOTOCOPY</v>
          </cell>
          <cell r="D186">
            <v>0</v>
          </cell>
          <cell r="E186">
            <v>0</v>
          </cell>
          <cell r="F186">
            <v>0</v>
          </cell>
          <cell r="G186">
            <v>0</v>
          </cell>
        </row>
        <row r="187">
          <cell r="A187" t="str">
            <v>155-10-015</v>
          </cell>
          <cell r="B187">
            <v>3</v>
          </cell>
          <cell r="C187" t="str">
            <v>COMPUTER MAINTAINANCE</v>
          </cell>
          <cell r="D187">
            <v>0</v>
          </cell>
          <cell r="E187">
            <v>0</v>
          </cell>
          <cell r="F187">
            <v>0</v>
          </cell>
          <cell r="G187">
            <v>0</v>
          </cell>
        </row>
        <row r="188">
          <cell r="A188" t="str">
            <v>155-10-016</v>
          </cell>
          <cell r="B188">
            <v>3</v>
          </cell>
          <cell r="C188" t="str">
            <v>EQUIPMENT&amp; FURNITURE REPAIRS &amp; MAINTENANCE</v>
          </cell>
          <cell r="D188">
            <v>0</v>
          </cell>
          <cell r="E188">
            <v>0</v>
          </cell>
          <cell r="F188">
            <v>0</v>
          </cell>
          <cell r="G188">
            <v>0</v>
          </cell>
        </row>
        <row r="189">
          <cell r="A189" t="str">
            <v>155-10-017</v>
          </cell>
          <cell r="B189">
            <v>3</v>
          </cell>
          <cell r="C189" t="str">
            <v>SEMINARS &amp; SHORT TERM COURSES</v>
          </cell>
          <cell r="D189">
            <v>0</v>
          </cell>
          <cell r="E189">
            <v>20000</v>
          </cell>
          <cell r="F189">
            <v>34285.71428571429</v>
          </cell>
          <cell r="G189">
            <v>0</v>
          </cell>
        </row>
        <row r="190">
          <cell r="A190" t="str">
            <v>155-10-022</v>
          </cell>
          <cell r="B190">
            <v>3</v>
          </cell>
          <cell r="C190" t="str">
            <v>PRINTING &amp; STATIONERY</v>
          </cell>
          <cell r="D190">
            <v>466210.5</v>
          </cell>
          <cell r="E190">
            <v>164000</v>
          </cell>
          <cell r="F190">
            <v>281142.85714285716</v>
          </cell>
          <cell r="G190">
            <v>1.6582690548780488</v>
          </cell>
          <cell r="H190" t="str">
            <v>There will ban expected increase in letters outwards in line with business growth</v>
          </cell>
        </row>
        <row r="191">
          <cell r="A191" t="str">
            <v>155-10-025</v>
          </cell>
          <cell r="B191">
            <v>3</v>
          </cell>
          <cell r="C191" t="str">
            <v>STRATEGIC PLANNING</v>
          </cell>
          <cell r="D191">
            <v>0</v>
          </cell>
          <cell r="E191">
            <v>0</v>
          </cell>
          <cell r="F191">
            <v>0</v>
          </cell>
          <cell r="G191">
            <v>0</v>
          </cell>
        </row>
        <row r="192">
          <cell r="A192" t="str">
            <v>155-10-027</v>
          </cell>
          <cell r="B192">
            <v>3</v>
          </cell>
          <cell r="C192" t="str">
            <v>PROFESSIONAL SUBSCRIPTIONS</v>
          </cell>
          <cell r="D192">
            <v>16325</v>
          </cell>
          <cell r="E192">
            <v>3000</v>
          </cell>
          <cell r="F192">
            <v>5142.8571428571431</v>
          </cell>
          <cell r="G192">
            <v>3.1743055555555553</v>
          </cell>
        </row>
        <row r="193">
          <cell r="A193" t="str">
            <v>155-10-028</v>
          </cell>
          <cell r="B193">
            <v>3</v>
          </cell>
          <cell r="C193" t="str">
            <v xml:space="preserve"> SUBSCRIPTIONS -COMPANY MEMBERSHIP</v>
          </cell>
          <cell r="D193">
            <v>0</v>
          </cell>
          <cell r="E193">
            <v>0</v>
          </cell>
          <cell r="F193">
            <v>0</v>
          </cell>
          <cell r="G193">
            <v>0</v>
          </cell>
        </row>
        <row r="194">
          <cell r="A194" t="str">
            <v>155-10-030</v>
          </cell>
          <cell r="B194">
            <v>3</v>
          </cell>
          <cell r="C194" t="str">
            <v>TRAVELLING &amp; ACCOMMODATION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</row>
        <row r="195">
          <cell r="A195" t="str">
            <v>155-10-032</v>
          </cell>
          <cell r="B195">
            <v>3</v>
          </cell>
          <cell r="C195" t="str">
            <v xml:space="preserve">MOTOR CAR EXPENSES </v>
          </cell>
          <cell r="D195">
            <v>0</v>
          </cell>
          <cell r="E195">
            <v>0</v>
          </cell>
          <cell r="F195">
            <v>0</v>
          </cell>
          <cell r="G195">
            <v>0</v>
          </cell>
        </row>
        <row r="196">
          <cell r="A196" t="str">
            <v>155-10-040</v>
          </cell>
          <cell r="B196">
            <v>3</v>
          </cell>
          <cell r="C196" t="str">
            <v>POSTAGE</v>
          </cell>
          <cell r="D196">
            <v>1236000</v>
          </cell>
          <cell r="E196">
            <v>228000</v>
          </cell>
          <cell r="F196">
            <v>390857.14285714284</v>
          </cell>
          <cell r="G196">
            <v>3.1622807017543861</v>
          </cell>
          <cell r="H196" t="str">
            <v>It is expected that Update letters will increase from the average 3,000 to 4,500 p.m</v>
          </cell>
        </row>
        <row r="197">
          <cell r="A197" t="str">
            <v>155-10-041</v>
          </cell>
          <cell r="B197">
            <v>3</v>
          </cell>
          <cell r="C197" t="str">
            <v>TELEPHONE &amp; FAX</v>
          </cell>
          <cell r="D197">
            <v>108000</v>
          </cell>
          <cell r="E197">
            <v>109000</v>
          </cell>
          <cell r="F197">
            <v>149000</v>
          </cell>
          <cell r="G197">
            <v>0.72483221476510062</v>
          </cell>
        </row>
        <row r="198">
          <cell r="A198" t="str">
            <v>155-10-044</v>
          </cell>
          <cell r="B198">
            <v>3</v>
          </cell>
          <cell r="C198" t="str">
            <v>PROFFESSIONAL TRAINING</v>
          </cell>
          <cell r="D198">
            <v>38500</v>
          </cell>
          <cell r="E198">
            <v>57085.416666666664</v>
          </cell>
          <cell r="F198">
            <v>97860.71428571429</v>
          </cell>
          <cell r="G198">
            <v>0.39341629867523081</v>
          </cell>
        </row>
        <row r="199">
          <cell r="A199" t="str">
            <v>155-10-046</v>
          </cell>
          <cell r="B199">
            <v>3</v>
          </cell>
          <cell r="C199" t="str">
            <v xml:space="preserve">SUBSCRIPTION- STAFF CLUB MEMBERSHIP </v>
          </cell>
          <cell r="D199">
            <v>0</v>
          </cell>
          <cell r="E199">
            <v>0</v>
          </cell>
          <cell r="F199">
            <v>0</v>
          </cell>
          <cell r="G199">
            <v>0</v>
          </cell>
        </row>
        <row r="200">
          <cell r="A200" t="str">
            <v>155-10-054</v>
          </cell>
          <cell r="B200">
            <v>3</v>
          </cell>
          <cell r="C200" t="str">
            <v>LEASED LINES-INTERNET SERVICES</v>
          </cell>
          <cell r="D200">
            <v>0</v>
          </cell>
          <cell r="E200">
            <v>0</v>
          </cell>
          <cell r="F200">
            <v>0</v>
          </cell>
          <cell r="G200">
            <v>0</v>
          </cell>
        </row>
        <row r="201">
          <cell r="A201" t="str">
            <v>155-10-057</v>
          </cell>
          <cell r="B201">
            <v>3</v>
          </cell>
          <cell r="C201" t="str">
            <v>SOFTWARE LICENCES</v>
          </cell>
          <cell r="D201">
            <v>0</v>
          </cell>
          <cell r="E201">
            <v>0</v>
          </cell>
          <cell r="F201">
            <v>0</v>
          </cell>
          <cell r="G201">
            <v>0</v>
          </cell>
        </row>
        <row r="202">
          <cell r="A202" t="str">
            <v>155-10-059</v>
          </cell>
          <cell r="B202">
            <v>3</v>
          </cell>
          <cell r="E202">
            <v>0</v>
          </cell>
          <cell r="G202">
            <v>0</v>
          </cell>
        </row>
        <row r="203">
          <cell r="A203" t="str">
            <v>155-10-060</v>
          </cell>
          <cell r="B203">
            <v>3</v>
          </cell>
          <cell r="E203">
            <v>0</v>
          </cell>
          <cell r="G203">
            <v>0</v>
          </cell>
        </row>
        <row r="204">
          <cell r="A204" t="str">
            <v>155-10-062</v>
          </cell>
          <cell r="B204">
            <v>3</v>
          </cell>
          <cell r="C204" t="str">
            <v>EDUCATION EXPENSES</v>
          </cell>
          <cell r="D204">
            <v>0</v>
          </cell>
          <cell r="E204">
            <v>0</v>
          </cell>
          <cell r="F204">
            <v>0</v>
          </cell>
          <cell r="G204">
            <v>0</v>
          </cell>
        </row>
        <row r="205">
          <cell r="A205" t="str">
            <v>105-10-010</v>
          </cell>
          <cell r="B205">
            <v>4</v>
          </cell>
          <cell r="C205" t="str">
            <v>BASIC SALARY</v>
          </cell>
          <cell r="D205">
            <v>7817479.6800000016</v>
          </cell>
          <cell r="E205">
            <v>3758792.2241666666</v>
          </cell>
          <cell r="F205">
            <v>6395902.2241666671</v>
          </cell>
          <cell r="G205">
            <v>1.2222637879706728</v>
          </cell>
          <cell r="H205" t="str">
            <v>THREE NEW STAFF FOR ENABLED BRANCHES(NAKURU,KISUMU AND NYERI)</v>
          </cell>
        </row>
        <row r="206">
          <cell r="A206" t="str">
            <v>105-10-012</v>
          </cell>
          <cell r="B206">
            <v>4</v>
          </cell>
          <cell r="C206" t="str">
            <v>PROVISION FOR MORT. RATE ADJUSTMENTS</v>
          </cell>
          <cell r="D206">
            <v>26580</v>
          </cell>
          <cell r="E206">
            <v>34000</v>
          </cell>
          <cell r="F206">
            <v>45075</v>
          </cell>
          <cell r="G206">
            <v>0.58968386023294506</v>
          </cell>
        </row>
        <row r="207">
          <cell r="A207" t="str">
            <v>105-10-020</v>
          </cell>
          <cell r="B207">
            <v>4</v>
          </cell>
          <cell r="C207" t="str">
            <v>HOUSE ALLOWANCE</v>
          </cell>
          <cell r="D207">
            <v>937764</v>
          </cell>
          <cell r="E207">
            <v>507000</v>
          </cell>
          <cell r="F207">
            <v>897735</v>
          </cell>
          <cell r="G207">
            <v>1.0445888820197498</v>
          </cell>
        </row>
        <row r="208">
          <cell r="A208" t="str">
            <v>105-10-030</v>
          </cell>
          <cell r="B208">
            <v>4</v>
          </cell>
          <cell r="C208" t="str">
            <v>TELEPHONE ALLOWANCE</v>
          </cell>
          <cell r="D208">
            <v>24000</v>
          </cell>
          <cell r="E208">
            <v>14000</v>
          </cell>
          <cell r="F208">
            <v>24000</v>
          </cell>
          <cell r="G208">
            <v>1</v>
          </cell>
        </row>
        <row r="209">
          <cell r="A209" t="str">
            <v>105-10-040</v>
          </cell>
          <cell r="B209">
            <v>4</v>
          </cell>
          <cell r="C209" t="str">
            <v>SECURITY ALLOWANCE</v>
          </cell>
          <cell r="D209">
            <v>0</v>
          </cell>
          <cell r="E209">
            <v>0</v>
          </cell>
          <cell r="F209">
            <v>0</v>
          </cell>
          <cell r="G209">
            <v>0</v>
          </cell>
        </row>
        <row r="210">
          <cell r="A210" t="str">
            <v>105-10-050</v>
          </cell>
          <cell r="B210">
            <v>4</v>
          </cell>
          <cell r="C210" t="str">
            <v>EDUCATION ALLOWANCE</v>
          </cell>
          <cell r="D210">
            <v>0</v>
          </cell>
          <cell r="E210">
            <v>0</v>
          </cell>
          <cell r="F210">
            <v>39000</v>
          </cell>
          <cell r="G210">
            <v>0</v>
          </cell>
        </row>
        <row r="211">
          <cell r="A211" t="str">
            <v>105-10-060</v>
          </cell>
          <cell r="B211">
            <v>4</v>
          </cell>
          <cell r="C211" t="str">
            <v>TRAVEL ALLOWANCE</v>
          </cell>
          <cell r="D211">
            <v>93600</v>
          </cell>
          <cell r="E211">
            <v>55000</v>
          </cell>
          <cell r="F211">
            <v>94000</v>
          </cell>
          <cell r="G211">
            <v>0.99574468085106382</v>
          </cell>
        </row>
        <row r="212">
          <cell r="A212" t="str">
            <v>105-20-010</v>
          </cell>
          <cell r="B212">
            <v>4</v>
          </cell>
          <cell r="C212" t="str">
            <v>NSSF</v>
          </cell>
          <cell r="D212">
            <v>36000</v>
          </cell>
          <cell r="E212">
            <v>17480</v>
          </cell>
          <cell r="F212">
            <v>32480</v>
          </cell>
          <cell r="G212">
            <v>1.1083743842364533</v>
          </cell>
          <cell r="H212" t="str">
            <v>THREE NEW STAFF FOR ENABLED BRANCHES(NAKURU,KISUMU AND NYERI)</v>
          </cell>
        </row>
        <row r="213">
          <cell r="A213" t="str">
            <v>105-20-020</v>
          </cell>
          <cell r="B213">
            <v>4</v>
          </cell>
          <cell r="C213" t="str">
            <v>NHIF</v>
          </cell>
          <cell r="D213">
            <v>43200</v>
          </cell>
          <cell r="E213">
            <v>17480</v>
          </cell>
          <cell r="F213">
            <v>35480</v>
          </cell>
          <cell r="G213">
            <v>1.217587373167982</v>
          </cell>
          <cell r="H213" t="str">
            <v>THREE NEW STAFF FOR ENABLED BRANCHES(NAKURU,KISUMU AND NYERI)</v>
          </cell>
        </row>
        <row r="214">
          <cell r="A214" t="str">
            <v>105-30-010</v>
          </cell>
          <cell r="B214">
            <v>4</v>
          </cell>
          <cell r="C214" t="str">
            <v xml:space="preserve">PENSION </v>
          </cell>
          <cell r="D214">
            <v>977184.96</v>
          </cell>
          <cell r="E214">
            <v>449974.02802083333</v>
          </cell>
          <cell r="F214">
            <v>857134.42802083341</v>
          </cell>
          <cell r="G214">
            <v>1.1400603313255886</v>
          </cell>
        </row>
        <row r="215">
          <cell r="A215" t="str">
            <v>105-30-020</v>
          </cell>
          <cell r="B215">
            <v>4</v>
          </cell>
          <cell r="C215" t="str">
            <v>LAST EXPENSE</v>
          </cell>
          <cell r="D215">
            <v>23500</v>
          </cell>
          <cell r="E215">
            <v>8000</v>
          </cell>
          <cell r="F215">
            <v>13714.285714285714</v>
          </cell>
          <cell r="G215">
            <v>1.7135416666666667</v>
          </cell>
        </row>
        <row r="216">
          <cell r="A216" t="str">
            <v>105-30-030</v>
          </cell>
          <cell r="B216">
            <v>4</v>
          </cell>
          <cell r="C216" t="str">
            <v>GROUP LIFE ASSURANCE</v>
          </cell>
          <cell r="D216">
            <v>151545.03</v>
          </cell>
          <cell r="E216">
            <v>98000</v>
          </cell>
          <cell r="F216">
            <v>168000</v>
          </cell>
          <cell r="G216">
            <v>0.90205374999999977</v>
          </cell>
        </row>
        <row r="217">
          <cell r="A217" t="str">
            <v>105-30-040</v>
          </cell>
          <cell r="B217">
            <v>4</v>
          </cell>
          <cell r="C217" t="str">
            <v>STAFF MEDICAL</v>
          </cell>
          <cell r="D217">
            <v>0</v>
          </cell>
          <cell r="E217">
            <v>0</v>
          </cell>
          <cell r="F217">
            <v>0</v>
          </cell>
          <cell r="G217">
            <v>0</v>
          </cell>
        </row>
        <row r="218">
          <cell r="A218" t="str">
            <v>105-30-050</v>
          </cell>
          <cell r="B218">
            <v>4</v>
          </cell>
          <cell r="C218" t="str">
            <v>CASH IN LIEU OF LEAVE</v>
          </cell>
          <cell r="D218">
            <v>195436.99200000003</v>
          </cell>
          <cell r="E218">
            <v>-48000</v>
          </cell>
          <cell r="F218">
            <v>-82285.71428571429</v>
          </cell>
          <cell r="G218">
            <v>-2.3751023333333334</v>
          </cell>
        </row>
        <row r="219">
          <cell r="A219" t="str">
            <v>105-30-060</v>
          </cell>
          <cell r="B219">
            <v>4</v>
          </cell>
          <cell r="C219" t="str">
            <v>GRATUITY</v>
          </cell>
          <cell r="E219">
            <v>0</v>
          </cell>
          <cell r="F219">
            <v>0</v>
          </cell>
          <cell r="G219">
            <v>0</v>
          </cell>
        </row>
        <row r="220">
          <cell r="A220" t="str">
            <v>105-30-070</v>
          </cell>
          <cell r="B220">
            <v>4</v>
          </cell>
          <cell r="C220" t="str">
            <v>LONG SERVICE AWARDS</v>
          </cell>
          <cell r="D220">
            <v>0</v>
          </cell>
          <cell r="E220">
            <v>0</v>
          </cell>
          <cell r="F220">
            <v>0</v>
          </cell>
          <cell r="G220">
            <v>0</v>
          </cell>
        </row>
        <row r="221">
          <cell r="A221" t="str">
            <v>105-30-080</v>
          </cell>
          <cell r="B221">
            <v>4</v>
          </cell>
          <cell r="C221" t="str">
            <v>STAFF RECRUITMENT &amp; REMOVALS</v>
          </cell>
          <cell r="D221">
            <v>0</v>
          </cell>
          <cell r="E221">
            <v>0</v>
          </cell>
          <cell r="F221">
            <v>0</v>
          </cell>
          <cell r="G221">
            <v>0</v>
          </cell>
        </row>
        <row r="222">
          <cell r="A222" t="str">
            <v>115-10-010</v>
          </cell>
          <cell r="B222">
            <v>4</v>
          </cell>
          <cell r="D222">
            <v>0</v>
          </cell>
          <cell r="E222">
            <v>0</v>
          </cell>
          <cell r="F222">
            <v>0</v>
          </cell>
          <cell r="G222">
            <v>0</v>
          </cell>
        </row>
        <row r="223">
          <cell r="A223" t="str">
            <v>115-10-010</v>
          </cell>
          <cell r="B223">
            <v>4</v>
          </cell>
          <cell r="D223">
            <v>0</v>
          </cell>
          <cell r="F223">
            <v>0</v>
          </cell>
          <cell r="G223">
            <v>0</v>
          </cell>
        </row>
        <row r="224">
          <cell r="A224" t="str">
            <v>115-10-020</v>
          </cell>
          <cell r="B224">
            <v>4</v>
          </cell>
          <cell r="D224">
            <v>0</v>
          </cell>
          <cell r="E224">
            <v>0</v>
          </cell>
          <cell r="F224">
            <v>0</v>
          </cell>
          <cell r="G224">
            <v>0</v>
          </cell>
        </row>
        <row r="225">
          <cell r="A225" t="str">
            <v>115-10-020</v>
          </cell>
          <cell r="B225">
            <v>4</v>
          </cell>
          <cell r="D225">
            <v>0</v>
          </cell>
          <cell r="G225">
            <v>0</v>
          </cell>
        </row>
        <row r="226">
          <cell r="A226" t="str">
            <v>115-10-030</v>
          </cell>
          <cell r="B226">
            <v>4</v>
          </cell>
          <cell r="D226">
            <v>0</v>
          </cell>
          <cell r="E226">
            <v>0</v>
          </cell>
          <cell r="F226">
            <v>0</v>
          </cell>
          <cell r="G226">
            <v>0</v>
          </cell>
        </row>
        <row r="227">
          <cell r="A227" t="str">
            <v>115-10-030</v>
          </cell>
          <cell r="B227">
            <v>4</v>
          </cell>
          <cell r="D227">
            <v>0</v>
          </cell>
          <cell r="F227">
            <v>0</v>
          </cell>
          <cell r="G227">
            <v>0</v>
          </cell>
        </row>
        <row r="228">
          <cell r="A228" t="str">
            <v>115-10-040</v>
          </cell>
          <cell r="B228">
            <v>4</v>
          </cell>
          <cell r="D228">
            <v>0</v>
          </cell>
          <cell r="E228">
            <v>0</v>
          </cell>
          <cell r="F228">
            <v>0</v>
          </cell>
          <cell r="G228">
            <v>0</v>
          </cell>
        </row>
        <row r="229">
          <cell r="A229" t="str">
            <v>115-10-040</v>
          </cell>
          <cell r="B229">
            <v>4</v>
          </cell>
          <cell r="D229">
            <v>0</v>
          </cell>
          <cell r="F229">
            <v>0</v>
          </cell>
          <cell r="G229">
            <v>0</v>
          </cell>
        </row>
        <row r="230">
          <cell r="A230" t="str">
            <v>115-10-050</v>
          </cell>
          <cell r="B230">
            <v>4</v>
          </cell>
          <cell r="C230" t="str">
            <v>OFFICE CATERING &amp; STAFF WELFARE</v>
          </cell>
          <cell r="D230">
            <v>0</v>
          </cell>
          <cell r="E230">
            <v>0</v>
          </cell>
          <cell r="F230">
            <v>0</v>
          </cell>
          <cell r="G230">
            <v>0</v>
          </cell>
        </row>
        <row r="231">
          <cell r="A231" t="str">
            <v>115-10-051</v>
          </cell>
          <cell r="B231">
            <v>4</v>
          </cell>
          <cell r="C231" t="str">
            <v>OFFICE CLEANING</v>
          </cell>
          <cell r="D231">
            <v>0</v>
          </cell>
          <cell r="E231">
            <v>0</v>
          </cell>
          <cell r="F231">
            <v>0</v>
          </cell>
          <cell r="G231">
            <v>0</v>
          </cell>
        </row>
        <row r="232">
          <cell r="A232" t="str">
            <v>115-10-060</v>
          </cell>
          <cell r="B232">
            <v>4</v>
          </cell>
          <cell r="C232" t="str">
            <v>OFFICE WATER</v>
          </cell>
          <cell r="D232">
            <v>0</v>
          </cell>
          <cell r="E232">
            <v>0</v>
          </cell>
          <cell r="F232">
            <v>0</v>
          </cell>
          <cell r="G232">
            <v>0</v>
          </cell>
        </row>
        <row r="233">
          <cell r="A233" t="str">
            <v>115-10-070</v>
          </cell>
          <cell r="B233">
            <v>4</v>
          </cell>
          <cell r="C233" t="str">
            <v>OFFICE ELECTRICITY</v>
          </cell>
          <cell r="D233">
            <v>0</v>
          </cell>
          <cell r="E233">
            <v>0</v>
          </cell>
          <cell r="F233">
            <v>0</v>
          </cell>
          <cell r="G233">
            <v>0</v>
          </cell>
        </row>
        <row r="234">
          <cell r="A234" t="str">
            <v>115-10-080</v>
          </cell>
          <cell r="B234">
            <v>4</v>
          </cell>
          <cell r="C234" t="str">
            <v>OFFICE SECURITY</v>
          </cell>
          <cell r="D234">
            <v>0</v>
          </cell>
          <cell r="E234">
            <v>0</v>
          </cell>
          <cell r="F234">
            <v>0</v>
          </cell>
          <cell r="G234">
            <v>0</v>
          </cell>
        </row>
        <row r="235">
          <cell r="A235" t="str">
            <v>125-10-010</v>
          </cell>
          <cell r="B235">
            <v>4</v>
          </cell>
          <cell r="C235" t="str">
            <v>BANK CHARGES</v>
          </cell>
          <cell r="D235">
            <v>0</v>
          </cell>
          <cell r="E235">
            <v>0</v>
          </cell>
          <cell r="F235">
            <v>0</v>
          </cell>
          <cell r="G235">
            <v>0</v>
          </cell>
        </row>
        <row r="236">
          <cell r="A236" t="str">
            <v>125-10-020</v>
          </cell>
          <cell r="B236">
            <v>4</v>
          </cell>
          <cell r="C236" t="str">
            <v>BANK OVERDRART CHARGES</v>
          </cell>
          <cell r="E236">
            <v>0</v>
          </cell>
          <cell r="F236">
            <v>0</v>
          </cell>
          <cell r="G236">
            <v>0</v>
          </cell>
        </row>
        <row r="237">
          <cell r="A237" t="str">
            <v>145-10-010</v>
          </cell>
          <cell r="B237">
            <v>4</v>
          </cell>
          <cell r="C237" t="str">
            <v>ALA Group charges- Individual life</v>
          </cell>
          <cell r="D237">
            <v>0</v>
          </cell>
          <cell r="E237">
            <v>0</v>
          </cell>
          <cell r="F237">
            <v>0</v>
          </cell>
          <cell r="G237">
            <v>0</v>
          </cell>
        </row>
        <row r="238">
          <cell r="A238" t="str">
            <v>145-10-020</v>
          </cell>
          <cell r="B238">
            <v>4</v>
          </cell>
          <cell r="C238" t="str">
            <v>Actuarial fees- Individual life</v>
          </cell>
          <cell r="D238">
            <v>0</v>
          </cell>
          <cell r="E238">
            <v>0</v>
          </cell>
          <cell r="F238">
            <v>0</v>
          </cell>
          <cell r="G238">
            <v>0</v>
          </cell>
        </row>
        <row r="239">
          <cell r="A239" t="str">
            <v>145-10-030</v>
          </cell>
          <cell r="B239">
            <v>4</v>
          </cell>
          <cell r="C239" t="str">
            <v>Audit fee -individual life</v>
          </cell>
          <cell r="D239">
            <v>0</v>
          </cell>
          <cell r="E239">
            <v>0</v>
          </cell>
          <cell r="F239">
            <v>0</v>
          </cell>
          <cell r="G239">
            <v>0</v>
          </cell>
        </row>
        <row r="240">
          <cell r="A240" t="str">
            <v>145-10-031</v>
          </cell>
          <cell r="B240">
            <v>4</v>
          </cell>
          <cell r="C240" t="str">
            <v>Tax filing returns</v>
          </cell>
          <cell r="D240">
            <v>0</v>
          </cell>
          <cell r="E240">
            <v>0</v>
          </cell>
          <cell r="F240">
            <v>0</v>
          </cell>
          <cell r="G240">
            <v>0</v>
          </cell>
        </row>
        <row r="241">
          <cell r="A241" t="str">
            <v>145-10-040</v>
          </cell>
          <cell r="B241">
            <v>4</v>
          </cell>
          <cell r="C241" t="str">
            <v>Legal fees</v>
          </cell>
          <cell r="D241">
            <v>0</v>
          </cell>
          <cell r="E241">
            <v>0</v>
          </cell>
          <cell r="F241">
            <v>0</v>
          </cell>
          <cell r="G241">
            <v>0</v>
          </cell>
        </row>
        <row r="242">
          <cell r="A242" t="str">
            <v>145-10-060</v>
          </cell>
          <cell r="B242">
            <v>4</v>
          </cell>
          <cell r="C242" t="str">
            <v>Intra company charges- individual life</v>
          </cell>
          <cell r="G242">
            <v>0</v>
          </cell>
        </row>
        <row r="243">
          <cell r="A243" t="str">
            <v>145-10-060</v>
          </cell>
          <cell r="B243">
            <v>4</v>
          </cell>
          <cell r="E243">
            <v>0</v>
          </cell>
          <cell r="G243">
            <v>0</v>
          </cell>
        </row>
        <row r="244">
          <cell r="A244" t="str">
            <v>145-10-080</v>
          </cell>
          <cell r="B244">
            <v>4</v>
          </cell>
          <cell r="C244" t="str">
            <v>40% Excutive recharge</v>
          </cell>
          <cell r="F244">
            <v>0</v>
          </cell>
          <cell r="G244">
            <v>0</v>
          </cell>
        </row>
        <row r="245">
          <cell r="A245" t="str">
            <v>145-10-080</v>
          </cell>
          <cell r="B245">
            <v>4</v>
          </cell>
          <cell r="C245" t="str">
            <v xml:space="preserve">Recharges: 10% recharge to Corporate </v>
          </cell>
          <cell r="E245">
            <v>0</v>
          </cell>
          <cell r="G245">
            <v>0</v>
          </cell>
        </row>
        <row r="246">
          <cell r="A246" t="str">
            <v>145-10-100</v>
          </cell>
          <cell r="B246">
            <v>4</v>
          </cell>
          <cell r="E246">
            <v>0</v>
          </cell>
          <cell r="G246">
            <v>0</v>
          </cell>
        </row>
        <row r="247">
          <cell r="A247" t="str">
            <v>155-10-007</v>
          </cell>
          <cell r="B247">
            <v>4</v>
          </cell>
          <cell r="C247" t="str">
            <v>NEWSPAPERS &amp; JOURNALS</v>
          </cell>
          <cell r="D247">
            <v>19200</v>
          </cell>
          <cell r="E247">
            <v>12000</v>
          </cell>
          <cell r="F247">
            <v>20571.428571428572</v>
          </cell>
          <cell r="G247">
            <v>0.93333333333333324</v>
          </cell>
        </row>
        <row r="248">
          <cell r="A248" t="str">
            <v>155-10-008</v>
          </cell>
          <cell r="B248">
            <v>4</v>
          </cell>
          <cell r="C248" t="str">
            <v>ENTERTAINMENT &amp; DONATIONS</v>
          </cell>
          <cell r="D248">
            <v>8000</v>
          </cell>
          <cell r="E248">
            <v>4000</v>
          </cell>
          <cell r="F248">
            <v>6857.1428571428569</v>
          </cell>
          <cell r="G248">
            <v>1.1666666666666667</v>
          </cell>
          <cell r="H248" t="str">
            <v>LUNCHES FOR RELATIONSHIP BUILDING WITH PAYPOINTS</v>
          </cell>
        </row>
        <row r="249">
          <cell r="A249" t="str">
            <v>155-10-009</v>
          </cell>
          <cell r="B249">
            <v>4</v>
          </cell>
          <cell r="C249" t="str">
            <v>COURIER &amp; FREIGHT CHARGES</v>
          </cell>
          <cell r="D249">
            <v>0</v>
          </cell>
          <cell r="E249">
            <v>0</v>
          </cell>
          <cell r="F249">
            <v>0</v>
          </cell>
          <cell r="G249">
            <v>0</v>
          </cell>
        </row>
        <row r="250">
          <cell r="A250" t="str">
            <v>155-10-010</v>
          </cell>
          <cell r="B250">
            <v>4</v>
          </cell>
          <cell r="C250" t="str">
            <v>ADVERTISING &amp; PUBLICITY</v>
          </cell>
          <cell r="D250">
            <v>0</v>
          </cell>
          <cell r="E250">
            <v>8750</v>
          </cell>
          <cell r="F250">
            <v>15000</v>
          </cell>
          <cell r="G250">
            <v>0</v>
          </cell>
        </row>
        <row r="251">
          <cell r="A251" t="str">
            <v>155-10-012</v>
          </cell>
          <cell r="B251">
            <v>4</v>
          </cell>
          <cell r="C251" t="str">
            <v>TRADE LICENCES</v>
          </cell>
          <cell r="D251">
            <v>0</v>
          </cell>
          <cell r="E251">
            <v>0</v>
          </cell>
          <cell r="F251">
            <v>0</v>
          </cell>
          <cell r="G251">
            <v>0</v>
          </cell>
        </row>
        <row r="252">
          <cell r="A252" t="str">
            <v>155-10-013</v>
          </cell>
          <cell r="B252">
            <v>4</v>
          </cell>
          <cell r="C252" t="str">
            <v>INSURANCES</v>
          </cell>
          <cell r="D252">
            <v>0</v>
          </cell>
          <cell r="E252">
            <v>0</v>
          </cell>
          <cell r="F252">
            <v>0</v>
          </cell>
          <cell r="G252">
            <v>0</v>
          </cell>
        </row>
        <row r="253">
          <cell r="A253" t="str">
            <v>155-10-014</v>
          </cell>
          <cell r="B253">
            <v>4</v>
          </cell>
          <cell r="C253" t="str">
            <v>PHOTOCOPY</v>
          </cell>
          <cell r="D253">
            <v>0</v>
          </cell>
          <cell r="E253">
            <v>0</v>
          </cell>
          <cell r="F253">
            <v>0</v>
          </cell>
          <cell r="G253">
            <v>0</v>
          </cell>
        </row>
        <row r="254">
          <cell r="A254" t="str">
            <v>155-10-015</v>
          </cell>
          <cell r="B254">
            <v>4</v>
          </cell>
          <cell r="C254" t="str">
            <v>COMPUTER MAINTAINANCE</v>
          </cell>
          <cell r="D254">
            <v>0</v>
          </cell>
          <cell r="E254">
            <v>0</v>
          </cell>
          <cell r="F254">
            <v>0</v>
          </cell>
          <cell r="G254">
            <v>0</v>
          </cell>
        </row>
        <row r="255">
          <cell r="A255" t="str">
            <v>155-10-016</v>
          </cell>
          <cell r="B255">
            <v>4</v>
          </cell>
          <cell r="C255" t="str">
            <v>EQUIPMENT&amp; FURNITURE REPAIRS &amp; MAINTENANCE</v>
          </cell>
          <cell r="D255">
            <v>0</v>
          </cell>
          <cell r="E255">
            <v>8000</v>
          </cell>
          <cell r="F255">
            <v>13714.285714285714</v>
          </cell>
          <cell r="G255">
            <v>0</v>
          </cell>
          <cell r="H255" t="str">
            <v>SERVICE CONTRACT AND MAINTENANCE OF AIR CONDITIONER AT FRONT OFFICE</v>
          </cell>
        </row>
        <row r="256">
          <cell r="A256" t="str">
            <v>155-10-017</v>
          </cell>
          <cell r="B256">
            <v>4</v>
          </cell>
          <cell r="C256" t="str">
            <v>SEMINARS &amp; SHORT TERM COURSES</v>
          </cell>
          <cell r="D256">
            <v>0</v>
          </cell>
          <cell r="E256">
            <v>10000</v>
          </cell>
          <cell r="F256">
            <v>17142.857142857145</v>
          </cell>
          <cell r="G256">
            <v>0</v>
          </cell>
          <cell r="H256" t="str">
            <v>SUPERVISORY SKILLS TRAINING FOR UNIT LEADERS AND TEAM LEADERS</v>
          </cell>
        </row>
        <row r="257">
          <cell r="A257" t="str">
            <v>155-10-022</v>
          </cell>
          <cell r="B257">
            <v>4</v>
          </cell>
          <cell r="C257" t="str">
            <v>PRINTING &amp; STATIONERY</v>
          </cell>
          <cell r="D257">
            <v>953513.5</v>
          </cell>
          <cell r="E257">
            <v>769000</v>
          </cell>
          <cell r="F257">
            <v>1318285.7142857143</v>
          </cell>
          <cell r="G257">
            <v>0.72329806025140875</v>
          </cell>
        </row>
        <row r="258">
          <cell r="A258" t="str">
            <v>155-10-025</v>
          </cell>
          <cell r="B258">
            <v>4</v>
          </cell>
          <cell r="C258" t="str">
            <v>STRATEGIC PLANNING</v>
          </cell>
          <cell r="D258">
            <v>0</v>
          </cell>
          <cell r="E258">
            <v>0</v>
          </cell>
          <cell r="F258">
            <v>0</v>
          </cell>
          <cell r="G258">
            <v>0</v>
          </cell>
        </row>
        <row r="259">
          <cell r="A259" t="str">
            <v>155-10-027</v>
          </cell>
          <cell r="B259">
            <v>4</v>
          </cell>
          <cell r="C259" t="str">
            <v>PROFESSIONAL SUBSCRIPTIONS</v>
          </cell>
          <cell r="D259">
            <v>17500</v>
          </cell>
          <cell r="E259">
            <v>14000</v>
          </cell>
          <cell r="F259">
            <v>24000</v>
          </cell>
          <cell r="G259">
            <v>0.72916666666666663</v>
          </cell>
        </row>
        <row r="260">
          <cell r="A260" t="str">
            <v>155-10-028</v>
          </cell>
          <cell r="B260">
            <v>4</v>
          </cell>
          <cell r="C260" t="str">
            <v xml:space="preserve"> SUBSCRIPTIONS -COMPANY MEMBERSHIP</v>
          </cell>
          <cell r="D260">
            <v>0</v>
          </cell>
          <cell r="E260">
            <v>0</v>
          </cell>
          <cell r="F260">
            <v>0</v>
          </cell>
          <cell r="G260">
            <v>0</v>
          </cell>
        </row>
        <row r="261">
          <cell r="A261" t="str">
            <v>155-10-030</v>
          </cell>
          <cell r="B261">
            <v>4</v>
          </cell>
          <cell r="C261" t="str">
            <v>TRAVELLING &amp; ACCOMMODATION</v>
          </cell>
          <cell r="D261">
            <v>53710</v>
          </cell>
          <cell r="E261">
            <v>0</v>
          </cell>
          <cell r="F261">
            <v>0</v>
          </cell>
          <cell r="G261">
            <v>0</v>
          </cell>
        </row>
        <row r="262">
          <cell r="A262" t="str">
            <v>155-10-032</v>
          </cell>
          <cell r="B262">
            <v>4</v>
          </cell>
          <cell r="C262" t="str">
            <v xml:space="preserve">MOTOR CAR EXPENSES </v>
          </cell>
          <cell r="D262">
            <v>0</v>
          </cell>
          <cell r="E262">
            <v>0</v>
          </cell>
          <cell r="F262">
            <v>0</v>
          </cell>
          <cell r="G262">
            <v>0</v>
          </cell>
        </row>
        <row r="263">
          <cell r="A263" t="str">
            <v>155-10-040</v>
          </cell>
          <cell r="B263">
            <v>4</v>
          </cell>
          <cell r="C263" t="str">
            <v>POSTAGE</v>
          </cell>
          <cell r="D263">
            <v>2502000</v>
          </cell>
          <cell r="E263">
            <v>1329000</v>
          </cell>
          <cell r="F263">
            <v>2278285.7142857146</v>
          </cell>
          <cell r="G263">
            <v>1.0981941309255079</v>
          </cell>
        </row>
        <row r="264">
          <cell r="A264" t="str">
            <v>155-10-041</v>
          </cell>
          <cell r="B264">
            <v>4</v>
          </cell>
          <cell r="C264" t="str">
            <v>TELEPHONE &amp; FAX</v>
          </cell>
          <cell r="D264">
            <v>111000</v>
          </cell>
          <cell r="E264">
            <v>85000</v>
          </cell>
          <cell r="F264">
            <v>140000</v>
          </cell>
          <cell r="G264">
            <v>0.79285714285714282</v>
          </cell>
          <cell r="H264" t="str">
            <v xml:space="preserve">FIVE DEDICATED LINES FOR CUSTOMER SERVICES, IMPROVING CUSTOMER SERVICE </v>
          </cell>
        </row>
        <row r="265">
          <cell r="A265" t="str">
            <v>155-10-044</v>
          </cell>
          <cell r="B265">
            <v>4</v>
          </cell>
          <cell r="C265" t="str">
            <v>PROFFESSIONAL TRAINING</v>
          </cell>
          <cell r="D265">
            <v>298875</v>
          </cell>
          <cell r="E265">
            <v>94000</v>
          </cell>
          <cell r="F265">
            <v>161142.85714285716</v>
          </cell>
          <cell r="G265">
            <v>1.8547207446808509</v>
          </cell>
          <cell r="H265" t="str">
            <v>EXTRA FIVE STAFF WHO WANT TO SIT FOR CII EXAMS</v>
          </cell>
        </row>
        <row r="266">
          <cell r="A266" t="str">
            <v>155-10-046</v>
          </cell>
          <cell r="B266">
            <v>4</v>
          </cell>
          <cell r="C266" t="str">
            <v xml:space="preserve">SUBSCRIPTION- STAFF CLUB MEMBERSHIP </v>
          </cell>
          <cell r="D266">
            <v>12000</v>
          </cell>
          <cell r="E266">
            <v>94791.666666666657</v>
          </cell>
          <cell r="F266">
            <v>162500</v>
          </cell>
          <cell r="G266">
            <v>7.3846153846153853E-2</v>
          </cell>
        </row>
        <row r="267">
          <cell r="A267" t="str">
            <v>155-10-054</v>
          </cell>
          <cell r="B267">
            <v>4</v>
          </cell>
          <cell r="C267" t="str">
            <v>LEASED LINES-INTERNET SERVICES</v>
          </cell>
          <cell r="D267">
            <v>0</v>
          </cell>
          <cell r="E267">
            <v>0</v>
          </cell>
          <cell r="F267">
            <v>0</v>
          </cell>
          <cell r="G267">
            <v>0</v>
          </cell>
        </row>
        <row r="268">
          <cell r="A268" t="str">
            <v>155-10-057</v>
          </cell>
          <cell r="B268">
            <v>4</v>
          </cell>
          <cell r="C268" t="str">
            <v>SOFTWARE LICENCES</v>
          </cell>
          <cell r="D268">
            <v>0</v>
          </cell>
          <cell r="E268">
            <v>0</v>
          </cell>
          <cell r="F268">
            <v>0</v>
          </cell>
          <cell r="G268">
            <v>0</v>
          </cell>
        </row>
        <row r="269">
          <cell r="A269" t="str">
            <v>155-10-059</v>
          </cell>
          <cell r="B269">
            <v>4</v>
          </cell>
          <cell r="E269">
            <v>0</v>
          </cell>
          <cell r="G269">
            <v>0</v>
          </cell>
        </row>
        <row r="270">
          <cell r="A270" t="str">
            <v>155-10-060</v>
          </cell>
          <cell r="B270">
            <v>4</v>
          </cell>
          <cell r="E270">
            <v>0</v>
          </cell>
          <cell r="G270">
            <v>0</v>
          </cell>
        </row>
        <row r="271">
          <cell r="A271" t="str">
            <v>155-10-062</v>
          </cell>
          <cell r="B271">
            <v>4</v>
          </cell>
          <cell r="C271" t="str">
            <v>EDUCATION EXPENSES</v>
          </cell>
          <cell r="D271">
            <v>0</v>
          </cell>
          <cell r="E271">
            <v>0</v>
          </cell>
          <cell r="F271">
            <v>0</v>
          </cell>
          <cell r="G271">
            <v>0</v>
          </cell>
        </row>
        <row r="272">
          <cell r="A272" t="str">
            <v>105-10-010</v>
          </cell>
          <cell r="B272">
            <v>5</v>
          </cell>
          <cell r="C272" t="str">
            <v>BASIC SALARY</v>
          </cell>
          <cell r="D272">
            <v>4299456</v>
          </cell>
          <cell r="E272">
            <v>2071000</v>
          </cell>
          <cell r="F272">
            <v>3670500</v>
          </cell>
          <cell r="G272">
            <v>1.1713543114017164</v>
          </cell>
        </row>
        <row r="273">
          <cell r="A273" t="str">
            <v>105-10-012</v>
          </cell>
          <cell r="B273">
            <v>5</v>
          </cell>
          <cell r="C273" t="str">
            <v>PROVISION FOR MORT. RATE ADJUSTMENTS</v>
          </cell>
          <cell r="D273">
            <v>0</v>
          </cell>
          <cell r="E273">
            <v>0</v>
          </cell>
          <cell r="F273">
            <v>0</v>
          </cell>
          <cell r="G273">
            <v>0</v>
          </cell>
        </row>
        <row r="274">
          <cell r="A274" t="str">
            <v>105-10-020</v>
          </cell>
          <cell r="B274">
            <v>5</v>
          </cell>
          <cell r="C274" t="str">
            <v>HOUSE ALLOWANCE</v>
          </cell>
          <cell r="D274">
            <v>546000</v>
          </cell>
          <cell r="E274">
            <v>319000</v>
          </cell>
          <cell r="F274">
            <v>546500</v>
          </cell>
          <cell r="G274">
            <v>0.99908508691674291</v>
          </cell>
        </row>
        <row r="275">
          <cell r="A275" t="str">
            <v>105-10-030</v>
          </cell>
          <cell r="B275">
            <v>5</v>
          </cell>
          <cell r="C275" t="str">
            <v>TELEPHONE ALLOWANCE</v>
          </cell>
          <cell r="D275">
            <v>0</v>
          </cell>
          <cell r="E275">
            <v>0</v>
          </cell>
          <cell r="F275">
            <v>0</v>
          </cell>
          <cell r="G275">
            <v>0</v>
          </cell>
        </row>
        <row r="276">
          <cell r="A276" t="str">
            <v>105-10-040</v>
          </cell>
          <cell r="B276">
            <v>5</v>
          </cell>
          <cell r="C276" t="str">
            <v>SECURITY ALLOWANCE</v>
          </cell>
          <cell r="D276">
            <v>0</v>
          </cell>
          <cell r="E276">
            <v>0</v>
          </cell>
          <cell r="F276">
            <v>0</v>
          </cell>
          <cell r="G276">
            <v>0</v>
          </cell>
        </row>
        <row r="277">
          <cell r="A277" t="str">
            <v>105-10-050</v>
          </cell>
          <cell r="B277">
            <v>5</v>
          </cell>
          <cell r="C277" t="str">
            <v>EDUCATION ALLOWANCE</v>
          </cell>
          <cell r="D277">
            <v>0</v>
          </cell>
          <cell r="E277">
            <v>0</v>
          </cell>
          <cell r="F277">
            <v>0</v>
          </cell>
          <cell r="G277">
            <v>0</v>
          </cell>
        </row>
        <row r="278">
          <cell r="A278" t="str">
            <v>105-10-060</v>
          </cell>
          <cell r="B278">
            <v>5</v>
          </cell>
          <cell r="C278" t="str">
            <v>TRAVEL ALLOWANCE</v>
          </cell>
          <cell r="D278">
            <v>0</v>
          </cell>
          <cell r="E278">
            <v>0</v>
          </cell>
          <cell r="F278">
            <v>0</v>
          </cell>
          <cell r="G278">
            <v>0</v>
          </cell>
        </row>
        <row r="279">
          <cell r="A279" t="str">
            <v>105-20-010</v>
          </cell>
          <cell r="B279">
            <v>5</v>
          </cell>
          <cell r="C279" t="str">
            <v>NSSF</v>
          </cell>
          <cell r="D279">
            <v>19200</v>
          </cell>
          <cell r="E279">
            <v>11000</v>
          </cell>
          <cell r="F279">
            <v>19000</v>
          </cell>
          <cell r="G279">
            <v>1.0105263157894737</v>
          </cell>
        </row>
        <row r="280">
          <cell r="A280" t="str">
            <v>105-20-020</v>
          </cell>
          <cell r="B280">
            <v>5</v>
          </cell>
          <cell r="C280" t="str">
            <v>NHIF</v>
          </cell>
          <cell r="D280">
            <v>23040</v>
          </cell>
          <cell r="E280">
            <v>8000</v>
          </cell>
          <cell r="F280">
            <v>17600</v>
          </cell>
          <cell r="G280">
            <v>1.3090909090909091</v>
          </cell>
        </row>
        <row r="281">
          <cell r="A281" t="str">
            <v>105-30-010</v>
          </cell>
          <cell r="B281">
            <v>5</v>
          </cell>
          <cell r="C281" t="str">
            <v xml:space="preserve">PENSION </v>
          </cell>
          <cell r="D281">
            <v>537432</v>
          </cell>
          <cell r="E281">
            <v>259000</v>
          </cell>
          <cell r="F281">
            <v>482930</v>
          </cell>
          <cell r="G281">
            <v>1.1128569357877953</v>
          </cell>
        </row>
        <row r="282">
          <cell r="A282" t="str">
            <v>105-30-020</v>
          </cell>
          <cell r="B282">
            <v>5</v>
          </cell>
          <cell r="C282" t="str">
            <v>LAST EXPENSE</v>
          </cell>
          <cell r="D282">
            <v>0</v>
          </cell>
          <cell r="E282">
            <v>5000</v>
          </cell>
          <cell r="F282">
            <v>8571.4285714285725</v>
          </cell>
          <cell r="G282">
            <v>0</v>
          </cell>
        </row>
        <row r="283">
          <cell r="A283" t="str">
            <v>105-30-030</v>
          </cell>
          <cell r="B283">
            <v>5</v>
          </cell>
          <cell r="C283" t="str">
            <v>GROUP LIFE ASSURANCE</v>
          </cell>
          <cell r="D283">
            <v>0</v>
          </cell>
          <cell r="E283">
            <v>52000</v>
          </cell>
          <cell r="F283">
            <v>89142.857142857145</v>
          </cell>
          <cell r="G283">
            <v>0</v>
          </cell>
        </row>
        <row r="284">
          <cell r="A284" t="str">
            <v>105-30-040</v>
          </cell>
          <cell r="B284">
            <v>5</v>
          </cell>
          <cell r="C284" t="str">
            <v>STAFF MEDICAL</v>
          </cell>
          <cell r="D284">
            <v>0</v>
          </cell>
          <cell r="E284">
            <v>0</v>
          </cell>
          <cell r="F284">
            <v>0</v>
          </cell>
          <cell r="G284">
            <v>0</v>
          </cell>
        </row>
        <row r="285">
          <cell r="A285" t="str">
            <v>105-30-050</v>
          </cell>
          <cell r="B285">
            <v>5</v>
          </cell>
          <cell r="C285" t="str">
            <v>CASH IN LIEU OF LEAVE</v>
          </cell>
          <cell r="D285">
            <v>107486.39999999999</v>
          </cell>
          <cell r="E285">
            <v>-25000</v>
          </cell>
          <cell r="F285">
            <v>-42857.142857142855</v>
          </cell>
          <cell r="G285">
            <v>-2.5080160000000005</v>
          </cell>
        </row>
        <row r="286">
          <cell r="A286" t="str">
            <v>105-30-060</v>
          </cell>
          <cell r="B286">
            <v>5</v>
          </cell>
          <cell r="C286" t="str">
            <v>GRATUITY</v>
          </cell>
          <cell r="E286">
            <v>0</v>
          </cell>
          <cell r="F286">
            <v>0</v>
          </cell>
          <cell r="G286">
            <v>0</v>
          </cell>
        </row>
        <row r="287">
          <cell r="A287" t="str">
            <v>105-30-070</v>
          </cell>
          <cell r="B287">
            <v>5</v>
          </cell>
          <cell r="C287" t="str">
            <v>LONG SERVICE AWARDS</v>
          </cell>
          <cell r="D287">
            <v>0</v>
          </cell>
          <cell r="E287">
            <v>0</v>
          </cell>
          <cell r="F287">
            <v>0</v>
          </cell>
          <cell r="G287">
            <v>0</v>
          </cell>
        </row>
        <row r="288">
          <cell r="A288" t="str">
            <v>105-30-080</v>
          </cell>
          <cell r="B288">
            <v>5</v>
          </cell>
          <cell r="C288" t="str">
            <v>STAFF RECRUITMENT &amp; REMOVALS</v>
          </cell>
          <cell r="D288">
            <v>0</v>
          </cell>
          <cell r="E288">
            <v>0</v>
          </cell>
          <cell r="F288">
            <v>0</v>
          </cell>
          <cell r="G288">
            <v>0</v>
          </cell>
        </row>
        <row r="289">
          <cell r="A289" t="str">
            <v>115-10-010</v>
          </cell>
          <cell r="B289">
            <v>5</v>
          </cell>
          <cell r="D289">
            <v>0</v>
          </cell>
          <cell r="E289">
            <v>0</v>
          </cell>
          <cell r="F289">
            <v>0</v>
          </cell>
          <cell r="G289">
            <v>0</v>
          </cell>
        </row>
        <row r="290">
          <cell r="A290" t="str">
            <v>115-10-010</v>
          </cell>
          <cell r="B290">
            <v>5</v>
          </cell>
          <cell r="D290">
            <v>0</v>
          </cell>
          <cell r="F290">
            <v>0</v>
          </cell>
          <cell r="G290">
            <v>0</v>
          </cell>
        </row>
        <row r="291">
          <cell r="A291" t="str">
            <v>115-10-020</v>
          </cell>
          <cell r="B291">
            <v>5</v>
          </cell>
          <cell r="D291">
            <v>0</v>
          </cell>
          <cell r="E291">
            <v>0</v>
          </cell>
          <cell r="F291">
            <v>0</v>
          </cell>
          <cell r="G291">
            <v>0</v>
          </cell>
        </row>
        <row r="292">
          <cell r="A292" t="str">
            <v>115-10-020</v>
          </cell>
          <cell r="B292">
            <v>5</v>
          </cell>
          <cell r="D292">
            <v>0</v>
          </cell>
          <cell r="G292">
            <v>0</v>
          </cell>
        </row>
        <row r="293">
          <cell r="A293" t="str">
            <v>115-10-030</v>
          </cell>
          <cell r="B293">
            <v>5</v>
          </cell>
          <cell r="D293">
            <v>0</v>
          </cell>
          <cell r="E293">
            <v>0</v>
          </cell>
          <cell r="F293">
            <v>0</v>
          </cell>
          <cell r="G293">
            <v>0</v>
          </cell>
        </row>
        <row r="294">
          <cell r="A294" t="str">
            <v>115-10-030</v>
          </cell>
          <cell r="B294">
            <v>5</v>
          </cell>
          <cell r="D294">
            <v>0</v>
          </cell>
          <cell r="F294">
            <v>0</v>
          </cell>
          <cell r="G294">
            <v>0</v>
          </cell>
        </row>
        <row r="295">
          <cell r="A295" t="str">
            <v>115-10-040</v>
          </cell>
          <cell r="B295">
            <v>5</v>
          </cell>
          <cell r="D295">
            <v>0</v>
          </cell>
          <cell r="E295">
            <v>0</v>
          </cell>
          <cell r="F295">
            <v>0</v>
          </cell>
          <cell r="G295">
            <v>0</v>
          </cell>
        </row>
        <row r="296">
          <cell r="A296" t="str">
            <v>115-10-040</v>
          </cell>
          <cell r="B296">
            <v>5</v>
          </cell>
          <cell r="D296">
            <v>0</v>
          </cell>
          <cell r="F296">
            <v>0</v>
          </cell>
          <cell r="G296">
            <v>0</v>
          </cell>
        </row>
        <row r="297">
          <cell r="A297" t="str">
            <v>115-10-050</v>
          </cell>
          <cell r="B297">
            <v>5</v>
          </cell>
          <cell r="C297" t="str">
            <v>OFFICE CATERING &amp; STAFF WELFARE</v>
          </cell>
          <cell r="D297">
            <v>0</v>
          </cell>
          <cell r="E297">
            <v>0</v>
          </cell>
          <cell r="F297">
            <v>0</v>
          </cell>
          <cell r="G297">
            <v>0</v>
          </cell>
        </row>
        <row r="298">
          <cell r="A298" t="str">
            <v>115-10-051</v>
          </cell>
          <cell r="B298">
            <v>5</v>
          </cell>
          <cell r="C298" t="str">
            <v>OFFICE CLEANING</v>
          </cell>
          <cell r="D298">
            <v>0</v>
          </cell>
          <cell r="E298">
            <v>0</v>
          </cell>
          <cell r="F298">
            <v>0</v>
          </cell>
          <cell r="G298">
            <v>0</v>
          </cell>
        </row>
        <row r="299">
          <cell r="A299" t="str">
            <v>115-10-060</v>
          </cell>
          <cell r="B299">
            <v>5</v>
          </cell>
          <cell r="C299" t="str">
            <v>OFFICE WATER</v>
          </cell>
          <cell r="D299">
            <v>0</v>
          </cell>
          <cell r="E299">
            <v>0</v>
          </cell>
          <cell r="F299">
            <v>0</v>
          </cell>
          <cell r="G299">
            <v>0</v>
          </cell>
        </row>
        <row r="300">
          <cell r="A300" t="str">
            <v>115-10-070</v>
          </cell>
          <cell r="B300">
            <v>5</v>
          </cell>
          <cell r="C300" t="str">
            <v>OFFICE ELECTRICITY</v>
          </cell>
          <cell r="D300">
            <v>0</v>
          </cell>
          <cell r="E300">
            <v>0</v>
          </cell>
          <cell r="F300">
            <v>0</v>
          </cell>
          <cell r="G300">
            <v>0</v>
          </cell>
        </row>
        <row r="301">
          <cell r="A301" t="str">
            <v>115-10-080</v>
          </cell>
          <cell r="B301">
            <v>5</v>
          </cell>
          <cell r="C301" t="str">
            <v>OFFICE SECURITY</v>
          </cell>
          <cell r="D301">
            <v>0</v>
          </cell>
          <cell r="E301">
            <v>0</v>
          </cell>
          <cell r="F301">
            <v>0</v>
          </cell>
          <cell r="G301">
            <v>0</v>
          </cell>
        </row>
        <row r="302">
          <cell r="A302" t="str">
            <v>125-10-010</v>
          </cell>
          <cell r="B302">
            <v>5</v>
          </cell>
          <cell r="C302" t="str">
            <v>BANK CHARGES</v>
          </cell>
          <cell r="D302">
            <v>0</v>
          </cell>
          <cell r="E302">
            <v>0</v>
          </cell>
          <cell r="F302">
            <v>0</v>
          </cell>
          <cell r="G302">
            <v>0</v>
          </cell>
        </row>
        <row r="303">
          <cell r="A303" t="str">
            <v>125-10-020</v>
          </cell>
          <cell r="B303">
            <v>5</v>
          </cell>
          <cell r="C303" t="str">
            <v>BANK OVERDRART CHARGES</v>
          </cell>
          <cell r="E303">
            <v>0</v>
          </cell>
          <cell r="F303">
            <v>0</v>
          </cell>
          <cell r="G303">
            <v>0</v>
          </cell>
        </row>
        <row r="304">
          <cell r="A304" t="str">
            <v>145-10-010</v>
          </cell>
          <cell r="B304">
            <v>5</v>
          </cell>
          <cell r="C304" t="str">
            <v>ALA Group charges- Individual life</v>
          </cell>
          <cell r="D304">
            <v>0</v>
          </cell>
          <cell r="E304">
            <v>0</v>
          </cell>
          <cell r="F304">
            <v>0</v>
          </cell>
          <cell r="G304">
            <v>0</v>
          </cell>
        </row>
        <row r="305">
          <cell r="A305" t="str">
            <v>145-10-020</v>
          </cell>
          <cell r="B305">
            <v>5</v>
          </cell>
          <cell r="C305" t="str">
            <v>Actuarial fees- Individual life</v>
          </cell>
          <cell r="D305">
            <v>0</v>
          </cell>
          <cell r="E305">
            <v>0</v>
          </cell>
          <cell r="F305">
            <v>0</v>
          </cell>
          <cell r="G305">
            <v>0</v>
          </cell>
        </row>
        <row r="306">
          <cell r="A306" t="str">
            <v>145-10-030</v>
          </cell>
          <cell r="B306">
            <v>5</v>
          </cell>
          <cell r="C306" t="str">
            <v>Audit fee -individual life</v>
          </cell>
          <cell r="D306">
            <v>0</v>
          </cell>
          <cell r="E306">
            <v>0</v>
          </cell>
          <cell r="F306">
            <v>0</v>
          </cell>
          <cell r="G306">
            <v>0</v>
          </cell>
        </row>
        <row r="307">
          <cell r="A307" t="str">
            <v>145-10-031</v>
          </cell>
          <cell r="B307">
            <v>5</v>
          </cell>
          <cell r="C307" t="str">
            <v>Tax filing returns</v>
          </cell>
          <cell r="D307">
            <v>0</v>
          </cell>
          <cell r="E307">
            <v>0</v>
          </cell>
          <cell r="F307">
            <v>0</v>
          </cell>
          <cell r="G307">
            <v>0</v>
          </cell>
        </row>
        <row r="308">
          <cell r="A308" t="str">
            <v>145-10-040</v>
          </cell>
          <cell r="B308">
            <v>5</v>
          </cell>
          <cell r="C308" t="str">
            <v>Legal fees</v>
          </cell>
          <cell r="D308">
            <v>0</v>
          </cell>
          <cell r="E308">
            <v>0</v>
          </cell>
          <cell r="F308">
            <v>0</v>
          </cell>
          <cell r="G308">
            <v>0</v>
          </cell>
        </row>
        <row r="309">
          <cell r="A309" t="str">
            <v>145-10-060</v>
          </cell>
          <cell r="B309">
            <v>5</v>
          </cell>
          <cell r="C309" t="str">
            <v>Intra company charges- individual life</v>
          </cell>
          <cell r="G309">
            <v>0</v>
          </cell>
        </row>
        <row r="310">
          <cell r="A310" t="str">
            <v>145-10-060</v>
          </cell>
          <cell r="B310">
            <v>5</v>
          </cell>
          <cell r="E310">
            <v>0</v>
          </cell>
          <cell r="G310">
            <v>0</v>
          </cell>
        </row>
        <row r="311">
          <cell r="A311" t="str">
            <v>145-10-080</v>
          </cell>
          <cell r="B311">
            <v>5</v>
          </cell>
          <cell r="C311" t="str">
            <v>40% Excutive recharge</v>
          </cell>
          <cell r="F311">
            <v>0</v>
          </cell>
          <cell r="G311">
            <v>0</v>
          </cell>
        </row>
        <row r="312">
          <cell r="A312" t="str">
            <v>145-10-080</v>
          </cell>
          <cell r="B312">
            <v>5</v>
          </cell>
          <cell r="C312" t="str">
            <v xml:space="preserve">Recharges: 10% recharge to Corporate </v>
          </cell>
          <cell r="E312">
            <v>0</v>
          </cell>
          <cell r="G312">
            <v>0</v>
          </cell>
        </row>
        <row r="313">
          <cell r="A313" t="str">
            <v>145-10-100</v>
          </cell>
          <cell r="B313">
            <v>5</v>
          </cell>
          <cell r="E313">
            <v>0</v>
          </cell>
          <cell r="G313">
            <v>0</v>
          </cell>
        </row>
        <row r="314">
          <cell r="A314" t="str">
            <v>155-10-007</v>
          </cell>
          <cell r="B314">
            <v>5</v>
          </cell>
          <cell r="C314" t="str">
            <v>NEWSPAPERS &amp; JOURNALS</v>
          </cell>
          <cell r="D314">
            <v>2640</v>
          </cell>
          <cell r="E314">
            <v>1400</v>
          </cell>
          <cell r="F314">
            <v>2400</v>
          </cell>
          <cell r="G314">
            <v>1.1000000000000001</v>
          </cell>
          <cell r="H314" t="str">
            <v>INCREASED COST OF EAST AFRICAN NEWSPAPER</v>
          </cell>
        </row>
        <row r="315">
          <cell r="A315" t="str">
            <v>155-10-008</v>
          </cell>
          <cell r="B315">
            <v>5</v>
          </cell>
          <cell r="C315" t="str">
            <v>ENTERTAINMENT &amp; DONATIONS</v>
          </cell>
          <cell r="D315">
            <v>8000</v>
          </cell>
          <cell r="E315">
            <v>5000</v>
          </cell>
          <cell r="F315">
            <v>8571.4285714285725</v>
          </cell>
          <cell r="G315">
            <v>0.93333333333333324</v>
          </cell>
        </row>
        <row r="316">
          <cell r="A316" t="str">
            <v>155-10-009</v>
          </cell>
          <cell r="B316">
            <v>5</v>
          </cell>
          <cell r="C316" t="str">
            <v>COURIER &amp; FREIGHT CHARGES</v>
          </cell>
          <cell r="D316">
            <v>0</v>
          </cell>
          <cell r="E316">
            <v>0</v>
          </cell>
          <cell r="F316">
            <v>0</v>
          </cell>
          <cell r="G316">
            <v>0</v>
          </cell>
        </row>
        <row r="317">
          <cell r="A317" t="str">
            <v>155-10-010</v>
          </cell>
          <cell r="B317">
            <v>5</v>
          </cell>
          <cell r="C317" t="str">
            <v>ADVERTISING &amp; PUBLICITY</v>
          </cell>
          <cell r="D317">
            <v>0</v>
          </cell>
          <cell r="E317">
            <v>0</v>
          </cell>
          <cell r="F317">
            <v>0</v>
          </cell>
          <cell r="G317">
            <v>0</v>
          </cell>
        </row>
        <row r="318">
          <cell r="A318" t="str">
            <v>155-10-012</v>
          </cell>
          <cell r="B318">
            <v>5</v>
          </cell>
          <cell r="C318" t="str">
            <v>TRADE LICENCES</v>
          </cell>
          <cell r="D318">
            <v>0</v>
          </cell>
          <cell r="E318">
            <v>0</v>
          </cell>
          <cell r="F318">
            <v>0</v>
          </cell>
          <cell r="G318">
            <v>0</v>
          </cell>
        </row>
        <row r="319">
          <cell r="A319" t="str">
            <v>155-10-013</v>
          </cell>
          <cell r="B319">
            <v>5</v>
          </cell>
          <cell r="C319" t="str">
            <v>INSURANCES</v>
          </cell>
          <cell r="D319">
            <v>0</v>
          </cell>
          <cell r="E319">
            <v>0</v>
          </cell>
          <cell r="F319">
            <v>0</v>
          </cell>
          <cell r="G319">
            <v>0</v>
          </cell>
        </row>
        <row r="320">
          <cell r="A320" t="str">
            <v>155-10-014</v>
          </cell>
          <cell r="B320">
            <v>5</v>
          </cell>
          <cell r="C320" t="str">
            <v>PHOTOCOPY</v>
          </cell>
          <cell r="D320">
            <v>0</v>
          </cell>
          <cell r="E320">
            <v>0</v>
          </cell>
          <cell r="F320">
            <v>0</v>
          </cell>
          <cell r="G320">
            <v>0</v>
          </cell>
        </row>
        <row r="321">
          <cell r="A321" t="str">
            <v>155-10-015</v>
          </cell>
          <cell r="B321">
            <v>5</v>
          </cell>
          <cell r="C321" t="str">
            <v>COMPUTER MAINTAINANCE</v>
          </cell>
          <cell r="D321">
            <v>0</v>
          </cell>
          <cell r="E321">
            <v>0</v>
          </cell>
          <cell r="F321">
            <v>0</v>
          </cell>
          <cell r="G321">
            <v>0</v>
          </cell>
        </row>
        <row r="322">
          <cell r="A322" t="str">
            <v>155-10-016</v>
          </cell>
          <cell r="B322">
            <v>5</v>
          </cell>
          <cell r="C322" t="str">
            <v>EQUIPMENT&amp; FURNITURE REPAIRS &amp; MAINTENANCE</v>
          </cell>
          <cell r="D322">
            <v>0</v>
          </cell>
          <cell r="E322">
            <v>0</v>
          </cell>
          <cell r="F322">
            <v>0</v>
          </cell>
          <cell r="G322">
            <v>0</v>
          </cell>
        </row>
        <row r="323">
          <cell r="A323" t="str">
            <v>155-10-017</v>
          </cell>
          <cell r="B323">
            <v>5</v>
          </cell>
          <cell r="C323" t="str">
            <v>SEMINARS &amp; SHORT TERM COURSES</v>
          </cell>
          <cell r="D323">
            <v>0</v>
          </cell>
          <cell r="E323">
            <v>0</v>
          </cell>
          <cell r="F323">
            <v>0</v>
          </cell>
          <cell r="G323">
            <v>0</v>
          </cell>
        </row>
        <row r="324">
          <cell r="A324" t="str">
            <v>155-10-022</v>
          </cell>
          <cell r="B324">
            <v>5</v>
          </cell>
          <cell r="C324" t="str">
            <v>PRINTING &amp; STATIONERY</v>
          </cell>
          <cell r="D324">
            <v>224313</v>
          </cell>
          <cell r="E324">
            <v>120333.33333333334</v>
          </cell>
          <cell r="F324">
            <v>206285.71428571429</v>
          </cell>
          <cell r="G324">
            <v>1.0873898891966758</v>
          </cell>
          <cell r="H324" t="str">
            <v>INCREASED NUMBER OF LAPSE LETTERS AND LETTERS SENT TO CLIENTS</v>
          </cell>
        </row>
        <row r="325">
          <cell r="A325" t="str">
            <v>155-10-025</v>
          </cell>
          <cell r="B325">
            <v>5</v>
          </cell>
          <cell r="C325" t="str">
            <v>STRATEGIC PLANNING</v>
          </cell>
          <cell r="D325">
            <v>0</v>
          </cell>
          <cell r="E325">
            <v>0</v>
          </cell>
          <cell r="F325">
            <v>0</v>
          </cell>
          <cell r="G325">
            <v>0</v>
          </cell>
        </row>
        <row r="326">
          <cell r="A326" t="str">
            <v>155-10-027</v>
          </cell>
          <cell r="B326">
            <v>5</v>
          </cell>
          <cell r="C326" t="str">
            <v>PROFESSIONAL SUBSCRIPTIONS</v>
          </cell>
          <cell r="D326">
            <v>0</v>
          </cell>
          <cell r="E326">
            <v>0</v>
          </cell>
          <cell r="F326">
            <v>0</v>
          </cell>
          <cell r="G326">
            <v>0</v>
          </cell>
        </row>
        <row r="327">
          <cell r="A327" t="str">
            <v>155-10-028</v>
          </cell>
          <cell r="B327">
            <v>5</v>
          </cell>
          <cell r="C327" t="str">
            <v xml:space="preserve"> SUBSCRIPTIONS -COMPANY MEMBERSHIP</v>
          </cell>
          <cell r="D327">
            <v>0</v>
          </cell>
          <cell r="E327">
            <v>0</v>
          </cell>
          <cell r="F327">
            <v>0</v>
          </cell>
          <cell r="G327">
            <v>0</v>
          </cell>
        </row>
        <row r="328">
          <cell r="A328" t="str">
            <v>155-10-030</v>
          </cell>
          <cell r="B328">
            <v>5</v>
          </cell>
          <cell r="C328" t="str">
            <v>TRAVELLING &amp; ACCOMMODATION</v>
          </cell>
          <cell r="D328">
            <v>0</v>
          </cell>
          <cell r="E328">
            <v>0</v>
          </cell>
          <cell r="F328">
            <v>0</v>
          </cell>
          <cell r="G328">
            <v>0</v>
          </cell>
        </row>
        <row r="329">
          <cell r="A329" t="str">
            <v>155-10-032</v>
          </cell>
          <cell r="B329">
            <v>5</v>
          </cell>
          <cell r="C329" t="str">
            <v xml:space="preserve">MOTOR CAR EXPENSES </v>
          </cell>
          <cell r="D329">
            <v>0</v>
          </cell>
          <cell r="E329">
            <v>0</v>
          </cell>
          <cell r="F329">
            <v>0</v>
          </cell>
          <cell r="G329">
            <v>0</v>
          </cell>
        </row>
        <row r="330">
          <cell r="A330" t="str">
            <v>155-10-040</v>
          </cell>
          <cell r="B330">
            <v>5</v>
          </cell>
          <cell r="C330" t="str">
            <v>POSTAGE</v>
          </cell>
          <cell r="D330">
            <v>391500</v>
          </cell>
          <cell r="E330">
            <v>182666.66666666666</v>
          </cell>
          <cell r="F330">
            <v>313142.85714285716</v>
          </cell>
          <cell r="G330">
            <v>1.250228102189781</v>
          </cell>
          <cell r="H330" t="str">
            <v>INCREASED NUMBER OF LAPSE LETTERS AND LETTERS SENT TO CLIENTS</v>
          </cell>
        </row>
        <row r="331">
          <cell r="A331" t="str">
            <v>155-10-041</v>
          </cell>
          <cell r="B331">
            <v>5</v>
          </cell>
          <cell r="C331" t="str">
            <v>TELEPHONE &amp; FAX</v>
          </cell>
          <cell r="D331">
            <v>90000</v>
          </cell>
          <cell r="E331">
            <v>48000</v>
          </cell>
          <cell r="F331">
            <v>82285.71428571429</v>
          </cell>
          <cell r="G331">
            <v>1.09375</v>
          </cell>
        </row>
        <row r="332">
          <cell r="A332" t="str">
            <v>155-10-044</v>
          </cell>
          <cell r="B332">
            <v>5</v>
          </cell>
          <cell r="C332" t="str">
            <v>PROFFESSIONAL TRAINING</v>
          </cell>
          <cell r="D332">
            <v>292900</v>
          </cell>
          <cell r="E332">
            <v>212000</v>
          </cell>
          <cell r="F332">
            <v>363428.57142857142</v>
          </cell>
          <cell r="G332">
            <v>0.80593553459119494</v>
          </cell>
          <cell r="H332" t="str">
            <v xml:space="preserve">DUE TO INCREASED VALUE OF THE POUND </v>
          </cell>
        </row>
        <row r="333">
          <cell r="A333" t="str">
            <v>155-10-046</v>
          </cell>
          <cell r="B333">
            <v>5</v>
          </cell>
          <cell r="C333" t="str">
            <v xml:space="preserve">SUBSCRIPTION- STAFF CLUB MEMBERSHIP </v>
          </cell>
          <cell r="D333">
            <v>0</v>
          </cell>
          <cell r="E333">
            <v>0</v>
          </cell>
          <cell r="F333">
            <v>0</v>
          </cell>
          <cell r="G333">
            <v>0</v>
          </cell>
        </row>
        <row r="334">
          <cell r="A334" t="str">
            <v>155-10-054</v>
          </cell>
          <cell r="B334">
            <v>5</v>
          </cell>
          <cell r="C334" t="str">
            <v>LEASED LINES-INTERNET SERVICES</v>
          </cell>
          <cell r="D334">
            <v>0</v>
          </cell>
          <cell r="E334">
            <v>0</v>
          </cell>
          <cell r="F334">
            <v>0</v>
          </cell>
          <cell r="G334">
            <v>0</v>
          </cell>
        </row>
        <row r="335">
          <cell r="A335" t="str">
            <v>155-10-057</v>
          </cell>
          <cell r="B335">
            <v>5</v>
          </cell>
          <cell r="C335" t="str">
            <v>SOFTWARE LICENCES</v>
          </cell>
          <cell r="D335">
            <v>0</v>
          </cell>
          <cell r="E335">
            <v>0</v>
          </cell>
          <cell r="F335">
            <v>0</v>
          </cell>
          <cell r="G335">
            <v>0</v>
          </cell>
        </row>
        <row r="336">
          <cell r="A336" t="str">
            <v>155-10-059</v>
          </cell>
          <cell r="B336">
            <v>5</v>
          </cell>
          <cell r="E336">
            <v>0</v>
          </cell>
          <cell r="G336">
            <v>0</v>
          </cell>
        </row>
        <row r="337">
          <cell r="A337" t="str">
            <v>155-10-060</v>
          </cell>
          <cell r="B337">
            <v>5</v>
          </cell>
          <cell r="E337">
            <v>0</v>
          </cell>
          <cell r="G337">
            <v>0</v>
          </cell>
        </row>
        <row r="338">
          <cell r="A338" t="str">
            <v>155-10-062</v>
          </cell>
          <cell r="B338">
            <v>5</v>
          </cell>
          <cell r="C338" t="str">
            <v>EDUCATION EXPENSES</v>
          </cell>
          <cell r="D338">
            <v>0</v>
          </cell>
          <cell r="E338">
            <v>0</v>
          </cell>
          <cell r="F338">
            <v>0</v>
          </cell>
          <cell r="G338">
            <v>0</v>
          </cell>
        </row>
        <row r="339">
          <cell r="A339" t="str">
            <v>105-10-010</v>
          </cell>
          <cell r="B339">
            <v>7</v>
          </cell>
          <cell r="C339" t="str">
            <v>BASIC SALARY</v>
          </cell>
          <cell r="D339">
            <v>2190720</v>
          </cell>
          <cell r="E339">
            <v>1165000</v>
          </cell>
          <cell r="F339">
            <v>1980000</v>
          </cell>
          <cell r="G339">
            <v>1.1064242424242425</v>
          </cell>
        </row>
        <row r="340">
          <cell r="A340" t="str">
            <v>105-10-012</v>
          </cell>
          <cell r="B340">
            <v>7</v>
          </cell>
          <cell r="C340" t="str">
            <v>PROVISION FOR MORT. RATE ADJUSTMENTS</v>
          </cell>
          <cell r="D340">
            <v>0</v>
          </cell>
          <cell r="E340">
            <v>5000</v>
          </cell>
          <cell r="F340">
            <v>5000</v>
          </cell>
          <cell r="G340">
            <v>0</v>
          </cell>
        </row>
        <row r="341">
          <cell r="A341" t="str">
            <v>105-10-020</v>
          </cell>
          <cell r="B341">
            <v>7</v>
          </cell>
          <cell r="C341" t="str">
            <v>HOUSE ALLOWANCE</v>
          </cell>
          <cell r="D341">
            <v>280800</v>
          </cell>
          <cell r="E341">
            <v>168000</v>
          </cell>
          <cell r="F341">
            <v>285000</v>
          </cell>
          <cell r="G341">
            <v>0.98526315789473684</v>
          </cell>
        </row>
        <row r="342">
          <cell r="A342" t="str">
            <v>105-10-030</v>
          </cell>
          <cell r="B342">
            <v>7</v>
          </cell>
          <cell r="C342" t="str">
            <v>TELEPHONE ALLOWANCE</v>
          </cell>
          <cell r="D342">
            <v>0</v>
          </cell>
          <cell r="E342">
            <v>0</v>
          </cell>
          <cell r="F342">
            <v>0</v>
          </cell>
          <cell r="G342">
            <v>0</v>
          </cell>
        </row>
        <row r="343">
          <cell r="A343" t="str">
            <v>105-10-040</v>
          </cell>
          <cell r="B343">
            <v>7</v>
          </cell>
          <cell r="C343" t="str">
            <v>SECURITY ALLOWANCE</v>
          </cell>
          <cell r="D343">
            <v>0</v>
          </cell>
          <cell r="E343">
            <v>0</v>
          </cell>
          <cell r="F343">
            <v>0</v>
          </cell>
          <cell r="G343">
            <v>0</v>
          </cell>
        </row>
        <row r="344">
          <cell r="A344" t="str">
            <v>105-10-050</v>
          </cell>
          <cell r="B344">
            <v>7</v>
          </cell>
          <cell r="C344" t="str">
            <v>EDUCATION ALLOWANCE</v>
          </cell>
          <cell r="D344">
            <v>0</v>
          </cell>
          <cell r="E344">
            <v>0</v>
          </cell>
          <cell r="F344">
            <v>0</v>
          </cell>
          <cell r="G344">
            <v>0</v>
          </cell>
        </row>
        <row r="345">
          <cell r="A345" t="str">
            <v>105-10-060</v>
          </cell>
          <cell r="B345">
            <v>7</v>
          </cell>
          <cell r="C345" t="str">
            <v>TRAVEL ALLOWANCE</v>
          </cell>
          <cell r="D345">
            <v>0</v>
          </cell>
          <cell r="E345">
            <v>0</v>
          </cell>
          <cell r="F345">
            <v>0</v>
          </cell>
          <cell r="G345">
            <v>0</v>
          </cell>
        </row>
        <row r="346">
          <cell r="A346" t="str">
            <v>105-20-010</v>
          </cell>
          <cell r="B346">
            <v>7</v>
          </cell>
          <cell r="C346" t="str">
            <v>NSSF</v>
          </cell>
          <cell r="D346">
            <v>12000</v>
          </cell>
          <cell r="E346">
            <v>7000</v>
          </cell>
          <cell r="F346">
            <v>12000</v>
          </cell>
          <cell r="G346">
            <v>1</v>
          </cell>
        </row>
        <row r="347">
          <cell r="A347" t="str">
            <v>105-20-020</v>
          </cell>
          <cell r="B347">
            <v>7</v>
          </cell>
          <cell r="C347" t="str">
            <v>NHIF</v>
          </cell>
          <cell r="D347">
            <v>14400</v>
          </cell>
          <cell r="E347">
            <v>8000</v>
          </cell>
          <cell r="F347">
            <v>14000</v>
          </cell>
          <cell r="G347">
            <v>1.0285714285714285</v>
          </cell>
        </row>
        <row r="348">
          <cell r="A348" t="str">
            <v>105-30-010</v>
          </cell>
          <cell r="B348">
            <v>7</v>
          </cell>
          <cell r="C348" t="str">
            <v xml:space="preserve">PENSION </v>
          </cell>
          <cell r="D348">
            <v>273840</v>
          </cell>
          <cell r="E348">
            <v>152000</v>
          </cell>
          <cell r="F348">
            <v>266100</v>
          </cell>
          <cell r="G348">
            <v>1.029086809470124</v>
          </cell>
        </row>
        <row r="349">
          <cell r="A349" t="str">
            <v>105-30-020</v>
          </cell>
          <cell r="B349">
            <v>7</v>
          </cell>
          <cell r="C349" t="str">
            <v>LAST EXPENSE</v>
          </cell>
          <cell r="D349">
            <v>0</v>
          </cell>
          <cell r="E349">
            <v>3000</v>
          </cell>
          <cell r="F349">
            <v>5142.8571428571431</v>
          </cell>
          <cell r="G349">
            <v>0</v>
          </cell>
        </row>
        <row r="350">
          <cell r="A350" t="str">
            <v>105-30-030</v>
          </cell>
          <cell r="B350">
            <v>7</v>
          </cell>
          <cell r="C350" t="str">
            <v>GROUP LIFE ASSURANCE</v>
          </cell>
          <cell r="D350">
            <v>0</v>
          </cell>
          <cell r="E350">
            <v>22000</v>
          </cell>
          <cell r="F350">
            <v>37714.28571428571</v>
          </cell>
          <cell r="G350">
            <v>0</v>
          </cell>
        </row>
        <row r="351">
          <cell r="A351" t="str">
            <v>105-30-040</v>
          </cell>
          <cell r="B351">
            <v>7</v>
          </cell>
          <cell r="C351" t="str">
            <v>STAFF MEDICAL</v>
          </cell>
          <cell r="D351">
            <v>0</v>
          </cell>
          <cell r="E351">
            <v>0</v>
          </cell>
          <cell r="F351">
            <v>0</v>
          </cell>
          <cell r="G351">
            <v>0</v>
          </cell>
        </row>
        <row r="352">
          <cell r="A352" t="str">
            <v>105-30-050</v>
          </cell>
          <cell r="B352">
            <v>7</v>
          </cell>
          <cell r="C352" t="str">
            <v>CASH IN LIEU OF LEAVE</v>
          </cell>
          <cell r="D352">
            <v>54768</v>
          </cell>
          <cell r="E352">
            <v>17000</v>
          </cell>
          <cell r="F352">
            <v>29142.857142857141</v>
          </cell>
          <cell r="G352">
            <v>1.8792941176470594</v>
          </cell>
        </row>
        <row r="353">
          <cell r="A353" t="str">
            <v>105-30-060</v>
          </cell>
          <cell r="B353">
            <v>7</v>
          </cell>
          <cell r="C353" t="str">
            <v>GRATUITY</v>
          </cell>
          <cell r="E353">
            <v>0</v>
          </cell>
          <cell r="F353">
            <v>0</v>
          </cell>
          <cell r="G353">
            <v>0</v>
          </cell>
        </row>
        <row r="354">
          <cell r="A354" t="str">
            <v>105-30-070</v>
          </cell>
          <cell r="B354">
            <v>7</v>
          </cell>
          <cell r="C354" t="str">
            <v>LONG SERVICE AWARDS</v>
          </cell>
          <cell r="D354">
            <v>0</v>
          </cell>
          <cell r="E354">
            <v>0</v>
          </cell>
          <cell r="F354">
            <v>0</v>
          </cell>
          <cell r="G354">
            <v>0</v>
          </cell>
        </row>
        <row r="355">
          <cell r="A355" t="str">
            <v>105-30-080</v>
          </cell>
          <cell r="B355">
            <v>7</v>
          </cell>
          <cell r="C355" t="str">
            <v>STAFF RECRUITMENT &amp; REMOVALS</v>
          </cell>
          <cell r="D355">
            <v>0</v>
          </cell>
          <cell r="E355">
            <v>0</v>
          </cell>
          <cell r="F355">
            <v>0</v>
          </cell>
          <cell r="G355">
            <v>0</v>
          </cell>
        </row>
        <row r="356">
          <cell r="A356" t="str">
            <v>115-10-010</v>
          </cell>
          <cell r="B356">
            <v>7</v>
          </cell>
          <cell r="D356">
            <v>0</v>
          </cell>
          <cell r="E356">
            <v>0</v>
          </cell>
          <cell r="F356">
            <v>0</v>
          </cell>
          <cell r="G356">
            <v>0</v>
          </cell>
        </row>
        <row r="357">
          <cell r="A357" t="str">
            <v>115-10-010</v>
          </cell>
          <cell r="B357">
            <v>7</v>
          </cell>
          <cell r="D357">
            <v>0</v>
          </cell>
          <cell r="F357">
            <v>0</v>
          </cell>
          <cell r="G357">
            <v>0</v>
          </cell>
        </row>
        <row r="358">
          <cell r="A358" t="str">
            <v>115-10-020</v>
          </cell>
          <cell r="B358">
            <v>7</v>
          </cell>
          <cell r="D358">
            <v>0</v>
          </cell>
          <cell r="E358">
            <v>0</v>
          </cell>
          <cell r="F358">
            <v>0</v>
          </cell>
          <cell r="G358">
            <v>0</v>
          </cell>
        </row>
        <row r="359">
          <cell r="A359" t="str">
            <v>115-10-020</v>
          </cell>
          <cell r="B359">
            <v>7</v>
          </cell>
          <cell r="D359">
            <v>0</v>
          </cell>
          <cell r="G359">
            <v>0</v>
          </cell>
        </row>
        <row r="360">
          <cell r="A360" t="str">
            <v>115-10-030</v>
          </cell>
          <cell r="B360">
            <v>7</v>
          </cell>
          <cell r="D360">
            <v>0</v>
          </cell>
          <cell r="E360">
            <v>0</v>
          </cell>
          <cell r="F360">
            <v>0</v>
          </cell>
          <cell r="G360">
            <v>0</v>
          </cell>
        </row>
        <row r="361">
          <cell r="A361" t="str">
            <v>115-10-030</v>
          </cell>
          <cell r="B361">
            <v>7</v>
          </cell>
          <cell r="D361">
            <v>0</v>
          </cell>
          <cell r="F361">
            <v>0</v>
          </cell>
          <cell r="G361">
            <v>0</v>
          </cell>
        </row>
        <row r="362">
          <cell r="A362" t="str">
            <v>115-10-040</v>
          </cell>
          <cell r="B362">
            <v>7</v>
          </cell>
          <cell r="D362">
            <v>0</v>
          </cell>
          <cell r="E362">
            <v>0</v>
          </cell>
          <cell r="F362">
            <v>0</v>
          </cell>
          <cell r="G362">
            <v>0</v>
          </cell>
          <cell r="H362" t="str">
            <v>Incresed space??? ( Space occupied picked from the notes)</v>
          </cell>
        </row>
        <row r="363">
          <cell r="A363" t="str">
            <v>115-10-040</v>
          </cell>
          <cell r="B363">
            <v>7</v>
          </cell>
          <cell r="D363">
            <v>0</v>
          </cell>
          <cell r="F363">
            <v>0</v>
          </cell>
          <cell r="G363">
            <v>0</v>
          </cell>
        </row>
        <row r="364">
          <cell r="A364" t="str">
            <v>115-10-050</v>
          </cell>
          <cell r="B364">
            <v>7</v>
          </cell>
          <cell r="C364" t="str">
            <v>OFFICE CATERING &amp; STAFF WELFARE</v>
          </cell>
          <cell r="D364">
            <v>0</v>
          </cell>
          <cell r="E364">
            <v>0</v>
          </cell>
          <cell r="F364">
            <v>0</v>
          </cell>
          <cell r="G364">
            <v>0</v>
          </cell>
        </row>
        <row r="365">
          <cell r="A365" t="str">
            <v>115-10-051</v>
          </cell>
          <cell r="B365">
            <v>7</v>
          </cell>
          <cell r="C365" t="str">
            <v>OFFICE CLEANING</v>
          </cell>
          <cell r="D365">
            <v>0</v>
          </cell>
          <cell r="E365">
            <v>0</v>
          </cell>
          <cell r="F365">
            <v>0</v>
          </cell>
          <cell r="G365">
            <v>0</v>
          </cell>
        </row>
        <row r="366">
          <cell r="A366" t="str">
            <v>115-10-060</v>
          </cell>
          <cell r="B366">
            <v>7</v>
          </cell>
          <cell r="C366" t="str">
            <v>OFFICE WATER</v>
          </cell>
          <cell r="D366">
            <v>0</v>
          </cell>
          <cell r="E366">
            <v>0</v>
          </cell>
          <cell r="F366">
            <v>0</v>
          </cell>
          <cell r="G366">
            <v>0</v>
          </cell>
        </row>
        <row r="367">
          <cell r="A367" t="str">
            <v>115-10-070</v>
          </cell>
          <cell r="B367">
            <v>7</v>
          </cell>
          <cell r="C367" t="str">
            <v>OFFICE ELECTRICITY</v>
          </cell>
          <cell r="D367">
            <v>0</v>
          </cell>
          <cell r="E367">
            <v>0</v>
          </cell>
          <cell r="F367">
            <v>0</v>
          </cell>
          <cell r="G367">
            <v>0</v>
          </cell>
        </row>
        <row r="368">
          <cell r="A368" t="str">
            <v>115-10-080</v>
          </cell>
          <cell r="B368">
            <v>7</v>
          </cell>
          <cell r="C368" t="str">
            <v>OFFICE SECURITY</v>
          </cell>
          <cell r="D368">
            <v>0</v>
          </cell>
          <cell r="E368">
            <v>0</v>
          </cell>
          <cell r="F368">
            <v>0</v>
          </cell>
          <cell r="G368">
            <v>0</v>
          </cell>
        </row>
        <row r="369">
          <cell r="A369" t="str">
            <v>125-10-010</v>
          </cell>
          <cell r="B369">
            <v>7</v>
          </cell>
          <cell r="C369" t="str">
            <v>BANK CHARGES</v>
          </cell>
          <cell r="D369">
            <v>0</v>
          </cell>
          <cell r="E369">
            <v>0</v>
          </cell>
          <cell r="F369">
            <v>0</v>
          </cell>
          <cell r="G369">
            <v>0</v>
          </cell>
        </row>
        <row r="370">
          <cell r="A370" t="str">
            <v>125-10-020</v>
          </cell>
          <cell r="B370">
            <v>7</v>
          </cell>
          <cell r="C370" t="str">
            <v>BANK OVERDRART CHARGES</v>
          </cell>
          <cell r="E370">
            <v>0</v>
          </cell>
          <cell r="F370">
            <v>0</v>
          </cell>
          <cell r="G370">
            <v>0</v>
          </cell>
        </row>
        <row r="371">
          <cell r="A371" t="str">
            <v>145-10-010</v>
          </cell>
          <cell r="B371">
            <v>7</v>
          </cell>
          <cell r="C371" t="str">
            <v>ALA Group charges- Individual life</v>
          </cell>
          <cell r="D371">
            <v>0</v>
          </cell>
          <cell r="E371">
            <v>0</v>
          </cell>
          <cell r="F371">
            <v>0</v>
          </cell>
          <cell r="G371">
            <v>0</v>
          </cell>
        </row>
        <row r="372">
          <cell r="A372" t="str">
            <v>145-10-020</v>
          </cell>
          <cell r="B372">
            <v>7</v>
          </cell>
          <cell r="C372" t="str">
            <v>Actuarial fees- Individual life</v>
          </cell>
          <cell r="D372">
            <v>0</v>
          </cell>
          <cell r="E372">
            <v>0</v>
          </cell>
          <cell r="F372">
            <v>0</v>
          </cell>
          <cell r="G372">
            <v>0</v>
          </cell>
        </row>
        <row r="373">
          <cell r="A373" t="str">
            <v>145-10-030</v>
          </cell>
          <cell r="B373">
            <v>7</v>
          </cell>
          <cell r="C373" t="str">
            <v>Audit fee -individual life</v>
          </cell>
          <cell r="D373">
            <v>0</v>
          </cell>
          <cell r="E373">
            <v>0</v>
          </cell>
          <cell r="F373">
            <v>0</v>
          </cell>
          <cell r="G373">
            <v>0</v>
          </cell>
        </row>
        <row r="374">
          <cell r="A374" t="str">
            <v>145-10-031</v>
          </cell>
          <cell r="B374">
            <v>7</v>
          </cell>
          <cell r="C374" t="str">
            <v>Tax filing returns</v>
          </cell>
          <cell r="D374">
            <v>0</v>
          </cell>
          <cell r="E374">
            <v>0</v>
          </cell>
          <cell r="F374">
            <v>0</v>
          </cell>
          <cell r="G374">
            <v>0</v>
          </cell>
        </row>
        <row r="375">
          <cell r="A375" t="str">
            <v>145-10-040</v>
          </cell>
          <cell r="B375">
            <v>7</v>
          </cell>
          <cell r="C375" t="str">
            <v>Legal fees</v>
          </cell>
          <cell r="D375">
            <v>0</v>
          </cell>
          <cell r="E375">
            <v>0</v>
          </cell>
          <cell r="F375">
            <v>0</v>
          </cell>
          <cell r="G375">
            <v>0</v>
          </cell>
        </row>
        <row r="376">
          <cell r="A376" t="str">
            <v>145-10-060</v>
          </cell>
          <cell r="B376">
            <v>7</v>
          </cell>
          <cell r="C376" t="str">
            <v>Intra company charges- individual life</v>
          </cell>
          <cell r="G376">
            <v>0</v>
          </cell>
        </row>
        <row r="377">
          <cell r="A377" t="str">
            <v>145-10-060</v>
          </cell>
          <cell r="B377">
            <v>7</v>
          </cell>
          <cell r="E377">
            <v>0</v>
          </cell>
          <cell r="G377">
            <v>0</v>
          </cell>
        </row>
        <row r="378">
          <cell r="A378" t="str">
            <v>145-10-080</v>
          </cell>
          <cell r="B378">
            <v>7</v>
          </cell>
          <cell r="C378" t="str">
            <v>40% Excutive recharge</v>
          </cell>
          <cell r="F378">
            <v>0</v>
          </cell>
          <cell r="G378">
            <v>0</v>
          </cell>
        </row>
        <row r="379">
          <cell r="A379" t="str">
            <v>145-10-080</v>
          </cell>
          <cell r="B379">
            <v>7</v>
          </cell>
          <cell r="C379" t="str">
            <v xml:space="preserve">Recharges: 10% recharge to Corporate </v>
          </cell>
          <cell r="E379">
            <v>0</v>
          </cell>
          <cell r="G379">
            <v>0</v>
          </cell>
        </row>
        <row r="380">
          <cell r="A380" t="str">
            <v>145-10-100</v>
          </cell>
          <cell r="B380">
            <v>7</v>
          </cell>
          <cell r="E380">
            <v>0</v>
          </cell>
          <cell r="G380">
            <v>0</v>
          </cell>
        </row>
        <row r="381">
          <cell r="A381" t="str">
            <v>155-10-007</v>
          </cell>
          <cell r="B381">
            <v>7</v>
          </cell>
          <cell r="C381" t="str">
            <v>NEWSPAPERS &amp; JOURNALS</v>
          </cell>
          <cell r="D381">
            <v>2880</v>
          </cell>
          <cell r="E381">
            <v>2000</v>
          </cell>
          <cell r="F381">
            <v>2880</v>
          </cell>
          <cell r="G381">
            <v>1</v>
          </cell>
        </row>
        <row r="382">
          <cell r="A382" t="str">
            <v>155-10-008</v>
          </cell>
          <cell r="B382">
            <v>7</v>
          </cell>
          <cell r="C382" t="str">
            <v>ENTERTAINMENT &amp; DONATIONS</v>
          </cell>
          <cell r="D382">
            <v>5000</v>
          </cell>
          <cell r="E382">
            <v>0</v>
          </cell>
          <cell r="F382">
            <v>2000</v>
          </cell>
          <cell r="G382">
            <v>2.5</v>
          </cell>
        </row>
        <row r="383">
          <cell r="A383" t="str">
            <v>155-10-009</v>
          </cell>
          <cell r="B383">
            <v>7</v>
          </cell>
          <cell r="C383" t="str">
            <v>COURIER &amp; FREIGHT CHARGES</v>
          </cell>
          <cell r="D383">
            <v>0</v>
          </cell>
          <cell r="E383">
            <v>0</v>
          </cell>
          <cell r="F383">
            <v>0</v>
          </cell>
          <cell r="G383">
            <v>0</v>
          </cell>
        </row>
        <row r="384">
          <cell r="A384" t="str">
            <v>155-10-010</v>
          </cell>
          <cell r="B384">
            <v>7</v>
          </cell>
          <cell r="C384" t="str">
            <v>ADVERTISING &amp; PUBLICITY</v>
          </cell>
          <cell r="D384">
            <v>0</v>
          </cell>
          <cell r="E384">
            <v>0</v>
          </cell>
          <cell r="F384">
            <v>0</v>
          </cell>
          <cell r="G384">
            <v>0</v>
          </cell>
        </row>
        <row r="385">
          <cell r="A385" t="str">
            <v>155-10-012</v>
          </cell>
          <cell r="B385">
            <v>7</v>
          </cell>
          <cell r="C385" t="str">
            <v>TRADE LICENCES</v>
          </cell>
          <cell r="D385">
            <v>0</v>
          </cell>
          <cell r="E385">
            <v>0</v>
          </cell>
          <cell r="F385">
            <v>0</v>
          </cell>
          <cell r="G385">
            <v>0</v>
          </cell>
        </row>
        <row r="386">
          <cell r="A386" t="str">
            <v>155-10-013</v>
          </cell>
          <cell r="B386">
            <v>7</v>
          </cell>
          <cell r="C386" t="str">
            <v>INSURANCES</v>
          </cell>
          <cell r="D386">
            <v>0</v>
          </cell>
          <cell r="E386">
            <v>0</v>
          </cell>
          <cell r="F386">
            <v>0</v>
          </cell>
          <cell r="G386">
            <v>0</v>
          </cell>
        </row>
        <row r="387">
          <cell r="A387" t="str">
            <v>155-10-014</v>
          </cell>
          <cell r="B387">
            <v>7</v>
          </cell>
          <cell r="C387" t="str">
            <v>PHOTOCOPY</v>
          </cell>
          <cell r="D387">
            <v>0</v>
          </cell>
          <cell r="E387">
            <v>0</v>
          </cell>
          <cell r="F387">
            <v>0</v>
          </cell>
          <cell r="G387">
            <v>0</v>
          </cell>
        </row>
        <row r="388">
          <cell r="A388" t="str">
            <v>155-10-015</v>
          </cell>
          <cell r="B388">
            <v>7</v>
          </cell>
          <cell r="C388" t="str">
            <v>COMPUTER MAINTAINANCE</v>
          </cell>
          <cell r="D388">
            <v>0</v>
          </cell>
          <cell r="E388">
            <v>0</v>
          </cell>
          <cell r="F388">
            <v>0</v>
          </cell>
          <cell r="G388">
            <v>0</v>
          </cell>
        </row>
        <row r="389">
          <cell r="A389" t="str">
            <v>155-10-016</v>
          </cell>
          <cell r="B389">
            <v>7</v>
          </cell>
          <cell r="C389" t="str">
            <v>EQUIPMENT&amp; FURNITURE REPAIRS &amp; MAINTENANCE</v>
          </cell>
          <cell r="D389">
            <v>15000</v>
          </cell>
          <cell r="E389">
            <v>13000</v>
          </cell>
          <cell r="F389">
            <v>22285.714285714286</v>
          </cell>
          <cell r="G389">
            <v>0.67307692307692302</v>
          </cell>
        </row>
        <row r="390">
          <cell r="A390" t="str">
            <v>155-10-017</v>
          </cell>
          <cell r="B390">
            <v>7</v>
          </cell>
          <cell r="C390" t="str">
            <v>SEMINARS &amp; SHORT TERM COURSES</v>
          </cell>
          <cell r="D390">
            <v>0</v>
          </cell>
          <cell r="E390">
            <v>3000</v>
          </cell>
          <cell r="F390">
            <v>5142.8571428571431</v>
          </cell>
          <cell r="G390">
            <v>0</v>
          </cell>
        </row>
        <row r="391">
          <cell r="A391" t="str">
            <v>155-10-022</v>
          </cell>
          <cell r="B391">
            <v>7</v>
          </cell>
          <cell r="C391" t="str">
            <v>PRINTING &amp; STATIONERY</v>
          </cell>
          <cell r="D391">
            <v>3066932</v>
          </cell>
          <cell r="E391">
            <v>1468000</v>
          </cell>
          <cell r="F391">
            <v>2516571.4285714286</v>
          </cell>
          <cell r="G391">
            <v>1.2186945958219799</v>
          </cell>
          <cell r="H391" t="str">
            <v>Increased number of policies to be sold next year</v>
          </cell>
        </row>
        <row r="392">
          <cell r="A392" t="str">
            <v>155-10-025</v>
          </cell>
          <cell r="B392">
            <v>7</v>
          </cell>
          <cell r="C392" t="str">
            <v>STRATEGIC PLANNING</v>
          </cell>
          <cell r="D392">
            <v>0</v>
          </cell>
          <cell r="E392">
            <v>0</v>
          </cell>
          <cell r="F392">
            <v>0</v>
          </cell>
          <cell r="G392">
            <v>0</v>
          </cell>
        </row>
        <row r="393">
          <cell r="A393" t="str">
            <v>155-10-027</v>
          </cell>
          <cell r="B393">
            <v>7</v>
          </cell>
          <cell r="C393" t="str">
            <v>PROFESSIONAL SUBSCRIPTIONS</v>
          </cell>
          <cell r="D393">
            <v>12625</v>
          </cell>
          <cell r="E393">
            <v>9000</v>
          </cell>
          <cell r="F393">
            <v>15428.571428571429</v>
          </cell>
          <cell r="G393">
            <v>0.81828703703703698</v>
          </cell>
          <cell r="H393" t="str">
            <v>ACII subscription for Samuel Njenga</v>
          </cell>
        </row>
        <row r="394">
          <cell r="A394" t="str">
            <v>155-10-028</v>
          </cell>
          <cell r="B394">
            <v>7</v>
          </cell>
          <cell r="C394" t="str">
            <v xml:space="preserve"> SUBSCRIPTIONS -COMPANY MEMBERSHIP</v>
          </cell>
          <cell r="D394">
            <v>0</v>
          </cell>
          <cell r="E394">
            <v>0</v>
          </cell>
          <cell r="F394">
            <v>0</v>
          </cell>
          <cell r="G394">
            <v>0</v>
          </cell>
        </row>
        <row r="395">
          <cell r="A395" t="str">
            <v>155-10-030</v>
          </cell>
          <cell r="B395">
            <v>7</v>
          </cell>
          <cell r="C395" t="str">
            <v>TRAVELLING &amp; ACCOMMODATION</v>
          </cell>
          <cell r="D395">
            <v>0</v>
          </cell>
          <cell r="E395">
            <v>2000</v>
          </cell>
          <cell r="F395">
            <v>3428.5714285714284</v>
          </cell>
          <cell r="G395">
            <v>0</v>
          </cell>
        </row>
        <row r="396">
          <cell r="A396" t="str">
            <v>155-10-032</v>
          </cell>
          <cell r="B396">
            <v>7</v>
          </cell>
          <cell r="C396" t="str">
            <v xml:space="preserve">MOTOR CAR EXPENSES </v>
          </cell>
          <cell r="D396">
            <v>0</v>
          </cell>
          <cell r="E396">
            <v>0</v>
          </cell>
          <cell r="F396">
            <v>0</v>
          </cell>
          <cell r="G396">
            <v>0</v>
          </cell>
        </row>
        <row r="397">
          <cell r="A397" t="str">
            <v>155-10-040</v>
          </cell>
          <cell r="B397">
            <v>7</v>
          </cell>
          <cell r="C397" t="str">
            <v>POSTAGE</v>
          </cell>
          <cell r="D397">
            <v>2265000</v>
          </cell>
          <cell r="E397">
            <v>1094875</v>
          </cell>
          <cell r="F397">
            <v>1876928.5714285714</v>
          </cell>
          <cell r="G397">
            <v>1.2067587624158009</v>
          </cell>
          <cell r="H397" t="str">
            <v>Increased number of policies to be sold next year</v>
          </cell>
        </row>
        <row r="398">
          <cell r="A398" t="str">
            <v>155-10-041</v>
          </cell>
          <cell r="B398">
            <v>7</v>
          </cell>
          <cell r="C398" t="str">
            <v>TELEPHONE &amp; FAX</v>
          </cell>
          <cell r="D398">
            <v>99198</v>
          </cell>
          <cell r="E398">
            <v>54000</v>
          </cell>
          <cell r="F398">
            <v>92571.42857142858</v>
          </cell>
          <cell r="G398">
            <v>1.0715833333333333</v>
          </cell>
        </row>
        <row r="399">
          <cell r="A399" t="str">
            <v>155-10-044</v>
          </cell>
          <cell r="B399">
            <v>7</v>
          </cell>
          <cell r="C399" t="str">
            <v>PROFFESSIONAL TRAINING</v>
          </cell>
          <cell r="D399">
            <v>53125</v>
          </cell>
          <cell r="E399">
            <v>52000</v>
          </cell>
          <cell r="F399">
            <v>89142.857142857145</v>
          </cell>
          <cell r="G399">
            <v>0.59595352564102566</v>
          </cell>
        </row>
        <row r="400">
          <cell r="A400" t="str">
            <v>155-10-046</v>
          </cell>
          <cell r="B400">
            <v>7</v>
          </cell>
          <cell r="C400" t="str">
            <v xml:space="preserve">SUBSCRIPTION- STAFF CLUB MEMBERSHIP </v>
          </cell>
          <cell r="D400">
            <v>0</v>
          </cell>
          <cell r="E400">
            <v>0</v>
          </cell>
          <cell r="F400">
            <v>0</v>
          </cell>
          <cell r="G400">
            <v>0</v>
          </cell>
        </row>
        <row r="401">
          <cell r="A401" t="str">
            <v>155-10-054</v>
          </cell>
          <cell r="B401">
            <v>7</v>
          </cell>
          <cell r="C401" t="str">
            <v>LEASED LINES-INTERNET SERVICES</v>
          </cell>
          <cell r="D401">
            <v>0</v>
          </cell>
          <cell r="E401">
            <v>0</v>
          </cell>
          <cell r="F401">
            <v>0</v>
          </cell>
          <cell r="G401">
            <v>0</v>
          </cell>
        </row>
        <row r="402">
          <cell r="A402" t="str">
            <v>155-10-057</v>
          </cell>
          <cell r="B402">
            <v>7</v>
          </cell>
          <cell r="C402" t="str">
            <v>SOFTWARE LICENCES</v>
          </cell>
          <cell r="D402">
            <v>0</v>
          </cell>
          <cell r="E402">
            <v>0</v>
          </cell>
          <cell r="F402">
            <v>0</v>
          </cell>
          <cell r="G402">
            <v>0</v>
          </cell>
        </row>
        <row r="403">
          <cell r="A403" t="str">
            <v>155-10-059</v>
          </cell>
          <cell r="B403">
            <v>7</v>
          </cell>
          <cell r="E403">
            <v>0</v>
          </cell>
          <cell r="G403">
            <v>0</v>
          </cell>
        </row>
        <row r="404">
          <cell r="A404" t="str">
            <v>155-10-060</v>
          </cell>
          <cell r="B404">
            <v>7</v>
          </cell>
          <cell r="E404">
            <v>0</v>
          </cell>
          <cell r="G404">
            <v>0</v>
          </cell>
        </row>
        <row r="405">
          <cell r="A405" t="str">
            <v>155-10-062</v>
          </cell>
          <cell r="B405">
            <v>7</v>
          </cell>
          <cell r="C405" t="str">
            <v>EDUCATION EXPENSES</v>
          </cell>
          <cell r="D405">
            <v>0</v>
          </cell>
          <cell r="E405">
            <v>0</v>
          </cell>
          <cell r="F405">
            <v>0</v>
          </cell>
          <cell r="G405">
            <v>0</v>
          </cell>
        </row>
        <row r="406">
          <cell r="A406" t="str">
            <v>105-10-010</v>
          </cell>
          <cell r="B406">
            <v>8</v>
          </cell>
          <cell r="C406" t="str">
            <v>BASIC SALARY</v>
          </cell>
          <cell r="D406">
            <v>11533220.4</v>
          </cell>
          <cell r="E406">
            <v>5813000</v>
          </cell>
          <cell r="F406">
            <v>10101550</v>
          </cell>
          <cell r="G406">
            <v>1.1417277942493973</v>
          </cell>
          <cell r="H406" t="str">
            <v>We expect a new staff</v>
          </cell>
        </row>
        <row r="407">
          <cell r="A407" t="str">
            <v>105-10-012</v>
          </cell>
          <cell r="B407">
            <v>8</v>
          </cell>
          <cell r="C407" t="str">
            <v>PROVISION FOR MORT. RATE ADJUSTMENTS</v>
          </cell>
          <cell r="D407">
            <v>447480</v>
          </cell>
          <cell r="E407">
            <v>261000</v>
          </cell>
          <cell r="F407">
            <v>447450</v>
          </cell>
          <cell r="G407">
            <v>1.0000670465973851</v>
          </cell>
        </row>
        <row r="408">
          <cell r="A408" t="str">
            <v>105-10-020</v>
          </cell>
          <cell r="B408">
            <v>8</v>
          </cell>
          <cell r="C408" t="str">
            <v>HOUSE ALLOWANCE</v>
          </cell>
          <cell r="D408">
            <v>1152900</v>
          </cell>
          <cell r="E408">
            <v>630000</v>
          </cell>
          <cell r="F408">
            <v>1110375</v>
          </cell>
          <cell r="G408">
            <v>1.0382978723404255</v>
          </cell>
          <cell r="H408" t="str">
            <v>We expect a new staff</v>
          </cell>
        </row>
        <row r="409">
          <cell r="A409" t="str">
            <v>105-10-030</v>
          </cell>
          <cell r="B409">
            <v>8</v>
          </cell>
          <cell r="C409" t="str">
            <v>TELEPHONE ALLOWANCE</v>
          </cell>
          <cell r="D409">
            <v>84000</v>
          </cell>
          <cell r="E409">
            <v>47000</v>
          </cell>
          <cell r="F409">
            <v>82000</v>
          </cell>
          <cell r="G409">
            <v>1.024390243902439</v>
          </cell>
        </row>
        <row r="410">
          <cell r="A410" t="str">
            <v>105-10-040</v>
          </cell>
          <cell r="B410">
            <v>8</v>
          </cell>
          <cell r="C410" t="str">
            <v>SECURITY ALLOWANCE</v>
          </cell>
          <cell r="D410">
            <v>300000</v>
          </cell>
          <cell r="E410">
            <v>175000</v>
          </cell>
          <cell r="F410">
            <v>300000</v>
          </cell>
          <cell r="G410">
            <v>1</v>
          </cell>
        </row>
        <row r="411">
          <cell r="A411" t="str">
            <v>105-10-060</v>
          </cell>
          <cell r="B411">
            <v>8</v>
          </cell>
          <cell r="C411" t="str">
            <v>TRAVEL ALLOWANCE</v>
          </cell>
          <cell r="D411">
            <v>1185600</v>
          </cell>
          <cell r="E411">
            <v>467000</v>
          </cell>
          <cell r="F411">
            <v>961000</v>
          </cell>
          <cell r="G411">
            <v>1.2337148803329865</v>
          </cell>
          <cell r="H411" t="str">
            <v>Increment awarded in april 2004 not backdated to Jan. Full year in the budget</v>
          </cell>
        </row>
        <row r="412">
          <cell r="A412" t="str">
            <v>105-20-010</v>
          </cell>
          <cell r="B412">
            <v>8</v>
          </cell>
          <cell r="C412" t="str">
            <v>NSSF</v>
          </cell>
          <cell r="D412">
            <v>24000</v>
          </cell>
          <cell r="E412">
            <v>12000</v>
          </cell>
          <cell r="F412">
            <v>22000</v>
          </cell>
          <cell r="G412">
            <v>1.0909090909090908</v>
          </cell>
          <cell r="H412" t="str">
            <v>We expect a new staff</v>
          </cell>
        </row>
        <row r="413">
          <cell r="A413" t="str">
            <v>105-20-020</v>
          </cell>
          <cell r="B413">
            <v>8</v>
          </cell>
          <cell r="C413" t="str">
            <v>NHIF</v>
          </cell>
          <cell r="D413">
            <v>28800</v>
          </cell>
          <cell r="E413">
            <v>11000</v>
          </cell>
          <cell r="F413">
            <v>23000</v>
          </cell>
          <cell r="G413">
            <v>1.2521739130434784</v>
          </cell>
          <cell r="H413" t="str">
            <v>We expect a new staff</v>
          </cell>
        </row>
        <row r="414">
          <cell r="A414" t="str">
            <v>105-30-010</v>
          </cell>
          <cell r="B414">
            <v>8</v>
          </cell>
          <cell r="C414" t="str">
            <v xml:space="preserve">PENSION </v>
          </cell>
          <cell r="D414">
            <v>1441652.55</v>
          </cell>
          <cell r="E414">
            <v>673000</v>
          </cell>
          <cell r="F414">
            <v>1273688.5625</v>
          </cell>
          <cell r="G414">
            <v>1.1318721015837026</v>
          </cell>
        </row>
        <row r="415">
          <cell r="A415" t="str">
            <v>105-30-020</v>
          </cell>
          <cell r="B415">
            <v>8</v>
          </cell>
          <cell r="C415" t="str">
            <v>LAST EXPENSE</v>
          </cell>
          <cell r="D415">
            <v>8112</v>
          </cell>
          <cell r="E415">
            <v>6000</v>
          </cell>
          <cell r="F415">
            <v>10285.714285714286</v>
          </cell>
          <cell r="G415">
            <v>0.78866666666666663</v>
          </cell>
        </row>
        <row r="416">
          <cell r="A416" t="str">
            <v>105-30-030</v>
          </cell>
          <cell r="B416">
            <v>8</v>
          </cell>
          <cell r="C416" t="str">
            <v>GROUP LIFE ASSURANCE</v>
          </cell>
          <cell r="D416">
            <v>175032</v>
          </cell>
          <cell r="E416">
            <v>115000</v>
          </cell>
          <cell r="F416">
            <v>197142.85714285713</v>
          </cell>
          <cell r="G416">
            <v>0.88784347826086962</v>
          </cell>
        </row>
        <row r="417">
          <cell r="A417" t="str">
            <v>105-30-040</v>
          </cell>
          <cell r="B417">
            <v>8</v>
          </cell>
          <cell r="C417" t="str">
            <v>STAFF MEDICAL</v>
          </cell>
          <cell r="D417">
            <v>0</v>
          </cell>
          <cell r="F417">
            <v>0</v>
          </cell>
          <cell r="G417">
            <v>0</v>
          </cell>
        </row>
        <row r="418">
          <cell r="A418" t="str">
            <v>105-30-050</v>
          </cell>
          <cell r="B418">
            <v>8</v>
          </cell>
          <cell r="C418" t="str">
            <v>CASH IN LIEU OF LEAVE</v>
          </cell>
          <cell r="D418">
            <v>288330.51</v>
          </cell>
          <cell r="E418">
            <v>196000</v>
          </cell>
          <cell r="F418">
            <v>336000</v>
          </cell>
          <cell r="G418">
            <v>0.85812651785714311</v>
          </cell>
        </row>
        <row r="419">
          <cell r="A419" t="str">
            <v>105-30-060</v>
          </cell>
          <cell r="B419">
            <v>8</v>
          </cell>
          <cell r="C419" t="str">
            <v>GRATUITY</v>
          </cell>
          <cell r="E419">
            <v>0</v>
          </cell>
          <cell r="F419">
            <v>0</v>
          </cell>
          <cell r="G419">
            <v>0</v>
          </cell>
        </row>
        <row r="420">
          <cell r="A420" t="str">
            <v>105-30-070</v>
          </cell>
          <cell r="B420">
            <v>8</v>
          </cell>
          <cell r="C420" t="str">
            <v>LONG SERVICE AWARDS</v>
          </cell>
          <cell r="D420">
            <v>0</v>
          </cell>
          <cell r="E420">
            <v>0</v>
          </cell>
          <cell r="F420">
            <v>0</v>
          </cell>
          <cell r="G420">
            <v>0</v>
          </cell>
        </row>
        <row r="421">
          <cell r="A421" t="str">
            <v>105-30-080</v>
          </cell>
          <cell r="B421">
            <v>8</v>
          </cell>
          <cell r="C421" t="str">
            <v>STAFF RECRUITMENT &amp; REMOVALS</v>
          </cell>
          <cell r="D421">
            <v>0</v>
          </cell>
          <cell r="G421">
            <v>0</v>
          </cell>
        </row>
        <row r="422">
          <cell r="A422" t="str">
            <v>115-10-010</v>
          </cell>
          <cell r="B422">
            <v>8</v>
          </cell>
          <cell r="C422" t="str">
            <v>Furniture &amp; Fittings</v>
          </cell>
          <cell r="D422">
            <v>5625</v>
          </cell>
        </row>
        <row r="423">
          <cell r="A423" t="str">
            <v>115-10-010</v>
          </cell>
          <cell r="B423">
            <v>8</v>
          </cell>
          <cell r="D423">
            <v>3959883.72</v>
          </cell>
          <cell r="E423">
            <v>2519000</v>
          </cell>
          <cell r="F423">
            <v>4318285.7142857146</v>
          </cell>
          <cell r="G423">
            <v>0.9170036403334656</v>
          </cell>
        </row>
        <row r="424">
          <cell r="A424" t="str">
            <v>115-10-010</v>
          </cell>
          <cell r="B424">
            <v>8</v>
          </cell>
          <cell r="C424" t="str">
            <v>Furniture &amp; Fittings</v>
          </cell>
          <cell r="D424">
            <v>2604.166666666667</v>
          </cell>
        </row>
        <row r="425">
          <cell r="A425" t="str">
            <v>115-10-010</v>
          </cell>
          <cell r="B425">
            <v>8</v>
          </cell>
          <cell r="C425" t="str">
            <v>Furniture &amp; Fittings</v>
          </cell>
          <cell r="D425">
            <v>3989.5833333333335</v>
          </cell>
        </row>
        <row r="426">
          <cell r="A426" t="str">
            <v>115-10-010</v>
          </cell>
          <cell r="B426">
            <v>8</v>
          </cell>
          <cell r="C426" t="str">
            <v>Furniture &amp; Fittings</v>
          </cell>
          <cell r="D426">
            <v>0</v>
          </cell>
        </row>
        <row r="427">
          <cell r="A427" t="str">
            <v>115-10-010</v>
          </cell>
          <cell r="B427">
            <v>8</v>
          </cell>
          <cell r="C427" t="str">
            <v>Furniture &amp; Fittings</v>
          </cell>
          <cell r="D427">
            <v>0</v>
          </cell>
        </row>
        <row r="428">
          <cell r="A428" t="str">
            <v>115-10-010</v>
          </cell>
          <cell r="B428">
            <v>8</v>
          </cell>
          <cell r="C428" t="str">
            <v>Furniture &amp; Fittings</v>
          </cell>
          <cell r="D428">
            <v>0</v>
          </cell>
        </row>
        <row r="429">
          <cell r="A429" t="str">
            <v>115-10-010</v>
          </cell>
          <cell r="B429">
            <v>8</v>
          </cell>
          <cell r="C429" t="str">
            <v>Furniture &amp; Fittings</v>
          </cell>
          <cell r="D429">
            <v>0</v>
          </cell>
        </row>
        <row r="430">
          <cell r="A430" t="str">
            <v>115-10-010</v>
          </cell>
          <cell r="B430">
            <v>8</v>
          </cell>
          <cell r="C430" t="str">
            <v>Furniture &amp; Fittings</v>
          </cell>
          <cell r="D430">
            <v>0</v>
          </cell>
        </row>
        <row r="431">
          <cell r="A431" t="str">
            <v>115-10-010</v>
          </cell>
          <cell r="B431">
            <v>8</v>
          </cell>
          <cell r="C431" t="str">
            <v>Furniture &amp; Fittings</v>
          </cell>
          <cell r="D431">
            <v>17500</v>
          </cell>
        </row>
        <row r="432">
          <cell r="A432" t="str">
            <v>115-10-010</v>
          </cell>
          <cell r="B432">
            <v>8</v>
          </cell>
          <cell r="C432" t="str">
            <v>Furniture &amp; Fittings</v>
          </cell>
          <cell r="D432">
            <v>0</v>
          </cell>
        </row>
        <row r="433">
          <cell r="A433" t="str">
            <v>115-10-010</v>
          </cell>
          <cell r="B433">
            <v>8</v>
          </cell>
          <cell r="C433" t="str">
            <v>Furniture &amp; Fittings</v>
          </cell>
          <cell r="D433">
            <v>0</v>
          </cell>
        </row>
        <row r="434">
          <cell r="A434" t="str">
            <v>115-10-010</v>
          </cell>
          <cell r="B434">
            <v>8</v>
          </cell>
          <cell r="C434" t="str">
            <v>Furniture &amp; Fittings</v>
          </cell>
          <cell r="D434">
            <v>10927.083333333334</v>
          </cell>
        </row>
        <row r="435">
          <cell r="A435" t="str">
            <v>115-10-010</v>
          </cell>
          <cell r="B435">
            <v>8</v>
          </cell>
          <cell r="C435" t="str">
            <v>Furniture &amp; Fittings</v>
          </cell>
          <cell r="D435">
            <v>38437.5</v>
          </cell>
        </row>
        <row r="436">
          <cell r="A436" t="str">
            <v>115-10-010</v>
          </cell>
          <cell r="B436">
            <v>8</v>
          </cell>
          <cell r="C436" t="str">
            <v>Furniture &amp; Fittings</v>
          </cell>
          <cell r="D436">
            <v>7500</v>
          </cell>
        </row>
        <row r="437">
          <cell r="A437" t="str">
            <v>115-10-010</v>
          </cell>
          <cell r="B437">
            <v>8</v>
          </cell>
          <cell r="C437" t="str">
            <v>Furniture &amp; Fittings</v>
          </cell>
          <cell r="D437">
            <v>0</v>
          </cell>
        </row>
        <row r="438">
          <cell r="A438" t="str">
            <v>115-10-010</v>
          </cell>
          <cell r="B438">
            <v>8</v>
          </cell>
          <cell r="C438" t="str">
            <v>Furniture &amp; Fittings</v>
          </cell>
          <cell r="D438">
            <v>13593.75</v>
          </cell>
        </row>
        <row r="439">
          <cell r="A439" t="str">
            <v>115-10-010</v>
          </cell>
          <cell r="B439">
            <v>8</v>
          </cell>
          <cell r="C439" t="str">
            <v>Furniture &amp; Fittings</v>
          </cell>
          <cell r="D439">
            <v>145802.08333333334</v>
          </cell>
        </row>
        <row r="440">
          <cell r="A440" t="str">
            <v>115-10-010</v>
          </cell>
          <cell r="B440">
            <v>8</v>
          </cell>
          <cell r="C440" t="str">
            <v>Furniture &amp; Fittings</v>
          </cell>
          <cell r="D440">
            <v>5625</v>
          </cell>
        </row>
        <row r="441">
          <cell r="A441" t="str">
            <v>115-10-010</v>
          </cell>
          <cell r="B441">
            <v>8</v>
          </cell>
          <cell r="C441" t="str">
            <v>Furniture &amp; Fittings</v>
          </cell>
          <cell r="D441">
            <v>0</v>
          </cell>
        </row>
        <row r="442">
          <cell r="A442" t="str">
            <v>115-10-010</v>
          </cell>
          <cell r="B442">
            <v>8</v>
          </cell>
          <cell r="C442" t="str">
            <v>Furniture &amp; Fittings</v>
          </cell>
          <cell r="D442">
            <v>15041.666666666666</v>
          </cell>
        </row>
        <row r="443">
          <cell r="A443" t="str">
            <v>115-10-010</v>
          </cell>
          <cell r="B443">
            <v>8</v>
          </cell>
          <cell r="C443" t="str">
            <v>Furniture &amp; Fittings</v>
          </cell>
          <cell r="D443">
            <v>5208.3333333333339</v>
          </cell>
        </row>
        <row r="444">
          <cell r="A444" t="str">
            <v>115-10-010</v>
          </cell>
          <cell r="B444">
            <v>8</v>
          </cell>
          <cell r="C444" t="str">
            <v>Furniture &amp; Fittings</v>
          </cell>
          <cell r="D444">
            <v>833.33333333333326</v>
          </cell>
        </row>
        <row r="445">
          <cell r="A445" t="str">
            <v>115-10-010</v>
          </cell>
          <cell r="B445">
            <v>8</v>
          </cell>
          <cell r="C445" t="str">
            <v>Furniture &amp; Fittings</v>
          </cell>
          <cell r="D445">
            <v>4708.3333333333339</v>
          </cell>
        </row>
        <row r="446">
          <cell r="A446" t="str">
            <v>115-10-010</v>
          </cell>
          <cell r="B446">
            <v>8</v>
          </cell>
          <cell r="C446" t="str">
            <v>Furniture &amp; Fittings</v>
          </cell>
          <cell r="D446">
            <v>28125</v>
          </cell>
        </row>
        <row r="447">
          <cell r="A447" t="str">
            <v>115-10-020</v>
          </cell>
          <cell r="B447">
            <v>8</v>
          </cell>
          <cell r="C447" t="str">
            <v>Computers</v>
          </cell>
          <cell r="D447">
            <v>50000</v>
          </cell>
          <cell r="H447">
            <v>16761</v>
          </cell>
        </row>
        <row r="448">
          <cell r="A448" t="str">
            <v>115-10-020</v>
          </cell>
          <cell r="B448">
            <v>8</v>
          </cell>
          <cell r="C448" t="str">
            <v>Office Equipment</v>
          </cell>
          <cell r="D448">
            <v>42187.5</v>
          </cell>
          <cell r="H448">
            <v>16761000</v>
          </cell>
        </row>
        <row r="449">
          <cell r="A449" t="str">
            <v>115-10-020</v>
          </cell>
          <cell r="B449">
            <v>8</v>
          </cell>
          <cell r="D449">
            <v>4791352.3</v>
          </cell>
          <cell r="E449">
            <v>2894000</v>
          </cell>
          <cell r="F449">
            <v>4961142.8571428573</v>
          </cell>
          <cell r="G449">
            <v>0.96577591856715039</v>
          </cell>
        </row>
        <row r="450">
          <cell r="A450" t="str">
            <v>115-10-020</v>
          </cell>
          <cell r="B450">
            <v>8</v>
          </cell>
          <cell r="C450" t="str">
            <v>Computers</v>
          </cell>
          <cell r="D450">
            <v>1152083.3333333333</v>
          </cell>
          <cell r="E450">
            <v>26888000</v>
          </cell>
        </row>
        <row r="451">
          <cell r="A451" t="str">
            <v>115-10-020</v>
          </cell>
          <cell r="B451">
            <v>8</v>
          </cell>
          <cell r="C451" t="str">
            <v>Office Equipment</v>
          </cell>
          <cell r="D451">
            <v>0</v>
          </cell>
        </row>
        <row r="452">
          <cell r="A452" t="str">
            <v>115-10-020</v>
          </cell>
          <cell r="B452">
            <v>8</v>
          </cell>
          <cell r="C452" t="str">
            <v>Computers</v>
          </cell>
          <cell r="D452">
            <v>65104.166666666672</v>
          </cell>
          <cell r="E452">
            <v>7340267.9188541677</v>
          </cell>
        </row>
        <row r="453">
          <cell r="A453" t="str">
            <v>115-10-020</v>
          </cell>
          <cell r="B453">
            <v>8</v>
          </cell>
          <cell r="C453" t="str">
            <v>Office Equipment</v>
          </cell>
          <cell r="D453">
            <v>0</v>
          </cell>
        </row>
        <row r="454">
          <cell r="A454" t="str">
            <v>115-10-020</v>
          </cell>
          <cell r="B454">
            <v>8</v>
          </cell>
          <cell r="C454" t="str">
            <v>Computers</v>
          </cell>
          <cell r="D454">
            <v>33333.333333333336</v>
          </cell>
          <cell r="E454">
            <v>11181541.666666666</v>
          </cell>
        </row>
        <row r="455">
          <cell r="A455" t="str">
            <v>115-10-020</v>
          </cell>
          <cell r="B455">
            <v>8</v>
          </cell>
          <cell r="C455" t="str">
            <v>Office Equipment</v>
          </cell>
          <cell r="D455">
            <v>0</v>
          </cell>
        </row>
        <row r="456">
          <cell r="A456" t="str">
            <v>115-10-020</v>
          </cell>
          <cell r="B456">
            <v>8</v>
          </cell>
          <cell r="C456" t="str">
            <v>Computers</v>
          </cell>
          <cell r="D456">
            <v>1868515.85</v>
          </cell>
          <cell r="E456">
            <v>6359333.333333334</v>
          </cell>
        </row>
        <row r="457">
          <cell r="A457" t="str">
            <v>115-10-020</v>
          </cell>
          <cell r="B457">
            <v>8</v>
          </cell>
          <cell r="C457" t="str">
            <v>Office Equipment</v>
          </cell>
          <cell r="D457">
            <v>150000</v>
          </cell>
        </row>
        <row r="458">
          <cell r="A458" t="str">
            <v>115-10-020</v>
          </cell>
          <cell r="B458">
            <v>8</v>
          </cell>
          <cell r="C458" t="str">
            <v>Computers</v>
          </cell>
          <cell r="D458">
            <v>0</v>
          </cell>
          <cell r="E458">
            <v>4244875</v>
          </cell>
        </row>
        <row r="459">
          <cell r="A459" t="str">
            <v>115-10-020</v>
          </cell>
          <cell r="B459">
            <v>8</v>
          </cell>
          <cell r="C459" t="str">
            <v>Office Equipment</v>
          </cell>
          <cell r="D459">
            <v>0</v>
          </cell>
        </row>
        <row r="460">
          <cell r="A460" t="str">
            <v>115-10-020</v>
          </cell>
          <cell r="B460">
            <v>8</v>
          </cell>
          <cell r="C460" t="str">
            <v>Computers</v>
          </cell>
          <cell r="D460">
            <v>0</v>
          </cell>
          <cell r="E460">
            <v>3269400</v>
          </cell>
        </row>
        <row r="461">
          <cell r="A461" t="str">
            <v>115-10-020</v>
          </cell>
          <cell r="B461">
            <v>8</v>
          </cell>
          <cell r="C461" t="str">
            <v>Office Equipment</v>
          </cell>
          <cell r="D461">
            <v>0</v>
          </cell>
        </row>
        <row r="462">
          <cell r="A462" t="str">
            <v>115-10-020</v>
          </cell>
          <cell r="B462">
            <v>8</v>
          </cell>
          <cell r="C462" t="str">
            <v>Computers</v>
          </cell>
          <cell r="D462">
            <v>0</v>
          </cell>
          <cell r="E462">
            <v>3460085.4166666665</v>
          </cell>
        </row>
        <row r="463">
          <cell r="A463" t="str">
            <v>115-10-020</v>
          </cell>
          <cell r="B463">
            <v>8</v>
          </cell>
          <cell r="C463" t="str">
            <v>Office Equipment</v>
          </cell>
          <cell r="D463">
            <v>0</v>
          </cell>
        </row>
        <row r="464">
          <cell r="A464" t="str">
            <v>115-10-020</v>
          </cell>
          <cell r="B464">
            <v>8</v>
          </cell>
          <cell r="C464" t="str">
            <v>Computers</v>
          </cell>
          <cell r="D464">
            <v>0</v>
          </cell>
          <cell r="H464">
            <v>500867.33333333331</v>
          </cell>
        </row>
        <row r="465">
          <cell r="A465" t="str">
            <v>115-10-020</v>
          </cell>
          <cell r="B465">
            <v>8</v>
          </cell>
          <cell r="C465" t="str">
            <v>Office Equipment</v>
          </cell>
          <cell r="D465">
            <v>0</v>
          </cell>
          <cell r="H465">
            <v>500867.33333333331</v>
          </cell>
        </row>
        <row r="466">
          <cell r="A466" t="str">
            <v>115-10-020</v>
          </cell>
          <cell r="B466">
            <v>8</v>
          </cell>
          <cell r="C466" t="str">
            <v>Computers</v>
          </cell>
          <cell r="D466">
            <v>0</v>
          </cell>
          <cell r="E466">
            <v>847491</v>
          </cell>
          <cell r="H466">
            <v>827250</v>
          </cell>
        </row>
        <row r="467">
          <cell r="A467" t="str">
            <v>115-10-020</v>
          </cell>
          <cell r="B467">
            <v>8</v>
          </cell>
          <cell r="C467" t="str">
            <v>Office Equipment</v>
          </cell>
          <cell r="D467">
            <v>0</v>
          </cell>
          <cell r="H467">
            <v>-20241</v>
          </cell>
        </row>
        <row r="468">
          <cell r="A468" t="str">
            <v>115-10-020</v>
          </cell>
          <cell r="B468">
            <v>8</v>
          </cell>
          <cell r="C468" t="str">
            <v>Computers</v>
          </cell>
          <cell r="D468">
            <v>25000</v>
          </cell>
          <cell r="E468">
            <v>993000</v>
          </cell>
          <cell r="H468">
            <v>976500</v>
          </cell>
        </row>
        <row r="469">
          <cell r="A469" t="str">
            <v>115-10-020</v>
          </cell>
          <cell r="B469">
            <v>8</v>
          </cell>
          <cell r="C469" t="str">
            <v>Office Equipment</v>
          </cell>
          <cell r="D469">
            <v>3375</v>
          </cell>
          <cell r="H469">
            <v>-16500</v>
          </cell>
        </row>
        <row r="470">
          <cell r="A470" t="str">
            <v>115-10-020</v>
          </cell>
          <cell r="B470">
            <v>8</v>
          </cell>
          <cell r="C470" t="str">
            <v>Computers</v>
          </cell>
          <cell r="D470">
            <v>25000</v>
          </cell>
          <cell r="E470">
            <v>644887.16666666663</v>
          </cell>
          <cell r="H470">
            <v>588554.16666666663</v>
          </cell>
        </row>
        <row r="471">
          <cell r="A471" t="str">
            <v>115-10-020</v>
          </cell>
          <cell r="B471">
            <v>8</v>
          </cell>
          <cell r="C471" t="str">
            <v>Office Equipment</v>
          </cell>
          <cell r="D471">
            <v>0</v>
          </cell>
          <cell r="H471">
            <v>-56333</v>
          </cell>
        </row>
        <row r="472">
          <cell r="A472" t="str">
            <v>115-10-020</v>
          </cell>
          <cell r="B472">
            <v>8</v>
          </cell>
          <cell r="C472" t="str">
            <v>Computers</v>
          </cell>
          <cell r="D472">
            <v>33333.333333333336</v>
          </cell>
          <cell r="E472">
            <v>833333.33333333326</v>
          </cell>
          <cell r="H472">
            <v>835333.33333333337</v>
          </cell>
        </row>
        <row r="473">
          <cell r="A473" t="str">
            <v>115-10-020</v>
          </cell>
          <cell r="B473">
            <v>8</v>
          </cell>
          <cell r="C473" t="str">
            <v>Office Equipment</v>
          </cell>
          <cell r="D473">
            <v>29166.666666666668</v>
          </cell>
          <cell r="H473">
            <v>2000.0000000001164</v>
          </cell>
        </row>
        <row r="474">
          <cell r="A474" t="str">
            <v>115-10-020</v>
          </cell>
          <cell r="B474">
            <v>8</v>
          </cell>
          <cell r="C474" t="str">
            <v>Computers</v>
          </cell>
          <cell r="D474">
            <v>25000</v>
          </cell>
          <cell r="E474">
            <v>1017333.3333333334</v>
          </cell>
          <cell r="H474">
            <v>958833.33333333326</v>
          </cell>
        </row>
        <row r="475">
          <cell r="A475" t="str">
            <v>115-10-020</v>
          </cell>
          <cell r="B475">
            <v>8</v>
          </cell>
          <cell r="C475" t="str">
            <v>Office Equipment</v>
          </cell>
          <cell r="D475">
            <v>25000</v>
          </cell>
          <cell r="H475">
            <v>-58500.000000000116</v>
          </cell>
        </row>
        <row r="476">
          <cell r="A476" t="str">
            <v>115-10-020</v>
          </cell>
          <cell r="B476">
            <v>8</v>
          </cell>
          <cell r="C476" t="str">
            <v>Computers</v>
          </cell>
          <cell r="D476">
            <v>36666.666666666664</v>
          </cell>
          <cell r="E476">
            <v>38407273.333333336</v>
          </cell>
        </row>
        <row r="477">
          <cell r="A477" t="str">
            <v>115-10-020</v>
          </cell>
          <cell r="B477">
            <v>8</v>
          </cell>
          <cell r="C477" t="str">
            <v>Office Equipment</v>
          </cell>
          <cell r="D477">
            <v>55000</v>
          </cell>
        </row>
        <row r="478">
          <cell r="A478" t="str">
            <v>115-10-020</v>
          </cell>
          <cell r="B478">
            <v>8</v>
          </cell>
          <cell r="C478" t="str">
            <v>Computers</v>
          </cell>
          <cell r="D478">
            <v>0</v>
          </cell>
          <cell r="E478">
            <v>654585.66666666663</v>
          </cell>
          <cell r="H478">
            <v>619666.66666666674</v>
          </cell>
        </row>
        <row r="479">
          <cell r="A479" t="str">
            <v>115-10-020</v>
          </cell>
          <cell r="B479">
            <v>8</v>
          </cell>
          <cell r="C479" t="str">
            <v>Office Equipment</v>
          </cell>
          <cell r="D479">
            <v>0</v>
          </cell>
          <cell r="H479">
            <v>-34918.999999999884</v>
          </cell>
        </row>
        <row r="480">
          <cell r="A480" t="str">
            <v>115-10-020</v>
          </cell>
          <cell r="B480">
            <v>8</v>
          </cell>
          <cell r="C480" t="str">
            <v>Computers</v>
          </cell>
          <cell r="D480">
            <v>0</v>
          </cell>
          <cell r="E480">
            <v>712650</v>
          </cell>
          <cell r="H480">
            <v>697250</v>
          </cell>
        </row>
        <row r="481">
          <cell r="A481" t="str">
            <v>115-10-020</v>
          </cell>
          <cell r="B481">
            <v>8</v>
          </cell>
          <cell r="C481" t="str">
            <v>Office Equipment</v>
          </cell>
          <cell r="D481">
            <v>0</v>
          </cell>
          <cell r="H481">
            <v>-15400</v>
          </cell>
        </row>
        <row r="482">
          <cell r="A482" t="str">
            <v>115-10-020</v>
          </cell>
          <cell r="B482">
            <v>8</v>
          </cell>
          <cell r="C482" t="str">
            <v>Computers</v>
          </cell>
          <cell r="D482">
            <v>0</v>
          </cell>
          <cell r="E482">
            <v>811250</v>
          </cell>
          <cell r="H482">
            <v>791250</v>
          </cell>
        </row>
        <row r="483">
          <cell r="A483" t="str">
            <v>115-10-020</v>
          </cell>
          <cell r="B483">
            <v>8</v>
          </cell>
          <cell r="C483" t="str">
            <v>Office Equipment</v>
          </cell>
          <cell r="D483">
            <v>2145.833333333333</v>
          </cell>
          <cell r="H483">
            <v>-20000</v>
          </cell>
        </row>
        <row r="484">
          <cell r="A484" t="str">
            <v>115-10-020</v>
          </cell>
          <cell r="B484">
            <v>8</v>
          </cell>
          <cell r="C484" t="str">
            <v>Computers</v>
          </cell>
          <cell r="D484">
            <v>0</v>
          </cell>
          <cell r="E484">
            <v>1265666.6666666665</v>
          </cell>
          <cell r="H484">
            <v>1217666.6666666665</v>
          </cell>
        </row>
        <row r="485">
          <cell r="A485" t="str">
            <v>115-10-020</v>
          </cell>
          <cell r="B485">
            <v>8</v>
          </cell>
          <cell r="C485" t="str">
            <v>Office Equipment</v>
          </cell>
          <cell r="D485">
            <v>30208.333333333332</v>
          </cell>
          <cell r="H485">
            <v>-48000</v>
          </cell>
        </row>
        <row r="486">
          <cell r="A486" t="str">
            <v>115-10-020</v>
          </cell>
          <cell r="B486">
            <v>8</v>
          </cell>
          <cell r="C486" t="str">
            <v>Computers</v>
          </cell>
          <cell r="D486">
            <v>20000</v>
          </cell>
          <cell r="E486">
            <v>761500</v>
          </cell>
          <cell r="H486">
            <v>761500</v>
          </cell>
        </row>
        <row r="487">
          <cell r="A487" t="str">
            <v>115-10-020</v>
          </cell>
          <cell r="B487">
            <v>8</v>
          </cell>
          <cell r="C487" t="str">
            <v>Office Equipment</v>
          </cell>
          <cell r="D487">
            <v>8750</v>
          </cell>
          <cell r="H487">
            <v>0</v>
          </cell>
        </row>
        <row r="488">
          <cell r="A488" t="str">
            <v>115-10-020</v>
          </cell>
          <cell r="B488">
            <v>8</v>
          </cell>
          <cell r="C488" t="str">
            <v>Computers</v>
          </cell>
          <cell r="D488">
            <v>25000</v>
          </cell>
          <cell r="E488">
            <v>686250</v>
          </cell>
          <cell r="H488">
            <v>686250</v>
          </cell>
        </row>
        <row r="489">
          <cell r="A489" t="str">
            <v>115-10-020</v>
          </cell>
          <cell r="B489">
            <v>8</v>
          </cell>
          <cell r="C489" t="str">
            <v>Office Equipment</v>
          </cell>
          <cell r="D489">
            <v>0</v>
          </cell>
          <cell r="H489">
            <v>0</v>
          </cell>
        </row>
        <row r="490">
          <cell r="A490" t="str">
            <v>115-10-020</v>
          </cell>
          <cell r="B490">
            <v>8</v>
          </cell>
          <cell r="C490" t="str">
            <v>Computers</v>
          </cell>
          <cell r="D490">
            <v>22500</v>
          </cell>
          <cell r="E490">
            <v>589250</v>
          </cell>
          <cell r="H490">
            <v>589250</v>
          </cell>
        </row>
        <row r="491">
          <cell r="A491" t="str">
            <v>115-10-020</v>
          </cell>
          <cell r="B491">
            <v>8</v>
          </cell>
          <cell r="C491" t="str">
            <v>Office Equipment</v>
          </cell>
          <cell r="D491">
            <v>833.33333333333326</v>
          </cell>
          <cell r="H491">
            <v>0</v>
          </cell>
        </row>
        <row r="492">
          <cell r="A492" t="str">
            <v>115-10-020</v>
          </cell>
          <cell r="B492">
            <v>8</v>
          </cell>
          <cell r="C492" t="str">
            <v>Computers</v>
          </cell>
          <cell r="D492">
            <v>25000</v>
          </cell>
          <cell r="E492">
            <v>16627115.560000001</v>
          </cell>
          <cell r="H492">
            <v>15279080.960000001</v>
          </cell>
        </row>
        <row r="493">
          <cell r="A493" t="str">
            <v>115-10-020</v>
          </cell>
          <cell r="B493">
            <v>8</v>
          </cell>
          <cell r="C493" t="str">
            <v>Office Equipment</v>
          </cell>
          <cell r="D493">
            <v>0</v>
          </cell>
          <cell r="H493">
            <v>1348034.6</v>
          </cell>
        </row>
        <row r="494">
          <cell r="A494" t="str">
            <v>115-10-020</v>
          </cell>
          <cell r="B494">
            <v>8</v>
          </cell>
          <cell r="C494" t="str">
            <v>Computers</v>
          </cell>
          <cell r="D494">
            <v>46875</v>
          </cell>
          <cell r="E494">
            <v>741000</v>
          </cell>
        </row>
        <row r="495">
          <cell r="A495" t="str">
            <v>115-10-020</v>
          </cell>
          <cell r="B495">
            <v>8</v>
          </cell>
          <cell r="C495" t="str">
            <v>Office Equipment</v>
          </cell>
          <cell r="D495">
            <v>0</v>
          </cell>
        </row>
        <row r="496">
          <cell r="A496" t="str">
            <v>115-10-030</v>
          </cell>
          <cell r="B496">
            <v>8</v>
          </cell>
          <cell r="C496" t="str">
            <v>Depreciation -M/V -Additions</v>
          </cell>
          <cell r="D496">
            <v>0</v>
          </cell>
          <cell r="G496" t="str">
            <v/>
          </cell>
        </row>
        <row r="497">
          <cell r="A497" t="str">
            <v>115-10-030</v>
          </cell>
          <cell r="B497">
            <v>8</v>
          </cell>
          <cell r="D497">
            <v>2855000</v>
          </cell>
          <cell r="E497">
            <v>265000</v>
          </cell>
          <cell r="F497">
            <v>4020951.7142857146</v>
          </cell>
          <cell r="G497">
            <v>0.71003090881611464</v>
          </cell>
          <cell r="H497" t="str">
            <v>Due to the acquisition of the new vehicles</v>
          </cell>
        </row>
        <row r="498">
          <cell r="A498" t="str">
            <v>115-10-030</v>
          </cell>
          <cell r="B498">
            <v>8</v>
          </cell>
          <cell r="C498" t="str">
            <v>Depreciation -M/V -Additions</v>
          </cell>
          <cell r="D498">
            <v>0</v>
          </cell>
          <cell r="G498" t="str">
            <v/>
          </cell>
        </row>
        <row r="499">
          <cell r="A499" t="str">
            <v>115-10-030</v>
          </cell>
          <cell r="B499">
            <v>8</v>
          </cell>
          <cell r="C499" t="str">
            <v>Depreciation -M/V -Additions</v>
          </cell>
          <cell r="D499">
            <v>0</v>
          </cell>
          <cell r="G499" t="str">
            <v/>
          </cell>
        </row>
        <row r="500">
          <cell r="A500" t="str">
            <v>115-10-030</v>
          </cell>
          <cell r="B500">
            <v>8</v>
          </cell>
          <cell r="C500" t="str">
            <v>Depreciation -M/V -Additions</v>
          </cell>
          <cell r="D500">
            <v>0</v>
          </cell>
          <cell r="G500" t="str">
            <v/>
          </cell>
        </row>
        <row r="501">
          <cell r="A501" t="str">
            <v>115-10-030</v>
          </cell>
          <cell r="B501">
            <v>8</v>
          </cell>
          <cell r="C501" t="str">
            <v>Depreciation -M/V -Additions</v>
          </cell>
          <cell r="D501">
            <v>0</v>
          </cell>
          <cell r="G501" t="str">
            <v/>
          </cell>
        </row>
        <row r="502">
          <cell r="A502" t="str">
            <v>115-10-030</v>
          </cell>
          <cell r="B502">
            <v>8</v>
          </cell>
          <cell r="C502" t="str">
            <v>Depreciation -M/V -Additions</v>
          </cell>
          <cell r="D502">
            <v>0</v>
          </cell>
          <cell r="G502" t="str">
            <v/>
          </cell>
        </row>
        <row r="503">
          <cell r="A503" t="str">
            <v>115-10-030</v>
          </cell>
          <cell r="B503">
            <v>8</v>
          </cell>
          <cell r="C503" t="str">
            <v>Depreciation -M/V -Additions</v>
          </cell>
          <cell r="D503">
            <v>0</v>
          </cell>
          <cell r="G503" t="str">
            <v/>
          </cell>
        </row>
        <row r="504">
          <cell r="A504" t="str">
            <v>115-10-030</v>
          </cell>
          <cell r="B504">
            <v>8</v>
          </cell>
          <cell r="C504" t="str">
            <v>Depreciation -M/V -Additions</v>
          </cell>
          <cell r="D504">
            <v>0</v>
          </cell>
          <cell r="G504" t="str">
            <v/>
          </cell>
        </row>
        <row r="505">
          <cell r="A505" t="str">
            <v>115-10-030</v>
          </cell>
          <cell r="B505">
            <v>8</v>
          </cell>
          <cell r="C505" t="str">
            <v>Depreciation -M/V -Additions</v>
          </cell>
          <cell r="D505">
            <v>0</v>
          </cell>
          <cell r="G505" t="str">
            <v/>
          </cell>
        </row>
        <row r="506">
          <cell r="A506" t="str">
            <v>115-10-030</v>
          </cell>
          <cell r="B506">
            <v>8</v>
          </cell>
          <cell r="C506" t="str">
            <v>Depreciation -M/V -Additions</v>
          </cell>
          <cell r="D506">
            <v>0</v>
          </cell>
          <cell r="G506" t="str">
            <v/>
          </cell>
        </row>
        <row r="507">
          <cell r="A507" t="str">
            <v>115-10-030</v>
          </cell>
          <cell r="B507">
            <v>8</v>
          </cell>
          <cell r="C507" t="str">
            <v>Depreciation -M/V -Additions</v>
          </cell>
          <cell r="D507">
            <v>0</v>
          </cell>
          <cell r="G507" t="str">
            <v/>
          </cell>
        </row>
        <row r="508">
          <cell r="A508" t="str">
            <v>115-10-030</v>
          </cell>
          <cell r="B508">
            <v>8</v>
          </cell>
          <cell r="C508" t="str">
            <v>Depreciation -M/V -Additions</v>
          </cell>
          <cell r="D508">
            <v>0</v>
          </cell>
          <cell r="G508" t="str">
            <v/>
          </cell>
        </row>
        <row r="509">
          <cell r="A509" t="str">
            <v>115-10-030</v>
          </cell>
          <cell r="B509">
            <v>8</v>
          </cell>
          <cell r="C509" t="str">
            <v>Depreciation -M/V -Additions</v>
          </cell>
          <cell r="D509">
            <v>0</v>
          </cell>
          <cell r="G509" t="str">
            <v/>
          </cell>
        </row>
        <row r="510">
          <cell r="A510" t="str">
            <v>115-10-030</v>
          </cell>
          <cell r="B510">
            <v>8</v>
          </cell>
          <cell r="C510" t="str">
            <v>Depreciation -M/V -Additions</v>
          </cell>
          <cell r="D510">
            <v>0</v>
          </cell>
          <cell r="G510" t="str">
            <v/>
          </cell>
        </row>
        <row r="511">
          <cell r="A511" t="str">
            <v>115-10-030</v>
          </cell>
          <cell r="B511">
            <v>8</v>
          </cell>
          <cell r="C511" t="str">
            <v>Depreciation -M/V -Additions</v>
          </cell>
          <cell r="D511">
            <v>750000</v>
          </cell>
          <cell r="G511" t="str">
            <v/>
          </cell>
        </row>
        <row r="512">
          <cell r="A512" t="str">
            <v>115-10-030</v>
          </cell>
          <cell r="B512">
            <v>8</v>
          </cell>
          <cell r="C512" t="str">
            <v>Depreciation -M/V -Additions</v>
          </cell>
          <cell r="D512">
            <v>0</v>
          </cell>
          <cell r="G512" t="str">
            <v/>
          </cell>
        </row>
        <row r="513">
          <cell r="A513" t="str">
            <v>115-10-030</v>
          </cell>
          <cell r="B513">
            <v>8</v>
          </cell>
          <cell r="C513" t="str">
            <v>Depreciation -M/V -Additions</v>
          </cell>
          <cell r="D513">
            <v>0</v>
          </cell>
          <cell r="G513" t="str">
            <v/>
          </cell>
        </row>
        <row r="514">
          <cell r="A514" t="str">
            <v>115-10-030</v>
          </cell>
          <cell r="B514">
            <v>8</v>
          </cell>
          <cell r="C514" t="str">
            <v>Depreciation -M/V -Additions</v>
          </cell>
          <cell r="D514">
            <v>0</v>
          </cell>
          <cell r="G514" t="str">
            <v/>
          </cell>
        </row>
        <row r="515">
          <cell r="A515" t="str">
            <v>115-10-030</v>
          </cell>
          <cell r="B515">
            <v>8</v>
          </cell>
          <cell r="C515" t="str">
            <v>Depreciation -M/V -Additions</v>
          </cell>
          <cell r="D515">
            <v>0</v>
          </cell>
          <cell r="G515" t="str">
            <v/>
          </cell>
        </row>
        <row r="516">
          <cell r="A516" t="str">
            <v>115-10-030</v>
          </cell>
          <cell r="B516">
            <v>8</v>
          </cell>
          <cell r="C516" t="str">
            <v>Depreciation -M/V -Additions</v>
          </cell>
          <cell r="D516">
            <v>0</v>
          </cell>
          <cell r="G516" t="str">
            <v/>
          </cell>
        </row>
        <row r="517">
          <cell r="A517" t="str">
            <v>115-10-030</v>
          </cell>
          <cell r="B517">
            <v>8</v>
          </cell>
          <cell r="C517" t="str">
            <v>Depreciation -M/V -Additions</v>
          </cell>
          <cell r="D517">
            <v>0</v>
          </cell>
          <cell r="G517" t="str">
            <v/>
          </cell>
        </row>
        <row r="518">
          <cell r="A518" t="str">
            <v>115-10-030</v>
          </cell>
          <cell r="B518">
            <v>8</v>
          </cell>
          <cell r="C518" t="str">
            <v>Depreciation -M/V -Additions</v>
          </cell>
          <cell r="D518">
            <v>0</v>
          </cell>
          <cell r="G518" t="str">
            <v/>
          </cell>
        </row>
        <row r="519">
          <cell r="A519" t="str">
            <v>115-10-030</v>
          </cell>
          <cell r="B519">
            <v>8</v>
          </cell>
          <cell r="C519" t="str">
            <v>Depreciation -M/V -Additions</v>
          </cell>
          <cell r="D519">
            <v>0</v>
          </cell>
          <cell r="G519" t="str">
            <v/>
          </cell>
        </row>
        <row r="520">
          <cell r="A520" t="str">
            <v>115-10-030</v>
          </cell>
          <cell r="B520">
            <v>8</v>
          </cell>
          <cell r="C520" t="str">
            <v>Depreciation -M/V -Additions</v>
          </cell>
          <cell r="D520">
            <v>250000</v>
          </cell>
          <cell r="G520" t="str">
            <v/>
          </cell>
        </row>
        <row r="521">
          <cell r="A521" t="str">
            <v>115-10-040</v>
          </cell>
          <cell r="B521">
            <v>8</v>
          </cell>
          <cell r="D521">
            <v>4079808</v>
          </cell>
          <cell r="E521">
            <v>2803500</v>
          </cell>
          <cell r="F521">
            <v>4026000</v>
          </cell>
          <cell r="G521">
            <v>1.0133651266766022</v>
          </cell>
        </row>
        <row r="522">
          <cell r="A522" t="str">
            <v>115-10-040</v>
          </cell>
          <cell r="B522">
            <v>8</v>
          </cell>
          <cell r="D522">
            <v>600000</v>
          </cell>
          <cell r="F522">
            <v>780000</v>
          </cell>
        </row>
        <row r="523">
          <cell r="A523" t="str">
            <v>115-10-050</v>
          </cell>
          <cell r="B523">
            <v>8</v>
          </cell>
          <cell r="C523" t="str">
            <v>OFFICE CATERING &amp; STAFF WELFARE</v>
          </cell>
          <cell r="D523">
            <v>0</v>
          </cell>
          <cell r="E523">
            <v>0</v>
          </cell>
          <cell r="F523">
            <v>0</v>
          </cell>
          <cell r="G523">
            <v>0</v>
          </cell>
        </row>
        <row r="524">
          <cell r="A524" t="str">
            <v>115-10-051</v>
          </cell>
          <cell r="B524">
            <v>8</v>
          </cell>
          <cell r="C524" t="str">
            <v>OFFICE CLEANING</v>
          </cell>
          <cell r="D524">
            <v>0</v>
          </cell>
          <cell r="E524">
            <v>0</v>
          </cell>
          <cell r="F524">
            <v>0</v>
          </cell>
          <cell r="G524">
            <v>0</v>
          </cell>
        </row>
        <row r="525">
          <cell r="A525" t="str">
            <v>115-10-060</v>
          </cell>
          <cell r="B525">
            <v>8</v>
          </cell>
          <cell r="C525" t="str">
            <v>OFFICE WATER</v>
          </cell>
          <cell r="D525">
            <v>0</v>
          </cell>
          <cell r="E525">
            <v>0</v>
          </cell>
          <cell r="F525">
            <v>0</v>
          </cell>
          <cell r="G525">
            <v>0</v>
          </cell>
        </row>
        <row r="526">
          <cell r="A526" t="str">
            <v>115-10-070</v>
          </cell>
          <cell r="B526">
            <v>8</v>
          </cell>
          <cell r="C526" t="str">
            <v>OFFICE ELECTRICITY</v>
          </cell>
          <cell r="D526">
            <v>0</v>
          </cell>
          <cell r="E526">
            <v>0</v>
          </cell>
          <cell r="F526">
            <v>0</v>
          </cell>
          <cell r="G526">
            <v>0</v>
          </cell>
        </row>
        <row r="527">
          <cell r="A527" t="str">
            <v>115-10-080</v>
          </cell>
          <cell r="B527">
            <v>8</v>
          </cell>
          <cell r="C527" t="str">
            <v>OFFICE SECURITY</v>
          </cell>
          <cell r="D527">
            <v>0</v>
          </cell>
          <cell r="E527">
            <v>0</v>
          </cell>
          <cell r="F527">
            <v>0</v>
          </cell>
          <cell r="G527">
            <v>0</v>
          </cell>
        </row>
        <row r="528">
          <cell r="A528" t="str">
            <v>125-10-010</v>
          </cell>
          <cell r="B528">
            <v>8</v>
          </cell>
          <cell r="C528" t="str">
            <v>BANK CHARGES</v>
          </cell>
          <cell r="D528">
            <v>2000000</v>
          </cell>
          <cell r="E528">
            <v>1062000</v>
          </cell>
          <cell r="F528">
            <v>1820571.4285714286</v>
          </cell>
          <cell r="G528">
            <v>1.0985561833019459</v>
          </cell>
        </row>
        <row r="529">
          <cell r="A529" t="str">
            <v>125-10-020</v>
          </cell>
          <cell r="B529">
            <v>8</v>
          </cell>
          <cell r="C529" t="str">
            <v>BANK OVERDRART CHARGES</v>
          </cell>
          <cell r="E529">
            <v>0</v>
          </cell>
          <cell r="F529">
            <v>0</v>
          </cell>
          <cell r="G529">
            <v>0</v>
          </cell>
        </row>
        <row r="530">
          <cell r="A530" t="str">
            <v>145-10-010</v>
          </cell>
          <cell r="B530">
            <v>8</v>
          </cell>
          <cell r="C530" t="str">
            <v>ALA Group charges- Individual life</v>
          </cell>
          <cell r="D530">
            <v>4500000</v>
          </cell>
          <cell r="E530">
            <v>2414000</v>
          </cell>
          <cell r="F530">
            <v>4138285.7142857141</v>
          </cell>
          <cell r="G530">
            <v>1.0874067937033969</v>
          </cell>
        </row>
        <row r="531">
          <cell r="A531" t="str">
            <v>145-10-020</v>
          </cell>
          <cell r="B531">
            <v>8</v>
          </cell>
          <cell r="C531" t="str">
            <v>Actuarial fees- Individual life</v>
          </cell>
          <cell r="D531">
            <v>3800000</v>
          </cell>
          <cell r="E531">
            <v>4060000</v>
          </cell>
          <cell r="F531">
            <v>9450894</v>
          </cell>
          <cell r="G531">
            <v>0.40207836422670701</v>
          </cell>
        </row>
        <row r="532">
          <cell r="A532" t="str">
            <v>145-10-030</v>
          </cell>
          <cell r="B532">
            <v>8</v>
          </cell>
          <cell r="C532" t="str">
            <v>Audit fee -individual life</v>
          </cell>
          <cell r="D532">
            <v>1927000</v>
          </cell>
          <cell r="E532">
            <v>812000</v>
          </cell>
          <cell r="F532">
            <v>1800000</v>
          </cell>
          <cell r="G532">
            <v>1.0705555555555555</v>
          </cell>
        </row>
        <row r="533">
          <cell r="A533" t="str">
            <v>145-10-031</v>
          </cell>
          <cell r="B533">
            <v>8</v>
          </cell>
          <cell r="C533" t="str">
            <v>Tax filing returns</v>
          </cell>
          <cell r="D533">
            <v>290000</v>
          </cell>
          <cell r="E533">
            <v>236833.33333333334</v>
          </cell>
          <cell r="F533">
            <v>406000</v>
          </cell>
          <cell r="G533">
            <v>0.7142857142857143</v>
          </cell>
        </row>
        <row r="534">
          <cell r="A534" t="str">
            <v>145-10-040</v>
          </cell>
          <cell r="B534">
            <v>8</v>
          </cell>
          <cell r="C534" t="str">
            <v>Legal fees</v>
          </cell>
          <cell r="D534">
            <v>0</v>
          </cell>
          <cell r="E534">
            <v>0</v>
          </cell>
          <cell r="F534">
            <v>0</v>
          </cell>
          <cell r="G534">
            <v>0</v>
          </cell>
        </row>
        <row r="535">
          <cell r="A535" t="str">
            <v>145-10-060</v>
          </cell>
          <cell r="B535">
            <v>8</v>
          </cell>
          <cell r="C535" t="str">
            <v>Palal Share of holding company expenses</v>
          </cell>
          <cell r="D535">
            <v>9706526.9561250005</v>
          </cell>
          <cell r="E535">
            <v>4529000</v>
          </cell>
          <cell r="F535">
            <v>10314247.140000001</v>
          </cell>
          <cell r="G535">
            <v>0.94107954021014473</v>
          </cell>
        </row>
        <row r="536">
          <cell r="A536" t="str">
            <v>145-10-080</v>
          </cell>
          <cell r="B536">
            <v>8</v>
          </cell>
          <cell r="C536" t="str">
            <v>40% Excutive recharge</v>
          </cell>
          <cell r="F536">
            <v>0</v>
          </cell>
          <cell r="G536">
            <v>0</v>
          </cell>
        </row>
        <row r="537">
          <cell r="A537" t="str">
            <v>145-10-080</v>
          </cell>
          <cell r="B537">
            <v>8</v>
          </cell>
          <cell r="C537" t="str">
            <v xml:space="preserve">Recharges: 10% recharge to Corporate </v>
          </cell>
          <cell r="D537">
            <v>-6445782.2219458334</v>
          </cell>
          <cell r="E537">
            <v>-2597000</v>
          </cell>
          <cell r="F537">
            <v>-4452000</v>
          </cell>
          <cell r="G537">
            <v>1.4478396724945717</v>
          </cell>
        </row>
        <row r="538">
          <cell r="A538" t="str">
            <v>145-10-100</v>
          </cell>
          <cell r="B538">
            <v>8</v>
          </cell>
          <cell r="C538" t="str">
            <v xml:space="preserve">25% finance recharge to Hoilding Company </v>
          </cell>
          <cell r="D538">
            <v>-5000738.2379999999</v>
          </cell>
          <cell r="E538">
            <v>-2375000</v>
          </cell>
          <cell r="F538">
            <v>-4071428.5714285709</v>
          </cell>
          <cell r="G538">
            <v>1.2282514970526317</v>
          </cell>
        </row>
        <row r="539">
          <cell r="A539" t="str">
            <v>155-10-007</v>
          </cell>
          <cell r="B539">
            <v>8</v>
          </cell>
          <cell r="C539" t="str">
            <v>NEWSPAPERS &amp; JOURNALS</v>
          </cell>
          <cell r="D539">
            <v>29520</v>
          </cell>
          <cell r="E539">
            <v>16000</v>
          </cell>
          <cell r="F539">
            <v>27428.571428571428</v>
          </cell>
          <cell r="G539">
            <v>1.0762499999999999</v>
          </cell>
        </row>
        <row r="540">
          <cell r="A540" t="str">
            <v>155-10-008</v>
          </cell>
          <cell r="B540">
            <v>8</v>
          </cell>
          <cell r="C540" t="str">
            <v>ENTERTAINMENT &amp; DONATIONS</v>
          </cell>
          <cell r="D540">
            <v>64800</v>
          </cell>
          <cell r="E540">
            <v>34000</v>
          </cell>
          <cell r="F540">
            <v>58285.714285714283</v>
          </cell>
          <cell r="G540">
            <v>1.111764705882353</v>
          </cell>
        </row>
        <row r="541">
          <cell r="A541" t="str">
            <v>155-10-009</v>
          </cell>
          <cell r="B541">
            <v>8</v>
          </cell>
          <cell r="C541" t="str">
            <v>COURIER &amp; FREIGHT CHARGES</v>
          </cell>
          <cell r="D541">
            <v>42256</v>
          </cell>
          <cell r="E541">
            <v>8000</v>
          </cell>
          <cell r="F541">
            <v>13714.285714285714</v>
          </cell>
          <cell r="G541">
            <v>3.0811666666666668</v>
          </cell>
          <cell r="H541" t="str">
            <v>This due to increased number parcels to ALA</v>
          </cell>
        </row>
        <row r="542">
          <cell r="A542" t="str">
            <v>155-10-010</v>
          </cell>
          <cell r="B542">
            <v>8</v>
          </cell>
          <cell r="C542" t="str">
            <v>ADVERTISING &amp; PUBLICITY</v>
          </cell>
          <cell r="D542">
            <v>0</v>
          </cell>
          <cell r="E542">
            <v>0</v>
          </cell>
          <cell r="F542">
            <v>0</v>
          </cell>
          <cell r="G542">
            <v>0</v>
          </cell>
        </row>
        <row r="543">
          <cell r="A543" t="str">
            <v>155-10-012</v>
          </cell>
          <cell r="B543">
            <v>8</v>
          </cell>
          <cell r="C543" t="str">
            <v>TRADE LICENCES</v>
          </cell>
          <cell r="D543">
            <v>0</v>
          </cell>
          <cell r="E543">
            <v>139500</v>
          </cell>
          <cell r="F543">
            <v>239142.85714285713</v>
          </cell>
          <cell r="G543">
            <v>0</v>
          </cell>
        </row>
        <row r="544">
          <cell r="A544" t="str">
            <v>155-10-013</v>
          </cell>
          <cell r="B544">
            <v>8</v>
          </cell>
          <cell r="C544" t="str">
            <v>INSURANCES</v>
          </cell>
          <cell r="D544">
            <v>2007346.1</v>
          </cell>
          <cell r="E544">
            <v>815000</v>
          </cell>
          <cell r="F544">
            <v>1300000</v>
          </cell>
          <cell r="G544">
            <v>1.5441123846153846</v>
          </cell>
        </row>
        <row r="545">
          <cell r="A545" t="str">
            <v>155-10-014</v>
          </cell>
          <cell r="B545">
            <v>8</v>
          </cell>
          <cell r="C545" t="str">
            <v>PHOTOCOPY</v>
          </cell>
          <cell r="D545">
            <v>0</v>
          </cell>
          <cell r="E545">
            <v>1000</v>
          </cell>
          <cell r="F545">
            <v>1714.2857142857142</v>
          </cell>
          <cell r="G545">
            <v>0</v>
          </cell>
        </row>
        <row r="546">
          <cell r="A546" t="str">
            <v>155-10-015</v>
          </cell>
          <cell r="B546">
            <v>8</v>
          </cell>
          <cell r="C546" t="str">
            <v>COMPUTER MAINTAINANCE</v>
          </cell>
          <cell r="D546">
            <v>0</v>
          </cell>
          <cell r="E546">
            <v>0</v>
          </cell>
          <cell r="F546">
            <v>0</v>
          </cell>
          <cell r="G546">
            <v>0</v>
          </cell>
        </row>
        <row r="547">
          <cell r="A547" t="str">
            <v>155-10-016</v>
          </cell>
          <cell r="B547">
            <v>8</v>
          </cell>
          <cell r="C547" t="str">
            <v>EQUIPMENT&amp; FURNITURE REPAIRS &amp; MAINTENANCE</v>
          </cell>
          <cell r="D547">
            <v>0</v>
          </cell>
          <cell r="E547">
            <v>55000</v>
          </cell>
          <cell r="F547">
            <v>94285.71428571429</v>
          </cell>
          <cell r="G547">
            <v>0</v>
          </cell>
        </row>
        <row r="548">
          <cell r="A548" t="str">
            <v>155-10-017</v>
          </cell>
          <cell r="B548">
            <v>8</v>
          </cell>
          <cell r="C548" t="str">
            <v>SEMINARS &amp; SHORT TERM COURSES</v>
          </cell>
          <cell r="D548">
            <v>90000</v>
          </cell>
          <cell r="E548">
            <v>35000</v>
          </cell>
          <cell r="F548">
            <v>60000</v>
          </cell>
          <cell r="G548">
            <v>1.5</v>
          </cell>
        </row>
        <row r="549">
          <cell r="A549" t="str">
            <v>155-10-022</v>
          </cell>
          <cell r="B549">
            <v>8</v>
          </cell>
          <cell r="C549" t="str">
            <v>PRINTING &amp; STATIONERY</v>
          </cell>
          <cell r="D549">
            <v>237022.5</v>
          </cell>
          <cell r="E549">
            <v>160000</v>
          </cell>
          <cell r="F549">
            <v>225000</v>
          </cell>
          <cell r="G549">
            <v>1.0534333333333334</v>
          </cell>
        </row>
        <row r="550">
          <cell r="A550" t="str">
            <v>155-10-025</v>
          </cell>
          <cell r="B550">
            <v>8</v>
          </cell>
          <cell r="C550" t="str">
            <v>STRATEGIC PLANNING</v>
          </cell>
          <cell r="D550">
            <v>0</v>
          </cell>
          <cell r="E550">
            <v>0</v>
          </cell>
          <cell r="F550">
            <v>0</v>
          </cell>
          <cell r="G550">
            <v>0</v>
          </cell>
        </row>
        <row r="551">
          <cell r="A551" t="str">
            <v>155-10-027</v>
          </cell>
          <cell r="B551">
            <v>8</v>
          </cell>
          <cell r="C551" t="str">
            <v>PROFESSIONAL SUBSCRIPTIONS</v>
          </cell>
          <cell r="D551">
            <v>42475</v>
          </cell>
          <cell r="E551">
            <v>21000</v>
          </cell>
          <cell r="F551">
            <v>36000</v>
          </cell>
          <cell r="G551">
            <v>1.179861111111111</v>
          </cell>
          <cell r="H551" t="str">
            <v>Due to the cost of Linda Were</v>
          </cell>
        </row>
        <row r="552">
          <cell r="A552" t="str">
            <v>155-10-028</v>
          </cell>
          <cell r="B552">
            <v>8</v>
          </cell>
          <cell r="C552" t="str">
            <v xml:space="preserve"> SUBSCRIPTIONS -COMPANY MEMBERSHIP</v>
          </cell>
          <cell r="D552">
            <v>0</v>
          </cell>
          <cell r="E552">
            <v>0</v>
          </cell>
          <cell r="F552">
            <v>0</v>
          </cell>
          <cell r="G552">
            <v>0</v>
          </cell>
        </row>
        <row r="553">
          <cell r="A553" t="str">
            <v>155-10-030</v>
          </cell>
          <cell r="B553">
            <v>8</v>
          </cell>
          <cell r="C553" t="str">
            <v>TRAVELLING &amp; ACCOMMODATION</v>
          </cell>
          <cell r="D553">
            <v>469850</v>
          </cell>
          <cell r="E553">
            <v>207000</v>
          </cell>
          <cell r="F553">
            <v>354857.14285714284</v>
          </cell>
          <cell r="G553">
            <v>1.3240539452495974</v>
          </cell>
          <cell r="H553" t="str">
            <v>Due to the cost of Linda Were</v>
          </cell>
        </row>
        <row r="554">
          <cell r="A554" t="str">
            <v>155-10-032</v>
          </cell>
          <cell r="B554">
            <v>8</v>
          </cell>
          <cell r="C554" t="str">
            <v xml:space="preserve">MOTOR CAR EXPENSES </v>
          </cell>
          <cell r="D554">
            <v>10000</v>
          </cell>
          <cell r="E554">
            <v>0</v>
          </cell>
          <cell r="F554">
            <v>0</v>
          </cell>
          <cell r="G554">
            <v>0</v>
          </cell>
        </row>
        <row r="555">
          <cell r="A555" t="str">
            <v>155-10-040</v>
          </cell>
          <cell r="B555">
            <v>8</v>
          </cell>
          <cell r="C555" t="str">
            <v>POSTAGE</v>
          </cell>
          <cell r="D555">
            <v>2280</v>
          </cell>
          <cell r="E555">
            <v>1000</v>
          </cell>
          <cell r="F555">
            <v>1714.2857142857142</v>
          </cell>
          <cell r="G555">
            <v>1.33</v>
          </cell>
        </row>
        <row r="556">
          <cell r="A556" t="str">
            <v>155-10-041</v>
          </cell>
          <cell r="B556">
            <v>8</v>
          </cell>
          <cell r="C556" t="str">
            <v>TELEPHONE &amp; FAX</v>
          </cell>
          <cell r="D556">
            <v>152400</v>
          </cell>
          <cell r="E556">
            <v>116000</v>
          </cell>
          <cell r="F556">
            <v>198857.14285714287</v>
          </cell>
          <cell r="G556">
            <v>0.76637931034482754</v>
          </cell>
        </row>
        <row r="557">
          <cell r="A557" t="str">
            <v>155-10-044</v>
          </cell>
          <cell r="B557">
            <v>8</v>
          </cell>
          <cell r="C557" t="str">
            <v>PROFFESSIONAL TRAINING</v>
          </cell>
          <cell r="D557">
            <v>263375</v>
          </cell>
          <cell r="E557">
            <v>51000</v>
          </cell>
          <cell r="F557">
            <v>87428.57142857142</v>
          </cell>
          <cell r="G557">
            <v>3.0124591503267975</v>
          </cell>
          <cell r="H557" t="str">
            <v>Due to the cost of Linda Were</v>
          </cell>
        </row>
        <row r="558">
          <cell r="A558" t="str">
            <v>155-10-046</v>
          </cell>
          <cell r="B558">
            <v>8</v>
          </cell>
          <cell r="C558" t="str">
            <v xml:space="preserve">SUBSCRIPTION- STAFF CLUB MEMBERSHIP </v>
          </cell>
          <cell r="D558">
            <v>119000</v>
          </cell>
          <cell r="E558">
            <v>61000</v>
          </cell>
          <cell r="F558">
            <v>104571.42857142857</v>
          </cell>
          <cell r="G558">
            <v>1.1379781420765027</v>
          </cell>
        </row>
        <row r="559">
          <cell r="A559" t="str">
            <v>155-10-054</v>
          </cell>
          <cell r="B559">
            <v>8</v>
          </cell>
          <cell r="C559" t="str">
            <v>LEASED LINES-INTERNET SERVICES</v>
          </cell>
          <cell r="D559">
            <v>0</v>
          </cell>
          <cell r="E559">
            <v>0</v>
          </cell>
          <cell r="F559">
            <v>0</v>
          </cell>
          <cell r="G559">
            <v>0</v>
          </cell>
        </row>
        <row r="560">
          <cell r="A560" t="str">
            <v>155-10-057</v>
          </cell>
          <cell r="B560">
            <v>8</v>
          </cell>
          <cell r="C560" t="str">
            <v>SOFTWARE LICENCES</v>
          </cell>
          <cell r="D560">
            <v>0</v>
          </cell>
          <cell r="E560">
            <v>0</v>
          </cell>
          <cell r="F560">
            <v>0</v>
          </cell>
          <cell r="G560">
            <v>0</v>
          </cell>
        </row>
        <row r="561">
          <cell r="A561" t="str">
            <v>155-10-059</v>
          </cell>
          <cell r="B561">
            <v>8</v>
          </cell>
          <cell r="E561">
            <v>0</v>
          </cell>
          <cell r="G561">
            <v>0</v>
          </cell>
        </row>
        <row r="562">
          <cell r="A562" t="str">
            <v>155-10-060</v>
          </cell>
          <cell r="B562">
            <v>8</v>
          </cell>
          <cell r="E562">
            <v>0</v>
          </cell>
          <cell r="G562">
            <v>0</v>
          </cell>
        </row>
        <row r="563">
          <cell r="A563" t="str">
            <v>155-10-062</v>
          </cell>
          <cell r="B563">
            <v>8</v>
          </cell>
          <cell r="C563" t="str">
            <v>EDUCATION EXPENSES</v>
          </cell>
          <cell r="D563">
            <v>643200</v>
          </cell>
          <cell r="E563">
            <v>375000</v>
          </cell>
          <cell r="F563">
            <v>642857.14285714284</v>
          </cell>
          <cell r="G563">
            <v>1.0005333333333333</v>
          </cell>
        </row>
        <row r="564">
          <cell r="A564" t="str">
            <v>105-10-010</v>
          </cell>
          <cell r="B564">
            <v>9</v>
          </cell>
          <cell r="C564" t="str">
            <v>BASIC SALARY</v>
          </cell>
          <cell r="D564">
            <v>6760051.2000000011</v>
          </cell>
          <cell r="E564">
            <v>3244000</v>
          </cell>
          <cell r="F564">
            <v>5758900</v>
          </cell>
          <cell r="G564">
            <v>1.173844171629999</v>
          </cell>
        </row>
        <row r="565">
          <cell r="A565" t="str">
            <v>105-10-012</v>
          </cell>
          <cell r="B565">
            <v>9</v>
          </cell>
          <cell r="C565" t="str">
            <v>PROVISION FOR MORT. RATE ADJUSTMENTS</v>
          </cell>
          <cell r="D565">
            <v>277440</v>
          </cell>
          <cell r="E565">
            <v>162000</v>
          </cell>
          <cell r="F565">
            <v>277600</v>
          </cell>
          <cell r="G565">
            <v>0.9994236311239193</v>
          </cell>
        </row>
        <row r="566">
          <cell r="A566" t="str">
            <v>105-10-020</v>
          </cell>
          <cell r="B566">
            <v>9</v>
          </cell>
          <cell r="C566" t="str">
            <v>HOUSE ALLOWANCE</v>
          </cell>
          <cell r="D566">
            <v>577200</v>
          </cell>
          <cell r="E566">
            <v>261000</v>
          </cell>
          <cell r="F566">
            <v>501500</v>
          </cell>
          <cell r="G566">
            <v>1.1509471585244266</v>
          </cell>
        </row>
        <row r="567">
          <cell r="A567" t="str">
            <v>105-10-030</v>
          </cell>
          <cell r="B567">
            <v>9</v>
          </cell>
          <cell r="C567" t="str">
            <v>TELEPHONE ALLOWANCE</v>
          </cell>
          <cell r="D567">
            <v>78000</v>
          </cell>
          <cell r="E567">
            <v>44000</v>
          </cell>
          <cell r="F567">
            <v>76500</v>
          </cell>
          <cell r="G567">
            <v>1.0196078431372548</v>
          </cell>
        </row>
        <row r="568">
          <cell r="A568" t="str">
            <v>105-10-040</v>
          </cell>
          <cell r="B568">
            <v>9</v>
          </cell>
          <cell r="C568" t="str">
            <v>SECURITY ALLOWANCE</v>
          </cell>
          <cell r="D568">
            <v>0</v>
          </cell>
          <cell r="E568">
            <v>0</v>
          </cell>
          <cell r="F568">
            <v>0</v>
          </cell>
          <cell r="G568">
            <v>0</v>
          </cell>
        </row>
        <row r="569">
          <cell r="A569" t="str">
            <v>105-10-050</v>
          </cell>
          <cell r="B569">
            <v>9</v>
          </cell>
          <cell r="C569" t="str">
            <v>EDUCATION ALLOWANCE</v>
          </cell>
          <cell r="D569">
            <v>99840</v>
          </cell>
          <cell r="E569">
            <v>25000</v>
          </cell>
          <cell r="F569">
            <v>74400</v>
          </cell>
          <cell r="G569">
            <v>1.3419354838709678</v>
          </cell>
        </row>
        <row r="570">
          <cell r="A570" t="str">
            <v>105-10-060</v>
          </cell>
          <cell r="B570">
            <v>9</v>
          </cell>
          <cell r="C570" t="str">
            <v>TRAVEL ALLOWANCE</v>
          </cell>
          <cell r="D570">
            <v>118560</v>
          </cell>
          <cell r="E570">
            <v>92000</v>
          </cell>
          <cell r="F570">
            <v>141400</v>
          </cell>
          <cell r="G570">
            <v>0.83847241867043842</v>
          </cell>
        </row>
        <row r="571">
          <cell r="A571" t="str">
            <v>105-20-010</v>
          </cell>
          <cell r="B571">
            <v>9</v>
          </cell>
          <cell r="C571" t="str">
            <v>NSSF</v>
          </cell>
          <cell r="D571">
            <v>12000</v>
          </cell>
          <cell r="E571">
            <v>6000</v>
          </cell>
          <cell r="F571">
            <v>11000</v>
          </cell>
          <cell r="G571">
            <v>1.0909090909090908</v>
          </cell>
        </row>
        <row r="572">
          <cell r="A572" t="str">
            <v>105-20-020</v>
          </cell>
          <cell r="B572">
            <v>9</v>
          </cell>
          <cell r="C572" t="str">
            <v>NHIF</v>
          </cell>
          <cell r="D572">
            <v>14400</v>
          </cell>
          <cell r="E572">
            <v>7000</v>
          </cell>
          <cell r="F572">
            <v>13000</v>
          </cell>
          <cell r="G572">
            <v>1.1076923076923078</v>
          </cell>
        </row>
        <row r="573">
          <cell r="A573" t="str">
            <v>105-30-010</v>
          </cell>
          <cell r="B573">
            <v>9</v>
          </cell>
          <cell r="C573" t="str">
            <v xml:space="preserve">PENSION </v>
          </cell>
          <cell r="D573">
            <v>845006.4</v>
          </cell>
          <cell r="E573">
            <v>404000</v>
          </cell>
          <cell r="F573">
            <v>756086</v>
          </cell>
          <cell r="G573">
            <v>1.1176061982367087</v>
          </cell>
        </row>
        <row r="574">
          <cell r="A574" t="str">
            <v>105-30-020</v>
          </cell>
          <cell r="B574">
            <v>9</v>
          </cell>
          <cell r="C574" t="str">
            <v>LAST EXPENSE</v>
          </cell>
          <cell r="D574">
            <v>6000</v>
          </cell>
          <cell r="E574">
            <v>3000</v>
          </cell>
          <cell r="F574">
            <v>5142.8571428571431</v>
          </cell>
          <cell r="G574">
            <v>1.1666666666666667</v>
          </cell>
        </row>
        <row r="575">
          <cell r="A575" t="str">
            <v>105-30-030</v>
          </cell>
          <cell r="B575">
            <v>9</v>
          </cell>
          <cell r="C575" t="str">
            <v>GROUP LIFE ASSURANCE</v>
          </cell>
          <cell r="D575">
            <v>79451.97</v>
          </cell>
          <cell r="E575">
            <v>57000</v>
          </cell>
          <cell r="F575">
            <v>97714.28571428571</v>
          </cell>
          <cell r="G575">
            <v>0.81310495614035094</v>
          </cell>
        </row>
        <row r="576">
          <cell r="A576" t="str">
            <v>105-30-040</v>
          </cell>
          <cell r="B576">
            <v>9</v>
          </cell>
          <cell r="C576" t="str">
            <v>STAFF MEDICAL</v>
          </cell>
          <cell r="D576">
            <v>0</v>
          </cell>
          <cell r="E576">
            <v>0</v>
          </cell>
          <cell r="F576">
            <v>0</v>
          </cell>
          <cell r="G576">
            <v>0</v>
          </cell>
        </row>
        <row r="577">
          <cell r="A577" t="str">
            <v>105-30-050</v>
          </cell>
          <cell r="B577">
            <v>9</v>
          </cell>
          <cell r="C577" t="str">
            <v>CASH IN LIEU OF LEAVE</v>
          </cell>
          <cell r="D577">
            <v>169001.28</v>
          </cell>
          <cell r="E577">
            <v>60000</v>
          </cell>
          <cell r="F577">
            <v>102857.14285714284</v>
          </cell>
          <cell r="G577">
            <v>1.6430680000000002</v>
          </cell>
        </row>
        <row r="578">
          <cell r="A578" t="str">
            <v>105-30-060</v>
          </cell>
          <cell r="B578">
            <v>9</v>
          </cell>
          <cell r="C578" t="str">
            <v>GRATUITY</v>
          </cell>
          <cell r="E578">
            <v>0</v>
          </cell>
          <cell r="F578">
            <v>0</v>
          </cell>
          <cell r="G578">
            <v>0</v>
          </cell>
        </row>
        <row r="579">
          <cell r="A579" t="str">
            <v>105-30-070</v>
          </cell>
          <cell r="B579">
            <v>9</v>
          </cell>
          <cell r="C579" t="str">
            <v>LONG SERVICE AWARDS</v>
          </cell>
          <cell r="D579">
            <v>0</v>
          </cell>
          <cell r="E579">
            <v>0</v>
          </cell>
          <cell r="F579">
            <v>0</v>
          </cell>
          <cell r="G579">
            <v>0</v>
          </cell>
        </row>
        <row r="580">
          <cell r="A580" t="str">
            <v>105-30-080</v>
          </cell>
          <cell r="B580">
            <v>9</v>
          </cell>
          <cell r="C580" t="str">
            <v>STAFF RECRUITMENT &amp; REMOVALS</v>
          </cell>
          <cell r="D580">
            <v>0</v>
          </cell>
          <cell r="E580">
            <v>0</v>
          </cell>
          <cell r="F580">
            <v>0</v>
          </cell>
          <cell r="G580">
            <v>0</v>
          </cell>
        </row>
        <row r="581">
          <cell r="A581" t="str">
            <v>115-10-010</v>
          </cell>
          <cell r="B581">
            <v>9</v>
          </cell>
          <cell r="D581">
            <v>0</v>
          </cell>
          <cell r="E581">
            <v>0</v>
          </cell>
          <cell r="F581">
            <v>0</v>
          </cell>
          <cell r="G581">
            <v>0</v>
          </cell>
        </row>
        <row r="582">
          <cell r="A582" t="str">
            <v>115-10-010</v>
          </cell>
          <cell r="B582">
            <v>9</v>
          </cell>
          <cell r="D582">
            <v>0</v>
          </cell>
          <cell r="F582">
            <v>0</v>
          </cell>
          <cell r="G582">
            <v>0</v>
          </cell>
        </row>
        <row r="583">
          <cell r="A583" t="str">
            <v>115-10-020</v>
          </cell>
          <cell r="B583">
            <v>9</v>
          </cell>
          <cell r="D583">
            <v>0</v>
          </cell>
          <cell r="E583">
            <v>0</v>
          </cell>
          <cell r="F583">
            <v>0</v>
          </cell>
          <cell r="G583">
            <v>0</v>
          </cell>
        </row>
        <row r="584">
          <cell r="A584" t="str">
            <v>115-10-020</v>
          </cell>
          <cell r="B584">
            <v>9</v>
          </cell>
          <cell r="D584">
            <v>0</v>
          </cell>
          <cell r="G584">
            <v>0</v>
          </cell>
        </row>
        <row r="585">
          <cell r="A585" t="str">
            <v>115-10-030</v>
          </cell>
          <cell r="B585">
            <v>9</v>
          </cell>
          <cell r="D585">
            <v>0</v>
          </cell>
          <cell r="E585">
            <v>0</v>
          </cell>
          <cell r="F585">
            <v>0</v>
          </cell>
          <cell r="G585">
            <v>0</v>
          </cell>
        </row>
        <row r="586">
          <cell r="A586" t="str">
            <v>115-10-030</v>
          </cell>
          <cell r="B586">
            <v>9</v>
          </cell>
          <cell r="D586">
            <v>0</v>
          </cell>
          <cell r="F586">
            <v>0</v>
          </cell>
          <cell r="G586">
            <v>0</v>
          </cell>
        </row>
        <row r="587">
          <cell r="A587" t="str">
            <v>115-10-040</v>
          </cell>
          <cell r="B587">
            <v>9</v>
          </cell>
          <cell r="D587">
            <v>0</v>
          </cell>
          <cell r="E587">
            <v>0</v>
          </cell>
          <cell r="F587">
            <v>0</v>
          </cell>
          <cell r="G587">
            <v>0</v>
          </cell>
        </row>
        <row r="588">
          <cell r="A588" t="str">
            <v>115-10-040</v>
          </cell>
          <cell r="B588">
            <v>9</v>
          </cell>
          <cell r="D588">
            <v>0</v>
          </cell>
          <cell r="F588">
            <v>0</v>
          </cell>
          <cell r="G588">
            <v>0</v>
          </cell>
        </row>
        <row r="589">
          <cell r="A589" t="str">
            <v>115-10-050</v>
          </cell>
          <cell r="B589">
            <v>9</v>
          </cell>
          <cell r="C589" t="str">
            <v>OFFICE CATERING &amp; STAFF WELFARE</v>
          </cell>
          <cell r="D589">
            <v>0</v>
          </cell>
          <cell r="E589">
            <v>0</v>
          </cell>
          <cell r="F589">
            <v>0</v>
          </cell>
          <cell r="G589">
            <v>0</v>
          </cell>
        </row>
        <row r="590">
          <cell r="A590" t="str">
            <v>115-10-051</v>
          </cell>
          <cell r="B590">
            <v>9</v>
          </cell>
          <cell r="C590" t="str">
            <v>OFFICE CLEANING</v>
          </cell>
          <cell r="D590">
            <v>0</v>
          </cell>
          <cell r="E590">
            <v>0</v>
          </cell>
          <cell r="F590">
            <v>0</v>
          </cell>
          <cell r="G590">
            <v>0</v>
          </cell>
        </row>
        <row r="591">
          <cell r="A591" t="str">
            <v>115-10-060</v>
          </cell>
          <cell r="B591">
            <v>9</v>
          </cell>
          <cell r="C591" t="str">
            <v>OFFICE WATER</v>
          </cell>
          <cell r="D591">
            <v>0</v>
          </cell>
          <cell r="E591">
            <v>0</v>
          </cell>
          <cell r="F591">
            <v>0</v>
          </cell>
          <cell r="G591">
            <v>0</v>
          </cell>
        </row>
        <row r="592">
          <cell r="A592" t="str">
            <v>115-10-070</v>
          </cell>
          <cell r="B592">
            <v>9</v>
          </cell>
          <cell r="C592" t="str">
            <v>OFFICE ELECTRICITY</v>
          </cell>
          <cell r="D592">
            <v>0</v>
          </cell>
          <cell r="E592">
            <v>0</v>
          </cell>
          <cell r="F592">
            <v>0</v>
          </cell>
          <cell r="G592">
            <v>0</v>
          </cell>
        </row>
        <row r="593">
          <cell r="A593" t="str">
            <v>115-10-080</v>
          </cell>
          <cell r="B593">
            <v>9</v>
          </cell>
          <cell r="C593" t="str">
            <v>OFFICE SECURITY</v>
          </cell>
          <cell r="D593">
            <v>0</v>
          </cell>
          <cell r="E593">
            <v>0</v>
          </cell>
          <cell r="F593">
            <v>0</v>
          </cell>
          <cell r="G593">
            <v>0</v>
          </cell>
        </row>
        <row r="594">
          <cell r="A594" t="str">
            <v>125-10-010</v>
          </cell>
          <cell r="B594">
            <v>9</v>
          </cell>
          <cell r="C594" t="str">
            <v>BANK CHARGES</v>
          </cell>
          <cell r="D594">
            <v>0</v>
          </cell>
          <cell r="E594">
            <v>0</v>
          </cell>
          <cell r="F594">
            <v>0</v>
          </cell>
          <cell r="G594">
            <v>0</v>
          </cell>
        </row>
        <row r="595">
          <cell r="A595" t="str">
            <v>125-10-020</v>
          </cell>
          <cell r="B595">
            <v>9</v>
          </cell>
          <cell r="C595" t="str">
            <v>BANK OVERDRART CHARGES</v>
          </cell>
          <cell r="E595">
            <v>0</v>
          </cell>
          <cell r="F595">
            <v>0</v>
          </cell>
          <cell r="G595">
            <v>0</v>
          </cell>
        </row>
        <row r="596">
          <cell r="A596" t="str">
            <v>145-10-010</v>
          </cell>
          <cell r="B596">
            <v>9</v>
          </cell>
          <cell r="C596" t="str">
            <v>ALA Group charges- Individual life</v>
          </cell>
          <cell r="D596">
            <v>0</v>
          </cell>
          <cell r="E596">
            <v>0</v>
          </cell>
          <cell r="F596">
            <v>0</v>
          </cell>
          <cell r="G596">
            <v>0</v>
          </cell>
        </row>
        <row r="597">
          <cell r="A597" t="str">
            <v>145-10-020</v>
          </cell>
          <cell r="B597">
            <v>9</v>
          </cell>
          <cell r="C597" t="str">
            <v>Actuarial fees- Individual life</v>
          </cell>
          <cell r="D597">
            <v>0</v>
          </cell>
          <cell r="E597">
            <v>0</v>
          </cell>
          <cell r="F597">
            <v>0</v>
          </cell>
          <cell r="G597">
            <v>0</v>
          </cell>
        </row>
        <row r="598">
          <cell r="A598" t="str">
            <v>145-10-030</v>
          </cell>
          <cell r="B598">
            <v>9</v>
          </cell>
          <cell r="C598" t="str">
            <v>Audit fee -individual life</v>
          </cell>
          <cell r="D598">
            <v>0</v>
          </cell>
          <cell r="E598">
            <v>0</v>
          </cell>
          <cell r="F598">
            <v>0</v>
          </cell>
          <cell r="G598">
            <v>0</v>
          </cell>
        </row>
        <row r="599">
          <cell r="A599" t="str">
            <v>145-10-031</v>
          </cell>
          <cell r="B599">
            <v>9</v>
          </cell>
          <cell r="C599" t="str">
            <v>Tax filing returns</v>
          </cell>
          <cell r="D599">
            <v>0</v>
          </cell>
          <cell r="E599">
            <v>0</v>
          </cell>
          <cell r="F599">
            <v>0</v>
          </cell>
          <cell r="G599">
            <v>0</v>
          </cell>
        </row>
        <row r="600">
          <cell r="A600" t="str">
            <v>145-10-040</v>
          </cell>
          <cell r="B600">
            <v>9</v>
          </cell>
          <cell r="C600" t="str">
            <v>Legal fees</v>
          </cell>
          <cell r="D600">
            <v>0</v>
          </cell>
          <cell r="E600">
            <v>0</v>
          </cell>
          <cell r="F600">
            <v>0</v>
          </cell>
          <cell r="G600">
            <v>0</v>
          </cell>
        </row>
        <row r="601">
          <cell r="A601" t="str">
            <v>145-10-060</v>
          </cell>
          <cell r="B601">
            <v>9</v>
          </cell>
          <cell r="C601" t="str">
            <v>Intra company charges- individual life</v>
          </cell>
          <cell r="G601">
            <v>0</v>
          </cell>
        </row>
        <row r="602">
          <cell r="A602" t="str">
            <v>145-10-080</v>
          </cell>
          <cell r="B602">
            <v>9</v>
          </cell>
          <cell r="C602" t="str">
            <v>40% Excutive recharge</v>
          </cell>
          <cell r="F602">
            <v>0</v>
          </cell>
          <cell r="G602">
            <v>0</v>
          </cell>
        </row>
        <row r="603">
          <cell r="A603" t="str">
            <v>145-10-120</v>
          </cell>
          <cell r="B603">
            <v>9</v>
          </cell>
          <cell r="C603" t="str">
            <v xml:space="preserve">7. 5 % recharge to Corporate </v>
          </cell>
          <cell r="D603">
            <v>-936073.48842500011</v>
          </cell>
          <cell r="E603">
            <v>0</v>
          </cell>
          <cell r="F603">
            <v>-848239.28585714288</v>
          </cell>
          <cell r="G603">
            <v>1.1035488499911921</v>
          </cell>
        </row>
        <row r="604">
          <cell r="A604" t="str">
            <v>145-10-140</v>
          </cell>
          <cell r="B604">
            <v>9</v>
          </cell>
          <cell r="C604" t="str">
            <v>5% Recharge to PA securities</v>
          </cell>
          <cell r="D604">
            <v>-619916.21750000014</v>
          </cell>
          <cell r="F604">
            <v>-561747.87142857153</v>
          </cell>
          <cell r="G604">
            <v>1.1035488499911921</v>
          </cell>
        </row>
        <row r="605">
          <cell r="A605" t="str">
            <v>155-10-007</v>
          </cell>
          <cell r="B605">
            <v>9</v>
          </cell>
          <cell r="C605" t="str">
            <v>NEWSPAPERS &amp; JOURNALS</v>
          </cell>
          <cell r="D605">
            <v>15840</v>
          </cell>
          <cell r="E605">
            <v>9000</v>
          </cell>
          <cell r="F605">
            <v>15428.571428571429</v>
          </cell>
          <cell r="G605">
            <v>1.0266666666666666</v>
          </cell>
        </row>
        <row r="606">
          <cell r="A606" t="str">
            <v>155-10-008</v>
          </cell>
          <cell r="B606">
            <v>9</v>
          </cell>
          <cell r="C606" t="str">
            <v>ENTERTAINMENT &amp; DONATIONS</v>
          </cell>
          <cell r="D606">
            <v>2000</v>
          </cell>
          <cell r="E606">
            <v>1000</v>
          </cell>
          <cell r="F606">
            <v>1714.2857142857142</v>
          </cell>
          <cell r="G606">
            <v>1.1666666666666667</v>
          </cell>
        </row>
        <row r="607">
          <cell r="A607" t="str">
            <v>155-10-009</v>
          </cell>
          <cell r="B607">
            <v>9</v>
          </cell>
          <cell r="C607" t="str">
            <v>COURIER &amp; FREIGHT CHARGES</v>
          </cell>
          <cell r="D607">
            <v>2641</v>
          </cell>
          <cell r="E607">
            <v>0</v>
          </cell>
          <cell r="F607">
            <v>0</v>
          </cell>
          <cell r="G607">
            <v>0</v>
          </cell>
        </row>
        <row r="608">
          <cell r="A608" t="str">
            <v>155-10-010</v>
          </cell>
          <cell r="B608">
            <v>9</v>
          </cell>
          <cell r="C608" t="str">
            <v>ADVERTISING &amp; PUBLICITY</v>
          </cell>
          <cell r="D608">
            <v>0</v>
          </cell>
          <cell r="E608">
            <v>0</v>
          </cell>
          <cell r="F608">
            <v>0</v>
          </cell>
          <cell r="G608">
            <v>0</v>
          </cell>
        </row>
        <row r="609">
          <cell r="A609" t="str">
            <v>155-10-012</v>
          </cell>
          <cell r="B609">
            <v>9</v>
          </cell>
          <cell r="C609" t="str">
            <v>TRADE LICENCES</v>
          </cell>
          <cell r="D609">
            <v>0</v>
          </cell>
          <cell r="E609">
            <v>0</v>
          </cell>
          <cell r="F609">
            <v>0</v>
          </cell>
          <cell r="G609">
            <v>0</v>
          </cell>
        </row>
        <row r="610">
          <cell r="A610" t="str">
            <v>155-10-013</v>
          </cell>
          <cell r="B610">
            <v>9</v>
          </cell>
          <cell r="C610" t="str">
            <v>INSURANCES</v>
          </cell>
          <cell r="D610">
            <v>0</v>
          </cell>
          <cell r="E610">
            <v>0</v>
          </cell>
          <cell r="F610">
            <v>0</v>
          </cell>
          <cell r="G610">
            <v>0</v>
          </cell>
        </row>
        <row r="611">
          <cell r="A611" t="str">
            <v>155-10-014</v>
          </cell>
          <cell r="B611">
            <v>9</v>
          </cell>
          <cell r="C611" t="str">
            <v>PHOTOCOPY</v>
          </cell>
          <cell r="D611">
            <v>0</v>
          </cell>
          <cell r="E611">
            <v>0</v>
          </cell>
          <cell r="F611">
            <v>0</v>
          </cell>
          <cell r="G611">
            <v>0</v>
          </cell>
        </row>
        <row r="612">
          <cell r="A612" t="str">
            <v>155-10-015</v>
          </cell>
          <cell r="B612">
            <v>9</v>
          </cell>
          <cell r="C612" t="str">
            <v>COMPUTER MAINTAINANCE</v>
          </cell>
          <cell r="D612">
            <v>544500</v>
          </cell>
          <cell r="E612">
            <v>255666.66666666669</v>
          </cell>
          <cell r="F612">
            <v>438285.71428571432</v>
          </cell>
          <cell r="G612">
            <v>1.2423402868318121</v>
          </cell>
          <cell r="H612" t="str">
            <v>We have not yet undertaken a preventive maintennace. It should cost about 200K</v>
          </cell>
        </row>
        <row r="613">
          <cell r="A613" t="str">
            <v>155-10-016</v>
          </cell>
          <cell r="B613">
            <v>9</v>
          </cell>
          <cell r="C613" t="str">
            <v>EQUIPMENT&amp; FURNITURE REPAIRS &amp; MAINTENANCE</v>
          </cell>
          <cell r="D613">
            <v>84000</v>
          </cell>
          <cell r="E613">
            <v>50000</v>
          </cell>
          <cell r="F613">
            <v>85714.28571428571</v>
          </cell>
          <cell r="G613">
            <v>0.98</v>
          </cell>
        </row>
        <row r="614">
          <cell r="A614" t="str">
            <v>155-10-017</v>
          </cell>
          <cell r="B614">
            <v>9</v>
          </cell>
          <cell r="C614" t="str">
            <v>SEMINARS &amp; SHORT TERM COURSES</v>
          </cell>
          <cell r="D614">
            <v>25000</v>
          </cell>
          <cell r="E614">
            <v>0</v>
          </cell>
          <cell r="F614">
            <v>0</v>
          </cell>
          <cell r="G614">
            <v>0</v>
          </cell>
        </row>
        <row r="615">
          <cell r="A615" t="str">
            <v>155-10-022</v>
          </cell>
          <cell r="B615">
            <v>9</v>
          </cell>
          <cell r="C615" t="str">
            <v>PRINTING &amp; STATIONERY</v>
          </cell>
          <cell r="D615">
            <v>285896.5</v>
          </cell>
          <cell r="E615">
            <v>154000</v>
          </cell>
          <cell r="F615">
            <v>264000</v>
          </cell>
          <cell r="G615">
            <v>1.0829412878787879</v>
          </cell>
        </row>
        <row r="616">
          <cell r="A616" t="str">
            <v>155-10-025</v>
          </cell>
          <cell r="B616">
            <v>9</v>
          </cell>
          <cell r="C616" t="str">
            <v>STRATEGIC PLANNING</v>
          </cell>
          <cell r="D616">
            <v>0</v>
          </cell>
          <cell r="E616">
            <v>0</v>
          </cell>
          <cell r="F616">
            <v>0</v>
          </cell>
          <cell r="G616">
            <v>0</v>
          </cell>
        </row>
        <row r="617">
          <cell r="A617" t="str">
            <v>155-10-027</v>
          </cell>
          <cell r="B617">
            <v>9</v>
          </cell>
          <cell r="C617" t="str">
            <v>PROFESSIONAL SUBSCRIPTIONS</v>
          </cell>
          <cell r="D617">
            <v>47900</v>
          </cell>
          <cell r="E617">
            <v>69000</v>
          </cell>
          <cell r="F617">
            <v>118285.71428571429</v>
          </cell>
          <cell r="G617">
            <v>0.40495169082125604</v>
          </cell>
        </row>
        <row r="618">
          <cell r="A618" t="str">
            <v>155-10-028</v>
          </cell>
          <cell r="B618">
            <v>9</v>
          </cell>
          <cell r="C618" t="str">
            <v xml:space="preserve"> SUBSCRIPTIONS -COMPANY MEMBERSHIP</v>
          </cell>
          <cell r="D618">
            <v>7000</v>
          </cell>
          <cell r="E618">
            <v>5000</v>
          </cell>
          <cell r="F618">
            <v>8571.4285714285725</v>
          </cell>
          <cell r="G618">
            <v>0.81666666666666654</v>
          </cell>
        </row>
        <row r="619">
          <cell r="A619" t="str">
            <v>155-10-030</v>
          </cell>
          <cell r="B619">
            <v>9</v>
          </cell>
          <cell r="C619" t="str">
            <v>TRAVELLING &amp; ACCOMMODATION</v>
          </cell>
          <cell r="D619">
            <v>154600</v>
          </cell>
          <cell r="E619">
            <v>121000</v>
          </cell>
          <cell r="F619">
            <v>207428.57142857142</v>
          </cell>
          <cell r="G619">
            <v>0.74531680440771353</v>
          </cell>
        </row>
        <row r="620">
          <cell r="A620" t="str">
            <v>155-10-032</v>
          </cell>
          <cell r="B620">
            <v>9</v>
          </cell>
          <cell r="C620" t="str">
            <v xml:space="preserve">MOTOR CAR EXPENSES </v>
          </cell>
          <cell r="D620">
            <v>0</v>
          </cell>
          <cell r="E620">
            <v>0</v>
          </cell>
          <cell r="F620">
            <v>0</v>
          </cell>
          <cell r="G620">
            <v>0</v>
          </cell>
        </row>
        <row r="621">
          <cell r="A621" t="str">
            <v>155-10-040</v>
          </cell>
          <cell r="B621">
            <v>9</v>
          </cell>
          <cell r="C621" t="str">
            <v>POSTAGE</v>
          </cell>
          <cell r="D621">
            <v>0</v>
          </cell>
          <cell r="E621">
            <v>0</v>
          </cell>
          <cell r="F621">
            <v>0</v>
          </cell>
          <cell r="G621">
            <v>0</v>
          </cell>
        </row>
        <row r="622">
          <cell r="A622" t="str">
            <v>155-10-041</v>
          </cell>
          <cell r="B622">
            <v>9</v>
          </cell>
          <cell r="C622" t="str">
            <v>TELEPHONE &amp; FAX</v>
          </cell>
          <cell r="D622">
            <v>141600</v>
          </cell>
          <cell r="E622">
            <v>83000</v>
          </cell>
          <cell r="F622">
            <v>142285.71428571429</v>
          </cell>
          <cell r="G622">
            <v>0.99518072289156623</v>
          </cell>
        </row>
        <row r="623">
          <cell r="A623" t="str">
            <v>155-10-044</v>
          </cell>
          <cell r="B623">
            <v>9</v>
          </cell>
          <cell r="C623" t="str">
            <v>PROFFESSIONAL TRAINING</v>
          </cell>
          <cell r="D623">
            <v>270396</v>
          </cell>
          <cell r="E623">
            <v>192916.66666666669</v>
          </cell>
          <cell r="F623">
            <v>330714.28571428574</v>
          </cell>
          <cell r="G623">
            <v>0.8176120950323974</v>
          </cell>
        </row>
        <row r="624">
          <cell r="A624" t="str">
            <v>155-10-046</v>
          </cell>
          <cell r="B624">
            <v>9</v>
          </cell>
          <cell r="C624" t="str">
            <v xml:space="preserve">SUBSCRIPTION- STAFF CLUB MEMBERSHIP </v>
          </cell>
          <cell r="D624">
            <v>83000</v>
          </cell>
          <cell r="E624">
            <v>11750</v>
          </cell>
          <cell r="F624">
            <v>20142.857142857145</v>
          </cell>
          <cell r="G624">
            <v>4.120567375886524</v>
          </cell>
          <cell r="H624" t="str">
            <v>Club Joining Fees</v>
          </cell>
        </row>
        <row r="625">
          <cell r="A625" t="str">
            <v>155-10-054</v>
          </cell>
          <cell r="B625">
            <v>9</v>
          </cell>
          <cell r="C625" t="str">
            <v>LEASED LINES-INTERNET SERVICES</v>
          </cell>
          <cell r="D625">
            <v>1152000</v>
          </cell>
          <cell r="E625">
            <v>675000</v>
          </cell>
          <cell r="F625">
            <v>1157142.8571428573</v>
          </cell>
          <cell r="G625">
            <v>0.99555555555555542</v>
          </cell>
        </row>
        <row r="626">
          <cell r="A626" t="str">
            <v>155-10-057</v>
          </cell>
          <cell r="B626">
            <v>9</v>
          </cell>
          <cell r="C626" t="str">
            <v>SOFTWARE LICENCES</v>
          </cell>
          <cell r="D626">
            <v>545000</v>
          </cell>
          <cell r="E626">
            <v>367000</v>
          </cell>
          <cell r="F626">
            <v>629142.85714285716</v>
          </cell>
          <cell r="G626">
            <v>0.86625794732061756</v>
          </cell>
        </row>
        <row r="627">
          <cell r="A627" t="str">
            <v>155-10-059</v>
          </cell>
          <cell r="B627">
            <v>9</v>
          </cell>
          <cell r="E627">
            <v>0</v>
          </cell>
          <cell r="F627">
            <v>0</v>
          </cell>
          <cell r="G627">
            <v>0</v>
          </cell>
        </row>
        <row r="628">
          <cell r="A628" t="str">
            <v>155-10-060</v>
          </cell>
          <cell r="B628">
            <v>9</v>
          </cell>
          <cell r="E628">
            <v>0</v>
          </cell>
          <cell r="F628">
            <v>0</v>
          </cell>
          <cell r="G628">
            <v>0</v>
          </cell>
        </row>
        <row r="629">
          <cell r="A629" t="str">
            <v>155-10-062</v>
          </cell>
          <cell r="B629">
            <v>9</v>
          </cell>
          <cell r="C629" t="str">
            <v>EDUCATION EXPENSES</v>
          </cell>
          <cell r="D629">
            <v>0</v>
          </cell>
          <cell r="E629">
            <v>0</v>
          </cell>
          <cell r="F629">
            <v>0</v>
          </cell>
          <cell r="G629">
            <v>0</v>
          </cell>
        </row>
        <row r="630">
          <cell r="A630" t="str">
            <v>105-10-010</v>
          </cell>
          <cell r="B630">
            <v>10</v>
          </cell>
          <cell r="C630" t="str">
            <v>BASIC SALARY</v>
          </cell>
          <cell r="D630">
            <v>7666310.3999999994</v>
          </cell>
          <cell r="E630">
            <v>2647000</v>
          </cell>
          <cell r="F630">
            <v>5499050</v>
          </cell>
          <cell r="G630">
            <v>1.3941154199361707</v>
          </cell>
          <cell r="H630" t="str">
            <v>Staff costs adjusted to cater for staff who joined in May and June</v>
          </cell>
        </row>
        <row r="631">
          <cell r="A631" t="str">
            <v>105-10-012</v>
          </cell>
          <cell r="B631">
            <v>10</v>
          </cell>
          <cell r="C631" t="str">
            <v>PROVISION FOR MORT. RATE ADJUSTMENTS</v>
          </cell>
          <cell r="D631">
            <v>31080</v>
          </cell>
          <cell r="E631">
            <v>8000</v>
          </cell>
          <cell r="F631">
            <v>20950</v>
          </cell>
          <cell r="G631">
            <v>1.4835322195704057</v>
          </cell>
          <cell r="H631" t="str">
            <v>Staff costs adjusted to cater for staff who joined in May and June</v>
          </cell>
        </row>
        <row r="632">
          <cell r="A632" t="str">
            <v>105-10-020</v>
          </cell>
          <cell r="B632">
            <v>10</v>
          </cell>
          <cell r="C632" t="str">
            <v>HOUSE ALLOWANCE</v>
          </cell>
          <cell r="D632">
            <v>1057200</v>
          </cell>
          <cell r="E632">
            <v>461500</v>
          </cell>
          <cell r="F632">
            <v>902000</v>
          </cell>
          <cell r="G632">
            <v>1.1720620842572063</v>
          </cell>
          <cell r="H632" t="str">
            <v>Staff costs adjusted to cater for staff who joined in May and June</v>
          </cell>
        </row>
        <row r="633">
          <cell r="A633" t="str">
            <v>105-10-030</v>
          </cell>
          <cell r="B633">
            <v>10</v>
          </cell>
          <cell r="C633" t="str">
            <v>TELEPHONE ALLOWANCE</v>
          </cell>
          <cell r="D633">
            <v>102000</v>
          </cell>
          <cell r="E633">
            <v>34000</v>
          </cell>
          <cell r="F633">
            <v>76500</v>
          </cell>
          <cell r="G633">
            <v>1.3333333333333333</v>
          </cell>
          <cell r="H633" t="str">
            <v>Staff costs adjusted to cater for staff who joined in May and June</v>
          </cell>
        </row>
        <row r="634">
          <cell r="A634" t="str">
            <v>105-10-040</v>
          </cell>
          <cell r="B634">
            <v>10</v>
          </cell>
          <cell r="C634" t="str">
            <v>SECURITY ALLOWANCE</v>
          </cell>
          <cell r="D634">
            <v>0</v>
          </cell>
          <cell r="E634">
            <v>0</v>
          </cell>
          <cell r="F634">
            <v>0</v>
          </cell>
          <cell r="G634">
            <v>0</v>
          </cell>
        </row>
        <row r="635">
          <cell r="A635" t="str">
            <v>105-10-050</v>
          </cell>
          <cell r="B635">
            <v>10</v>
          </cell>
          <cell r="C635" t="str">
            <v>EDUCATION ALLOWANCE</v>
          </cell>
          <cell r="D635">
            <v>120000</v>
          </cell>
          <cell r="E635">
            <v>30000</v>
          </cell>
          <cell r="F635">
            <v>156500</v>
          </cell>
          <cell r="G635">
            <v>0.76677316293929709</v>
          </cell>
        </row>
        <row r="636">
          <cell r="A636" t="str">
            <v>105-10-060</v>
          </cell>
          <cell r="B636">
            <v>10</v>
          </cell>
          <cell r="C636" t="str">
            <v>TRAVEL ALLOWANCE</v>
          </cell>
          <cell r="D636">
            <v>303600</v>
          </cell>
          <cell r="E636">
            <v>162000</v>
          </cell>
          <cell r="F636">
            <v>288500</v>
          </cell>
          <cell r="G636">
            <v>1.0523396880415945</v>
          </cell>
        </row>
        <row r="637">
          <cell r="A637" t="str">
            <v>105-20-010</v>
          </cell>
          <cell r="B637">
            <v>10</v>
          </cell>
          <cell r="C637" t="str">
            <v>NSSF</v>
          </cell>
          <cell r="D637">
            <v>19200</v>
          </cell>
          <cell r="E637">
            <v>8000</v>
          </cell>
          <cell r="F637">
            <v>16000</v>
          </cell>
          <cell r="G637">
            <v>1.2</v>
          </cell>
        </row>
        <row r="638">
          <cell r="A638" t="str">
            <v>105-20-020</v>
          </cell>
          <cell r="B638">
            <v>10</v>
          </cell>
          <cell r="C638" t="str">
            <v>NHIF</v>
          </cell>
          <cell r="D638">
            <v>23040</v>
          </cell>
          <cell r="E638">
            <v>8000</v>
          </cell>
          <cell r="F638">
            <v>17600</v>
          </cell>
          <cell r="G638">
            <v>1.3090909090909091</v>
          </cell>
          <cell r="H638" t="str">
            <v>Staff costs adjusted to cater for staff who joined in May and June</v>
          </cell>
        </row>
        <row r="639">
          <cell r="A639" t="str">
            <v>105-30-010</v>
          </cell>
          <cell r="B639">
            <v>10</v>
          </cell>
          <cell r="C639" t="str">
            <v xml:space="preserve">PENSION </v>
          </cell>
          <cell r="D639">
            <v>958288.8</v>
          </cell>
          <cell r="E639">
            <v>332000</v>
          </cell>
          <cell r="F639">
            <v>731287</v>
          </cell>
          <cell r="G639">
            <v>1.3104141055426939</v>
          </cell>
          <cell r="H639" t="str">
            <v>Staff costs adjusted to cater for staff who joined in May and June</v>
          </cell>
        </row>
        <row r="640">
          <cell r="A640" t="str">
            <v>105-30-020</v>
          </cell>
          <cell r="B640">
            <v>10</v>
          </cell>
          <cell r="C640" t="str">
            <v>LAST EXPENSE</v>
          </cell>
          <cell r="D640">
            <v>5375</v>
          </cell>
          <cell r="E640">
            <v>4000</v>
          </cell>
          <cell r="F640">
            <v>6857.1428571428569</v>
          </cell>
          <cell r="G640">
            <v>0.78385416666666674</v>
          </cell>
        </row>
        <row r="641">
          <cell r="A641" t="str">
            <v>105-30-030</v>
          </cell>
          <cell r="B641">
            <v>10</v>
          </cell>
          <cell r="C641" t="str">
            <v>GROUP LIFE ASSURANCE</v>
          </cell>
          <cell r="D641">
            <v>184535.16</v>
          </cell>
          <cell r="E641">
            <v>59000</v>
          </cell>
          <cell r="F641">
            <v>101142.85714285716</v>
          </cell>
          <cell r="G641">
            <v>1.824500169491525</v>
          </cell>
        </row>
        <row r="642">
          <cell r="A642" t="str">
            <v>105-30-040</v>
          </cell>
          <cell r="B642">
            <v>10</v>
          </cell>
          <cell r="C642" t="str">
            <v>STAFF MEDICAL</v>
          </cell>
          <cell r="D642">
            <v>8000000</v>
          </cell>
          <cell r="E642">
            <v>4386000</v>
          </cell>
          <cell r="F642">
            <v>7518857.1428571418</v>
          </cell>
          <cell r="G642">
            <v>1.0639914880680956</v>
          </cell>
        </row>
        <row r="643">
          <cell r="A643" t="str">
            <v>105-30-050</v>
          </cell>
          <cell r="B643">
            <v>10</v>
          </cell>
          <cell r="C643" t="str">
            <v>CASH IN LIEU OF LEAVE</v>
          </cell>
          <cell r="D643">
            <v>191657.76</v>
          </cell>
          <cell r="E643">
            <v>150000</v>
          </cell>
          <cell r="F643">
            <v>257142.85714285713</v>
          </cell>
          <cell r="G643">
            <v>0.74533573333333336</v>
          </cell>
        </row>
        <row r="644">
          <cell r="A644" t="str">
            <v>105-30-060</v>
          </cell>
          <cell r="B644">
            <v>10</v>
          </cell>
          <cell r="C644" t="str">
            <v>GRATUITY</v>
          </cell>
          <cell r="E644">
            <v>0</v>
          </cell>
          <cell r="F644">
            <v>0</v>
          </cell>
          <cell r="G644">
            <v>0</v>
          </cell>
        </row>
        <row r="645">
          <cell r="A645" t="str">
            <v>105-30-070</v>
          </cell>
          <cell r="B645">
            <v>10</v>
          </cell>
          <cell r="C645" t="str">
            <v>LONG SERVICE AWARDS</v>
          </cell>
          <cell r="D645">
            <v>0</v>
          </cell>
          <cell r="E645">
            <v>0</v>
          </cell>
          <cell r="F645">
            <v>0</v>
          </cell>
          <cell r="G645">
            <v>0</v>
          </cell>
        </row>
        <row r="646">
          <cell r="A646" t="str">
            <v>105-30-080</v>
          </cell>
          <cell r="B646">
            <v>10</v>
          </cell>
          <cell r="C646" t="str">
            <v>STAFF RECRUITMENT &amp; REMOVALS</v>
          </cell>
          <cell r="D646">
            <v>0</v>
          </cell>
          <cell r="E646">
            <v>456000</v>
          </cell>
          <cell r="F646">
            <v>456000</v>
          </cell>
          <cell r="G646">
            <v>0</v>
          </cell>
        </row>
        <row r="647">
          <cell r="A647" t="str">
            <v>115-10-010</v>
          </cell>
          <cell r="B647">
            <v>10</v>
          </cell>
          <cell r="D647">
            <v>0</v>
          </cell>
          <cell r="E647">
            <v>0</v>
          </cell>
          <cell r="F647">
            <v>0</v>
          </cell>
          <cell r="G647">
            <v>0</v>
          </cell>
        </row>
        <row r="648">
          <cell r="A648" t="str">
            <v>115-10-010</v>
          </cell>
          <cell r="B648">
            <v>10</v>
          </cell>
          <cell r="D648">
            <v>0</v>
          </cell>
          <cell r="F648">
            <v>0</v>
          </cell>
          <cell r="G648">
            <v>0</v>
          </cell>
        </row>
        <row r="649">
          <cell r="A649" t="str">
            <v>115-10-020</v>
          </cell>
          <cell r="B649">
            <v>10</v>
          </cell>
          <cell r="D649">
            <v>0</v>
          </cell>
          <cell r="E649">
            <v>0</v>
          </cell>
          <cell r="F649">
            <v>0</v>
          </cell>
          <cell r="G649">
            <v>0</v>
          </cell>
        </row>
        <row r="650">
          <cell r="A650" t="str">
            <v>115-10-020</v>
          </cell>
          <cell r="B650">
            <v>10</v>
          </cell>
          <cell r="D650">
            <v>0</v>
          </cell>
          <cell r="G650">
            <v>0</v>
          </cell>
        </row>
        <row r="651">
          <cell r="A651" t="str">
            <v>115-10-030</v>
          </cell>
          <cell r="B651">
            <v>10</v>
          </cell>
          <cell r="D651">
            <v>0</v>
          </cell>
          <cell r="E651">
            <v>0</v>
          </cell>
          <cell r="F651">
            <v>0</v>
          </cell>
          <cell r="G651">
            <v>0</v>
          </cell>
        </row>
        <row r="652">
          <cell r="A652" t="str">
            <v>115-10-030</v>
          </cell>
          <cell r="B652">
            <v>10</v>
          </cell>
          <cell r="D652">
            <v>0</v>
          </cell>
          <cell r="F652">
            <v>0</v>
          </cell>
          <cell r="G652">
            <v>0</v>
          </cell>
        </row>
        <row r="653">
          <cell r="A653" t="str">
            <v>115-10-040</v>
          </cell>
          <cell r="B653">
            <v>10</v>
          </cell>
          <cell r="D653">
            <v>0</v>
          </cell>
          <cell r="E653">
            <v>0</v>
          </cell>
          <cell r="F653">
            <v>0</v>
          </cell>
          <cell r="G653">
            <v>0</v>
          </cell>
        </row>
        <row r="654">
          <cell r="A654" t="str">
            <v>115-10-040</v>
          </cell>
          <cell r="B654">
            <v>10</v>
          </cell>
          <cell r="D654">
            <v>0</v>
          </cell>
          <cell r="F654">
            <v>0</v>
          </cell>
          <cell r="G654">
            <v>0</v>
          </cell>
        </row>
        <row r="655">
          <cell r="A655" t="str">
            <v>115-10-050</v>
          </cell>
          <cell r="B655">
            <v>10</v>
          </cell>
          <cell r="C655" t="str">
            <v>OFFICE CATERING &amp; STAFF WELFARE</v>
          </cell>
          <cell r="D655">
            <v>1663680</v>
          </cell>
          <cell r="E655">
            <v>965000</v>
          </cell>
          <cell r="F655">
            <v>1509000</v>
          </cell>
          <cell r="G655">
            <v>1.1025049701789265</v>
          </cell>
        </row>
        <row r="656">
          <cell r="A656" t="str">
            <v>115-10-051</v>
          </cell>
          <cell r="B656">
            <v>10</v>
          </cell>
          <cell r="C656" t="str">
            <v>OFFICE CLEANING</v>
          </cell>
          <cell r="D656">
            <v>0</v>
          </cell>
          <cell r="E656">
            <v>0</v>
          </cell>
          <cell r="F656">
            <v>0</v>
          </cell>
          <cell r="G656">
            <v>0</v>
          </cell>
        </row>
        <row r="657">
          <cell r="A657" t="str">
            <v>115-10-060</v>
          </cell>
          <cell r="B657">
            <v>10</v>
          </cell>
          <cell r="C657" t="str">
            <v>OFFICE WATER</v>
          </cell>
          <cell r="D657">
            <v>0</v>
          </cell>
          <cell r="E657">
            <v>0</v>
          </cell>
          <cell r="F657">
            <v>0</v>
          </cell>
          <cell r="G657">
            <v>0</v>
          </cell>
        </row>
        <row r="658">
          <cell r="A658" t="str">
            <v>115-10-070</v>
          </cell>
          <cell r="B658">
            <v>10</v>
          </cell>
          <cell r="C658" t="str">
            <v>OFFICE ELECTRICITY</v>
          </cell>
          <cell r="D658">
            <v>0</v>
          </cell>
          <cell r="E658">
            <v>0</v>
          </cell>
          <cell r="F658">
            <v>0</v>
          </cell>
          <cell r="G658">
            <v>0</v>
          </cell>
        </row>
        <row r="659">
          <cell r="A659" t="str">
            <v>115-10-080</v>
          </cell>
          <cell r="B659">
            <v>10</v>
          </cell>
          <cell r="C659" t="str">
            <v>OFFICE SECURITY</v>
          </cell>
          <cell r="D659">
            <v>0</v>
          </cell>
          <cell r="E659">
            <v>0</v>
          </cell>
          <cell r="F659">
            <v>0</v>
          </cell>
          <cell r="G659">
            <v>0</v>
          </cell>
        </row>
        <row r="660">
          <cell r="A660" t="str">
            <v>125-10-010</v>
          </cell>
          <cell r="B660">
            <v>10</v>
          </cell>
          <cell r="C660" t="str">
            <v>BANK CHARGES</v>
          </cell>
          <cell r="D660">
            <v>0</v>
          </cell>
          <cell r="E660">
            <v>0</v>
          </cell>
          <cell r="F660">
            <v>0</v>
          </cell>
          <cell r="G660">
            <v>0</v>
          </cell>
        </row>
        <row r="661">
          <cell r="A661" t="str">
            <v>125-10-020</v>
          </cell>
          <cell r="B661">
            <v>10</v>
          </cell>
          <cell r="C661" t="str">
            <v>BANK OVERDRART CHARGES</v>
          </cell>
          <cell r="E661">
            <v>0</v>
          </cell>
          <cell r="F661">
            <v>0</v>
          </cell>
          <cell r="G661">
            <v>0</v>
          </cell>
        </row>
        <row r="662">
          <cell r="A662" t="str">
            <v>145-10-010</v>
          </cell>
          <cell r="B662">
            <v>10</v>
          </cell>
          <cell r="C662" t="str">
            <v>ALA Group charges- Individual life</v>
          </cell>
          <cell r="D662">
            <v>0</v>
          </cell>
          <cell r="E662">
            <v>0</v>
          </cell>
          <cell r="F662">
            <v>0</v>
          </cell>
          <cell r="G662">
            <v>0</v>
          </cell>
        </row>
        <row r="663">
          <cell r="A663" t="str">
            <v>145-10-020</v>
          </cell>
          <cell r="B663">
            <v>10</v>
          </cell>
          <cell r="C663" t="str">
            <v>Actuarial fees- Individual life</v>
          </cell>
          <cell r="D663">
            <v>0</v>
          </cell>
          <cell r="E663">
            <v>0</v>
          </cell>
          <cell r="F663">
            <v>0</v>
          </cell>
          <cell r="G663">
            <v>0</v>
          </cell>
        </row>
        <row r="664">
          <cell r="A664" t="str">
            <v>145-10-031</v>
          </cell>
          <cell r="B664">
            <v>10</v>
          </cell>
          <cell r="C664" t="str">
            <v>Consultancy</v>
          </cell>
          <cell r="D664">
            <v>0</v>
          </cell>
          <cell r="E664">
            <v>0</v>
          </cell>
          <cell r="F664">
            <v>150000</v>
          </cell>
          <cell r="G664">
            <v>0</v>
          </cell>
          <cell r="H664" t="str">
            <v>BCP/Mision Statement</v>
          </cell>
        </row>
        <row r="665">
          <cell r="A665" t="str">
            <v>145-10-040</v>
          </cell>
          <cell r="B665">
            <v>10</v>
          </cell>
          <cell r="C665" t="str">
            <v>Legal fees</v>
          </cell>
          <cell r="D665">
            <v>0</v>
          </cell>
          <cell r="E665">
            <v>0</v>
          </cell>
          <cell r="F665">
            <v>0</v>
          </cell>
          <cell r="G665">
            <v>0</v>
          </cell>
        </row>
        <row r="666">
          <cell r="A666" t="str">
            <v>145-10-060</v>
          </cell>
          <cell r="B666">
            <v>10</v>
          </cell>
          <cell r="C666" t="str">
            <v>Intra company charges- individual life</v>
          </cell>
          <cell r="G666">
            <v>0</v>
          </cell>
        </row>
        <row r="667">
          <cell r="A667" t="str">
            <v>145-10-080</v>
          </cell>
          <cell r="B667">
            <v>10</v>
          </cell>
          <cell r="C667" t="str">
            <v>40% Excutive recharge</v>
          </cell>
          <cell r="F667">
            <v>0</v>
          </cell>
          <cell r="G667">
            <v>0</v>
          </cell>
        </row>
        <row r="668">
          <cell r="A668" t="str">
            <v>145-10-110</v>
          </cell>
          <cell r="B668">
            <v>10</v>
          </cell>
          <cell r="C668" t="str">
            <v>Outsourcing of staff payroll</v>
          </cell>
          <cell r="D668">
            <v>360000</v>
          </cell>
          <cell r="E668">
            <v>0</v>
          </cell>
          <cell r="F668">
            <v>0</v>
          </cell>
          <cell r="G668">
            <v>0</v>
          </cell>
        </row>
        <row r="669">
          <cell r="A669" t="str">
            <v>145-10-130</v>
          </cell>
          <cell r="B669">
            <v>10</v>
          </cell>
          <cell r="C669" t="str">
            <v>7% recharge to Corporate Business</v>
          </cell>
          <cell r="D669">
            <v>-1617736.1634</v>
          </cell>
          <cell r="E669">
            <v>0</v>
          </cell>
          <cell r="F669">
            <v>-1419122.08</v>
          </cell>
          <cell r="G669">
            <v>1.1399556008599343</v>
          </cell>
        </row>
        <row r="670">
          <cell r="A670" t="str">
            <v>145-10-140</v>
          </cell>
          <cell r="B670">
            <v>10</v>
          </cell>
          <cell r="C670" t="str">
            <v xml:space="preserve"> 3% Recharge to  PA securities</v>
          </cell>
          <cell r="D670">
            <v>-693315.49859999993</v>
          </cell>
          <cell r="F670">
            <v>-608195.17714285711</v>
          </cell>
          <cell r="G670">
            <v>1.1399556008599345</v>
          </cell>
        </row>
        <row r="671">
          <cell r="A671" t="str">
            <v>155-10-007</v>
          </cell>
          <cell r="B671">
            <v>10</v>
          </cell>
          <cell r="C671" t="str">
            <v>NEWSPAPERS &amp; JOURNALS</v>
          </cell>
          <cell r="D671">
            <v>16800</v>
          </cell>
          <cell r="E671">
            <v>14000</v>
          </cell>
          <cell r="F671">
            <v>24000</v>
          </cell>
          <cell r="G671">
            <v>0.7</v>
          </cell>
        </row>
        <row r="672">
          <cell r="A672" t="str">
            <v>155-10-008</v>
          </cell>
          <cell r="B672">
            <v>10</v>
          </cell>
          <cell r="C672" t="str">
            <v>ENTERTAINMENT &amp; DONATIONS</v>
          </cell>
          <cell r="D672">
            <v>13500</v>
          </cell>
          <cell r="E672">
            <v>11250</v>
          </cell>
          <cell r="F672">
            <v>19285.714285714286</v>
          </cell>
          <cell r="G672">
            <v>0.7</v>
          </cell>
        </row>
        <row r="673">
          <cell r="A673" t="str">
            <v>155-10-009</v>
          </cell>
          <cell r="B673">
            <v>10</v>
          </cell>
          <cell r="C673" t="str">
            <v>COURIER &amp; FREIGHT CHARGES</v>
          </cell>
          <cell r="D673">
            <v>564000</v>
          </cell>
          <cell r="E673">
            <v>303000</v>
          </cell>
          <cell r="F673">
            <v>519428.57142857136</v>
          </cell>
          <cell r="G673">
            <v>1.085808580858086</v>
          </cell>
        </row>
        <row r="674">
          <cell r="A674" t="str">
            <v>155-10-010</v>
          </cell>
          <cell r="B674">
            <v>10</v>
          </cell>
          <cell r="C674" t="str">
            <v>ADVERTISING &amp; PUBLICITY</v>
          </cell>
          <cell r="D674">
            <v>175500</v>
          </cell>
          <cell r="E674">
            <v>309000</v>
          </cell>
          <cell r="F674">
            <v>529714.28571428568</v>
          </cell>
          <cell r="G674">
            <v>0.3313106796116505</v>
          </cell>
          <cell r="H674" t="str">
            <v>Corporate Brochure &amp;  Community  awareness</v>
          </cell>
        </row>
        <row r="675">
          <cell r="A675" t="str">
            <v>155-10-012</v>
          </cell>
          <cell r="B675">
            <v>10</v>
          </cell>
          <cell r="C675" t="str">
            <v>TRADE LICENCES</v>
          </cell>
          <cell r="D675">
            <v>0</v>
          </cell>
          <cell r="E675">
            <v>0</v>
          </cell>
          <cell r="F675">
            <v>0</v>
          </cell>
          <cell r="G675">
            <v>0</v>
          </cell>
        </row>
        <row r="676">
          <cell r="A676" t="str">
            <v>155-10-013</v>
          </cell>
          <cell r="B676">
            <v>10</v>
          </cell>
          <cell r="C676" t="str">
            <v>INSURANCES</v>
          </cell>
          <cell r="D676">
            <v>0</v>
          </cell>
          <cell r="E676">
            <v>0</v>
          </cell>
          <cell r="F676">
            <v>0</v>
          </cell>
          <cell r="G676">
            <v>0</v>
          </cell>
        </row>
        <row r="677">
          <cell r="A677" t="str">
            <v>155-10-014</v>
          </cell>
          <cell r="B677">
            <v>10</v>
          </cell>
          <cell r="C677" t="str">
            <v>PHOTOCOPY</v>
          </cell>
          <cell r="D677">
            <v>0</v>
          </cell>
          <cell r="E677">
            <v>0</v>
          </cell>
          <cell r="F677">
            <v>0</v>
          </cell>
          <cell r="G677">
            <v>0</v>
          </cell>
        </row>
        <row r="678">
          <cell r="A678" t="str">
            <v>155-10-015</v>
          </cell>
          <cell r="B678">
            <v>10</v>
          </cell>
          <cell r="C678" t="str">
            <v>COMPUTER MAINTAINANCE</v>
          </cell>
          <cell r="D678">
            <v>0</v>
          </cell>
          <cell r="E678">
            <v>0</v>
          </cell>
          <cell r="F678">
            <v>0</v>
          </cell>
          <cell r="G678">
            <v>0</v>
          </cell>
        </row>
        <row r="679">
          <cell r="A679" t="str">
            <v>155-10-016</v>
          </cell>
          <cell r="B679">
            <v>10</v>
          </cell>
          <cell r="C679" t="str">
            <v>EQUIPMENT&amp; FURNITURE REPAIRS &amp; MAINTENANCE</v>
          </cell>
          <cell r="D679">
            <v>530643</v>
          </cell>
          <cell r="E679">
            <v>204000</v>
          </cell>
          <cell r="F679">
            <v>349714.28571428568</v>
          </cell>
          <cell r="G679">
            <v>1.5173615196078434</v>
          </cell>
        </row>
        <row r="680">
          <cell r="A680" t="str">
            <v>155-10-017</v>
          </cell>
          <cell r="B680">
            <v>10</v>
          </cell>
          <cell r="C680" t="str">
            <v>SEMINARS &amp; SHORT TERM COURSES</v>
          </cell>
          <cell r="D680">
            <v>150682</v>
          </cell>
          <cell r="E680">
            <v>0</v>
          </cell>
          <cell r="F680">
            <v>30857</v>
          </cell>
          <cell r="G680">
            <v>4.8832355705350485</v>
          </cell>
        </row>
        <row r="681">
          <cell r="A681" t="str">
            <v>155-10-022</v>
          </cell>
          <cell r="B681">
            <v>10</v>
          </cell>
          <cell r="C681" t="str">
            <v>PRINTING &amp; STATIONERY</v>
          </cell>
          <cell r="D681">
            <v>171862.5</v>
          </cell>
          <cell r="E681">
            <v>88000</v>
          </cell>
          <cell r="F681">
            <v>150857.14285714284</v>
          </cell>
          <cell r="G681">
            <v>1.139240056818182</v>
          </cell>
          <cell r="H681" t="str">
            <v>Based on limited staff numbers for part of the year. Higher expenditure in 2005</v>
          </cell>
        </row>
        <row r="682">
          <cell r="A682" t="str">
            <v>155-10-025</v>
          </cell>
          <cell r="B682">
            <v>10</v>
          </cell>
          <cell r="C682" t="str">
            <v>STRATEGIC PLANNING</v>
          </cell>
          <cell r="D682">
            <v>0</v>
          </cell>
          <cell r="E682">
            <v>0</v>
          </cell>
          <cell r="F682">
            <v>0</v>
          </cell>
          <cell r="G682">
            <v>0</v>
          </cell>
        </row>
        <row r="683">
          <cell r="A683" t="str">
            <v>155-10-027</v>
          </cell>
          <cell r="B683">
            <v>10</v>
          </cell>
          <cell r="C683" t="str">
            <v>PROFESSIONAL SUBSCRIPTIONS</v>
          </cell>
          <cell r="D683">
            <v>8500</v>
          </cell>
          <cell r="E683">
            <v>0</v>
          </cell>
          <cell r="F683">
            <v>0</v>
          </cell>
          <cell r="G683">
            <v>0</v>
          </cell>
        </row>
        <row r="684">
          <cell r="A684" t="str">
            <v>155-10-028</v>
          </cell>
          <cell r="B684">
            <v>10</v>
          </cell>
          <cell r="C684" t="str">
            <v xml:space="preserve"> SUBSCRIPTIONS -COMPANY MEMBERSHIP</v>
          </cell>
          <cell r="D684">
            <v>586000</v>
          </cell>
          <cell r="E684">
            <v>282000</v>
          </cell>
          <cell r="F684">
            <v>483428.57142857136</v>
          </cell>
          <cell r="G684">
            <v>1.2121749408983453</v>
          </cell>
        </row>
        <row r="685">
          <cell r="A685" t="str">
            <v>155-10-030</v>
          </cell>
          <cell r="B685">
            <v>10</v>
          </cell>
          <cell r="C685" t="str">
            <v>TRAVELLING &amp; ACCOMMODATION</v>
          </cell>
          <cell r="D685">
            <v>81000</v>
          </cell>
          <cell r="E685">
            <v>79000</v>
          </cell>
          <cell r="F685">
            <v>135428.57142857142</v>
          </cell>
          <cell r="G685">
            <v>0.59810126582278489</v>
          </cell>
        </row>
        <row r="686">
          <cell r="A686" t="str">
            <v>155-10-032</v>
          </cell>
          <cell r="B686">
            <v>10</v>
          </cell>
          <cell r="C686" t="str">
            <v xml:space="preserve">MOTOR CAR EXPENSES </v>
          </cell>
          <cell r="D686">
            <v>0</v>
          </cell>
          <cell r="E686">
            <v>0</v>
          </cell>
          <cell r="F686">
            <v>0</v>
          </cell>
          <cell r="G686">
            <v>0</v>
          </cell>
        </row>
        <row r="687">
          <cell r="A687" t="str">
            <v>155-10-040</v>
          </cell>
          <cell r="B687">
            <v>10</v>
          </cell>
          <cell r="C687" t="str">
            <v>POSTAGE</v>
          </cell>
          <cell r="D687">
            <v>4262</v>
          </cell>
          <cell r="E687">
            <v>2000</v>
          </cell>
          <cell r="F687">
            <v>3428.5714285714284</v>
          </cell>
          <cell r="G687">
            <v>1.2430833333333333</v>
          </cell>
        </row>
        <row r="688">
          <cell r="A688" t="str">
            <v>155-10-041</v>
          </cell>
          <cell r="B688">
            <v>10</v>
          </cell>
          <cell r="C688" t="str">
            <v>TELEPHONE &amp; FAX</v>
          </cell>
          <cell r="D688">
            <v>100800</v>
          </cell>
          <cell r="E688">
            <v>63000</v>
          </cell>
          <cell r="F688">
            <v>152000</v>
          </cell>
          <cell r="G688">
            <v>0.66315789473684206</v>
          </cell>
        </row>
        <row r="689">
          <cell r="A689" t="str">
            <v>155-10-044</v>
          </cell>
          <cell r="B689">
            <v>10</v>
          </cell>
          <cell r="C689" t="str">
            <v>PROFFESSIONAL TRAINING</v>
          </cell>
          <cell r="D689">
            <v>0</v>
          </cell>
          <cell r="E689">
            <v>18000</v>
          </cell>
          <cell r="G689">
            <v>0</v>
          </cell>
        </row>
        <row r="690">
          <cell r="A690" t="str">
            <v>155-10-046</v>
          </cell>
          <cell r="B690">
            <v>10</v>
          </cell>
          <cell r="C690" t="str">
            <v xml:space="preserve">SUBSCRIPTION- STAFF CLUB MEMBERSHIP </v>
          </cell>
          <cell r="D690">
            <v>21000</v>
          </cell>
          <cell r="E690">
            <v>97791.666666666657</v>
          </cell>
          <cell r="F690">
            <v>167642.85714285713</v>
          </cell>
          <cell r="G690">
            <v>0.12526629740093737</v>
          </cell>
          <cell r="H690" t="str">
            <v>NEW: HRM's club membership membership started in August 2004</v>
          </cell>
        </row>
        <row r="691">
          <cell r="A691" t="str">
            <v>155-10-054</v>
          </cell>
          <cell r="B691">
            <v>10</v>
          </cell>
          <cell r="C691" t="str">
            <v>LEASED LINES-INTERNET SERVICES</v>
          </cell>
          <cell r="D691">
            <v>0</v>
          </cell>
          <cell r="E691">
            <v>0</v>
          </cell>
          <cell r="F691">
            <v>0</v>
          </cell>
          <cell r="G691">
            <v>0</v>
          </cell>
        </row>
        <row r="692">
          <cell r="A692" t="str">
            <v>155-10-057</v>
          </cell>
          <cell r="B692">
            <v>10</v>
          </cell>
          <cell r="C692" t="str">
            <v>SOFTWARE LICENCES</v>
          </cell>
          <cell r="D692">
            <v>0</v>
          </cell>
          <cell r="E692">
            <v>0</v>
          </cell>
          <cell r="F692">
            <v>0</v>
          </cell>
          <cell r="G692">
            <v>0</v>
          </cell>
        </row>
        <row r="693">
          <cell r="A693" t="str">
            <v>155-10-059</v>
          </cell>
          <cell r="B693">
            <v>10</v>
          </cell>
          <cell r="E693">
            <v>0</v>
          </cell>
          <cell r="G693">
            <v>0</v>
          </cell>
        </row>
        <row r="694">
          <cell r="A694" t="str">
            <v>155-10-060</v>
          </cell>
          <cell r="B694">
            <v>10</v>
          </cell>
          <cell r="E694">
            <v>0</v>
          </cell>
          <cell r="G694">
            <v>0</v>
          </cell>
        </row>
        <row r="695">
          <cell r="A695" t="str">
            <v>155-10-062</v>
          </cell>
          <cell r="B695">
            <v>10</v>
          </cell>
          <cell r="C695" t="str">
            <v>EDUCATION EXPENSES</v>
          </cell>
          <cell r="D695">
            <v>0</v>
          </cell>
          <cell r="E695">
            <v>0</v>
          </cell>
          <cell r="F695">
            <v>0</v>
          </cell>
          <cell r="G695">
            <v>0</v>
          </cell>
        </row>
      </sheetData>
      <sheetData sheetId="31" refreshError="1">
        <row r="1">
          <cell r="A1" t="str">
            <v>Account</v>
          </cell>
          <cell r="B1" t="str">
            <v>Branch Code</v>
          </cell>
          <cell r="C1" t="str">
            <v>Details</v>
          </cell>
          <cell r="D1" t="str">
            <v>Budget</v>
          </cell>
          <cell r="E1" t="str">
            <v>Actuals</v>
          </cell>
          <cell r="F1" t="str">
            <v>Projected</v>
          </cell>
          <cell r="G1" t="str">
            <v>% Age</v>
          </cell>
          <cell r="H1" t="str">
            <v>Narative</v>
          </cell>
        </row>
        <row r="2">
          <cell r="A2" t="str">
            <v>Gl Code</v>
          </cell>
          <cell r="B2" t="str">
            <v>Account</v>
          </cell>
          <cell r="C2" t="str">
            <v>Details</v>
          </cell>
          <cell r="D2" t="str">
            <v>Budget</v>
          </cell>
          <cell r="E2" t="str">
            <v>Actuals</v>
          </cell>
          <cell r="F2" t="str">
            <v>Projected</v>
          </cell>
          <cell r="G2" t="str">
            <v>% Age</v>
          </cell>
          <cell r="H2" t="str">
            <v>Narative</v>
          </cell>
        </row>
        <row r="3">
          <cell r="A3" t="str">
            <v>105-10-010</v>
          </cell>
          <cell r="B3">
            <v>1</v>
          </cell>
          <cell r="C3" t="str">
            <v>BASIC SALARY</v>
          </cell>
          <cell r="D3">
            <v>18992198.400000002</v>
          </cell>
          <cell r="E3">
            <v>10603000</v>
          </cell>
          <cell r="F3">
            <v>17668550</v>
          </cell>
          <cell r="G3">
            <v>1.0749155080637631</v>
          </cell>
        </row>
        <row r="4">
          <cell r="A4" t="str">
            <v>105-10-012</v>
          </cell>
          <cell r="B4">
            <v>1</v>
          </cell>
          <cell r="C4" t="str">
            <v>PROVISION FOR MORT. RATE ADJUSTMENTS</v>
          </cell>
          <cell r="D4">
            <v>732600</v>
          </cell>
          <cell r="E4">
            <v>445000</v>
          </cell>
          <cell r="F4">
            <v>750250</v>
          </cell>
          <cell r="G4">
            <v>0.97647450849716766</v>
          </cell>
        </row>
        <row r="5">
          <cell r="A5" t="str">
            <v>105-10-020</v>
          </cell>
          <cell r="B5">
            <v>1</v>
          </cell>
          <cell r="C5" t="str">
            <v>HOUSE ALLOWANCE</v>
          </cell>
          <cell r="D5">
            <v>2371800</v>
          </cell>
          <cell r="E5">
            <v>1397000</v>
          </cell>
          <cell r="F5">
            <v>2385250</v>
          </cell>
          <cell r="G5">
            <v>0.99436117807357716</v>
          </cell>
        </row>
        <row r="6">
          <cell r="A6" t="str">
            <v>105-10-030</v>
          </cell>
          <cell r="B6">
            <v>1</v>
          </cell>
          <cell r="C6" t="str">
            <v>UTILITIES</v>
          </cell>
          <cell r="D6">
            <v>30000</v>
          </cell>
          <cell r="E6">
            <v>46000</v>
          </cell>
          <cell r="F6">
            <v>58500</v>
          </cell>
          <cell r="G6">
            <v>0.51282051282051277</v>
          </cell>
        </row>
        <row r="7">
          <cell r="A7" t="str">
            <v>105-10-040</v>
          </cell>
          <cell r="B7">
            <v>1</v>
          </cell>
          <cell r="C7" t="str">
            <v>SECURITY ALLOWANCE</v>
          </cell>
          <cell r="D7">
            <v>300000</v>
          </cell>
          <cell r="E7">
            <v>175000</v>
          </cell>
          <cell r="F7">
            <v>300000</v>
          </cell>
          <cell r="G7">
            <v>1</v>
          </cell>
        </row>
        <row r="8">
          <cell r="A8" t="str">
            <v>105-10-050</v>
          </cell>
          <cell r="B8">
            <v>1</v>
          </cell>
          <cell r="C8" t="str">
            <v>EDUCATION ALLOWANCE</v>
          </cell>
          <cell r="D8">
            <v>480000</v>
          </cell>
          <cell r="E8">
            <v>0</v>
          </cell>
          <cell r="G8">
            <v>0</v>
          </cell>
        </row>
        <row r="9">
          <cell r="A9" t="str">
            <v>105-10-060</v>
          </cell>
          <cell r="B9">
            <v>1</v>
          </cell>
          <cell r="C9" t="str">
            <v>TRAVEL ALLOWANCE</v>
          </cell>
          <cell r="D9">
            <v>1334400</v>
          </cell>
          <cell r="E9">
            <v>694000</v>
          </cell>
          <cell r="F9">
            <v>1250000</v>
          </cell>
          <cell r="G9">
            <v>1.06752</v>
          </cell>
        </row>
        <row r="10">
          <cell r="A10" t="str">
            <v>105-20-010</v>
          </cell>
          <cell r="B10">
            <v>1</v>
          </cell>
          <cell r="C10" t="str">
            <v>NSSF</v>
          </cell>
          <cell r="D10">
            <v>9600</v>
          </cell>
          <cell r="E10">
            <v>4000</v>
          </cell>
          <cell r="F10">
            <v>8000</v>
          </cell>
          <cell r="G10">
            <v>1.2</v>
          </cell>
        </row>
        <row r="11">
          <cell r="A11" t="str">
            <v>105-20-020</v>
          </cell>
          <cell r="B11">
            <v>1</v>
          </cell>
          <cell r="C11" t="str">
            <v>NHIF</v>
          </cell>
          <cell r="D11">
            <v>11520</v>
          </cell>
          <cell r="E11">
            <v>5000</v>
          </cell>
          <cell r="F11">
            <v>9800</v>
          </cell>
          <cell r="G11">
            <v>1.1755102040816328</v>
          </cell>
        </row>
        <row r="12">
          <cell r="A12" t="str">
            <v>105-30-010</v>
          </cell>
          <cell r="B12">
            <v>1</v>
          </cell>
          <cell r="C12" t="str">
            <v xml:space="preserve">PENSION </v>
          </cell>
          <cell r="D12">
            <v>738192</v>
          </cell>
          <cell r="E12">
            <v>395000</v>
          </cell>
          <cell r="F12">
            <v>702580</v>
          </cell>
          <cell r="G12">
            <v>1.0506874661960204</v>
          </cell>
        </row>
        <row r="13">
          <cell r="A13" t="str">
            <v>105-30-020</v>
          </cell>
          <cell r="B13">
            <v>1</v>
          </cell>
          <cell r="C13" t="str">
            <v>LAST EXPENSE</v>
          </cell>
          <cell r="D13">
            <v>6000</v>
          </cell>
          <cell r="E13">
            <v>4000</v>
          </cell>
          <cell r="F13">
            <v>6857.1428571428569</v>
          </cell>
          <cell r="G13">
            <v>0.875</v>
          </cell>
        </row>
        <row r="14">
          <cell r="A14" t="str">
            <v>105-30-030</v>
          </cell>
          <cell r="B14">
            <v>1</v>
          </cell>
          <cell r="C14" t="str">
            <v>GROUP LIFE ASSURANCE</v>
          </cell>
          <cell r="D14">
            <v>409941</v>
          </cell>
          <cell r="E14">
            <v>307000</v>
          </cell>
          <cell r="F14">
            <v>526285.71428571432</v>
          </cell>
          <cell r="G14">
            <v>0.77893241042345274</v>
          </cell>
        </row>
        <row r="15">
          <cell r="A15" t="str">
            <v>105-30-040</v>
          </cell>
          <cell r="B15">
            <v>1</v>
          </cell>
          <cell r="C15" t="str">
            <v>STAFF MEDICAL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</row>
        <row r="16">
          <cell r="A16" t="str">
            <v>105-30-050</v>
          </cell>
          <cell r="B16">
            <v>1</v>
          </cell>
          <cell r="C16" t="str">
            <v>CASH IN LIEU OF LEAVE</v>
          </cell>
          <cell r="D16">
            <v>246060</v>
          </cell>
          <cell r="E16">
            <v>249000</v>
          </cell>
          <cell r="F16">
            <v>426857.14285714284</v>
          </cell>
          <cell r="G16">
            <v>0.57644578313253014</v>
          </cell>
        </row>
        <row r="17">
          <cell r="A17" t="str">
            <v>105-30-060</v>
          </cell>
          <cell r="B17">
            <v>1</v>
          </cell>
          <cell r="C17" t="str">
            <v>GRATUITY</v>
          </cell>
          <cell r="D17">
            <v>4673796</v>
          </cell>
          <cell r="E17">
            <v>2465000</v>
          </cell>
          <cell r="F17">
            <v>4225714.2857142854</v>
          </cell>
          <cell r="G17">
            <v>1.1060369168356998</v>
          </cell>
        </row>
        <row r="18">
          <cell r="A18" t="str">
            <v>105-30-070</v>
          </cell>
          <cell r="B18">
            <v>1</v>
          </cell>
          <cell r="C18" t="str">
            <v>LONG SERVICE AWARDS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</row>
        <row r="19">
          <cell r="A19" t="str">
            <v>105-30-080</v>
          </cell>
          <cell r="B19">
            <v>1</v>
          </cell>
          <cell r="C19" t="str">
            <v>STAFF RECRUITMENT &amp; REMOVALS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A20" t="str">
            <v>115-10-010</v>
          </cell>
          <cell r="B20">
            <v>1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</row>
        <row r="21">
          <cell r="A21" t="str">
            <v>115-10-010</v>
          </cell>
          <cell r="B21">
            <v>1</v>
          </cell>
          <cell r="D21">
            <v>0</v>
          </cell>
          <cell r="F21">
            <v>0</v>
          </cell>
          <cell r="G21">
            <v>0</v>
          </cell>
        </row>
        <row r="22">
          <cell r="A22" t="str">
            <v>115-10-020</v>
          </cell>
          <cell r="B22">
            <v>1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</row>
        <row r="23">
          <cell r="A23" t="str">
            <v>115-10-020</v>
          </cell>
          <cell r="B23">
            <v>1</v>
          </cell>
          <cell r="D23">
            <v>0</v>
          </cell>
          <cell r="G23">
            <v>0</v>
          </cell>
        </row>
        <row r="24">
          <cell r="A24" t="str">
            <v>115-10-030</v>
          </cell>
          <cell r="B24">
            <v>1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</row>
        <row r="25">
          <cell r="A25" t="str">
            <v>115-10-030</v>
          </cell>
          <cell r="B25">
            <v>1</v>
          </cell>
          <cell r="D25">
            <v>0</v>
          </cell>
          <cell r="F25">
            <v>0</v>
          </cell>
          <cell r="G25">
            <v>0</v>
          </cell>
        </row>
        <row r="26">
          <cell r="A26" t="str">
            <v>115-10-040</v>
          </cell>
          <cell r="B26">
            <v>1</v>
          </cell>
          <cell r="D26">
            <v>0</v>
          </cell>
          <cell r="G26">
            <v>0</v>
          </cell>
        </row>
        <row r="27">
          <cell r="A27" t="str">
            <v>115-10-040</v>
          </cell>
          <cell r="B27">
            <v>1</v>
          </cell>
          <cell r="F27">
            <v>0</v>
          </cell>
          <cell r="G27">
            <v>0</v>
          </cell>
        </row>
        <row r="28">
          <cell r="A28" t="str">
            <v>115-10-050</v>
          </cell>
          <cell r="B28">
            <v>1</v>
          </cell>
          <cell r="C28" t="str">
            <v>OFFICE CATERING &amp; STAFF WELFARE</v>
          </cell>
          <cell r="D28">
            <v>0</v>
          </cell>
          <cell r="G28">
            <v>0</v>
          </cell>
        </row>
        <row r="29">
          <cell r="A29" t="str">
            <v>115-10-051</v>
          </cell>
          <cell r="B29">
            <v>1</v>
          </cell>
          <cell r="C29" t="str">
            <v>OFFICE CLEANING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</row>
        <row r="30">
          <cell r="A30" t="str">
            <v>115-10-060</v>
          </cell>
          <cell r="B30">
            <v>1</v>
          </cell>
          <cell r="C30" t="str">
            <v>OFFICE WATER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</row>
        <row r="31">
          <cell r="A31" t="str">
            <v>115-10-070</v>
          </cell>
          <cell r="B31">
            <v>1</v>
          </cell>
          <cell r="C31" t="str">
            <v>OFFICE ELECTRICITY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</row>
        <row r="32">
          <cell r="A32" t="str">
            <v>115-10-080</v>
          </cell>
          <cell r="B32">
            <v>1</v>
          </cell>
          <cell r="C32" t="str">
            <v>OFFICE SECURITY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A33" t="str">
            <v>125-10-010</v>
          </cell>
          <cell r="B33">
            <v>1</v>
          </cell>
          <cell r="C33" t="str">
            <v>BANK CHARGES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A34" t="str">
            <v>125-10-020</v>
          </cell>
          <cell r="B34">
            <v>1</v>
          </cell>
          <cell r="C34" t="str">
            <v>BANK OVERDRART CHARGES</v>
          </cell>
          <cell r="E34">
            <v>0</v>
          </cell>
          <cell r="F34">
            <v>0</v>
          </cell>
          <cell r="G34">
            <v>0</v>
          </cell>
        </row>
        <row r="35">
          <cell r="A35" t="str">
            <v>145-10-010</v>
          </cell>
          <cell r="B35">
            <v>1</v>
          </cell>
          <cell r="C35" t="str">
            <v>ALA Group charges- Individual life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</row>
        <row r="36">
          <cell r="A36" t="str">
            <v>145-10-020</v>
          </cell>
          <cell r="B36">
            <v>1</v>
          </cell>
          <cell r="C36" t="str">
            <v>Actuarial fees- Individual life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</row>
        <row r="37">
          <cell r="A37" t="str">
            <v>145-10-030</v>
          </cell>
          <cell r="B37">
            <v>1</v>
          </cell>
          <cell r="C37" t="str">
            <v>Audit fee -individual life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A38" t="str">
            <v>145-10-031</v>
          </cell>
          <cell r="B38">
            <v>1</v>
          </cell>
          <cell r="C38" t="str">
            <v>Tax filing returns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</row>
        <row r="39">
          <cell r="A39" t="str">
            <v>145-10-040</v>
          </cell>
          <cell r="B39">
            <v>1</v>
          </cell>
          <cell r="C39" t="str">
            <v>Legal fees</v>
          </cell>
          <cell r="D39">
            <v>0</v>
          </cell>
          <cell r="G39">
            <v>0</v>
          </cell>
        </row>
        <row r="40">
          <cell r="A40" t="str">
            <v>145-10-060</v>
          </cell>
          <cell r="B40">
            <v>1</v>
          </cell>
          <cell r="C40" t="str">
            <v>Intra company charges- individual life</v>
          </cell>
          <cell r="G40">
            <v>0</v>
          </cell>
        </row>
        <row r="41">
          <cell r="A41" t="str">
            <v>145-10-060</v>
          </cell>
          <cell r="B41">
            <v>1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</row>
        <row r="42">
          <cell r="A42" t="str">
            <v>145-10-080</v>
          </cell>
          <cell r="B42">
            <v>1</v>
          </cell>
          <cell r="C42" t="str">
            <v>40% Excutive recharge</v>
          </cell>
          <cell r="F42">
            <v>0</v>
          </cell>
          <cell r="G42">
            <v>0</v>
          </cell>
        </row>
        <row r="43">
          <cell r="A43" t="str">
            <v>145-10-090</v>
          </cell>
          <cell r="B43">
            <v>1</v>
          </cell>
          <cell r="C43" t="str">
            <v xml:space="preserve">Recharges: 20% recharge to Corporate </v>
          </cell>
          <cell r="D43">
            <v>-7453954.7800000012</v>
          </cell>
          <cell r="E43">
            <v>-4182000</v>
          </cell>
          <cell r="F43">
            <v>-7169142.8571428582</v>
          </cell>
          <cell r="G43">
            <v>1.0397274721026621</v>
          </cell>
        </row>
        <row r="44">
          <cell r="A44" t="str">
            <v>145-10-100</v>
          </cell>
          <cell r="B44">
            <v>1</v>
          </cell>
          <cell r="D44">
            <v>-1863488.6950000003</v>
          </cell>
          <cell r="E44">
            <v>-1267000</v>
          </cell>
          <cell r="F44">
            <v>-2172000</v>
          </cell>
          <cell r="G44">
            <v>0.85795980432780861</v>
          </cell>
        </row>
        <row r="45">
          <cell r="A45" t="str">
            <v>155-10-007</v>
          </cell>
          <cell r="B45">
            <v>1</v>
          </cell>
          <cell r="C45" t="str">
            <v>NEWSPAPERS &amp; JOURNALS</v>
          </cell>
          <cell r="D45">
            <v>46080</v>
          </cell>
          <cell r="E45">
            <v>16000</v>
          </cell>
          <cell r="F45">
            <v>46080</v>
          </cell>
          <cell r="G45">
            <v>1</v>
          </cell>
        </row>
        <row r="46">
          <cell r="A46" t="str">
            <v>155-10-008</v>
          </cell>
          <cell r="B46">
            <v>1</v>
          </cell>
          <cell r="C46" t="str">
            <v>ENTERTAINMENT &amp; DONATIONS</v>
          </cell>
          <cell r="D46">
            <v>322500</v>
          </cell>
          <cell r="E46">
            <v>112000</v>
          </cell>
          <cell r="F46">
            <v>192000</v>
          </cell>
          <cell r="G46">
            <v>1.6796875</v>
          </cell>
        </row>
        <row r="47">
          <cell r="A47" t="str">
            <v>155-10-009</v>
          </cell>
          <cell r="B47">
            <v>1</v>
          </cell>
          <cell r="C47" t="str">
            <v>COURIER &amp; FREIGHT CHARGES</v>
          </cell>
          <cell r="D47">
            <v>52820</v>
          </cell>
          <cell r="E47">
            <v>34000</v>
          </cell>
          <cell r="F47">
            <v>58285.714285714283</v>
          </cell>
          <cell r="G47">
            <v>0.90622549019607845</v>
          </cell>
        </row>
        <row r="48">
          <cell r="A48" t="str">
            <v>155-10-010</v>
          </cell>
          <cell r="B48">
            <v>1</v>
          </cell>
          <cell r="C48" t="str">
            <v>ADVERTISING &amp; PUBLICITY</v>
          </cell>
          <cell r="D48">
            <v>764000</v>
          </cell>
          <cell r="E48">
            <v>1006000</v>
          </cell>
          <cell r="F48">
            <v>1050000</v>
          </cell>
          <cell r="G48">
            <v>0.72761904761904761</v>
          </cell>
        </row>
        <row r="49">
          <cell r="A49" t="str">
            <v>155-10-012</v>
          </cell>
          <cell r="B49">
            <v>1</v>
          </cell>
          <cell r="C49" t="str">
            <v>TRADE LICENCES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A50" t="str">
            <v>155-10-013</v>
          </cell>
          <cell r="B50">
            <v>1</v>
          </cell>
          <cell r="C50" t="str">
            <v>INSURANCES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A51" t="str">
            <v>155-10-014</v>
          </cell>
          <cell r="B51">
            <v>1</v>
          </cell>
          <cell r="C51" t="str">
            <v>PHOTOCOPY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A52" t="str">
            <v>155-10-015</v>
          </cell>
          <cell r="B52">
            <v>1</v>
          </cell>
          <cell r="C52" t="str">
            <v>COMPUTER MAINTAINANCE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</row>
        <row r="53">
          <cell r="A53" t="str">
            <v>155-10-016</v>
          </cell>
          <cell r="B53">
            <v>1</v>
          </cell>
          <cell r="C53" t="str">
            <v>EQUIPMENT&amp; FURNITURE REPAIRS &amp; MAINTENANCE</v>
          </cell>
          <cell r="D53">
            <v>0</v>
          </cell>
          <cell r="G53">
            <v>0</v>
          </cell>
        </row>
        <row r="54">
          <cell r="A54" t="str">
            <v>155-10-017</v>
          </cell>
          <cell r="B54">
            <v>1</v>
          </cell>
          <cell r="C54" t="str">
            <v>SEMINARS &amp; SHORT TERM COURSES</v>
          </cell>
          <cell r="D54">
            <v>86000</v>
          </cell>
          <cell r="E54">
            <v>9000</v>
          </cell>
          <cell r="F54">
            <v>15428.571428571429</v>
          </cell>
          <cell r="G54">
            <v>5.5740740740740735</v>
          </cell>
        </row>
        <row r="55">
          <cell r="A55" t="str">
            <v>155-10-022</v>
          </cell>
          <cell r="B55">
            <v>1</v>
          </cell>
          <cell r="C55" t="str">
            <v>PRINTING &amp; STATIONERY</v>
          </cell>
          <cell r="D55">
            <v>126266.5</v>
          </cell>
          <cell r="E55">
            <v>110000</v>
          </cell>
          <cell r="F55">
            <v>188571.42857142858</v>
          </cell>
          <cell r="G55">
            <v>0.66959507575757571</v>
          </cell>
        </row>
        <row r="56">
          <cell r="A56" t="str">
            <v>155-10-025</v>
          </cell>
          <cell r="B56">
            <v>1</v>
          </cell>
          <cell r="C56" t="str">
            <v>STRATEGIC PLANNING</v>
          </cell>
          <cell r="D56">
            <v>1000000</v>
          </cell>
          <cell r="E56">
            <v>701000</v>
          </cell>
          <cell r="F56">
            <v>500000</v>
          </cell>
          <cell r="G56">
            <v>2</v>
          </cell>
        </row>
        <row r="57">
          <cell r="A57" t="str">
            <v>155-10-027</v>
          </cell>
          <cell r="B57">
            <v>1</v>
          </cell>
          <cell r="C57" t="str">
            <v>PROFESSIONAL SUBSCRIPTIONS</v>
          </cell>
          <cell r="D57">
            <v>85500</v>
          </cell>
          <cell r="E57">
            <v>2000</v>
          </cell>
          <cell r="F57">
            <v>75000</v>
          </cell>
          <cell r="G57">
            <v>1.1399999999999999</v>
          </cell>
        </row>
        <row r="58">
          <cell r="A58" t="str">
            <v>155-10-028</v>
          </cell>
          <cell r="B58">
            <v>1</v>
          </cell>
          <cell r="C58" t="str">
            <v xml:space="preserve"> SUBSCRIPTIONS -COMPANY MEMBERSHIP</v>
          </cell>
          <cell r="D58">
            <v>35000</v>
          </cell>
          <cell r="E58">
            <v>20000</v>
          </cell>
          <cell r="F58">
            <v>34285.71428571429</v>
          </cell>
          <cell r="G58">
            <v>1.0208333333333333</v>
          </cell>
        </row>
        <row r="59">
          <cell r="A59" t="str">
            <v>155-10-030</v>
          </cell>
          <cell r="B59">
            <v>1</v>
          </cell>
          <cell r="C59" t="str">
            <v>TRAVELLING &amp; ACCOMMODATION</v>
          </cell>
          <cell r="D59">
            <v>1753100</v>
          </cell>
          <cell r="E59">
            <v>867000</v>
          </cell>
          <cell r="F59">
            <v>1986285.7142857143</v>
          </cell>
          <cell r="G59">
            <v>0.88260212888377443</v>
          </cell>
        </row>
        <row r="60">
          <cell r="A60" t="str">
            <v>155-10-032</v>
          </cell>
          <cell r="B60">
            <v>1</v>
          </cell>
          <cell r="C60" t="str">
            <v xml:space="preserve">MOTOR CAR EXPENSES </v>
          </cell>
          <cell r="D60">
            <v>286000</v>
          </cell>
          <cell r="E60">
            <v>166000</v>
          </cell>
          <cell r="F60">
            <v>284571.42857142858</v>
          </cell>
          <cell r="G60">
            <v>1.0050200803212852</v>
          </cell>
        </row>
        <row r="61">
          <cell r="A61" t="str">
            <v>155-10-040</v>
          </cell>
          <cell r="B61">
            <v>1</v>
          </cell>
          <cell r="C61" t="str">
            <v>POSTAGE</v>
          </cell>
          <cell r="D61">
            <v>10800</v>
          </cell>
          <cell r="E61">
            <v>4000</v>
          </cell>
          <cell r="F61">
            <v>6857.1428571428569</v>
          </cell>
          <cell r="G61">
            <v>1.575</v>
          </cell>
        </row>
        <row r="62">
          <cell r="A62" t="str">
            <v>155-10-041</v>
          </cell>
          <cell r="B62">
            <v>1</v>
          </cell>
          <cell r="C62" t="str">
            <v>TELEPHONE &amp; FAX</v>
          </cell>
          <cell r="D62">
            <v>294000</v>
          </cell>
          <cell r="E62">
            <v>174000</v>
          </cell>
          <cell r="F62">
            <v>298285.71428571432</v>
          </cell>
          <cell r="G62">
            <v>0.98563218390804586</v>
          </cell>
        </row>
        <row r="63">
          <cell r="A63" t="str">
            <v>155-10-044</v>
          </cell>
          <cell r="B63">
            <v>1</v>
          </cell>
          <cell r="C63" t="str">
            <v>PROFFESSIONAL TRAINING</v>
          </cell>
          <cell r="D63">
            <v>137600</v>
          </cell>
          <cell r="E63">
            <v>0</v>
          </cell>
          <cell r="F63">
            <v>120000</v>
          </cell>
          <cell r="G63">
            <v>1.1466666666666667</v>
          </cell>
        </row>
        <row r="64">
          <cell r="A64" t="str">
            <v>155-10-046</v>
          </cell>
          <cell r="B64">
            <v>1</v>
          </cell>
          <cell r="C64" t="str">
            <v xml:space="preserve">SUBSCRIPTION- STAFF CLUB MEMBERSHIP </v>
          </cell>
          <cell r="D64">
            <v>346000</v>
          </cell>
          <cell r="E64">
            <v>163000</v>
          </cell>
          <cell r="F64">
            <v>279428.57142857142</v>
          </cell>
          <cell r="G64">
            <v>1.2382413087934561</v>
          </cell>
        </row>
        <row r="65">
          <cell r="A65" t="str">
            <v>155-10-054</v>
          </cell>
          <cell r="B65">
            <v>1</v>
          </cell>
          <cell r="C65" t="str">
            <v>LEASED LINES-INTERNET SERVICES</v>
          </cell>
          <cell r="D65">
            <v>0</v>
          </cell>
          <cell r="G65">
            <v>0</v>
          </cell>
        </row>
        <row r="66">
          <cell r="A66" t="str">
            <v>155-10-057</v>
          </cell>
          <cell r="B66">
            <v>1</v>
          </cell>
          <cell r="C66" t="str">
            <v>SOFTWARE LICENCES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</row>
        <row r="67">
          <cell r="A67" t="str">
            <v>155-10-059</v>
          </cell>
          <cell r="B67">
            <v>1</v>
          </cell>
          <cell r="E67">
            <v>0</v>
          </cell>
          <cell r="G67">
            <v>0</v>
          </cell>
        </row>
        <row r="68">
          <cell r="A68" t="str">
            <v>155-10-060</v>
          </cell>
          <cell r="B68">
            <v>1</v>
          </cell>
          <cell r="E68">
            <v>0</v>
          </cell>
          <cell r="G68">
            <v>0</v>
          </cell>
        </row>
        <row r="69">
          <cell r="A69" t="str">
            <v>155-10-062</v>
          </cell>
          <cell r="B69">
            <v>1</v>
          </cell>
          <cell r="C69" t="str">
            <v>EDUCATION EXPENSES</v>
          </cell>
          <cell r="D69">
            <v>1588000</v>
          </cell>
          <cell r="E69">
            <v>1079000</v>
          </cell>
          <cell r="F69">
            <v>1849714.2857142854</v>
          </cell>
          <cell r="G69">
            <v>0.85851096694470197</v>
          </cell>
        </row>
        <row r="70">
          <cell r="A70" t="str">
            <v>165-10-040</v>
          </cell>
          <cell r="B70">
            <v>1</v>
          </cell>
          <cell r="C70" t="str">
            <v>EXCEPTIONAL ITEMS</v>
          </cell>
          <cell r="E70">
            <v>503000</v>
          </cell>
          <cell r="F70">
            <v>503000</v>
          </cell>
          <cell r="G70">
            <v>0</v>
          </cell>
        </row>
        <row r="71">
          <cell r="A71" t="str">
            <v>105-10-010</v>
          </cell>
          <cell r="B71">
            <v>2</v>
          </cell>
          <cell r="C71" t="str">
            <v>BASIC SALARY</v>
          </cell>
          <cell r="D71">
            <v>7193712</v>
          </cell>
          <cell r="E71">
            <v>491000</v>
          </cell>
          <cell r="F71">
            <v>733750</v>
          </cell>
          <cell r="G71">
            <v>9.8040367972742768</v>
          </cell>
          <cell r="H71" t="str">
            <v>Budget for Factory Manager</v>
          </cell>
        </row>
        <row r="72">
          <cell r="A72" t="str">
            <v>105-10-012</v>
          </cell>
          <cell r="B72">
            <v>2</v>
          </cell>
          <cell r="C72" t="str">
            <v>PROVISION FOR MORT. RATE ADJUSTMENTS</v>
          </cell>
          <cell r="D72">
            <v>387000</v>
          </cell>
          <cell r="E72">
            <v>0</v>
          </cell>
          <cell r="F72">
            <v>0</v>
          </cell>
          <cell r="G72">
            <v>0</v>
          </cell>
        </row>
        <row r="73">
          <cell r="A73" t="str">
            <v>105-10-020</v>
          </cell>
          <cell r="B73">
            <v>2</v>
          </cell>
          <cell r="C73" t="str">
            <v>HOUSE ALLOWANCE</v>
          </cell>
          <cell r="D73">
            <v>1345800</v>
          </cell>
          <cell r="E73">
            <v>70000</v>
          </cell>
          <cell r="F73">
            <v>105750</v>
          </cell>
          <cell r="G73">
            <v>12.726241134751772</v>
          </cell>
        </row>
        <row r="74">
          <cell r="A74" t="str">
            <v>105-10-030</v>
          </cell>
          <cell r="B74">
            <v>2</v>
          </cell>
          <cell r="C74" t="str">
            <v>TELEPHONE ALLOWANCE</v>
          </cell>
          <cell r="D74">
            <v>40500</v>
          </cell>
          <cell r="E74">
            <v>0</v>
          </cell>
          <cell r="F74">
            <v>0</v>
          </cell>
          <cell r="G74">
            <v>0</v>
          </cell>
        </row>
        <row r="75">
          <cell r="A75" t="str">
            <v>105-10-040</v>
          </cell>
          <cell r="B75">
            <v>2</v>
          </cell>
          <cell r="C75" t="str">
            <v>SECURITY ALLOWANCE</v>
          </cell>
          <cell r="D75">
            <v>225000</v>
          </cell>
          <cell r="E75">
            <v>0</v>
          </cell>
          <cell r="F75">
            <v>0</v>
          </cell>
          <cell r="G75">
            <v>0</v>
          </cell>
        </row>
        <row r="76">
          <cell r="A76" t="str">
            <v>105-10-050</v>
          </cell>
          <cell r="B76">
            <v>2</v>
          </cell>
          <cell r="C76" t="str">
            <v>EDUCATION ALLOWANCE</v>
          </cell>
          <cell r="D76">
            <v>180000</v>
          </cell>
          <cell r="E76">
            <v>0</v>
          </cell>
          <cell r="F76">
            <v>0</v>
          </cell>
          <cell r="G76">
            <v>0</v>
          </cell>
        </row>
        <row r="77">
          <cell r="A77" t="str">
            <v>105-10-060</v>
          </cell>
          <cell r="B77">
            <v>2</v>
          </cell>
          <cell r="C77" t="str">
            <v>TRAVEL ALLOWANCE</v>
          </cell>
          <cell r="D77">
            <v>832500</v>
          </cell>
          <cell r="E77">
            <v>0</v>
          </cell>
          <cell r="F77">
            <v>0</v>
          </cell>
          <cell r="G77">
            <v>0</v>
          </cell>
        </row>
        <row r="78">
          <cell r="A78" t="str">
            <v>105-20-010</v>
          </cell>
          <cell r="B78">
            <v>2</v>
          </cell>
          <cell r="C78" t="str">
            <v>NSSF</v>
          </cell>
          <cell r="D78">
            <v>6600</v>
          </cell>
          <cell r="E78">
            <v>4000</v>
          </cell>
          <cell r="F78">
            <v>6000</v>
          </cell>
          <cell r="G78">
            <v>1.1000000000000001</v>
          </cell>
        </row>
        <row r="79">
          <cell r="A79" t="str">
            <v>105-20-020</v>
          </cell>
          <cell r="B79">
            <v>2</v>
          </cell>
          <cell r="C79" t="str">
            <v>NHIF</v>
          </cell>
          <cell r="D79">
            <v>7920</v>
          </cell>
          <cell r="E79">
            <v>5000</v>
          </cell>
          <cell r="F79">
            <v>7400</v>
          </cell>
          <cell r="G79">
            <v>1.0702702702702702</v>
          </cell>
        </row>
        <row r="80">
          <cell r="A80" t="str">
            <v>105-30-010</v>
          </cell>
          <cell r="B80">
            <v>2</v>
          </cell>
          <cell r="C80" t="str">
            <v xml:space="preserve">PENSION </v>
          </cell>
          <cell r="D80">
            <v>81564</v>
          </cell>
          <cell r="E80">
            <v>60000</v>
          </cell>
          <cell r="F80">
            <v>93985</v>
          </cell>
          <cell r="G80">
            <v>0.8678406128637548</v>
          </cell>
        </row>
        <row r="81">
          <cell r="A81" t="str">
            <v>105-30-020</v>
          </cell>
          <cell r="B81">
            <v>2</v>
          </cell>
          <cell r="C81" t="str">
            <v>LAST EXPENSE</v>
          </cell>
          <cell r="D81">
            <v>1250</v>
          </cell>
          <cell r="E81">
            <v>3000</v>
          </cell>
          <cell r="F81">
            <v>5142.8571428571431</v>
          </cell>
          <cell r="G81">
            <v>0.24305555555555555</v>
          </cell>
        </row>
        <row r="82">
          <cell r="A82" t="str">
            <v>105-30-030</v>
          </cell>
          <cell r="B82">
            <v>2</v>
          </cell>
          <cell r="C82" t="str">
            <v>GROUP LIFE ASSURANCE</v>
          </cell>
          <cell r="D82">
            <v>8499.67</v>
          </cell>
          <cell r="E82">
            <v>13000</v>
          </cell>
          <cell r="F82">
            <v>22285.714285714286</v>
          </cell>
          <cell r="G82">
            <v>0.38139544871794862</v>
          </cell>
        </row>
        <row r="83">
          <cell r="A83" t="str">
            <v>105-30-040</v>
          </cell>
          <cell r="B83">
            <v>2</v>
          </cell>
          <cell r="C83" t="str">
            <v>STAFF MEDICAL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</row>
        <row r="84">
          <cell r="A84" t="str">
            <v>105-30-050</v>
          </cell>
          <cell r="B84">
            <v>2</v>
          </cell>
          <cell r="C84" t="str">
            <v>CASH IN LIEU OF LEAVE</v>
          </cell>
          <cell r="D84">
            <v>16312.8</v>
          </cell>
          <cell r="E84">
            <v>-2000</v>
          </cell>
          <cell r="F84">
            <v>-3428.5714285714284</v>
          </cell>
          <cell r="G84">
            <v>-4.7579000000000002</v>
          </cell>
        </row>
        <row r="85">
          <cell r="A85" t="str">
            <v>105-30-060</v>
          </cell>
          <cell r="B85">
            <v>2</v>
          </cell>
          <cell r="C85" t="str">
            <v>GRATUITY</v>
          </cell>
          <cell r="D85">
            <v>2336142.8571428573</v>
          </cell>
          <cell r="E85">
            <v>0</v>
          </cell>
          <cell r="F85">
            <v>0</v>
          </cell>
          <cell r="G85">
            <v>0</v>
          </cell>
        </row>
        <row r="86">
          <cell r="A86" t="str">
            <v>105-30-070</v>
          </cell>
          <cell r="B86">
            <v>2</v>
          </cell>
          <cell r="C86" t="str">
            <v>LONG SERVICE AWARDS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</row>
        <row r="87">
          <cell r="A87" t="str">
            <v>105-30-080</v>
          </cell>
          <cell r="B87">
            <v>2</v>
          </cell>
          <cell r="C87" t="str">
            <v>STAFF RECRUITMENT &amp; REMOVALS</v>
          </cell>
          <cell r="D87">
            <v>3435434.2857142901</v>
          </cell>
          <cell r="E87">
            <v>0</v>
          </cell>
          <cell r="F87">
            <v>0</v>
          </cell>
          <cell r="G87">
            <v>0</v>
          </cell>
        </row>
        <row r="88">
          <cell r="A88" t="str">
            <v>115-10-010</v>
          </cell>
          <cell r="B88">
            <v>2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</row>
        <row r="89">
          <cell r="A89" t="str">
            <v>115-10-010</v>
          </cell>
          <cell r="B89">
            <v>2</v>
          </cell>
          <cell r="D89">
            <v>0</v>
          </cell>
          <cell r="F89">
            <v>0</v>
          </cell>
          <cell r="G89">
            <v>0</v>
          </cell>
        </row>
        <row r="90">
          <cell r="A90" t="str">
            <v>115-10-020</v>
          </cell>
          <cell r="B90">
            <v>2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</row>
        <row r="91">
          <cell r="A91" t="str">
            <v>115-10-020</v>
          </cell>
          <cell r="B91">
            <v>2</v>
          </cell>
          <cell r="D91">
            <v>0</v>
          </cell>
          <cell r="G91">
            <v>0</v>
          </cell>
        </row>
        <row r="92">
          <cell r="A92" t="str">
            <v>115-10-030</v>
          </cell>
          <cell r="B92">
            <v>2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</row>
        <row r="93">
          <cell r="A93" t="str">
            <v>115-10-030</v>
          </cell>
          <cell r="B93">
            <v>2</v>
          </cell>
          <cell r="D93">
            <v>0</v>
          </cell>
          <cell r="F93">
            <v>0</v>
          </cell>
          <cell r="G93">
            <v>0</v>
          </cell>
        </row>
        <row r="94">
          <cell r="A94" t="str">
            <v>115-10-040</v>
          </cell>
          <cell r="B94">
            <v>2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</row>
        <row r="95">
          <cell r="A95" t="str">
            <v>115-10-040</v>
          </cell>
          <cell r="B95">
            <v>2</v>
          </cell>
          <cell r="D95">
            <v>0</v>
          </cell>
          <cell r="F95">
            <v>0</v>
          </cell>
          <cell r="G95">
            <v>0</v>
          </cell>
        </row>
        <row r="96">
          <cell r="A96" t="str">
            <v>115-10-050</v>
          </cell>
          <cell r="B96">
            <v>2</v>
          </cell>
          <cell r="C96" t="str">
            <v>OFFICE CATERING &amp; STAFF WELFARE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</row>
        <row r="97">
          <cell r="A97" t="str">
            <v>115-10-051</v>
          </cell>
          <cell r="B97">
            <v>2</v>
          </cell>
          <cell r="C97" t="str">
            <v>OFFICE CLEANING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</row>
        <row r="98">
          <cell r="A98" t="str">
            <v>115-10-060</v>
          </cell>
          <cell r="B98">
            <v>2</v>
          </cell>
          <cell r="C98" t="str">
            <v>OFFICE WATER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</row>
        <row r="99">
          <cell r="A99" t="str">
            <v>115-10-070</v>
          </cell>
          <cell r="B99">
            <v>2</v>
          </cell>
          <cell r="C99" t="str">
            <v>OFFICE ELECTRICITY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</row>
        <row r="100">
          <cell r="A100" t="str">
            <v>115-10-080</v>
          </cell>
          <cell r="B100">
            <v>2</v>
          </cell>
          <cell r="C100" t="str">
            <v>OFFICE SECURITY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</row>
        <row r="101">
          <cell r="A101" t="str">
            <v>125-10-010</v>
          </cell>
          <cell r="B101">
            <v>2</v>
          </cell>
          <cell r="C101" t="str">
            <v>BANK CHARGES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</row>
        <row r="102">
          <cell r="A102" t="str">
            <v>125-10-020</v>
          </cell>
          <cell r="B102">
            <v>2</v>
          </cell>
          <cell r="C102" t="str">
            <v>BANK OVERDRART CHARGES</v>
          </cell>
          <cell r="E102">
            <v>0</v>
          </cell>
          <cell r="F102">
            <v>0</v>
          </cell>
          <cell r="G102">
            <v>0</v>
          </cell>
        </row>
        <row r="103">
          <cell r="A103" t="str">
            <v>145-10-010</v>
          </cell>
          <cell r="B103">
            <v>2</v>
          </cell>
          <cell r="C103" t="str">
            <v>ALA Group charges- Individual life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</row>
        <row r="104">
          <cell r="A104" t="str">
            <v>145-10-020</v>
          </cell>
          <cell r="B104">
            <v>2</v>
          </cell>
          <cell r="C104" t="str">
            <v>Actuarial fees- Individual life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</row>
        <row r="105">
          <cell r="A105" t="str">
            <v>145-10-030</v>
          </cell>
          <cell r="B105">
            <v>2</v>
          </cell>
          <cell r="C105" t="str">
            <v>Audit fee -individual life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</row>
        <row r="106">
          <cell r="A106" t="str">
            <v>145-10-031</v>
          </cell>
          <cell r="B106">
            <v>2</v>
          </cell>
          <cell r="C106" t="str">
            <v>Tax filing returns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</row>
        <row r="107">
          <cell r="A107" t="str">
            <v>145-10-040</v>
          </cell>
          <cell r="B107">
            <v>2</v>
          </cell>
          <cell r="C107" t="str">
            <v>Legal fees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</row>
        <row r="108">
          <cell r="A108" t="str">
            <v>145-10-060</v>
          </cell>
          <cell r="B108">
            <v>2</v>
          </cell>
          <cell r="C108" t="str">
            <v>Intra company charges- individual life</v>
          </cell>
          <cell r="G108">
            <v>0</v>
          </cell>
        </row>
        <row r="109">
          <cell r="A109" t="str">
            <v>145-10-060</v>
          </cell>
          <cell r="B109">
            <v>2</v>
          </cell>
          <cell r="E109">
            <v>0</v>
          </cell>
          <cell r="G109">
            <v>0</v>
          </cell>
        </row>
        <row r="110">
          <cell r="A110" t="str">
            <v>145-10-080</v>
          </cell>
          <cell r="B110">
            <v>2</v>
          </cell>
          <cell r="C110" t="str">
            <v>40% Excutive recharge</v>
          </cell>
          <cell r="F110">
            <v>0</v>
          </cell>
          <cell r="G110">
            <v>0</v>
          </cell>
        </row>
        <row r="111">
          <cell r="A111" t="str">
            <v>145-10-080</v>
          </cell>
          <cell r="B111">
            <v>2</v>
          </cell>
          <cell r="C111" t="str">
            <v xml:space="preserve">Recharges: 10% recharge to Corporate </v>
          </cell>
          <cell r="E111">
            <v>0</v>
          </cell>
          <cell r="G111">
            <v>0</v>
          </cell>
        </row>
        <row r="112">
          <cell r="A112" t="str">
            <v>145-10-100</v>
          </cell>
          <cell r="B112">
            <v>2</v>
          </cell>
          <cell r="E112">
            <v>0</v>
          </cell>
          <cell r="G112">
            <v>0</v>
          </cell>
        </row>
        <row r="113">
          <cell r="A113" t="str">
            <v>155-10-007</v>
          </cell>
          <cell r="B113">
            <v>2</v>
          </cell>
          <cell r="C113" t="str">
            <v>NEWSPAPERS &amp; JOURNALS</v>
          </cell>
          <cell r="D113">
            <v>19200</v>
          </cell>
          <cell r="E113">
            <v>0</v>
          </cell>
          <cell r="F113">
            <v>0</v>
          </cell>
          <cell r="G113">
            <v>0</v>
          </cell>
          <cell r="H113" t="str">
            <v>Budget for Factory Manager</v>
          </cell>
        </row>
        <row r="114">
          <cell r="A114" t="str">
            <v>155-10-008</v>
          </cell>
          <cell r="B114">
            <v>2</v>
          </cell>
          <cell r="C114" t="str">
            <v>ENTERTAINMENT &amp; DONATIONS</v>
          </cell>
          <cell r="D114">
            <v>70000</v>
          </cell>
          <cell r="E114">
            <v>0</v>
          </cell>
          <cell r="F114">
            <v>0</v>
          </cell>
          <cell r="G114">
            <v>0</v>
          </cell>
          <cell r="H114" t="str">
            <v>Budget for Factory Manager</v>
          </cell>
        </row>
        <row r="115">
          <cell r="A115" t="str">
            <v>155-10-009</v>
          </cell>
          <cell r="B115">
            <v>2</v>
          </cell>
          <cell r="C115" t="str">
            <v>COURIER &amp; FREIGHT CHARGES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</row>
        <row r="116">
          <cell r="A116" t="str">
            <v>155-10-010</v>
          </cell>
          <cell r="B116">
            <v>2</v>
          </cell>
          <cell r="C116" t="str">
            <v>ADVERTISING &amp; PUBLICITY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</row>
        <row r="117">
          <cell r="A117" t="str">
            <v>155-10-012</v>
          </cell>
          <cell r="B117">
            <v>2</v>
          </cell>
          <cell r="C117" t="str">
            <v>TRADE LICENCES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</row>
        <row r="118">
          <cell r="A118" t="str">
            <v>155-10-013</v>
          </cell>
          <cell r="B118">
            <v>2</v>
          </cell>
          <cell r="C118" t="str">
            <v>INSURANCES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</row>
        <row r="119">
          <cell r="A119" t="str">
            <v>155-10-014</v>
          </cell>
          <cell r="B119">
            <v>2</v>
          </cell>
          <cell r="C119" t="str">
            <v>PHOTOCOPY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</row>
        <row r="120">
          <cell r="A120" t="str">
            <v>155-10-015</v>
          </cell>
          <cell r="B120">
            <v>2</v>
          </cell>
          <cell r="C120" t="str">
            <v>COMPUTER MAINTAINANCE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</row>
        <row r="121">
          <cell r="A121" t="str">
            <v>155-10-016</v>
          </cell>
          <cell r="B121">
            <v>2</v>
          </cell>
          <cell r="C121" t="str">
            <v>EQUIPMENT&amp; FURNITURE REPAIRS &amp; MAINTENANCE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</row>
        <row r="122">
          <cell r="A122" t="str">
            <v>155-10-017</v>
          </cell>
          <cell r="B122">
            <v>2</v>
          </cell>
          <cell r="C122" t="str">
            <v>SEMINARS &amp; SHORT TERM COURSES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 t="str">
            <v>Budget for Factory Manager</v>
          </cell>
        </row>
        <row r="123">
          <cell r="A123" t="str">
            <v>155-10-022</v>
          </cell>
          <cell r="B123">
            <v>2</v>
          </cell>
          <cell r="C123" t="str">
            <v>PRINTING &amp; STATIONERY</v>
          </cell>
          <cell r="D123">
            <v>19978.5</v>
          </cell>
          <cell r="E123">
            <v>0</v>
          </cell>
          <cell r="F123">
            <v>0</v>
          </cell>
          <cell r="G123">
            <v>0</v>
          </cell>
          <cell r="H123" t="str">
            <v>Budget for Factory Manager</v>
          </cell>
        </row>
        <row r="124">
          <cell r="A124" t="str">
            <v>155-10-025</v>
          </cell>
          <cell r="B124">
            <v>2</v>
          </cell>
          <cell r="C124" t="str">
            <v>STRATEGIC PLANNING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</row>
        <row r="125">
          <cell r="A125" t="str">
            <v>155-10-027</v>
          </cell>
          <cell r="B125">
            <v>2</v>
          </cell>
          <cell r="C125" t="str">
            <v>PROFESSIONAL SUBSCRIPTIONS</v>
          </cell>
          <cell r="D125">
            <v>0</v>
          </cell>
          <cell r="E125">
            <v>0</v>
          </cell>
          <cell r="F125">
            <v>0</v>
          </cell>
          <cell r="G125">
            <v>0</v>
          </cell>
        </row>
        <row r="126">
          <cell r="A126" t="str">
            <v>155-10-028</v>
          </cell>
          <cell r="B126">
            <v>2</v>
          </cell>
          <cell r="C126" t="str">
            <v xml:space="preserve"> SUBSCRIPTIONS -COMPANY MEMBERSHIP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</row>
        <row r="127">
          <cell r="A127" t="str">
            <v>155-10-030</v>
          </cell>
          <cell r="B127">
            <v>2</v>
          </cell>
          <cell r="C127" t="str">
            <v>TRAVELLING &amp; ACCOMMODATION</v>
          </cell>
          <cell r="D127">
            <v>255423.45</v>
          </cell>
          <cell r="E127">
            <v>1000</v>
          </cell>
          <cell r="F127">
            <v>1714.2857142857142</v>
          </cell>
          <cell r="G127">
            <v>148.99701250000001</v>
          </cell>
          <cell r="H127" t="str">
            <v>Budget for Factory Manager</v>
          </cell>
        </row>
        <row r="128">
          <cell r="A128" t="str">
            <v>155-10-032</v>
          </cell>
          <cell r="B128">
            <v>2</v>
          </cell>
          <cell r="C128" t="str">
            <v xml:space="preserve">MOTOR CAR EXPENSES 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</row>
        <row r="129">
          <cell r="A129" t="str">
            <v>155-10-040</v>
          </cell>
          <cell r="B129">
            <v>2</v>
          </cell>
          <cell r="C129" t="str">
            <v>POSTAGE</v>
          </cell>
          <cell r="D129">
            <v>8100</v>
          </cell>
          <cell r="E129">
            <v>11000</v>
          </cell>
          <cell r="F129">
            <v>18857.142857142855</v>
          </cell>
          <cell r="G129">
            <v>0.42954545454545462</v>
          </cell>
        </row>
        <row r="130">
          <cell r="A130" t="str">
            <v>155-10-041</v>
          </cell>
          <cell r="B130">
            <v>2</v>
          </cell>
          <cell r="C130" t="str">
            <v>TELEPHONE &amp; FAX</v>
          </cell>
          <cell r="D130">
            <v>111000</v>
          </cell>
          <cell r="E130">
            <v>85000</v>
          </cell>
          <cell r="F130">
            <v>140000</v>
          </cell>
          <cell r="G130">
            <v>0.79285714285714282</v>
          </cell>
          <cell r="H130" t="str">
            <v>Budget for Factory Manager</v>
          </cell>
        </row>
        <row r="131">
          <cell r="A131" t="str">
            <v>155-10-044</v>
          </cell>
          <cell r="B131">
            <v>2</v>
          </cell>
          <cell r="C131" t="str">
            <v>PROFFESSIONAL TRAINING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 t="str">
            <v>Budget for Factory Manager</v>
          </cell>
        </row>
        <row r="132">
          <cell r="A132" t="str">
            <v>155-10-046</v>
          </cell>
          <cell r="B132">
            <v>2</v>
          </cell>
          <cell r="C132" t="str">
            <v xml:space="preserve">SUBSCRIPTION- STAFF CLUB MEMBERSHIP </v>
          </cell>
          <cell r="D132">
            <v>180000</v>
          </cell>
          <cell r="E132">
            <v>0</v>
          </cell>
          <cell r="F132">
            <v>0</v>
          </cell>
          <cell r="G132">
            <v>0</v>
          </cell>
          <cell r="H132" t="str">
            <v>Budget for Factory Manager</v>
          </cell>
        </row>
        <row r="133">
          <cell r="A133" t="str">
            <v>155-10-054</v>
          </cell>
          <cell r="B133">
            <v>2</v>
          </cell>
          <cell r="C133" t="str">
            <v>LEASED LINES-INTERNET SERVICES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</row>
        <row r="134">
          <cell r="A134" t="str">
            <v>155-10-057</v>
          </cell>
          <cell r="B134">
            <v>2</v>
          </cell>
          <cell r="C134" t="str">
            <v>SOFTWARE LICENCES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</row>
        <row r="135">
          <cell r="A135" t="str">
            <v>155-10-059</v>
          </cell>
          <cell r="B135">
            <v>2</v>
          </cell>
          <cell r="E135">
            <v>0</v>
          </cell>
          <cell r="G135">
            <v>0</v>
          </cell>
        </row>
        <row r="136">
          <cell r="A136" t="str">
            <v>155-10-060</v>
          </cell>
          <cell r="B136">
            <v>2</v>
          </cell>
          <cell r="E136">
            <v>0</v>
          </cell>
          <cell r="G136">
            <v>0</v>
          </cell>
        </row>
        <row r="137">
          <cell r="A137" t="str">
            <v>155-10-062</v>
          </cell>
          <cell r="B137">
            <v>2</v>
          </cell>
          <cell r="C137" t="str">
            <v>EDUCATION EXPENSES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</row>
        <row r="138">
          <cell r="A138" t="str">
            <v>105-10-010</v>
          </cell>
          <cell r="B138">
            <v>3</v>
          </cell>
          <cell r="C138" t="str">
            <v>BASIC SALARY</v>
          </cell>
          <cell r="D138">
            <v>3927504</v>
          </cell>
          <cell r="E138">
            <v>1992500</v>
          </cell>
          <cell r="F138">
            <v>3453625</v>
          </cell>
          <cell r="G138">
            <v>1.1372120597922475</v>
          </cell>
          <cell r="H138" t="str">
            <v>Deployment of  S. Simwa from Customer Service and budget for new staff</v>
          </cell>
        </row>
        <row r="139">
          <cell r="A139" t="str">
            <v>105-10-012</v>
          </cell>
          <cell r="B139">
            <v>3</v>
          </cell>
          <cell r="C139" t="str">
            <v>PROVISION FOR MORT. RATE ADJUSTMENTS</v>
          </cell>
          <cell r="D139">
            <v>17700</v>
          </cell>
          <cell r="E139">
            <v>10000</v>
          </cell>
          <cell r="F139">
            <v>17375</v>
          </cell>
          <cell r="G139">
            <v>1.0187050359712231</v>
          </cell>
        </row>
        <row r="140">
          <cell r="A140" t="str">
            <v>105-10-020</v>
          </cell>
          <cell r="B140">
            <v>3</v>
          </cell>
          <cell r="C140" t="str">
            <v>HOUSE ALLOWANCE</v>
          </cell>
          <cell r="D140">
            <v>435600</v>
          </cell>
          <cell r="E140">
            <v>323500</v>
          </cell>
          <cell r="F140">
            <v>505000</v>
          </cell>
          <cell r="G140">
            <v>0.86257425742574256</v>
          </cell>
        </row>
        <row r="141">
          <cell r="A141" t="str">
            <v>105-10-030</v>
          </cell>
          <cell r="B141">
            <v>3</v>
          </cell>
          <cell r="C141" t="str">
            <v>TELEPHONE ALLOWANCE</v>
          </cell>
          <cell r="D141">
            <v>0</v>
          </cell>
          <cell r="E141">
            <v>18000</v>
          </cell>
          <cell r="F141">
            <v>18000</v>
          </cell>
          <cell r="G141">
            <v>0</v>
          </cell>
        </row>
        <row r="142">
          <cell r="A142" t="str">
            <v>105-10-040</v>
          </cell>
          <cell r="B142">
            <v>3</v>
          </cell>
          <cell r="C142" t="str">
            <v>SECURITY ALLOWANCE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</row>
        <row r="143">
          <cell r="A143" t="str">
            <v>105-10-050</v>
          </cell>
          <cell r="B143">
            <v>3</v>
          </cell>
          <cell r="C143" t="str">
            <v>EDUCATION ALLOWANCE</v>
          </cell>
          <cell r="D143">
            <v>0</v>
          </cell>
          <cell r="E143">
            <v>0</v>
          </cell>
          <cell r="G143">
            <v>0</v>
          </cell>
        </row>
        <row r="144">
          <cell r="A144" t="str">
            <v>105-10-060</v>
          </cell>
          <cell r="B144">
            <v>3</v>
          </cell>
          <cell r="C144" t="str">
            <v>TRAVEL ALLOWANCE</v>
          </cell>
          <cell r="D144">
            <v>124800</v>
          </cell>
          <cell r="E144">
            <v>73000</v>
          </cell>
          <cell r="F144">
            <v>125000</v>
          </cell>
          <cell r="G144">
            <v>0.99839999999999995</v>
          </cell>
        </row>
        <row r="145">
          <cell r="A145" t="str">
            <v>105-20-010</v>
          </cell>
          <cell r="B145">
            <v>3</v>
          </cell>
          <cell r="C145" t="str">
            <v>NSSF</v>
          </cell>
          <cell r="D145">
            <v>14400</v>
          </cell>
          <cell r="E145">
            <v>7000</v>
          </cell>
          <cell r="F145">
            <v>13000</v>
          </cell>
          <cell r="G145">
            <v>1.1076923076923078</v>
          </cell>
          <cell r="H145" t="str">
            <v>Deployment of  S. Simwa from Customer Service and budget for new staff</v>
          </cell>
        </row>
        <row r="146">
          <cell r="A146" t="str">
            <v>105-20-020</v>
          </cell>
          <cell r="B146">
            <v>3</v>
          </cell>
          <cell r="C146" t="str">
            <v>NHIF</v>
          </cell>
          <cell r="D146">
            <v>17280</v>
          </cell>
          <cell r="E146">
            <v>8000</v>
          </cell>
          <cell r="F146">
            <v>15200</v>
          </cell>
          <cell r="G146">
            <v>1.1368421052631579</v>
          </cell>
          <cell r="H146" t="str">
            <v>Deployment of  S. Simwa from Customer Service and budget for new staff</v>
          </cell>
        </row>
        <row r="147">
          <cell r="A147" t="str">
            <v>105-30-010</v>
          </cell>
          <cell r="B147">
            <v>3</v>
          </cell>
          <cell r="C147" t="str">
            <v xml:space="preserve">PENSION </v>
          </cell>
          <cell r="D147">
            <v>490938</v>
          </cell>
          <cell r="E147">
            <v>217000</v>
          </cell>
          <cell r="F147">
            <v>421557.5</v>
          </cell>
          <cell r="G147">
            <v>1.1645813441819921</v>
          </cell>
          <cell r="H147" t="str">
            <v>Deployment of  S. Simwa from Customer Service and budget for new staff</v>
          </cell>
        </row>
        <row r="148">
          <cell r="A148" t="str">
            <v>105-30-020</v>
          </cell>
          <cell r="B148">
            <v>3</v>
          </cell>
          <cell r="C148" t="str">
            <v>LAST EXPENSE</v>
          </cell>
          <cell r="D148">
            <v>9000</v>
          </cell>
          <cell r="E148">
            <v>4000</v>
          </cell>
          <cell r="F148">
            <v>6857.1428571428569</v>
          </cell>
          <cell r="G148">
            <v>1.3125</v>
          </cell>
        </row>
        <row r="149">
          <cell r="A149" t="str">
            <v>105-30-030</v>
          </cell>
          <cell r="B149">
            <v>3</v>
          </cell>
          <cell r="C149" t="str">
            <v>GROUP LIFE ASSURANCE</v>
          </cell>
          <cell r="D149">
            <v>70245.58</v>
          </cell>
          <cell r="E149">
            <v>55000</v>
          </cell>
          <cell r="F149">
            <v>94285.71428571429</v>
          </cell>
          <cell r="G149">
            <v>0.74502887878787882</v>
          </cell>
        </row>
        <row r="150">
          <cell r="A150" t="str">
            <v>105-30-040</v>
          </cell>
          <cell r="B150">
            <v>3</v>
          </cell>
          <cell r="C150" t="str">
            <v>STAFF MEDICAL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</row>
        <row r="151">
          <cell r="A151" t="str">
            <v>105-30-050</v>
          </cell>
          <cell r="B151">
            <v>3</v>
          </cell>
          <cell r="C151" t="str">
            <v>CASH IN LIEU OF LEAVE</v>
          </cell>
          <cell r="D151">
            <v>98187.6</v>
          </cell>
          <cell r="E151">
            <v>88000</v>
          </cell>
          <cell r="F151">
            <v>150857.14285714284</v>
          </cell>
          <cell r="G151">
            <v>0.65086477272727283</v>
          </cell>
        </row>
        <row r="152">
          <cell r="A152" t="str">
            <v>105-30-060</v>
          </cell>
          <cell r="B152">
            <v>3</v>
          </cell>
          <cell r="C152" t="str">
            <v>GRATUITY</v>
          </cell>
          <cell r="E152">
            <v>0</v>
          </cell>
          <cell r="F152">
            <v>0</v>
          </cell>
          <cell r="G152">
            <v>0</v>
          </cell>
        </row>
        <row r="153">
          <cell r="A153" t="str">
            <v>105-30-070</v>
          </cell>
          <cell r="B153">
            <v>3</v>
          </cell>
          <cell r="C153" t="str">
            <v>LONG SERVICE AWARDS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</row>
        <row r="154">
          <cell r="A154" t="str">
            <v>105-30-080</v>
          </cell>
          <cell r="B154">
            <v>3</v>
          </cell>
          <cell r="C154" t="str">
            <v>STAFF RECRUITMENT &amp; REMOVALS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</row>
        <row r="155">
          <cell r="A155" t="str">
            <v>115-10-010</v>
          </cell>
          <cell r="B155">
            <v>3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</row>
        <row r="156">
          <cell r="A156" t="str">
            <v>115-10-010</v>
          </cell>
          <cell r="B156">
            <v>3</v>
          </cell>
          <cell r="D156">
            <v>0</v>
          </cell>
          <cell r="F156">
            <v>0</v>
          </cell>
          <cell r="G156">
            <v>0</v>
          </cell>
        </row>
        <row r="157">
          <cell r="A157" t="str">
            <v>115-10-020</v>
          </cell>
          <cell r="B157">
            <v>3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</row>
        <row r="158">
          <cell r="A158" t="str">
            <v>115-10-020</v>
          </cell>
          <cell r="B158">
            <v>3</v>
          </cell>
          <cell r="D158">
            <v>0</v>
          </cell>
          <cell r="G158">
            <v>0</v>
          </cell>
        </row>
        <row r="159">
          <cell r="A159" t="str">
            <v>115-10-030</v>
          </cell>
          <cell r="B159">
            <v>3</v>
          </cell>
          <cell r="D159">
            <v>0</v>
          </cell>
          <cell r="E159">
            <v>0</v>
          </cell>
          <cell r="F159">
            <v>0</v>
          </cell>
          <cell r="G159">
            <v>0</v>
          </cell>
        </row>
        <row r="160">
          <cell r="A160" t="str">
            <v>115-10-030</v>
          </cell>
          <cell r="B160">
            <v>3</v>
          </cell>
          <cell r="D160">
            <v>0</v>
          </cell>
          <cell r="F160">
            <v>0</v>
          </cell>
          <cell r="G160">
            <v>0</v>
          </cell>
        </row>
        <row r="161">
          <cell r="A161" t="str">
            <v>115-10-040</v>
          </cell>
          <cell r="B161">
            <v>3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 t="str">
            <v>Based on Current Year's occupied Space &amp; Budget</v>
          </cell>
        </row>
        <row r="162">
          <cell r="A162" t="str">
            <v>115-10-040</v>
          </cell>
          <cell r="B162">
            <v>3</v>
          </cell>
          <cell r="D162">
            <v>0</v>
          </cell>
          <cell r="F162">
            <v>0</v>
          </cell>
          <cell r="G162">
            <v>0</v>
          </cell>
        </row>
        <row r="163">
          <cell r="A163" t="str">
            <v>115-10-050</v>
          </cell>
          <cell r="B163">
            <v>3</v>
          </cell>
          <cell r="C163" t="str">
            <v>OFFICE CATERING &amp; STAFF WELFARE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</row>
        <row r="164">
          <cell r="A164" t="str">
            <v>115-10-051</v>
          </cell>
          <cell r="B164">
            <v>3</v>
          </cell>
          <cell r="C164" t="str">
            <v>OFFICE CLEANING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</row>
        <row r="165">
          <cell r="A165" t="str">
            <v>115-10-060</v>
          </cell>
          <cell r="B165">
            <v>3</v>
          </cell>
          <cell r="C165" t="str">
            <v>OFFICE WATER</v>
          </cell>
          <cell r="D165">
            <v>0</v>
          </cell>
          <cell r="E165">
            <v>0</v>
          </cell>
          <cell r="F165">
            <v>0</v>
          </cell>
          <cell r="G165">
            <v>0</v>
          </cell>
        </row>
        <row r="166">
          <cell r="A166" t="str">
            <v>115-10-070</v>
          </cell>
          <cell r="B166">
            <v>3</v>
          </cell>
          <cell r="C166" t="str">
            <v>OFFICE ELECTRICITY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</row>
        <row r="167">
          <cell r="A167" t="str">
            <v>115-10-080</v>
          </cell>
          <cell r="B167">
            <v>3</v>
          </cell>
          <cell r="C167" t="str">
            <v>OFFICE SECURITY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</row>
        <row r="168">
          <cell r="A168" t="str">
            <v>125-10-010</v>
          </cell>
          <cell r="B168">
            <v>3</v>
          </cell>
          <cell r="C168" t="str">
            <v>BANK CHARGES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</row>
        <row r="169">
          <cell r="A169" t="str">
            <v>125-10-020</v>
          </cell>
          <cell r="B169">
            <v>3</v>
          </cell>
          <cell r="C169" t="str">
            <v>BANK OVERDRART CHARGES</v>
          </cell>
          <cell r="E169">
            <v>0</v>
          </cell>
          <cell r="F169">
            <v>0</v>
          </cell>
          <cell r="G169">
            <v>0</v>
          </cell>
        </row>
        <row r="170">
          <cell r="A170" t="str">
            <v>145-10-010</v>
          </cell>
          <cell r="B170">
            <v>3</v>
          </cell>
          <cell r="C170" t="str">
            <v>ALA Group charges- Individual life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</row>
        <row r="171">
          <cell r="A171" t="str">
            <v>145-10-020</v>
          </cell>
          <cell r="B171">
            <v>3</v>
          </cell>
          <cell r="C171" t="str">
            <v>Actuarial fees- Individual life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</row>
        <row r="172">
          <cell r="A172" t="str">
            <v>145-10-030</v>
          </cell>
          <cell r="B172">
            <v>3</v>
          </cell>
          <cell r="C172" t="str">
            <v>Audit fee -individual life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</row>
        <row r="173">
          <cell r="A173" t="str">
            <v>145-10-031</v>
          </cell>
          <cell r="B173">
            <v>3</v>
          </cell>
          <cell r="C173" t="str">
            <v>Tax filing returns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</row>
        <row r="174">
          <cell r="A174" t="str">
            <v>145-10-040</v>
          </cell>
          <cell r="B174">
            <v>3</v>
          </cell>
          <cell r="C174" t="str">
            <v>Legal fees</v>
          </cell>
          <cell r="D174">
            <v>0</v>
          </cell>
          <cell r="E174">
            <v>0</v>
          </cell>
          <cell r="F174">
            <v>0</v>
          </cell>
          <cell r="G174">
            <v>0</v>
          </cell>
        </row>
        <row r="175">
          <cell r="A175" t="str">
            <v>145-10-060</v>
          </cell>
          <cell r="B175">
            <v>3</v>
          </cell>
          <cell r="C175" t="str">
            <v>Intra company charges- individual life</v>
          </cell>
          <cell r="G175">
            <v>0</v>
          </cell>
        </row>
        <row r="176">
          <cell r="A176" t="str">
            <v>145-10-060</v>
          </cell>
          <cell r="B176">
            <v>3</v>
          </cell>
          <cell r="E176">
            <v>0</v>
          </cell>
          <cell r="G176">
            <v>0</v>
          </cell>
        </row>
        <row r="177">
          <cell r="A177" t="str">
            <v>145-10-080</v>
          </cell>
          <cell r="B177">
            <v>3</v>
          </cell>
          <cell r="C177" t="str">
            <v>40% Excutive recharge</v>
          </cell>
          <cell r="F177">
            <v>0</v>
          </cell>
          <cell r="G177">
            <v>0</v>
          </cell>
        </row>
        <row r="178">
          <cell r="A178" t="str">
            <v>145-10-080</v>
          </cell>
          <cell r="B178">
            <v>3</v>
          </cell>
          <cell r="C178" t="str">
            <v xml:space="preserve">Recharges: 10% recharge to Corporate </v>
          </cell>
          <cell r="E178">
            <v>0</v>
          </cell>
          <cell r="G178">
            <v>0</v>
          </cell>
        </row>
        <row r="179">
          <cell r="A179" t="str">
            <v>145-10-100</v>
          </cell>
          <cell r="B179">
            <v>3</v>
          </cell>
          <cell r="E179">
            <v>0</v>
          </cell>
          <cell r="G179">
            <v>0</v>
          </cell>
        </row>
        <row r="180">
          <cell r="A180" t="str">
            <v>155-10-007</v>
          </cell>
          <cell r="B180">
            <v>3</v>
          </cell>
          <cell r="C180" t="str">
            <v>NEWSPAPERS &amp; JOURNALS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</row>
        <row r="181">
          <cell r="A181" t="str">
            <v>155-10-008</v>
          </cell>
          <cell r="B181">
            <v>3</v>
          </cell>
          <cell r="C181" t="str">
            <v>ENTERTAINMENT &amp; DONATIONS</v>
          </cell>
          <cell r="D181">
            <v>15000</v>
          </cell>
          <cell r="E181">
            <v>8000</v>
          </cell>
          <cell r="F181">
            <v>13714.285714285714</v>
          </cell>
          <cell r="G181">
            <v>1.09375</v>
          </cell>
        </row>
        <row r="182">
          <cell r="A182" t="str">
            <v>155-10-009</v>
          </cell>
          <cell r="B182">
            <v>3</v>
          </cell>
          <cell r="C182" t="str">
            <v>COURIER &amp; FREIGHT CHARGES</v>
          </cell>
          <cell r="D182">
            <v>0</v>
          </cell>
          <cell r="E182">
            <v>0</v>
          </cell>
          <cell r="F182">
            <v>0</v>
          </cell>
          <cell r="G182">
            <v>0</v>
          </cell>
        </row>
        <row r="183">
          <cell r="A183" t="str">
            <v>155-10-010</v>
          </cell>
          <cell r="B183">
            <v>3</v>
          </cell>
          <cell r="C183" t="str">
            <v>ADVERTISING &amp; PUBLICITY</v>
          </cell>
          <cell r="D183">
            <v>525000</v>
          </cell>
          <cell r="E183">
            <v>75000</v>
          </cell>
          <cell r="F183">
            <v>630000</v>
          </cell>
          <cell r="G183">
            <v>0.83333333333333337</v>
          </cell>
        </row>
        <row r="184">
          <cell r="A184" t="str">
            <v>155-10-012</v>
          </cell>
          <cell r="B184">
            <v>3</v>
          </cell>
          <cell r="C184" t="str">
            <v>TRADE LICENCES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</row>
        <row r="185">
          <cell r="A185" t="str">
            <v>155-10-013</v>
          </cell>
          <cell r="B185">
            <v>3</v>
          </cell>
          <cell r="C185" t="str">
            <v>INSURANCES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</row>
        <row r="186">
          <cell r="A186" t="str">
            <v>155-10-014</v>
          </cell>
          <cell r="B186">
            <v>3</v>
          </cell>
          <cell r="C186" t="str">
            <v>PHOTOCOPY</v>
          </cell>
          <cell r="D186">
            <v>0</v>
          </cell>
          <cell r="E186">
            <v>0</v>
          </cell>
          <cell r="F186">
            <v>0</v>
          </cell>
          <cell r="G186">
            <v>0</v>
          </cell>
        </row>
        <row r="187">
          <cell r="A187" t="str">
            <v>155-10-015</v>
          </cell>
          <cell r="B187">
            <v>3</v>
          </cell>
          <cell r="C187" t="str">
            <v>COMPUTER MAINTAINANCE</v>
          </cell>
          <cell r="D187">
            <v>0</v>
          </cell>
          <cell r="E187">
            <v>0</v>
          </cell>
          <cell r="F187">
            <v>0</v>
          </cell>
          <cell r="G187">
            <v>0</v>
          </cell>
        </row>
        <row r="188">
          <cell r="A188" t="str">
            <v>155-10-016</v>
          </cell>
          <cell r="B188">
            <v>3</v>
          </cell>
          <cell r="C188" t="str">
            <v>EQUIPMENT&amp; FURNITURE REPAIRS &amp; MAINTENANCE</v>
          </cell>
          <cell r="D188">
            <v>0</v>
          </cell>
          <cell r="E188">
            <v>0</v>
          </cell>
          <cell r="F188">
            <v>0</v>
          </cell>
          <cell r="G188">
            <v>0</v>
          </cell>
        </row>
        <row r="189">
          <cell r="A189" t="str">
            <v>155-10-017</v>
          </cell>
          <cell r="B189">
            <v>3</v>
          </cell>
          <cell r="C189" t="str">
            <v>SEMINARS &amp; SHORT TERM COURSES</v>
          </cell>
          <cell r="D189">
            <v>0</v>
          </cell>
          <cell r="E189">
            <v>20000</v>
          </cell>
          <cell r="F189">
            <v>34285.71428571429</v>
          </cell>
          <cell r="G189">
            <v>0</v>
          </cell>
        </row>
        <row r="190">
          <cell r="A190" t="str">
            <v>155-10-022</v>
          </cell>
          <cell r="B190">
            <v>3</v>
          </cell>
          <cell r="C190" t="str">
            <v>PRINTING &amp; STATIONERY</v>
          </cell>
          <cell r="D190">
            <v>466210.5</v>
          </cell>
          <cell r="E190">
            <v>164000</v>
          </cell>
          <cell r="F190">
            <v>281142.85714285716</v>
          </cell>
          <cell r="G190">
            <v>1.6582690548780488</v>
          </cell>
          <cell r="H190" t="str">
            <v>There will ban expected increase in letters outwards in line with business growth</v>
          </cell>
        </row>
        <row r="191">
          <cell r="A191" t="str">
            <v>155-10-025</v>
          </cell>
          <cell r="B191">
            <v>3</v>
          </cell>
          <cell r="C191" t="str">
            <v>STRATEGIC PLANNING</v>
          </cell>
          <cell r="D191">
            <v>0</v>
          </cell>
          <cell r="E191">
            <v>0</v>
          </cell>
          <cell r="F191">
            <v>0</v>
          </cell>
          <cell r="G191">
            <v>0</v>
          </cell>
        </row>
        <row r="192">
          <cell r="A192" t="str">
            <v>155-10-027</v>
          </cell>
          <cell r="B192">
            <v>3</v>
          </cell>
          <cell r="C192" t="str">
            <v>PROFESSIONAL SUBSCRIPTIONS</v>
          </cell>
          <cell r="D192">
            <v>16325</v>
          </cell>
          <cell r="E192">
            <v>3000</v>
          </cell>
          <cell r="F192">
            <v>5142.8571428571431</v>
          </cell>
          <cell r="G192">
            <v>3.1743055555555553</v>
          </cell>
        </row>
        <row r="193">
          <cell r="A193" t="str">
            <v>155-10-028</v>
          </cell>
          <cell r="B193">
            <v>3</v>
          </cell>
          <cell r="C193" t="str">
            <v xml:space="preserve"> SUBSCRIPTIONS -COMPANY MEMBERSHIP</v>
          </cell>
          <cell r="D193">
            <v>0</v>
          </cell>
          <cell r="E193">
            <v>0</v>
          </cell>
          <cell r="F193">
            <v>0</v>
          </cell>
          <cell r="G193">
            <v>0</v>
          </cell>
        </row>
        <row r="194">
          <cell r="A194" t="str">
            <v>155-10-030</v>
          </cell>
          <cell r="B194">
            <v>3</v>
          </cell>
          <cell r="C194" t="str">
            <v>TRAVELLING &amp; ACCOMMODATION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</row>
        <row r="195">
          <cell r="A195" t="str">
            <v>155-10-032</v>
          </cell>
          <cell r="B195">
            <v>3</v>
          </cell>
          <cell r="C195" t="str">
            <v xml:space="preserve">MOTOR CAR EXPENSES </v>
          </cell>
          <cell r="D195">
            <v>0</v>
          </cell>
          <cell r="E195">
            <v>0</v>
          </cell>
          <cell r="F195">
            <v>0</v>
          </cell>
          <cell r="G195">
            <v>0</v>
          </cell>
        </row>
        <row r="196">
          <cell r="A196" t="str">
            <v>155-10-040</v>
          </cell>
          <cell r="B196">
            <v>3</v>
          </cell>
          <cell r="C196" t="str">
            <v>POSTAGE</v>
          </cell>
          <cell r="D196">
            <v>1236000</v>
          </cell>
          <cell r="E196">
            <v>228000</v>
          </cell>
          <cell r="F196">
            <v>390857.14285714284</v>
          </cell>
          <cell r="G196">
            <v>3.1622807017543861</v>
          </cell>
          <cell r="H196" t="str">
            <v>It is expected that Update letters will increase from the average 3,000 to 4,500 p.m</v>
          </cell>
        </row>
        <row r="197">
          <cell r="A197" t="str">
            <v>155-10-041</v>
          </cell>
          <cell r="B197">
            <v>3</v>
          </cell>
          <cell r="C197" t="str">
            <v>TELEPHONE &amp; FAX</v>
          </cell>
          <cell r="D197">
            <v>108000</v>
          </cell>
          <cell r="E197">
            <v>109000</v>
          </cell>
          <cell r="F197">
            <v>149000</v>
          </cell>
          <cell r="G197">
            <v>0.72483221476510062</v>
          </cell>
        </row>
        <row r="198">
          <cell r="A198" t="str">
            <v>155-10-044</v>
          </cell>
          <cell r="B198">
            <v>3</v>
          </cell>
          <cell r="C198" t="str">
            <v>PROFFESSIONAL TRAINING</v>
          </cell>
          <cell r="D198">
            <v>38500</v>
          </cell>
          <cell r="E198">
            <v>57085.416666666664</v>
          </cell>
          <cell r="F198">
            <v>97860.71428571429</v>
          </cell>
          <cell r="G198">
            <v>0.39341629867523081</v>
          </cell>
        </row>
        <row r="199">
          <cell r="A199" t="str">
            <v>155-10-046</v>
          </cell>
          <cell r="B199">
            <v>3</v>
          </cell>
          <cell r="C199" t="str">
            <v xml:space="preserve">SUBSCRIPTION- STAFF CLUB MEMBERSHIP </v>
          </cell>
          <cell r="D199">
            <v>0</v>
          </cell>
          <cell r="E199">
            <v>0</v>
          </cell>
          <cell r="F199">
            <v>0</v>
          </cell>
          <cell r="G199">
            <v>0</v>
          </cell>
        </row>
        <row r="200">
          <cell r="A200" t="str">
            <v>155-10-054</v>
          </cell>
          <cell r="B200">
            <v>3</v>
          </cell>
          <cell r="C200" t="str">
            <v>LEASED LINES-INTERNET SERVICES</v>
          </cell>
          <cell r="D200">
            <v>0</v>
          </cell>
          <cell r="E200">
            <v>0</v>
          </cell>
          <cell r="F200">
            <v>0</v>
          </cell>
          <cell r="G200">
            <v>0</v>
          </cell>
        </row>
        <row r="201">
          <cell r="A201" t="str">
            <v>155-10-057</v>
          </cell>
          <cell r="B201">
            <v>3</v>
          </cell>
          <cell r="C201" t="str">
            <v>SOFTWARE LICENCES</v>
          </cell>
          <cell r="D201">
            <v>0</v>
          </cell>
          <cell r="E201">
            <v>0</v>
          </cell>
          <cell r="F201">
            <v>0</v>
          </cell>
          <cell r="G201">
            <v>0</v>
          </cell>
        </row>
        <row r="202">
          <cell r="A202" t="str">
            <v>155-10-059</v>
          </cell>
          <cell r="B202">
            <v>3</v>
          </cell>
          <cell r="E202">
            <v>0</v>
          </cell>
          <cell r="G202">
            <v>0</v>
          </cell>
        </row>
        <row r="203">
          <cell r="A203" t="str">
            <v>155-10-060</v>
          </cell>
          <cell r="B203">
            <v>3</v>
          </cell>
          <cell r="E203">
            <v>0</v>
          </cell>
          <cell r="G203">
            <v>0</v>
          </cell>
        </row>
        <row r="204">
          <cell r="A204" t="str">
            <v>155-10-062</v>
          </cell>
          <cell r="B204">
            <v>3</v>
          </cell>
          <cell r="C204" t="str">
            <v>EDUCATION EXPENSES</v>
          </cell>
          <cell r="D204">
            <v>0</v>
          </cell>
          <cell r="E204">
            <v>0</v>
          </cell>
          <cell r="F204">
            <v>0</v>
          </cell>
          <cell r="G204">
            <v>0</v>
          </cell>
        </row>
        <row r="205">
          <cell r="A205" t="str">
            <v>105-10-010</v>
          </cell>
          <cell r="B205">
            <v>4</v>
          </cell>
          <cell r="C205" t="str">
            <v>BASIC SALARY</v>
          </cell>
          <cell r="D205">
            <v>7817479.6800000016</v>
          </cell>
          <cell r="E205">
            <v>3758792.2241666666</v>
          </cell>
          <cell r="F205">
            <v>6395902.2241666671</v>
          </cell>
          <cell r="G205">
            <v>1.2222637879706728</v>
          </cell>
          <cell r="H205" t="str">
            <v>THREE NEW STAFF FOR ENABLED BRANCHES(NAKURU,KISUMU AND NYERI)</v>
          </cell>
        </row>
        <row r="206">
          <cell r="A206" t="str">
            <v>105-10-012</v>
          </cell>
          <cell r="B206">
            <v>4</v>
          </cell>
          <cell r="C206" t="str">
            <v>PROVISION FOR MORT. RATE ADJUSTMENTS</v>
          </cell>
          <cell r="D206">
            <v>26580</v>
          </cell>
          <cell r="E206">
            <v>34000</v>
          </cell>
          <cell r="F206">
            <v>45075</v>
          </cell>
          <cell r="G206">
            <v>0.58968386023294506</v>
          </cell>
        </row>
        <row r="207">
          <cell r="A207" t="str">
            <v>105-10-020</v>
          </cell>
          <cell r="B207">
            <v>4</v>
          </cell>
          <cell r="C207" t="str">
            <v>HOUSE ALLOWANCE</v>
          </cell>
          <cell r="D207">
            <v>937764</v>
          </cell>
          <cell r="E207">
            <v>507000</v>
          </cell>
          <cell r="F207">
            <v>897735</v>
          </cell>
          <cell r="G207">
            <v>1.0445888820197498</v>
          </cell>
        </row>
        <row r="208">
          <cell r="A208" t="str">
            <v>105-10-030</v>
          </cell>
          <cell r="B208">
            <v>4</v>
          </cell>
          <cell r="C208" t="str">
            <v>TELEPHONE ALLOWANCE</v>
          </cell>
          <cell r="D208">
            <v>24000</v>
          </cell>
          <cell r="E208">
            <v>14000</v>
          </cell>
          <cell r="F208">
            <v>24000</v>
          </cell>
          <cell r="G208">
            <v>1</v>
          </cell>
        </row>
        <row r="209">
          <cell r="A209" t="str">
            <v>105-10-040</v>
          </cell>
          <cell r="B209">
            <v>4</v>
          </cell>
          <cell r="C209" t="str">
            <v>SECURITY ALLOWANCE</v>
          </cell>
          <cell r="D209">
            <v>0</v>
          </cell>
          <cell r="E209">
            <v>0</v>
          </cell>
          <cell r="F209">
            <v>0</v>
          </cell>
          <cell r="G209">
            <v>0</v>
          </cell>
        </row>
        <row r="210">
          <cell r="A210" t="str">
            <v>105-10-050</v>
          </cell>
          <cell r="B210">
            <v>4</v>
          </cell>
          <cell r="C210" t="str">
            <v>EDUCATION ALLOWANCE</v>
          </cell>
          <cell r="D210">
            <v>0</v>
          </cell>
          <cell r="E210">
            <v>0</v>
          </cell>
          <cell r="F210">
            <v>39000</v>
          </cell>
          <cell r="G210">
            <v>0</v>
          </cell>
        </row>
        <row r="211">
          <cell r="A211" t="str">
            <v>105-10-060</v>
          </cell>
          <cell r="B211">
            <v>4</v>
          </cell>
          <cell r="C211" t="str">
            <v>TRAVEL ALLOWANCE</v>
          </cell>
          <cell r="D211">
            <v>93600</v>
          </cell>
          <cell r="E211">
            <v>55000</v>
          </cell>
          <cell r="F211">
            <v>94000</v>
          </cell>
          <cell r="G211">
            <v>0.99574468085106382</v>
          </cell>
        </row>
        <row r="212">
          <cell r="A212" t="str">
            <v>105-20-010</v>
          </cell>
          <cell r="B212">
            <v>4</v>
          </cell>
          <cell r="C212" t="str">
            <v>NSSF</v>
          </cell>
          <cell r="D212">
            <v>36000</v>
          </cell>
          <cell r="E212">
            <v>17480</v>
          </cell>
          <cell r="F212">
            <v>32480</v>
          </cell>
          <cell r="G212">
            <v>1.1083743842364533</v>
          </cell>
          <cell r="H212" t="str">
            <v>THREE NEW STAFF FOR ENABLED BRANCHES(NAKURU,KISUMU AND NYERI)</v>
          </cell>
        </row>
        <row r="213">
          <cell r="A213" t="str">
            <v>105-20-020</v>
          </cell>
          <cell r="B213">
            <v>4</v>
          </cell>
          <cell r="C213" t="str">
            <v>NHIF</v>
          </cell>
          <cell r="D213">
            <v>43200</v>
          </cell>
          <cell r="E213">
            <v>17480</v>
          </cell>
          <cell r="F213">
            <v>35480</v>
          </cell>
          <cell r="G213">
            <v>1.217587373167982</v>
          </cell>
          <cell r="H213" t="str">
            <v>THREE NEW STAFF FOR ENABLED BRANCHES(NAKURU,KISUMU AND NYERI)</v>
          </cell>
        </row>
        <row r="214">
          <cell r="A214" t="str">
            <v>105-30-010</v>
          </cell>
          <cell r="B214">
            <v>4</v>
          </cell>
          <cell r="C214" t="str">
            <v xml:space="preserve">PENSION </v>
          </cell>
          <cell r="D214">
            <v>977184.96</v>
          </cell>
          <cell r="E214">
            <v>449974.02802083333</v>
          </cell>
          <cell r="F214">
            <v>857134.42802083341</v>
          </cell>
          <cell r="G214">
            <v>1.1400603313255886</v>
          </cell>
        </row>
        <row r="215">
          <cell r="A215" t="str">
            <v>105-30-020</v>
          </cell>
          <cell r="B215">
            <v>4</v>
          </cell>
          <cell r="C215" t="str">
            <v>LAST EXPENSE</v>
          </cell>
          <cell r="D215">
            <v>23500</v>
          </cell>
          <cell r="E215">
            <v>8000</v>
          </cell>
          <cell r="F215">
            <v>13714.285714285714</v>
          </cell>
          <cell r="G215">
            <v>1.7135416666666667</v>
          </cell>
        </row>
        <row r="216">
          <cell r="A216" t="str">
            <v>105-30-030</v>
          </cell>
          <cell r="B216">
            <v>4</v>
          </cell>
          <cell r="C216" t="str">
            <v>GROUP LIFE ASSURANCE</v>
          </cell>
          <cell r="D216">
            <v>151545.03</v>
          </cell>
          <cell r="E216">
            <v>98000</v>
          </cell>
          <cell r="F216">
            <v>168000</v>
          </cell>
          <cell r="G216">
            <v>0.90205374999999977</v>
          </cell>
        </row>
        <row r="217">
          <cell r="A217" t="str">
            <v>105-30-040</v>
          </cell>
          <cell r="B217">
            <v>4</v>
          </cell>
          <cell r="C217" t="str">
            <v>STAFF MEDICAL</v>
          </cell>
          <cell r="D217">
            <v>0</v>
          </cell>
          <cell r="E217">
            <v>0</v>
          </cell>
          <cell r="F217">
            <v>0</v>
          </cell>
          <cell r="G217">
            <v>0</v>
          </cell>
        </row>
        <row r="218">
          <cell r="A218" t="str">
            <v>105-30-050</v>
          </cell>
          <cell r="B218">
            <v>4</v>
          </cell>
          <cell r="C218" t="str">
            <v>CASH IN LIEU OF LEAVE</v>
          </cell>
          <cell r="D218">
            <v>195436.99200000003</v>
          </cell>
          <cell r="E218">
            <v>-48000</v>
          </cell>
          <cell r="F218">
            <v>-82285.71428571429</v>
          </cell>
          <cell r="G218">
            <v>-2.3751023333333334</v>
          </cell>
        </row>
        <row r="219">
          <cell r="A219" t="str">
            <v>105-30-060</v>
          </cell>
          <cell r="B219">
            <v>4</v>
          </cell>
          <cell r="C219" t="str">
            <v>GRATUITY</v>
          </cell>
          <cell r="E219">
            <v>0</v>
          </cell>
          <cell r="F219">
            <v>0</v>
          </cell>
          <cell r="G219">
            <v>0</v>
          </cell>
        </row>
        <row r="220">
          <cell r="A220" t="str">
            <v>105-30-070</v>
          </cell>
          <cell r="B220">
            <v>4</v>
          </cell>
          <cell r="C220" t="str">
            <v>LONG SERVICE AWARDS</v>
          </cell>
          <cell r="D220">
            <v>0</v>
          </cell>
          <cell r="E220">
            <v>0</v>
          </cell>
          <cell r="F220">
            <v>0</v>
          </cell>
          <cell r="G220">
            <v>0</v>
          </cell>
        </row>
        <row r="221">
          <cell r="A221" t="str">
            <v>105-30-080</v>
          </cell>
          <cell r="B221">
            <v>4</v>
          </cell>
          <cell r="C221" t="str">
            <v>STAFF RECRUITMENT &amp; REMOVALS</v>
          </cell>
          <cell r="D221">
            <v>0</v>
          </cell>
          <cell r="E221">
            <v>0</v>
          </cell>
          <cell r="F221">
            <v>0</v>
          </cell>
          <cell r="G221">
            <v>0</v>
          </cell>
        </row>
        <row r="222">
          <cell r="A222" t="str">
            <v>115-10-010</v>
          </cell>
          <cell r="B222">
            <v>4</v>
          </cell>
          <cell r="D222">
            <v>0</v>
          </cell>
          <cell r="E222">
            <v>0</v>
          </cell>
          <cell r="F222">
            <v>0</v>
          </cell>
          <cell r="G222">
            <v>0</v>
          </cell>
        </row>
        <row r="223">
          <cell r="A223" t="str">
            <v>115-10-010</v>
          </cell>
          <cell r="B223">
            <v>4</v>
          </cell>
          <cell r="D223">
            <v>0</v>
          </cell>
          <cell r="F223">
            <v>0</v>
          </cell>
          <cell r="G223">
            <v>0</v>
          </cell>
        </row>
        <row r="224">
          <cell r="A224" t="str">
            <v>115-10-020</v>
          </cell>
          <cell r="B224">
            <v>4</v>
          </cell>
          <cell r="D224">
            <v>0</v>
          </cell>
          <cell r="E224">
            <v>0</v>
          </cell>
          <cell r="F224">
            <v>0</v>
          </cell>
          <cell r="G224">
            <v>0</v>
          </cell>
        </row>
        <row r="225">
          <cell r="A225" t="str">
            <v>115-10-020</v>
          </cell>
          <cell r="B225">
            <v>4</v>
          </cell>
          <cell r="D225">
            <v>0</v>
          </cell>
          <cell r="G225">
            <v>0</v>
          </cell>
        </row>
        <row r="226">
          <cell r="A226" t="str">
            <v>115-10-030</v>
          </cell>
          <cell r="B226">
            <v>4</v>
          </cell>
          <cell r="D226">
            <v>0</v>
          </cell>
          <cell r="E226">
            <v>0</v>
          </cell>
          <cell r="F226">
            <v>0</v>
          </cell>
          <cell r="G226">
            <v>0</v>
          </cell>
        </row>
        <row r="227">
          <cell r="A227" t="str">
            <v>115-10-030</v>
          </cell>
          <cell r="B227">
            <v>4</v>
          </cell>
          <cell r="D227">
            <v>0</v>
          </cell>
          <cell r="F227">
            <v>0</v>
          </cell>
          <cell r="G227">
            <v>0</v>
          </cell>
        </row>
        <row r="228">
          <cell r="A228" t="str">
            <v>115-10-040</v>
          </cell>
          <cell r="B228">
            <v>4</v>
          </cell>
          <cell r="D228">
            <v>0</v>
          </cell>
          <cell r="E228">
            <v>0</v>
          </cell>
          <cell r="F228">
            <v>0</v>
          </cell>
          <cell r="G228">
            <v>0</v>
          </cell>
        </row>
        <row r="229">
          <cell r="A229" t="str">
            <v>115-10-040</v>
          </cell>
          <cell r="B229">
            <v>4</v>
          </cell>
          <cell r="D229">
            <v>0</v>
          </cell>
          <cell r="F229">
            <v>0</v>
          </cell>
          <cell r="G229">
            <v>0</v>
          </cell>
        </row>
        <row r="230">
          <cell r="A230" t="str">
            <v>115-10-050</v>
          </cell>
          <cell r="B230">
            <v>4</v>
          </cell>
          <cell r="C230" t="str">
            <v>OFFICE CATERING &amp; STAFF WELFARE</v>
          </cell>
          <cell r="D230">
            <v>0</v>
          </cell>
          <cell r="E230">
            <v>0</v>
          </cell>
          <cell r="F230">
            <v>0</v>
          </cell>
          <cell r="G230">
            <v>0</v>
          </cell>
        </row>
        <row r="231">
          <cell r="A231" t="str">
            <v>115-10-051</v>
          </cell>
          <cell r="B231">
            <v>4</v>
          </cell>
          <cell r="C231" t="str">
            <v>OFFICE CLEANING</v>
          </cell>
          <cell r="D231">
            <v>0</v>
          </cell>
          <cell r="E231">
            <v>0</v>
          </cell>
          <cell r="F231">
            <v>0</v>
          </cell>
          <cell r="G231">
            <v>0</v>
          </cell>
        </row>
        <row r="232">
          <cell r="A232" t="str">
            <v>115-10-060</v>
          </cell>
          <cell r="B232">
            <v>4</v>
          </cell>
          <cell r="C232" t="str">
            <v>OFFICE WATER</v>
          </cell>
          <cell r="D232">
            <v>0</v>
          </cell>
          <cell r="E232">
            <v>0</v>
          </cell>
          <cell r="F232">
            <v>0</v>
          </cell>
          <cell r="G232">
            <v>0</v>
          </cell>
        </row>
        <row r="233">
          <cell r="A233" t="str">
            <v>115-10-070</v>
          </cell>
          <cell r="B233">
            <v>4</v>
          </cell>
          <cell r="C233" t="str">
            <v>OFFICE ELECTRICITY</v>
          </cell>
          <cell r="D233">
            <v>0</v>
          </cell>
          <cell r="E233">
            <v>0</v>
          </cell>
          <cell r="F233">
            <v>0</v>
          </cell>
          <cell r="G233">
            <v>0</v>
          </cell>
        </row>
        <row r="234">
          <cell r="A234" t="str">
            <v>115-10-080</v>
          </cell>
          <cell r="B234">
            <v>4</v>
          </cell>
          <cell r="C234" t="str">
            <v>OFFICE SECURITY</v>
          </cell>
          <cell r="D234">
            <v>0</v>
          </cell>
          <cell r="E234">
            <v>0</v>
          </cell>
          <cell r="F234">
            <v>0</v>
          </cell>
          <cell r="G234">
            <v>0</v>
          </cell>
        </row>
        <row r="235">
          <cell r="A235" t="str">
            <v>125-10-010</v>
          </cell>
          <cell r="B235">
            <v>4</v>
          </cell>
          <cell r="C235" t="str">
            <v>BANK CHARGES</v>
          </cell>
          <cell r="D235">
            <v>0</v>
          </cell>
          <cell r="E235">
            <v>0</v>
          </cell>
          <cell r="F235">
            <v>0</v>
          </cell>
          <cell r="G235">
            <v>0</v>
          </cell>
        </row>
        <row r="236">
          <cell r="A236" t="str">
            <v>125-10-020</v>
          </cell>
          <cell r="B236">
            <v>4</v>
          </cell>
          <cell r="C236" t="str">
            <v>BANK OVERDRART CHARGES</v>
          </cell>
          <cell r="E236">
            <v>0</v>
          </cell>
          <cell r="F236">
            <v>0</v>
          </cell>
          <cell r="G236">
            <v>0</v>
          </cell>
        </row>
        <row r="237">
          <cell r="A237" t="str">
            <v>145-10-010</v>
          </cell>
          <cell r="B237">
            <v>4</v>
          </cell>
          <cell r="C237" t="str">
            <v>ALA Group charges- Individual life</v>
          </cell>
          <cell r="D237">
            <v>0</v>
          </cell>
          <cell r="E237">
            <v>0</v>
          </cell>
          <cell r="F237">
            <v>0</v>
          </cell>
          <cell r="G237">
            <v>0</v>
          </cell>
        </row>
        <row r="238">
          <cell r="A238" t="str">
            <v>145-10-020</v>
          </cell>
          <cell r="B238">
            <v>4</v>
          </cell>
          <cell r="C238" t="str">
            <v>Actuarial fees- Individual life</v>
          </cell>
          <cell r="D238">
            <v>0</v>
          </cell>
          <cell r="E238">
            <v>0</v>
          </cell>
          <cell r="F238">
            <v>0</v>
          </cell>
          <cell r="G238">
            <v>0</v>
          </cell>
        </row>
        <row r="239">
          <cell r="A239" t="str">
            <v>145-10-030</v>
          </cell>
          <cell r="B239">
            <v>4</v>
          </cell>
          <cell r="C239" t="str">
            <v>Audit fee -individual life</v>
          </cell>
          <cell r="D239">
            <v>0</v>
          </cell>
          <cell r="E239">
            <v>0</v>
          </cell>
          <cell r="F239">
            <v>0</v>
          </cell>
          <cell r="G239">
            <v>0</v>
          </cell>
        </row>
        <row r="240">
          <cell r="A240" t="str">
            <v>145-10-031</v>
          </cell>
          <cell r="B240">
            <v>4</v>
          </cell>
          <cell r="C240" t="str">
            <v>Tax filing returns</v>
          </cell>
          <cell r="D240">
            <v>0</v>
          </cell>
          <cell r="E240">
            <v>0</v>
          </cell>
          <cell r="F240">
            <v>0</v>
          </cell>
          <cell r="G240">
            <v>0</v>
          </cell>
        </row>
        <row r="241">
          <cell r="A241" t="str">
            <v>145-10-040</v>
          </cell>
          <cell r="B241">
            <v>4</v>
          </cell>
          <cell r="C241" t="str">
            <v>Legal fees</v>
          </cell>
          <cell r="D241">
            <v>0</v>
          </cell>
          <cell r="E241">
            <v>0</v>
          </cell>
          <cell r="F241">
            <v>0</v>
          </cell>
          <cell r="G241">
            <v>0</v>
          </cell>
        </row>
        <row r="242">
          <cell r="A242" t="str">
            <v>145-10-060</v>
          </cell>
          <cell r="B242">
            <v>4</v>
          </cell>
          <cell r="C242" t="str">
            <v>Intra company charges- individual life</v>
          </cell>
          <cell r="G242">
            <v>0</v>
          </cell>
        </row>
        <row r="243">
          <cell r="A243" t="str">
            <v>145-10-060</v>
          </cell>
          <cell r="B243">
            <v>4</v>
          </cell>
          <cell r="E243">
            <v>0</v>
          </cell>
          <cell r="G243">
            <v>0</v>
          </cell>
        </row>
        <row r="244">
          <cell r="A244" t="str">
            <v>145-10-080</v>
          </cell>
          <cell r="B244">
            <v>4</v>
          </cell>
          <cell r="C244" t="str">
            <v>40% Excutive recharge</v>
          </cell>
          <cell r="F244">
            <v>0</v>
          </cell>
          <cell r="G244">
            <v>0</v>
          </cell>
        </row>
        <row r="245">
          <cell r="A245" t="str">
            <v>145-10-080</v>
          </cell>
          <cell r="B245">
            <v>4</v>
          </cell>
          <cell r="C245" t="str">
            <v xml:space="preserve">Recharges: 10% recharge to Corporate </v>
          </cell>
          <cell r="E245">
            <v>0</v>
          </cell>
          <cell r="G245">
            <v>0</v>
          </cell>
        </row>
        <row r="246">
          <cell r="A246" t="str">
            <v>145-10-100</v>
          </cell>
          <cell r="B246">
            <v>4</v>
          </cell>
          <cell r="E246">
            <v>0</v>
          </cell>
          <cell r="G246">
            <v>0</v>
          </cell>
        </row>
        <row r="247">
          <cell r="A247" t="str">
            <v>155-10-007</v>
          </cell>
          <cell r="B247">
            <v>4</v>
          </cell>
          <cell r="C247" t="str">
            <v>NEWSPAPERS &amp; JOURNALS</v>
          </cell>
          <cell r="D247">
            <v>19200</v>
          </cell>
          <cell r="E247">
            <v>12000</v>
          </cell>
          <cell r="F247">
            <v>20571.428571428572</v>
          </cell>
          <cell r="G247">
            <v>0.93333333333333324</v>
          </cell>
        </row>
        <row r="248">
          <cell r="A248" t="str">
            <v>155-10-008</v>
          </cell>
          <cell r="B248">
            <v>4</v>
          </cell>
          <cell r="C248" t="str">
            <v>ENTERTAINMENT &amp; DONATIONS</v>
          </cell>
          <cell r="D248">
            <v>8000</v>
          </cell>
          <cell r="E248">
            <v>4000</v>
          </cell>
          <cell r="F248">
            <v>6857.1428571428569</v>
          </cell>
          <cell r="G248">
            <v>1.1666666666666667</v>
          </cell>
          <cell r="H248" t="str">
            <v>LUNCHES FOR RELATIONSHIP BUILDING WITH PAYPOINTS</v>
          </cell>
        </row>
        <row r="249">
          <cell r="A249" t="str">
            <v>155-10-009</v>
          </cell>
          <cell r="B249">
            <v>4</v>
          </cell>
          <cell r="C249" t="str">
            <v>COURIER &amp; FREIGHT CHARGES</v>
          </cell>
          <cell r="D249">
            <v>0</v>
          </cell>
          <cell r="E249">
            <v>0</v>
          </cell>
          <cell r="F249">
            <v>0</v>
          </cell>
          <cell r="G249">
            <v>0</v>
          </cell>
        </row>
        <row r="250">
          <cell r="A250" t="str">
            <v>155-10-010</v>
          </cell>
          <cell r="B250">
            <v>4</v>
          </cell>
          <cell r="C250" t="str">
            <v>ADVERTISING &amp; PUBLICITY</v>
          </cell>
          <cell r="D250">
            <v>0</v>
          </cell>
          <cell r="E250">
            <v>8750</v>
          </cell>
          <cell r="F250">
            <v>15000</v>
          </cell>
          <cell r="G250">
            <v>0</v>
          </cell>
        </row>
        <row r="251">
          <cell r="A251" t="str">
            <v>155-10-012</v>
          </cell>
          <cell r="B251">
            <v>4</v>
          </cell>
          <cell r="C251" t="str">
            <v>TRADE LICENCES</v>
          </cell>
          <cell r="D251">
            <v>0</v>
          </cell>
          <cell r="E251">
            <v>0</v>
          </cell>
          <cell r="F251">
            <v>0</v>
          </cell>
          <cell r="G251">
            <v>0</v>
          </cell>
        </row>
        <row r="252">
          <cell r="A252" t="str">
            <v>155-10-013</v>
          </cell>
          <cell r="B252">
            <v>4</v>
          </cell>
          <cell r="C252" t="str">
            <v>INSURANCES</v>
          </cell>
          <cell r="D252">
            <v>0</v>
          </cell>
          <cell r="E252">
            <v>0</v>
          </cell>
          <cell r="F252">
            <v>0</v>
          </cell>
          <cell r="G252">
            <v>0</v>
          </cell>
        </row>
        <row r="253">
          <cell r="A253" t="str">
            <v>155-10-014</v>
          </cell>
          <cell r="B253">
            <v>4</v>
          </cell>
          <cell r="C253" t="str">
            <v>PHOTOCOPY</v>
          </cell>
          <cell r="D253">
            <v>0</v>
          </cell>
          <cell r="E253">
            <v>0</v>
          </cell>
          <cell r="F253">
            <v>0</v>
          </cell>
          <cell r="G253">
            <v>0</v>
          </cell>
        </row>
        <row r="254">
          <cell r="A254" t="str">
            <v>155-10-015</v>
          </cell>
          <cell r="B254">
            <v>4</v>
          </cell>
          <cell r="C254" t="str">
            <v>COMPUTER MAINTAINANCE</v>
          </cell>
          <cell r="D254">
            <v>0</v>
          </cell>
          <cell r="E254">
            <v>0</v>
          </cell>
          <cell r="F254">
            <v>0</v>
          </cell>
          <cell r="G254">
            <v>0</v>
          </cell>
        </row>
        <row r="255">
          <cell r="A255" t="str">
            <v>155-10-016</v>
          </cell>
          <cell r="B255">
            <v>4</v>
          </cell>
          <cell r="C255" t="str">
            <v>EQUIPMENT&amp; FURNITURE REPAIRS &amp; MAINTENANCE</v>
          </cell>
          <cell r="D255">
            <v>0</v>
          </cell>
          <cell r="E255">
            <v>8000</v>
          </cell>
          <cell r="F255">
            <v>13714.285714285714</v>
          </cell>
          <cell r="G255">
            <v>0</v>
          </cell>
          <cell r="H255" t="str">
            <v>SERVICE CONTRACT AND MAINTENANCE OF AIR CONDITIONER AT FRONT OFFICE</v>
          </cell>
        </row>
        <row r="256">
          <cell r="A256" t="str">
            <v>155-10-017</v>
          </cell>
          <cell r="B256">
            <v>4</v>
          </cell>
          <cell r="C256" t="str">
            <v>SEMINARS &amp; SHORT TERM COURSES</v>
          </cell>
          <cell r="D256">
            <v>0</v>
          </cell>
          <cell r="E256">
            <v>10000</v>
          </cell>
          <cell r="F256">
            <v>17142.857142857145</v>
          </cell>
          <cell r="G256">
            <v>0</v>
          </cell>
          <cell r="H256" t="str">
            <v>SUPERVISORY SKILLS TRAINING FOR UNIT LEADERS AND TEAM LEADERS</v>
          </cell>
        </row>
        <row r="257">
          <cell r="A257" t="str">
            <v>155-10-022</v>
          </cell>
          <cell r="B257">
            <v>4</v>
          </cell>
          <cell r="C257" t="str">
            <v>PRINTING &amp; STATIONERY</v>
          </cell>
          <cell r="D257">
            <v>953513.5</v>
          </cell>
          <cell r="E257">
            <v>769000</v>
          </cell>
          <cell r="F257">
            <v>1318285.7142857143</v>
          </cell>
          <cell r="G257">
            <v>0.72329806025140875</v>
          </cell>
        </row>
        <row r="258">
          <cell r="A258" t="str">
            <v>155-10-025</v>
          </cell>
          <cell r="B258">
            <v>4</v>
          </cell>
          <cell r="C258" t="str">
            <v>STRATEGIC PLANNING</v>
          </cell>
          <cell r="D258">
            <v>0</v>
          </cell>
          <cell r="E258">
            <v>0</v>
          </cell>
          <cell r="F258">
            <v>0</v>
          </cell>
          <cell r="G258">
            <v>0</v>
          </cell>
        </row>
        <row r="259">
          <cell r="A259" t="str">
            <v>155-10-027</v>
          </cell>
          <cell r="B259">
            <v>4</v>
          </cell>
          <cell r="C259" t="str">
            <v>PROFESSIONAL SUBSCRIPTIONS</v>
          </cell>
          <cell r="D259">
            <v>17500</v>
          </cell>
          <cell r="E259">
            <v>14000</v>
          </cell>
          <cell r="F259">
            <v>24000</v>
          </cell>
          <cell r="G259">
            <v>0.72916666666666663</v>
          </cell>
        </row>
        <row r="260">
          <cell r="A260" t="str">
            <v>155-10-028</v>
          </cell>
          <cell r="B260">
            <v>4</v>
          </cell>
          <cell r="C260" t="str">
            <v xml:space="preserve"> SUBSCRIPTIONS -COMPANY MEMBERSHIP</v>
          </cell>
          <cell r="D260">
            <v>0</v>
          </cell>
          <cell r="E260">
            <v>0</v>
          </cell>
          <cell r="F260">
            <v>0</v>
          </cell>
          <cell r="G260">
            <v>0</v>
          </cell>
        </row>
        <row r="261">
          <cell r="A261" t="str">
            <v>155-10-030</v>
          </cell>
          <cell r="B261">
            <v>4</v>
          </cell>
          <cell r="C261" t="str">
            <v>TRAVELLING &amp; ACCOMMODATION</v>
          </cell>
          <cell r="D261">
            <v>53710</v>
          </cell>
          <cell r="E261">
            <v>0</v>
          </cell>
          <cell r="F261">
            <v>0</v>
          </cell>
          <cell r="G261">
            <v>0</v>
          </cell>
        </row>
        <row r="262">
          <cell r="A262" t="str">
            <v>155-10-032</v>
          </cell>
          <cell r="B262">
            <v>4</v>
          </cell>
          <cell r="C262" t="str">
            <v xml:space="preserve">MOTOR CAR EXPENSES </v>
          </cell>
          <cell r="D262">
            <v>0</v>
          </cell>
          <cell r="E262">
            <v>0</v>
          </cell>
          <cell r="F262">
            <v>0</v>
          </cell>
          <cell r="G262">
            <v>0</v>
          </cell>
        </row>
        <row r="263">
          <cell r="A263" t="str">
            <v>155-10-040</v>
          </cell>
          <cell r="B263">
            <v>4</v>
          </cell>
          <cell r="C263" t="str">
            <v>POSTAGE</v>
          </cell>
          <cell r="D263">
            <v>2502000</v>
          </cell>
          <cell r="E263">
            <v>1329000</v>
          </cell>
          <cell r="F263">
            <v>2278285.7142857146</v>
          </cell>
          <cell r="G263">
            <v>1.0981941309255079</v>
          </cell>
        </row>
        <row r="264">
          <cell r="A264" t="str">
            <v>155-10-041</v>
          </cell>
          <cell r="B264">
            <v>4</v>
          </cell>
          <cell r="C264" t="str">
            <v>TELEPHONE &amp; FAX</v>
          </cell>
          <cell r="D264">
            <v>111000</v>
          </cell>
          <cell r="E264">
            <v>85000</v>
          </cell>
          <cell r="F264">
            <v>140000</v>
          </cell>
          <cell r="G264">
            <v>0.79285714285714282</v>
          </cell>
          <cell r="H264" t="str">
            <v xml:space="preserve">FIVE DEDICATED LINES FOR CUSTOMER SERVICES, IMPROVING CUSTOMER SERVICE </v>
          </cell>
        </row>
        <row r="265">
          <cell r="A265" t="str">
            <v>155-10-044</v>
          </cell>
          <cell r="B265">
            <v>4</v>
          </cell>
          <cell r="C265" t="str">
            <v>PROFFESSIONAL TRAINING</v>
          </cell>
          <cell r="D265">
            <v>298875</v>
          </cell>
          <cell r="E265">
            <v>94000</v>
          </cell>
          <cell r="F265">
            <v>161142.85714285716</v>
          </cell>
          <cell r="G265">
            <v>1.8547207446808509</v>
          </cell>
          <cell r="H265" t="str">
            <v>EXTRA FIVE STAFF WHO WANT TO SIT FOR CII EXAMS</v>
          </cell>
        </row>
        <row r="266">
          <cell r="A266" t="str">
            <v>155-10-046</v>
          </cell>
          <cell r="B266">
            <v>4</v>
          </cell>
          <cell r="C266" t="str">
            <v xml:space="preserve">SUBSCRIPTION- STAFF CLUB MEMBERSHIP </v>
          </cell>
          <cell r="D266">
            <v>12000</v>
          </cell>
          <cell r="E266">
            <v>94791.666666666657</v>
          </cell>
          <cell r="F266">
            <v>162500</v>
          </cell>
          <cell r="G266">
            <v>7.3846153846153853E-2</v>
          </cell>
        </row>
        <row r="267">
          <cell r="A267" t="str">
            <v>155-10-054</v>
          </cell>
          <cell r="B267">
            <v>4</v>
          </cell>
          <cell r="C267" t="str">
            <v>LEASED LINES-INTERNET SERVICES</v>
          </cell>
          <cell r="D267">
            <v>0</v>
          </cell>
          <cell r="E267">
            <v>0</v>
          </cell>
          <cell r="F267">
            <v>0</v>
          </cell>
          <cell r="G267">
            <v>0</v>
          </cell>
        </row>
        <row r="268">
          <cell r="A268" t="str">
            <v>155-10-057</v>
          </cell>
          <cell r="B268">
            <v>4</v>
          </cell>
          <cell r="C268" t="str">
            <v>SOFTWARE LICENCES</v>
          </cell>
          <cell r="D268">
            <v>0</v>
          </cell>
          <cell r="E268">
            <v>0</v>
          </cell>
          <cell r="F268">
            <v>0</v>
          </cell>
          <cell r="G268">
            <v>0</v>
          </cell>
        </row>
        <row r="269">
          <cell r="A269" t="str">
            <v>155-10-059</v>
          </cell>
          <cell r="B269">
            <v>4</v>
          </cell>
          <cell r="E269">
            <v>0</v>
          </cell>
          <cell r="G269">
            <v>0</v>
          </cell>
        </row>
        <row r="270">
          <cell r="A270" t="str">
            <v>155-10-060</v>
          </cell>
          <cell r="B270">
            <v>4</v>
          </cell>
          <cell r="E270">
            <v>0</v>
          </cell>
          <cell r="G270">
            <v>0</v>
          </cell>
        </row>
        <row r="271">
          <cell r="A271" t="str">
            <v>155-10-062</v>
          </cell>
          <cell r="B271">
            <v>4</v>
          </cell>
          <cell r="C271" t="str">
            <v>EDUCATION EXPENSES</v>
          </cell>
          <cell r="D271">
            <v>0</v>
          </cell>
          <cell r="E271">
            <v>0</v>
          </cell>
          <cell r="F271">
            <v>0</v>
          </cell>
          <cell r="G271">
            <v>0</v>
          </cell>
        </row>
        <row r="272">
          <cell r="A272" t="str">
            <v>105-10-010</v>
          </cell>
          <cell r="B272">
            <v>5</v>
          </cell>
          <cell r="C272" t="str">
            <v>BASIC SALARY</v>
          </cell>
          <cell r="D272">
            <v>4299456</v>
          </cell>
          <cell r="E272">
            <v>2071000</v>
          </cell>
          <cell r="F272">
            <v>3670500</v>
          </cell>
          <cell r="G272">
            <v>1.1713543114017164</v>
          </cell>
        </row>
        <row r="273">
          <cell r="A273" t="str">
            <v>105-10-012</v>
          </cell>
          <cell r="B273">
            <v>5</v>
          </cell>
          <cell r="C273" t="str">
            <v>PROVISION FOR MORT. RATE ADJUSTMENTS</v>
          </cell>
          <cell r="D273">
            <v>0</v>
          </cell>
          <cell r="E273">
            <v>0</v>
          </cell>
          <cell r="F273">
            <v>0</v>
          </cell>
          <cell r="G273">
            <v>0</v>
          </cell>
        </row>
        <row r="274">
          <cell r="A274" t="str">
            <v>105-10-020</v>
          </cell>
          <cell r="B274">
            <v>5</v>
          </cell>
          <cell r="C274" t="str">
            <v>HOUSE ALLOWANCE</v>
          </cell>
          <cell r="D274">
            <v>546000</v>
          </cell>
          <cell r="E274">
            <v>319000</v>
          </cell>
          <cell r="F274">
            <v>546500</v>
          </cell>
          <cell r="G274">
            <v>0.99908508691674291</v>
          </cell>
        </row>
        <row r="275">
          <cell r="A275" t="str">
            <v>105-10-030</v>
          </cell>
          <cell r="B275">
            <v>5</v>
          </cell>
          <cell r="C275" t="str">
            <v>TELEPHONE ALLOWANCE</v>
          </cell>
          <cell r="D275">
            <v>0</v>
          </cell>
          <cell r="E275">
            <v>0</v>
          </cell>
          <cell r="F275">
            <v>0</v>
          </cell>
          <cell r="G275">
            <v>0</v>
          </cell>
        </row>
        <row r="276">
          <cell r="A276" t="str">
            <v>105-10-040</v>
          </cell>
          <cell r="B276">
            <v>5</v>
          </cell>
          <cell r="C276" t="str">
            <v>SECURITY ALLOWANCE</v>
          </cell>
          <cell r="D276">
            <v>0</v>
          </cell>
          <cell r="E276">
            <v>0</v>
          </cell>
          <cell r="F276">
            <v>0</v>
          </cell>
          <cell r="G276">
            <v>0</v>
          </cell>
        </row>
        <row r="277">
          <cell r="A277" t="str">
            <v>105-10-050</v>
          </cell>
          <cell r="B277">
            <v>5</v>
          </cell>
          <cell r="C277" t="str">
            <v>EDUCATION ALLOWANCE</v>
          </cell>
          <cell r="D277">
            <v>0</v>
          </cell>
          <cell r="E277">
            <v>0</v>
          </cell>
          <cell r="F277">
            <v>0</v>
          </cell>
          <cell r="G277">
            <v>0</v>
          </cell>
        </row>
        <row r="278">
          <cell r="A278" t="str">
            <v>105-10-060</v>
          </cell>
          <cell r="B278">
            <v>5</v>
          </cell>
          <cell r="C278" t="str">
            <v>TRAVEL ALLOWANCE</v>
          </cell>
          <cell r="D278">
            <v>0</v>
          </cell>
          <cell r="E278">
            <v>0</v>
          </cell>
          <cell r="F278">
            <v>0</v>
          </cell>
          <cell r="G278">
            <v>0</v>
          </cell>
        </row>
        <row r="279">
          <cell r="A279" t="str">
            <v>105-20-010</v>
          </cell>
          <cell r="B279">
            <v>5</v>
          </cell>
          <cell r="C279" t="str">
            <v>NSSF</v>
          </cell>
          <cell r="D279">
            <v>19200</v>
          </cell>
          <cell r="E279">
            <v>11000</v>
          </cell>
          <cell r="F279">
            <v>19000</v>
          </cell>
          <cell r="G279">
            <v>1.0105263157894737</v>
          </cell>
        </row>
        <row r="280">
          <cell r="A280" t="str">
            <v>105-20-020</v>
          </cell>
          <cell r="B280">
            <v>5</v>
          </cell>
          <cell r="C280" t="str">
            <v>NHIF</v>
          </cell>
          <cell r="D280">
            <v>23040</v>
          </cell>
          <cell r="E280">
            <v>8000</v>
          </cell>
          <cell r="F280">
            <v>17600</v>
          </cell>
          <cell r="G280">
            <v>1.3090909090909091</v>
          </cell>
        </row>
        <row r="281">
          <cell r="A281" t="str">
            <v>105-30-010</v>
          </cell>
          <cell r="B281">
            <v>5</v>
          </cell>
          <cell r="C281" t="str">
            <v xml:space="preserve">PENSION </v>
          </cell>
          <cell r="D281">
            <v>537432</v>
          </cell>
          <cell r="E281">
            <v>259000</v>
          </cell>
          <cell r="F281">
            <v>482930</v>
          </cell>
          <cell r="G281">
            <v>1.1128569357877953</v>
          </cell>
        </row>
        <row r="282">
          <cell r="A282" t="str">
            <v>105-30-020</v>
          </cell>
          <cell r="B282">
            <v>5</v>
          </cell>
          <cell r="C282" t="str">
            <v>LAST EXPENSE</v>
          </cell>
          <cell r="D282">
            <v>0</v>
          </cell>
          <cell r="E282">
            <v>5000</v>
          </cell>
          <cell r="F282">
            <v>8571.4285714285725</v>
          </cell>
          <cell r="G282">
            <v>0</v>
          </cell>
        </row>
        <row r="283">
          <cell r="A283" t="str">
            <v>105-30-030</v>
          </cell>
          <cell r="B283">
            <v>5</v>
          </cell>
          <cell r="C283" t="str">
            <v>GROUP LIFE ASSURANCE</v>
          </cell>
          <cell r="D283">
            <v>0</v>
          </cell>
          <cell r="E283">
            <v>52000</v>
          </cell>
          <cell r="F283">
            <v>89142.857142857145</v>
          </cell>
          <cell r="G283">
            <v>0</v>
          </cell>
        </row>
        <row r="284">
          <cell r="A284" t="str">
            <v>105-30-040</v>
          </cell>
          <cell r="B284">
            <v>5</v>
          </cell>
          <cell r="C284" t="str">
            <v>STAFF MEDICAL</v>
          </cell>
          <cell r="D284">
            <v>0</v>
          </cell>
          <cell r="E284">
            <v>0</v>
          </cell>
          <cell r="F284">
            <v>0</v>
          </cell>
          <cell r="G284">
            <v>0</v>
          </cell>
        </row>
        <row r="285">
          <cell r="A285" t="str">
            <v>105-30-050</v>
          </cell>
          <cell r="B285">
            <v>5</v>
          </cell>
          <cell r="C285" t="str">
            <v>CASH IN LIEU OF LEAVE</v>
          </cell>
          <cell r="D285">
            <v>107486.39999999999</v>
          </cell>
          <cell r="E285">
            <v>-25000</v>
          </cell>
          <cell r="F285">
            <v>-42857.142857142855</v>
          </cell>
          <cell r="G285">
            <v>-2.5080160000000005</v>
          </cell>
        </row>
        <row r="286">
          <cell r="A286" t="str">
            <v>105-30-060</v>
          </cell>
          <cell r="B286">
            <v>5</v>
          </cell>
          <cell r="C286" t="str">
            <v>GRATUITY</v>
          </cell>
          <cell r="E286">
            <v>0</v>
          </cell>
          <cell r="F286">
            <v>0</v>
          </cell>
          <cell r="G286">
            <v>0</v>
          </cell>
        </row>
        <row r="287">
          <cell r="A287" t="str">
            <v>105-30-070</v>
          </cell>
          <cell r="B287">
            <v>5</v>
          </cell>
          <cell r="C287" t="str">
            <v>LONG SERVICE AWARDS</v>
          </cell>
          <cell r="D287">
            <v>0</v>
          </cell>
          <cell r="E287">
            <v>0</v>
          </cell>
          <cell r="F287">
            <v>0</v>
          </cell>
          <cell r="G287">
            <v>0</v>
          </cell>
        </row>
        <row r="288">
          <cell r="A288" t="str">
            <v>105-30-080</v>
          </cell>
          <cell r="B288">
            <v>5</v>
          </cell>
          <cell r="C288" t="str">
            <v>STAFF RECRUITMENT &amp; REMOVALS</v>
          </cell>
          <cell r="D288">
            <v>0</v>
          </cell>
          <cell r="E288">
            <v>0</v>
          </cell>
          <cell r="F288">
            <v>0</v>
          </cell>
          <cell r="G288">
            <v>0</v>
          </cell>
        </row>
        <row r="289">
          <cell r="A289" t="str">
            <v>115-10-010</v>
          </cell>
          <cell r="B289">
            <v>5</v>
          </cell>
          <cell r="D289">
            <v>0</v>
          </cell>
          <cell r="E289">
            <v>0</v>
          </cell>
          <cell r="F289">
            <v>0</v>
          </cell>
          <cell r="G289">
            <v>0</v>
          </cell>
        </row>
        <row r="290">
          <cell r="A290" t="str">
            <v>115-10-010</v>
          </cell>
          <cell r="B290">
            <v>5</v>
          </cell>
          <cell r="D290">
            <v>0</v>
          </cell>
          <cell r="F290">
            <v>0</v>
          </cell>
          <cell r="G290">
            <v>0</v>
          </cell>
        </row>
        <row r="291">
          <cell r="A291" t="str">
            <v>115-10-020</v>
          </cell>
          <cell r="B291">
            <v>5</v>
          </cell>
          <cell r="D291">
            <v>0</v>
          </cell>
          <cell r="E291">
            <v>0</v>
          </cell>
          <cell r="F291">
            <v>0</v>
          </cell>
          <cell r="G291">
            <v>0</v>
          </cell>
        </row>
        <row r="292">
          <cell r="A292" t="str">
            <v>115-10-020</v>
          </cell>
          <cell r="B292">
            <v>5</v>
          </cell>
          <cell r="D292">
            <v>0</v>
          </cell>
          <cell r="G292">
            <v>0</v>
          </cell>
        </row>
        <row r="293">
          <cell r="A293" t="str">
            <v>115-10-030</v>
          </cell>
          <cell r="B293">
            <v>5</v>
          </cell>
          <cell r="D293">
            <v>0</v>
          </cell>
          <cell r="E293">
            <v>0</v>
          </cell>
          <cell r="F293">
            <v>0</v>
          </cell>
          <cell r="G293">
            <v>0</v>
          </cell>
        </row>
        <row r="294">
          <cell r="A294" t="str">
            <v>115-10-030</v>
          </cell>
          <cell r="B294">
            <v>5</v>
          </cell>
          <cell r="D294">
            <v>0</v>
          </cell>
          <cell r="F294">
            <v>0</v>
          </cell>
          <cell r="G294">
            <v>0</v>
          </cell>
        </row>
        <row r="295">
          <cell r="A295" t="str">
            <v>115-10-040</v>
          </cell>
          <cell r="B295">
            <v>5</v>
          </cell>
          <cell r="D295">
            <v>0</v>
          </cell>
          <cell r="E295">
            <v>0</v>
          </cell>
          <cell r="F295">
            <v>0</v>
          </cell>
          <cell r="G295">
            <v>0</v>
          </cell>
        </row>
        <row r="296">
          <cell r="A296" t="str">
            <v>115-10-040</v>
          </cell>
          <cell r="B296">
            <v>5</v>
          </cell>
          <cell r="D296">
            <v>0</v>
          </cell>
          <cell r="F296">
            <v>0</v>
          </cell>
          <cell r="G296">
            <v>0</v>
          </cell>
        </row>
        <row r="297">
          <cell r="A297" t="str">
            <v>115-10-050</v>
          </cell>
          <cell r="B297">
            <v>5</v>
          </cell>
          <cell r="C297" t="str">
            <v>OFFICE CATERING &amp; STAFF WELFARE</v>
          </cell>
          <cell r="D297">
            <v>0</v>
          </cell>
          <cell r="E297">
            <v>0</v>
          </cell>
          <cell r="F297">
            <v>0</v>
          </cell>
          <cell r="G297">
            <v>0</v>
          </cell>
        </row>
        <row r="298">
          <cell r="A298" t="str">
            <v>115-10-051</v>
          </cell>
          <cell r="B298">
            <v>5</v>
          </cell>
          <cell r="C298" t="str">
            <v>OFFICE CLEANING</v>
          </cell>
          <cell r="D298">
            <v>0</v>
          </cell>
          <cell r="E298">
            <v>0</v>
          </cell>
          <cell r="F298">
            <v>0</v>
          </cell>
          <cell r="G298">
            <v>0</v>
          </cell>
        </row>
        <row r="299">
          <cell r="A299" t="str">
            <v>115-10-060</v>
          </cell>
          <cell r="B299">
            <v>5</v>
          </cell>
          <cell r="C299" t="str">
            <v>OFFICE WATER</v>
          </cell>
          <cell r="D299">
            <v>0</v>
          </cell>
          <cell r="E299">
            <v>0</v>
          </cell>
          <cell r="F299">
            <v>0</v>
          </cell>
          <cell r="G299">
            <v>0</v>
          </cell>
        </row>
        <row r="300">
          <cell r="A300" t="str">
            <v>115-10-070</v>
          </cell>
          <cell r="B300">
            <v>5</v>
          </cell>
          <cell r="C300" t="str">
            <v>OFFICE ELECTRICITY</v>
          </cell>
          <cell r="D300">
            <v>0</v>
          </cell>
          <cell r="E300">
            <v>0</v>
          </cell>
          <cell r="F300">
            <v>0</v>
          </cell>
          <cell r="G300">
            <v>0</v>
          </cell>
        </row>
        <row r="301">
          <cell r="A301" t="str">
            <v>115-10-080</v>
          </cell>
          <cell r="B301">
            <v>5</v>
          </cell>
          <cell r="C301" t="str">
            <v>OFFICE SECURITY</v>
          </cell>
          <cell r="D301">
            <v>0</v>
          </cell>
          <cell r="E301">
            <v>0</v>
          </cell>
          <cell r="F301">
            <v>0</v>
          </cell>
          <cell r="G301">
            <v>0</v>
          </cell>
        </row>
        <row r="302">
          <cell r="A302" t="str">
            <v>125-10-010</v>
          </cell>
          <cell r="B302">
            <v>5</v>
          </cell>
          <cell r="C302" t="str">
            <v>BANK CHARGES</v>
          </cell>
          <cell r="D302">
            <v>0</v>
          </cell>
          <cell r="E302">
            <v>0</v>
          </cell>
          <cell r="F302">
            <v>0</v>
          </cell>
          <cell r="G302">
            <v>0</v>
          </cell>
        </row>
        <row r="303">
          <cell r="A303" t="str">
            <v>125-10-020</v>
          </cell>
          <cell r="B303">
            <v>5</v>
          </cell>
          <cell r="C303" t="str">
            <v>BANK OVERDRART CHARGES</v>
          </cell>
          <cell r="E303">
            <v>0</v>
          </cell>
          <cell r="F303">
            <v>0</v>
          </cell>
          <cell r="G303">
            <v>0</v>
          </cell>
        </row>
        <row r="304">
          <cell r="A304" t="str">
            <v>145-10-010</v>
          </cell>
          <cell r="B304">
            <v>5</v>
          </cell>
          <cell r="C304" t="str">
            <v>ALA Group charges- Individual life</v>
          </cell>
          <cell r="D304">
            <v>0</v>
          </cell>
          <cell r="E304">
            <v>0</v>
          </cell>
          <cell r="F304">
            <v>0</v>
          </cell>
          <cell r="G304">
            <v>0</v>
          </cell>
        </row>
        <row r="305">
          <cell r="A305" t="str">
            <v>145-10-020</v>
          </cell>
          <cell r="B305">
            <v>5</v>
          </cell>
          <cell r="C305" t="str">
            <v>Actuarial fees- Individual life</v>
          </cell>
          <cell r="D305">
            <v>0</v>
          </cell>
          <cell r="E305">
            <v>0</v>
          </cell>
          <cell r="F305">
            <v>0</v>
          </cell>
          <cell r="G305">
            <v>0</v>
          </cell>
        </row>
        <row r="306">
          <cell r="A306" t="str">
            <v>145-10-030</v>
          </cell>
          <cell r="B306">
            <v>5</v>
          </cell>
          <cell r="C306" t="str">
            <v>Audit fee -individual life</v>
          </cell>
          <cell r="D306">
            <v>0</v>
          </cell>
          <cell r="E306">
            <v>0</v>
          </cell>
          <cell r="F306">
            <v>0</v>
          </cell>
          <cell r="G306">
            <v>0</v>
          </cell>
        </row>
        <row r="307">
          <cell r="A307" t="str">
            <v>145-10-031</v>
          </cell>
          <cell r="B307">
            <v>5</v>
          </cell>
          <cell r="C307" t="str">
            <v>Tax filing returns</v>
          </cell>
          <cell r="D307">
            <v>0</v>
          </cell>
          <cell r="E307">
            <v>0</v>
          </cell>
          <cell r="F307">
            <v>0</v>
          </cell>
          <cell r="G307">
            <v>0</v>
          </cell>
        </row>
        <row r="308">
          <cell r="A308" t="str">
            <v>145-10-040</v>
          </cell>
          <cell r="B308">
            <v>5</v>
          </cell>
          <cell r="C308" t="str">
            <v>Legal fees</v>
          </cell>
          <cell r="D308">
            <v>0</v>
          </cell>
          <cell r="E308">
            <v>0</v>
          </cell>
          <cell r="F308">
            <v>0</v>
          </cell>
          <cell r="G308">
            <v>0</v>
          </cell>
        </row>
        <row r="309">
          <cell r="A309" t="str">
            <v>145-10-060</v>
          </cell>
          <cell r="B309">
            <v>5</v>
          </cell>
          <cell r="C309" t="str">
            <v>Intra company charges- individual life</v>
          </cell>
          <cell r="G309">
            <v>0</v>
          </cell>
        </row>
        <row r="310">
          <cell r="A310" t="str">
            <v>145-10-060</v>
          </cell>
          <cell r="B310">
            <v>5</v>
          </cell>
          <cell r="E310">
            <v>0</v>
          </cell>
          <cell r="G310">
            <v>0</v>
          </cell>
        </row>
        <row r="311">
          <cell r="A311" t="str">
            <v>145-10-080</v>
          </cell>
          <cell r="B311">
            <v>5</v>
          </cell>
          <cell r="C311" t="str">
            <v>40% Excutive recharge</v>
          </cell>
          <cell r="F311">
            <v>0</v>
          </cell>
          <cell r="G311">
            <v>0</v>
          </cell>
        </row>
        <row r="312">
          <cell r="A312" t="str">
            <v>145-10-080</v>
          </cell>
          <cell r="B312">
            <v>5</v>
          </cell>
          <cell r="C312" t="str">
            <v xml:space="preserve">Recharges: 10% recharge to Corporate </v>
          </cell>
          <cell r="E312">
            <v>0</v>
          </cell>
          <cell r="G312">
            <v>0</v>
          </cell>
        </row>
        <row r="313">
          <cell r="A313" t="str">
            <v>145-10-100</v>
          </cell>
          <cell r="B313">
            <v>5</v>
          </cell>
          <cell r="E313">
            <v>0</v>
          </cell>
          <cell r="G313">
            <v>0</v>
          </cell>
        </row>
        <row r="314">
          <cell r="A314" t="str">
            <v>155-10-007</v>
          </cell>
          <cell r="B314">
            <v>5</v>
          </cell>
          <cell r="C314" t="str">
            <v>NEWSPAPERS &amp; JOURNALS</v>
          </cell>
          <cell r="D314">
            <v>2640</v>
          </cell>
          <cell r="E314">
            <v>1400</v>
          </cell>
          <cell r="F314">
            <v>2400</v>
          </cell>
          <cell r="G314">
            <v>1.1000000000000001</v>
          </cell>
          <cell r="H314" t="str">
            <v>INCREASED COST OF EAST AFRICAN NEWSPAPER</v>
          </cell>
        </row>
        <row r="315">
          <cell r="A315" t="str">
            <v>155-10-008</v>
          </cell>
          <cell r="B315">
            <v>5</v>
          </cell>
          <cell r="C315" t="str">
            <v>ENTERTAINMENT &amp; DONATIONS</v>
          </cell>
          <cell r="D315">
            <v>8000</v>
          </cell>
          <cell r="E315">
            <v>5000</v>
          </cell>
          <cell r="F315">
            <v>8571.4285714285725</v>
          </cell>
          <cell r="G315">
            <v>0.93333333333333324</v>
          </cell>
        </row>
        <row r="316">
          <cell r="A316" t="str">
            <v>155-10-009</v>
          </cell>
          <cell r="B316">
            <v>5</v>
          </cell>
          <cell r="C316" t="str">
            <v>COURIER &amp; FREIGHT CHARGES</v>
          </cell>
          <cell r="D316">
            <v>0</v>
          </cell>
          <cell r="E316">
            <v>0</v>
          </cell>
          <cell r="F316">
            <v>0</v>
          </cell>
          <cell r="G316">
            <v>0</v>
          </cell>
        </row>
        <row r="317">
          <cell r="A317" t="str">
            <v>155-10-010</v>
          </cell>
          <cell r="B317">
            <v>5</v>
          </cell>
          <cell r="C317" t="str">
            <v>ADVERTISING &amp; PUBLICITY</v>
          </cell>
          <cell r="D317">
            <v>0</v>
          </cell>
          <cell r="E317">
            <v>0</v>
          </cell>
          <cell r="F317">
            <v>0</v>
          </cell>
          <cell r="G317">
            <v>0</v>
          </cell>
        </row>
        <row r="318">
          <cell r="A318" t="str">
            <v>155-10-012</v>
          </cell>
          <cell r="B318">
            <v>5</v>
          </cell>
          <cell r="C318" t="str">
            <v>TRADE LICENCES</v>
          </cell>
          <cell r="D318">
            <v>0</v>
          </cell>
          <cell r="E318">
            <v>0</v>
          </cell>
          <cell r="F318">
            <v>0</v>
          </cell>
          <cell r="G318">
            <v>0</v>
          </cell>
        </row>
        <row r="319">
          <cell r="A319" t="str">
            <v>155-10-013</v>
          </cell>
          <cell r="B319">
            <v>5</v>
          </cell>
          <cell r="C319" t="str">
            <v>INSURANCES</v>
          </cell>
          <cell r="D319">
            <v>0</v>
          </cell>
          <cell r="E319">
            <v>0</v>
          </cell>
          <cell r="F319">
            <v>0</v>
          </cell>
          <cell r="G319">
            <v>0</v>
          </cell>
        </row>
        <row r="320">
          <cell r="A320" t="str">
            <v>155-10-014</v>
          </cell>
          <cell r="B320">
            <v>5</v>
          </cell>
          <cell r="C320" t="str">
            <v>PHOTOCOPY</v>
          </cell>
          <cell r="D320">
            <v>0</v>
          </cell>
          <cell r="E320">
            <v>0</v>
          </cell>
          <cell r="F320">
            <v>0</v>
          </cell>
          <cell r="G320">
            <v>0</v>
          </cell>
        </row>
        <row r="321">
          <cell r="A321" t="str">
            <v>155-10-015</v>
          </cell>
          <cell r="B321">
            <v>5</v>
          </cell>
          <cell r="C321" t="str">
            <v>COMPUTER MAINTAINANCE</v>
          </cell>
          <cell r="D321">
            <v>0</v>
          </cell>
          <cell r="E321">
            <v>0</v>
          </cell>
          <cell r="F321">
            <v>0</v>
          </cell>
          <cell r="G321">
            <v>0</v>
          </cell>
        </row>
        <row r="322">
          <cell r="A322" t="str">
            <v>155-10-016</v>
          </cell>
          <cell r="B322">
            <v>5</v>
          </cell>
          <cell r="C322" t="str">
            <v>EQUIPMENT&amp; FURNITURE REPAIRS &amp; MAINTENANCE</v>
          </cell>
          <cell r="D322">
            <v>0</v>
          </cell>
          <cell r="E322">
            <v>0</v>
          </cell>
          <cell r="F322">
            <v>0</v>
          </cell>
          <cell r="G322">
            <v>0</v>
          </cell>
        </row>
        <row r="323">
          <cell r="A323" t="str">
            <v>155-10-017</v>
          </cell>
          <cell r="B323">
            <v>5</v>
          </cell>
          <cell r="C323" t="str">
            <v>SEMINARS &amp; SHORT TERM COURSES</v>
          </cell>
          <cell r="D323">
            <v>0</v>
          </cell>
          <cell r="E323">
            <v>0</v>
          </cell>
          <cell r="F323">
            <v>0</v>
          </cell>
          <cell r="G323">
            <v>0</v>
          </cell>
        </row>
        <row r="324">
          <cell r="A324" t="str">
            <v>155-10-022</v>
          </cell>
          <cell r="B324">
            <v>5</v>
          </cell>
          <cell r="C324" t="str">
            <v>PRINTING &amp; STATIONERY</v>
          </cell>
          <cell r="D324">
            <v>224313</v>
          </cell>
          <cell r="E324">
            <v>120333.33333333334</v>
          </cell>
          <cell r="F324">
            <v>206285.71428571429</v>
          </cell>
          <cell r="G324">
            <v>1.0873898891966758</v>
          </cell>
          <cell r="H324" t="str">
            <v>INCREASED NUMBER OF LAPSE LETTERS AND LETTERS SENT TO CLIENTS</v>
          </cell>
        </row>
        <row r="325">
          <cell r="A325" t="str">
            <v>155-10-025</v>
          </cell>
          <cell r="B325">
            <v>5</v>
          </cell>
          <cell r="C325" t="str">
            <v>STRATEGIC PLANNING</v>
          </cell>
          <cell r="D325">
            <v>0</v>
          </cell>
          <cell r="E325">
            <v>0</v>
          </cell>
          <cell r="F325">
            <v>0</v>
          </cell>
          <cell r="G325">
            <v>0</v>
          </cell>
        </row>
        <row r="326">
          <cell r="A326" t="str">
            <v>155-10-027</v>
          </cell>
          <cell r="B326">
            <v>5</v>
          </cell>
          <cell r="C326" t="str">
            <v>PROFESSIONAL SUBSCRIPTIONS</v>
          </cell>
          <cell r="D326">
            <v>0</v>
          </cell>
          <cell r="E326">
            <v>0</v>
          </cell>
          <cell r="F326">
            <v>0</v>
          </cell>
          <cell r="G326">
            <v>0</v>
          </cell>
        </row>
        <row r="327">
          <cell r="A327" t="str">
            <v>155-10-028</v>
          </cell>
          <cell r="B327">
            <v>5</v>
          </cell>
          <cell r="C327" t="str">
            <v xml:space="preserve"> SUBSCRIPTIONS -COMPANY MEMBERSHIP</v>
          </cell>
          <cell r="D327">
            <v>0</v>
          </cell>
          <cell r="E327">
            <v>0</v>
          </cell>
          <cell r="F327">
            <v>0</v>
          </cell>
          <cell r="G327">
            <v>0</v>
          </cell>
        </row>
        <row r="328">
          <cell r="A328" t="str">
            <v>155-10-030</v>
          </cell>
          <cell r="B328">
            <v>5</v>
          </cell>
          <cell r="C328" t="str">
            <v>TRAVELLING &amp; ACCOMMODATION</v>
          </cell>
          <cell r="D328">
            <v>0</v>
          </cell>
          <cell r="E328">
            <v>0</v>
          </cell>
          <cell r="F328">
            <v>0</v>
          </cell>
          <cell r="G328">
            <v>0</v>
          </cell>
        </row>
        <row r="329">
          <cell r="A329" t="str">
            <v>155-10-032</v>
          </cell>
          <cell r="B329">
            <v>5</v>
          </cell>
          <cell r="C329" t="str">
            <v xml:space="preserve">MOTOR CAR EXPENSES </v>
          </cell>
          <cell r="D329">
            <v>0</v>
          </cell>
          <cell r="E329">
            <v>0</v>
          </cell>
          <cell r="F329">
            <v>0</v>
          </cell>
          <cell r="G329">
            <v>0</v>
          </cell>
        </row>
        <row r="330">
          <cell r="A330" t="str">
            <v>155-10-040</v>
          </cell>
          <cell r="B330">
            <v>5</v>
          </cell>
          <cell r="C330" t="str">
            <v>POSTAGE</v>
          </cell>
          <cell r="D330">
            <v>391500</v>
          </cell>
          <cell r="E330">
            <v>182666.66666666666</v>
          </cell>
          <cell r="F330">
            <v>313142.85714285716</v>
          </cell>
          <cell r="G330">
            <v>1.250228102189781</v>
          </cell>
          <cell r="H330" t="str">
            <v>INCREASED NUMBER OF LAPSE LETTERS AND LETTERS SENT TO CLIENTS</v>
          </cell>
        </row>
        <row r="331">
          <cell r="A331" t="str">
            <v>155-10-041</v>
          </cell>
          <cell r="B331">
            <v>5</v>
          </cell>
          <cell r="C331" t="str">
            <v>TELEPHONE &amp; FAX</v>
          </cell>
          <cell r="D331">
            <v>90000</v>
          </cell>
          <cell r="E331">
            <v>48000</v>
          </cell>
          <cell r="F331">
            <v>82285.71428571429</v>
          </cell>
          <cell r="G331">
            <v>1.09375</v>
          </cell>
        </row>
        <row r="332">
          <cell r="A332" t="str">
            <v>155-10-044</v>
          </cell>
          <cell r="B332">
            <v>5</v>
          </cell>
          <cell r="C332" t="str">
            <v>PROFFESSIONAL TRAINING</v>
          </cell>
          <cell r="D332">
            <v>292900</v>
          </cell>
          <cell r="E332">
            <v>212000</v>
          </cell>
          <cell r="F332">
            <v>363428.57142857142</v>
          </cell>
          <cell r="G332">
            <v>0.80593553459119494</v>
          </cell>
          <cell r="H332" t="str">
            <v xml:space="preserve">DUE TO INCREASED VALUE OF THE POUND </v>
          </cell>
        </row>
        <row r="333">
          <cell r="A333" t="str">
            <v>155-10-046</v>
          </cell>
          <cell r="B333">
            <v>5</v>
          </cell>
          <cell r="C333" t="str">
            <v xml:space="preserve">SUBSCRIPTION- STAFF CLUB MEMBERSHIP </v>
          </cell>
          <cell r="D333">
            <v>0</v>
          </cell>
          <cell r="E333">
            <v>0</v>
          </cell>
          <cell r="F333">
            <v>0</v>
          </cell>
          <cell r="G333">
            <v>0</v>
          </cell>
        </row>
        <row r="334">
          <cell r="A334" t="str">
            <v>155-10-054</v>
          </cell>
          <cell r="B334">
            <v>5</v>
          </cell>
          <cell r="C334" t="str">
            <v>LEASED LINES-INTERNET SERVICES</v>
          </cell>
          <cell r="D334">
            <v>0</v>
          </cell>
          <cell r="E334">
            <v>0</v>
          </cell>
          <cell r="F334">
            <v>0</v>
          </cell>
          <cell r="G334">
            <v>0</v>
          </cell>
        </row>
        <row r="335">
          <cell r="A335" t="str">
            <v>155-10-057</v>
          </cell>
          <cell r="B335">
            <v>5</v>
          </cell>
          <cell r="C335" t="str">
            <v>SOFTWARE LICENCES</v>
          </cell>
          <cell r="D335">
            <v>0</v>
          </cell>
          <cell r="E335">
            <v>0</v>
          </cell>
          <cell r="F335">
            <v>0</v>
          </cell>
          <cell r="G335">
            <v>0</v>
          </cell>
        </row>
        <row r="336">
          <cell r="A336" t="str">
            <v>155-10-059</v>
          </cell>
          <cell r="B336">
            <v>5</v>
          </cell>
          <cell r="E336">
            <v>0</v>
          </cell>
          <cell r="G336">
            <v>0</v>
          </cell>
        </row>
        <row r="337">
          <cell r="A337" t="str">
            <v>155-10-060</v>
          </cell>
          <cell r="B337">
            <v>5</v>
          </cell>
          <cell r="E337">
            <v>0</v>
          </cell>
          <cell r="G337">
            <v>0</v>
          </cell>
        </row>
        <row r="338">
          <cell r="A338" t="str">
            <v>155-10-062</v>
          </cell>
          <cell r="B338">
            <v>5</v>
          </cell>
          <cell r="C338" t="str">
            <v>EDUCATION EXPENSES</v>
          </cell>
          <cell r="D338">
            <v>0</v>
          </cell>
          <cell r="E338">
            <v>0</v>
          </cell>
          <cell r="F338">
            <v>0</v>
          </cell>
          <cell r="G338">
            <v>0</v>
          </cell>
        </row>
        <row r="339">
          <cell r="A339" t="str">
            <v>105-10-010</v>
          </cell>
          <cell r="B339">
            <v>7</v>
          </cell>
          <cell r="C339" t="str">
            <v>BASIC SALARY</v>
          </cell>
          <cell r="D339">
            <v>2190720</v>
          </cell>
          <cell r="E339">
            <v>1165000</v>
          </cell>
          <cell r="F339">
            <v>1980000</v>
          </cell>
          <cell r="G339">
            <v>1.1064242424242425</v>
          </cell>
        </row>
        <row r="340">
          <cell r="A340" t="str">
            <v>105-10-012</v>
          </cell>
          <cell r="B340">
            <v>7</v>
          </cell>
          <cell r="C340" t="str">
            <v>PROVISION FOR MORT. RATE ADJUSTMENTS</v>
          </cell>
          <cell r="D340">
            <v>0</v>
          </cell>
          <cell r="E340">
            <v>5000</v>
          </cell>
          <cell r="F340">
            <v>5000</v>
          </cell>
          <cell r="G340">
            <v>0</v>
          </cell>
        </row>
        <row r="341">
          <cell r="A341" t="str">
            <v>105-10-020</v>
          </cell>
          <cell r="B341">
            <v>7</v>
          </cell>
          <cell r="C341" t="str">
            <v>HOUSE ALLOWANCE</v>
          </cell>
          <cell r="D341">
            <v>280800</v>
          </cell>
          <cell r="E341">
            <v>168000</v>
          </cell>
          <cell r="F341">
            <v>285000</v>
          </cell>
          <cell r="G341">
            <v>0.98526315789473684</v>
          </cell>
        </row>
        <row r="342">
          <cell r="A342" t="str">
            <v>105-10-030</v>
          </cell>
          <cell r="B342">
            <v>7</v>
          </cell>
          <cell r="C342" t="str">
            <v>TELEPHONE ALLOWANCE</v>
          </cell>
          <cell r="D342">
            <v>0</v>
          </cell>
          <cell r="E342">
            <v>0</v>
          </cell>
          <cell r="F342">
            <v>0</v>
          </cell>
          <cell r="G342">
            <v>0</v>
          </cell>
        </row>
        <row r="343">
          <cell r="A343" t="str">
            <v>105-10-040</v>
          </cell>
          <cell r="B343">
            <v>7</v>
          </cell>
          <cell r="C343" t="str">
            <v>SECURITY ALLOWANCE</v>
          </cell>
          <cell r="D343">
            <v>0</v>
          </cell>
          <cell r="E343">
            <v>0</v>
          </cell>
          <cell r="F343">
            <v>0</v>
          </cell>
          <cell r="G343">
            <v>0</v>
          </cell>
        </row>
        <row r="344">
          <cell r="A344" t="str">
            <v>105-10-050</v>
          </cell>
          <cell r="B344">
            <v>7</v>
          </cell>
          <cell r="C344" t="str">
            <v>EDUCATION ALLOWANCE</v>
          </cell>
          <cell r="D344">
            <v>0</v>
          </cell>
          <cell r="E344">
            <v>0</v>
          </cell>
          <cell r="F344">
            <v>0</v>
          </cell>
          <cell r="G344">
            <v>0</v>
          </cell>
        </row>
        <row r="345">
          <cell r="A345" t="str">
            <v>105-10-060</v>
          </cell>
          <cell r="B345">
            <v>7</v>
          </cell>
          <cell r="C345" t="str">
            <v>TRAVEL ALLOWANCE</v>
          </cell>
          <cell r="D345">
            <v>0</v>
          </cell>
          <cell r="E345">
            <v>0</v>
          </cell>
          <cell r="F345">
            <v>0</v>
          </cell>
          <cell r="G345">
            <v>0</v>
          </cell>
        </row>
        <row r="346">
          <cell r="A346" t="str">
            <v>105-20-010</v>
          </cell>
          <cell r="B346">
            <v>7</v>
          </cell>
          <cell r="C346" t="str">
            <v>NSSF</v>
          </cell>
          <cell r="D346">
            <v>12000</v>
          </cell>
          <cell r="E346">
            <v>7000</v>
          </cell>
          <cell r="F346">
            <v>12000</v>
          </cell>
          <cell r="G346">
            <v>1</v>
          </cell>
        </row>
        <row r="347">
          <cell r="A347" t="str">
            <v>105-20-020</v>
          </cell>
          <cell r="B347">
            <v>7</v>
          </cell>
          <cell r="C347" t="str">
            <v>NHIF</v>
          </cell>
          <cell r="D347">
            <v>14400</v>
          </cell>
          <cell r="E347">
            <v>8000</v>
          </cell>
          <cell r="F347">
            <v>14000</v>
          </cell>
          <cell r="G347">
            <v>1.0285714285714285</v>
          </cell>
        </row>
        <row r="348">
          <cell r="A348" t="str">
            <v>105-30-010</v>
          </cell>
          <cell r="B348">
            <v>7</v>
          </cell>
          <cell r="C348" t="str">
            <v xml:space="preserve">PENSION </v>
          </cell>
          <cell r="D348">
            <v>273840</v>
          </cell>
          <cell r="E348">
            <v>152000</v>
          </cell>
          <cell r="F348">
            <v>266100</v>
          </cell>
          <cell r="G348">
            <v>1.029086809470124</v>
          </cell>
        </row>
        <row r="349">
          <cell r="A349" t="str">
            <v>105-30-020</v>
          </cell>
          <cell r="B349">
            <v>7</v>
          </cell>
          <cell r="C349" t="str">
            <v>LAST EXPENSE</v>
          </cell>
          <cell r="D349">
            <v>0</v>
          </cell>
          <cell r="E349">
            <v>3000</v>
          </cell>
          <cell r="F349">
            <v>5142.8571428571431</v>
          </cell>
          <cell r="G349">
            <v>0</v>
          </cell>
        </row>
        <row r="350">
          <cell r="A350" t="str">
            <v>105-30-030</v>
          </cell>
          <cell r="B350">
            <v>7</v>
          </cell>
          <cell r="C350" t="str">
            <v>GROUP LIFE ASSURANCE</v>
          </cell>
          <cell r="D350">
            <v>0</v>
          </cell>
          <cell r="E350">
            <v>22000</v>
          </cell>
          <cell r="F350">
            <v>37714.28571428571</v>
          </cell>
          <cell r="G350">
            <v>0</v>
          </cell>
        </row>
        <row r="351">
          <cell r="A351" t="str">
            <v>105-30-040</v>
          </cell>
          <cell r="B351">
            <v>7</v>
          </cell>
          <cell r="C351" t="str">
            <v>STAFF MEDICAL</v>
          </cell>
          <cell r="D351">
            <v>0</v>
          </cell>
          <cell r="E351">
            <v>0</v>
          </cell>
          <cell r="F351">
            <v>0</v>
          </cell>
          <cell r="G351">
            <v>0</v>
          </cell>
        </row>
        <row r="352">
          <cell r="A352" t="str">
            <v>105-30-050</v>
          </cell>
          <cell r="B352">
            <v>7</v>
          </cell>
          <cell r="C352" t="str">
            <v>CASH IN LIEU OF LEAVE</v>
          </cell>
          <cell r="D352">
            <v>54768</v>
          </cell>
          <cell r="E352">
            <v>17000</v>
          </cell>
          <cell r="F352">
            <v>29142.857142857141</v>
          </cell>
          <cell r="G352">
            <v>1.8792941176470594</v>
          </cell>
        </row>
        <row r="353">
          <cell r="A353" t="str">
            <v>105-30-060</v>
          </cell>
          <cell r="B353">
            <v>7</v>
          </cell>
          <cell r="C353" t="str">
            <v>GRATUITY</v>
          </cell>
          <cell r="E353">
            <v>0</v>
          </cell>
          <cell r="F353">
            <v>0</v>
          </cell>
          <cell r="G353">
            <v>0</v>
          </cell>
        </row>
        <row r="354">
          <cell r="A354" t="str">
            <v>105-30-070</v>
          </cell>
          <cell r="B354">
            <v>7</v>
          </cell>
          <cell r="C354" t="str">
            <v>LONG SERVICE AWARDS</v>
          </cell>
          <cell r="D354">
            <v>0</v>
          </cell>
          <cell r="E354">
            <v>0</v>
          </cell>
          <cell r="F354">
            <v>0</v>
          </cell>
          <cell r="G354">
            <v>0</v>
          </cell>
        </row>
        <row r="355">
          <cell r="A355" t="str">
            <v>105-30-080</v>
          </cell>
          <cell r="B355">
            <v>7</v>
          </cell>
          <cell r="C355" t="str">
            <v>STAFF RECRUITMENT &amp; REMOVALS</v>
          </cell>
          <cell r="D355">
            <v>0</v>
          </cell>
          <cell r="E355">
            <v>0</v>
          </cell>
          <cell r="F355">
            <v>0</v>
          </cell>
          <cell r="G355">
            <v>0</v>
          </cell>
        </row>
        <row r="356">
          <cell r="A356" t="str">
            <v>115-10-010</v>
          </cell>
          <cell r="B356">
            <v>7</v>
          </cell>
          <cell r="D356">
            <v>0</v>
          </cell>
          <cell r="E356">
            <v>0</v>
          </cell>
          <cell r="F356">
            <v>0</v>
          </cell>
          <cell r="G356">
            <v>0</v>
          </cell>
        </row>
        <row r="357">
          <cell r="A357" t="str">
            <v>115-10-010</v>
          </cell>
          <cell r="B357">
            <v>7</v>
          </cell>
          <cell r="D357">
            <v>0</v>
          </cell>
          <cell r="F357">
            <v>0</v>
          </cell>
          <cell r="G357">
            <v>0</v>
          </cell>
        </row>
        <row r="358">
          <cell r="A358" t="str">
            <v>115-10-020</v>
          </cell>
          <cell r="B358">
            <v>7</v>
          </cell>
          <cell r="D358">
            <v>0</v>
          </cell>
          <cell r="E358">
            <v>0</v>
          </cell>
          <cell r="F358">
            <v>0</v>
          </cell>
          <cell r="G358">
            <v>0</v>
          </cell>
        </row>
        <row r="359">
          <cell r="A359" t="str">
            <v>115-10-020</v>
          </cell>
          <cell r="B359">
            <v>7</v>
          </cell>
          <cell r="D359">
            <v>0</v>
          </cell>
          <cell r="G359">
            <v>0</v>
          </cell>
        </row>
        <row r="360">
          <cell r="A360" t="str">
            <v>115-10-030</v>
          </cell>
          <cell r="B360">
            <v>7</v>
          </cell>
          <cell r="D360">
            <v>0</v>
          </cell>
          <cell r="E360">
            <v>0</v>
          </cell>
          <cell r="F360">
            <v>0</v>
          </cell>
          <cell r="G360">
            <v>0</v>
          </cell>
        </row>
        <row r="361">
          <cell r="A361" t="str">
            <v>115-10-030</v>
          </cell>
          <cell r="B361">
            <v>7</v>
          </cell>
          <cell r="D361">
            <v>0</v>
          </cell>
          <cell r="F361">
            <v>0</v>
          </cell>
          <cell r="G361">
            <v>0</v>
          </cell>
        </row>
        <row r="362">
          <cell r="A362" t="str">
            <v>115-10-040</v>
          </cell>
          <cell r="B362">
            <v>7</v>
          </cell>
          <cell r="D362">
            <v>0</v>
          </cell>
          <cell r="E362">
            <v>0</v>
          </cell>
          <cell r="F362">
            <v>0</v>
          </cell>
          <cell r="G362">
            <v>0</v>
          </cell>
          <cell r="H362" t="str">
            <v>Incresed space??? ( Space occupied picked from the notes)</v>
          </cell>
        </row>
        <row r="363">
          <cell r="A363" t="str">
            <v>115-10-040</v>
          </cell>
          <cell r="B363">
            <v>7</v>
          </cell>
          <cell r="D363">
            <v>0</v>
          </cell>
          <cell r="F363">
            <v>0</v>
          </cell>
          <cell r="G363">
            <v>0</v>
          </cell>
        </row>
        <row r="364">
          <cell r="A364" t="str">
            <v>115-10-050</v>
          </cell>
          <cell r="B364">
            <v>7</v>
          </cell>
          <cell r="C364" t="str">
            <v>OFFICE CATERING &amp; STAFF WELFARE</v>
          </cell>
          <cell r="D364">
            <v>0</v>
          </cell>
          <cell r="E364">
            <v>0</v>
          </cell>
          <cell r="F364">
            <v>0</v>
          </cell>
          <cell r="G364">
            <v>0</v>
          </cell>
        </row>
        <row r="365">
          <cell r="A365" t="str">
            <v>115-10-051</v>
          </cell>
          <cell r="B365">
            <v>7</v>
          </cell>
          <cell r="C365" t="str">
            <v>OFFICE CLEANING</v>
          </cell>
          <cell r="D365">
            <v>0</v>
          </cell>
          <cell r="E365">
            <v>0</v>
          </cell>
          <cell r="F365">
            <v>0</v>
          </cell>
          <cell r="G365">
            <v>0</v>
          </cell>
        </row>
        <row r="366">
          <cell r="A366" t="str">
            <v>115-10-060</v>
          </cell>
          <cell r="B366">
            <v>7</v>
          </cell>
          <cell r="C366" t="str">
            <v>OFFICE WATER</v>
          </cell>
          <cell r="D366">
            <v>0</v>
          </cell>
          <cell r="E366">
            <v>0</v>
          </cell>
          <cell r="F366">
            <v>0</v>
          </cell>
          <cell r="G366">
            <v>0</v>
          </cell>
        </row>
        <row r="367">
          <cell r="A367" t="str">
            <v>115-10-070</v>
          </cell>
          <cell r="B367">
            <v>7</v>
          </cell>
          <cell r="C367" t="str">
            <v>OFFICE ELECTRICITY</v>
          </cell>
          <cell r="D367">
            <v>0</v>
          </cell>
          <cell r="E367">
            <v>0</v>
          </cell>
          <cell r="F367">
            <v>0</v>
          </cell>
          <cell r="G367">
            <v>0</v>
          </cell>
        </row>
        <row r="368">
          <cell r="A368" t="str">
            <v>115-10-080</v>
          </cell>
          <cell r="B368">
            <v>7</v>
          </cell>
          <cell r="C368" t="str">
            <v>OFFICE SECURITY</v>
          </cell>
          <cell r="D368">
            <v>0</v>
          </cell>
          <cell r="E368">
            <v>0</v>
          </cell>
          <cell r="F368">
            <v>0</v>
          </cell>
          <cell r="G368">
            <v>0</v>
          </cell>
        </row>
        <row r="369">
          <cell r="A369" t="str">
            <v>125-10-010</v>
          </cell>
          <cell r="B369">
            <v>7</v>
          </cell>
          <cell r="C369" t="str">
            <v>BANK CHARGES</v>
          </cell>
          <cell r="D369">
            <v>0</v>
          </cell>
          <cell r="E369">
            <v>0</v>
          </cell>
          <cell r="F369">
            <v>0</v>
          </cell>
          <cell r="G369">
            <v>0</v>
          </cell>
        </row>
        <row r="370">
          <cell r="A370" t="str">
            <v>125-10-020</v>
          </cell>
          <cell r="B370">
            <v>7</v>
          </cell>
          <cell r="C370" t="str">
            <v>BANK OVERDRART CHARGES</v>
          </cell>
          <cell r="E370">
            <v>0</v>
          </cell>
          <cell r="F370">
            <v>0</v>
          </cell>
          <cell r="G370">
            <v>0</v>
          </cell>
        </row>
        <row r="371">
          <cell r="A371" t="str">
            <v>145-10-010</v>
          </cell>
          <cell r="B371">
            <v>7</v>
          </cell>
          <cell r="C371" t="str">
            <v>ALA Group charges- Individual life</v>
          </cell>
          <cell r="D371">
            <v>0</v>
          </cell>
          <cell r="E371">
            <v>0</v>
          </cell>
          <cell r="F371">
            <v>0</v>
          </cell>
          <cell r="G371">
            <v>0</v>
          </cell>
        </row>
        <row r="372">
          <cell r="A372" t="str">
            <v>145-10-020</v>
          </cell>
          <cell r="B372">
            <v>7</v>
          </cell>
          <cell r="C372" t="str">
            <v>Actuarial fees- Individual life</v>
          </cell>
          <cell r="D372">
            <v>0</v>
          </cell>
          <cell r="E372">
            <v>0</v>
          </cell>
          <cell r="F372">
            <v>0</v>
          </cell>
          <cell r="G372">
            <v>0</v>
          </cell>
        </row>
        <row r="373">
          <cell r="A373" t="str">
            <v>145-10-030</v>
          </cell>
          <cell r="B373">
            <v>7</v>
          </cell>
          <cell r="C373" t="str">
            <v>Audit fee -individual life</v>
          </cell>
          <cell r="D373">
            <v>0</v>
          </cell>
          <cell r="E373">
            <v>0</v>
          </cell>
          <cell r="F373">
            <v>0</v>
          </cell>
          <cell r="G373">
            <v>0</v>
          </cell>
        </row>
        <row r="374">
          <cell r="A374" t="str">
            <v>145-10-031</v>
          </cell>
          <cell r="B374">
            <v>7</v>
          </cell>
          <cell r="C374" t="str">
            <v>Tax filing returns</v>
          </cell>
          <cell r="D374">
            <v>0</v>
          </cell>
          <cell r="E374">
            <v>0</v>
          </cell>
          <cell r="F374">
            <v>0</v>
          </cell>
          <cell r="G374">
            <v>0</v>
          </cell>
        </row>
        <row r="375">
          <cell r="A375" t="str">
            <v>145-10-040</v>
          </cell>
          <cell r="B375">
            <v>7</v>
          </cell>
          <cell r="C375" t="str">
            <v>Legal fees</v>
          </cell>
          <cell r="D375">
            <v>0</v>
          </cell>
          <cell r="E375">
            <v>0</v>
          </cell>
          <cell r="F375">
            <v>0</v>
          </cell>
          <cell r="G375">
            <v>0</v>
          </cell>
        </row>
        <row r="376">
          <cell r="A376" t="str">
            <v>145-10-060</v>
          </cell>
          <cell r="B376">
            <v>7</v>
          </cell>
          <cell r="C376" t="str">
            <v>Intra company charges- individual life</v>
          </cell>
          <cell r="G376">
            <v>0</v>
          </cell>
        </row>
        <row r="377">
          <cell r="A377" t="str">
            <v>145-10-060</v>
          </cell>
          <cell r="B377">
            <v>7</v>
          </cell>
          <cell r="E377">
            <v>0</v>
          </cell>
          <cell r="G377">
            <v>0</v>
          </cell>
        </row>
        <row r="378">
          <cell r="A378" t="str">
            <v>145-10-080</v>
          </cell>
          <cell r="B378">
            <v>7</v>
          </cell>
          <cell r="C378" t="str">
            <v>40% Excutive recharge</v>
          </cell>
          <cell r="F378">
            <v>0</v>
          </cell>
          <cell r="G378">
            <v>0</v>
          </cell>
        </row>
        <row r="379">
          <cell r="A379" t="str">
            <v>145-10-080</v>
          </cell>
          <cell r="B379">
            <v>7</v>
          </cell>
          <cell r="C379" t="str">
            <v xml:space="preserve">Recharges: 10% recharge to Corporate </v>
          </cell>
          <cell r="E379">
            <v>0</v>
          </cell>
          <cell r="G379">
            <v>0</v>
          </cell>
        </row>
        <row r="380">
          <cell r="A380" t="str">
            <v>145-10-100</v>
          </cell>
          <cell r="B380">
            <v>7</v>
          </cell>
          <cell r="E380">
            <v>0</v>
          </cell>
          <cell r="G380">
            <v>0</v>
          </cell>
        </row>
        <row r="381">
          <cell r="A381" t="str">
            <v>155-10-007</v>
          </cell>
          <cell r="B381">
            <v>7</v>
          </cell>
          <cell r="C381" t="str">
            <v>NEWSPAPERS &amp; JOURNALS</v>
          </cell>
          <cell r="D381">
            <v>2880</v>
          </cell>
          <cell r="E381">
            <v>2000</v>
          </cell>
          <cell r="F381">
            <v>2880</v>
          </cell>
          <cell r="G381">
            <v>1</v>
          </cell>
        </row>
        <row r="382">
          <cell r="A382" t="str">
            <v>155-10-008</v>
          </cell>
          <cell r="B382">
            <v>7</v>
          </cell>
          <cell r="C382" t="str">
            <v>ENTERTAINMENT &amp; DONATIONS</v>
          </cell>
          <cell r="D382">
            <v>5000</v>
          </cell>
          <cell r="E382">
            <v>0</v>
          </cell>
          <cell r="F382">
            <v>2000</v>
          </cell>
          <cell r="G382">
            <v>2.5</v>
          </cell>
        </row>
        <row r="383">
          <cell r="A383" t="str">
            <v>155-10-009</v>
          </cell>
          <cell r="B383">
            <v>7</v>
          </cell>
          <cell r="C383" t="str">
            <v>COURIER &amp; FREIGHT CHARGES</v>
          </cell>
          <cell r="D383">
            <v>0</v>
          </cell>
          <cell r="E383">
            <v>0</v>
          </cell>
          <cell r="F383">
            <v>0</v>
          </cell>
          <cell r="G383">
            <v>0</v>
          </cell>
        </row>
        <row r="384">
          <cell r="A384" t="str">
            <v>155-10-010</v>
          </cell>
          <cell r="B384">
            <v>7</v>
          </cell>
          <cell r="C384" t="str">
            <v>ADVERTISING &amp; PUBLICITY</v>
          </cell>
          <cell r="D384">
            <v>0</v>
          </cell>
          <cell r="E384">
            <v>0</v>
          </cell>
          <cell r="F384">
            <v>0</v>
          </cell>
          <cell r="G384">
            <v>0</v>
          </cell>
        </row>
        <row r="385">
          <cell r="A385" t="str">
            <v>155-10-012</v>
          </cell>
          <cell r="B385">
            <v>7</v>
          </cell>
          <cell r="C385" t="str">
            <v>TRADE LICENCES</v>
          </cell>
          <cell r="D385">
            <v>0</v>
          </cell>
          <cell r="E385">
            <v>0</v>
          </cell>
          <cell r="F385">
            <v>0</v>
          </cell>
          <cell r="G385">
            <v>0</v>
          </cell>
        </row>
        <row r="386">
          <cell r="A386" t="str">
            <v>155-10-013</v>
          </cell>
          <cell r="B386">
            <v>7</v>
          </cell>
          <cell r="C386" t="str">
            <v>INSURANCES</v>
          </cell>
          <cell r="D386">
            <v>0</v>
          </cell>
          <cell r="E386">
            <v>0</v>
          </cell>
          <cell r="F386">
            <v>0</v>
          </cell>
          <cell r="G386">
            <v>0</v>
          </cell>
        </row>
        <row r="387">
          <cell r="A387" t="str">
            <v>155-10-014</v>
          </cell>
          <cell r="B387">
            <v>7</v>
          </cell>
          <cell r="C387" t="str">
            <v>PHOTOCOPY</v>
          </cell>
          <cell r="D387">
            <v>0</v>
          </cell>
          <cell r="E387">
            <v>0</v>
          </cell>
          <cell r="F387">
            <v>0</v>
          </cell>
          <cell r="G387">
            <v>0</v>
          </cell>
        </row>
        <row r="388">
          <cell r="A388" t="str">
            <v>155-10-015</v>
          </cell>
          <cell r="B388">
            <v>7</v>
          </cell>
          <cell r="C388" t="str">
            <v>COMPUTER MAINTAINANCE</v>
          </cell>
          <cell r="D388">
            <v>0</v>
          </cell>
          <cell r="E388">
            <v>0</v>
          </cell>
          <cell r="F388">
            <v>0</v>
          </cell>
          <cell r="G388">
            <v>0</v>
          </cell>
        </row>
        <row r="389">
          <cell r="A389" t="str">
            <v>155-10-016</v>
          </cell>
          <cell r="B389">
            <v>7</v>
          </cell>
          <cell r="C389" t="str">
            <v>EQUIPMENT&amp; FURNITURE REPAIRS &amp; MAINTENANCE</v>
          </cell>
          <cell r="D389">
            <v>15000</v>
          </cell>
          <cell r="E389">
            <v>13000</v>
          </cell>
          <cell r="F389">
            <v>22285.714285714286</v>
          </cell>
          <cell r="G389">
            <v>0.67307692307692302</v>
          </cell>
        </row>
        <row r="390">
          <cell r="A390" t="str">
            <v>155-10-017</v>
          </cell>
          <cell r="B390">
            <v>7</v>
          </cell>
          <cell r="C390" t="str">
            <v>SEMINARS &amp; SHORT TERM COURSES</v>
          </cell>
          <cell r="D390">
            <v>0</v>
          </cell>
          <cell r="E390">
            <v>3000</v>
          </cell>
          <cell r="F390">
            <v>5142.8571428571431</v>
          </cell>
          <cell r="G390">
            <v>0</v>
          </cell>
        </row>
        <row r="391">
          <cell r="A391" t="str">
            <v>155-10-022</v>
          </cell>
          <cell r="B391">
            <v>7</v>
          </cell>
          <cell r="C391" t="str">
            <v>PRINTING &amp; STATIONERY</v>
          </cell>
          <cell r="D391">
            <v>3066932</v>
          </cell>
          <cell r="E391">
            <v>1468000</v>
          </cell>
          <cell r="F391">
            <v>2516571.4285714286</v>
          </cell>
          <cell r="G391">
            <v>1.2186945958219799</v>
          </cell>
          <cell r="H391" t="str">
            <v>Increased number of policies to be sold next year</v>
          </cell>
        </row>
        <row r="392">
          <cell r="A392" t="str">
            <v>155-10-025</v>
          </cell>
          <cell r="B392">
            <v>7</v>
          </cell>
          <cell r="C392" t="str">
            <v>STRATEGIC PLANNING</v>
          </cell>
          <cell r="D392">
            <v>0</v>
          </cell>
          <cell r="E392">
            <v>0</v>
          </cell>
          <cell r="F392">
            <v>0</v>
          </cell>
          <cell r="G392">
            <v>0</v>
          </cell>
        </row>
        <row r="393">
          <cell r="A393" t="str">
            <v>155-10-027</v>
          </cell>
          <cell r="B393">
            <v>7</v>
          </cell>
          <cell r="C393" t="str">
            <v>PROFESSIONAL SUBSCRIPTIONS</v>
          </cell>
          <cell r="D393">
            <v>12625</v>
          </cell>
          <cell r="E393">
            <v>9000</v>
          </cell>
          <cell r="F393">
            <v>15428.571428571429</v>
          </cell>
          <cell r="G393">
            <v>0.81828703703703698</v>
          </cell>
          <cell r="H393" t="str">
            <v>ACII subscription for Samuel Njenga</v>
          </cell>
        </row>
        <row r="394">
          <cell r="A394" t="str">
            <v>155-10-028</v>
          </cell>
          <cell r="B394">
            <v>7</v>
          </cell>
          <cell r="C394" t="str">
            <v xml:space="preserve"> SUBSCRIPTIONS -COMPANY MEMBERSHIP</v>
          </cell>
          <cell r="D394">
            <v>0</v>
          </cell>
          <cell r="E394">
            <v>0</v>
          </cell>
          <cell r="F394">
            <v>0</v>
          </cell>
          <cell r="G394">
            <v>0</v>
          </cell>
        </row>
        <row r="395">
          <cell r="A395" t="str">
            <v>155-10-030</v>
          </cell>
          <cell r="B395">
            <v>7</v>
          </cell>
          <cell r="C395" t="str">
            <v>TRAVELLING &amp; ACCOMMODATION</v>
          </cell>
          <cell r="D395">
            <v>0</v>
          </cell>
          <cell r="E395">
            <v>2000</v>
          </cell>
          <cell r="F395">
            <v>3428.5714285714284</v>
          </cell>
          <cell r="G395">
            <v>0</v>
          </cell>
        </row>
        <row r="396">
          <cell r="A396" t="str">
            <v>155-10-032</v>
          </cell>
          <cell r="B396">
            <v>7</v>
          </cell>
          <cell r="C396" t="str">
            <v xml:space="preserve">MOTOR CAR EXPENSES </v>
          </cell>
          <cell r="D396">
            <v>0</v>
          </cell>
          <cell r="E396">
            <v>0</v>
          </cell>
          <cell r="F396">
            <v>0</v>
          </cell>
          <cell r="G396">
            <v>0</v>
          </cell>
        </row>
        <row r="397">
          <cell r="A397" t="str">
            <v>155-10-040</v>
          </cell>
          <cell r="B397">
            <v>7</v>
          </cell>
          <cell r="C397" t="str">
            <v>POSTAGE</v>
          </cell>
          <cell r="D397">
            <v>2265000</v>
          </cell>
          <cell r="E397">
            <v>1094875</v>
          </cell>
          <cell r="F397">
            <v>1876928.5714285714</v>
          </cell>
          <cell r="G397">
            <v>1.2067587624158009</v>
          </cell>
          <cell r="H397" t="str">
            <v>Increased number of policies to be sold next year</v>
          </cell>
        </row>
        <row r="398">
          <cell r="A398" t="str">
            <v>155-10-041</v>
          </cell>
          <cell r="B398">
            <v>7</v>
          </cell>
          <cell r="C398" t="str">
            <v>TELEPHONE &amp; FAX</v>
          </cell>
          <cell r="D398">
            <v>99198</v>
          </cell>
          <cell r="E398">
            <v>54000</v>
          </cell>
          <cell r="F398">
            <v>92571.42857142858</v>
          </cell>
          <cell r="G398">
            <v>1.0715833333333333</v>
          </cell>
        </row>
        <row r="399">
          <cell r="A399" t="str">
            <v>155-10-044</v>
          </cell>
          <cell r="B399">
            <v>7</v>
          </cell>
          <cell r="C399" t="str">
            <v>PROFFESSIONAL TRAINING</v>
          </cell>
          <cell r="D399">
            <v>53125</v>
          </cell>
          <cell r="E399">
            <v>52000</v>
          </cell>
          <cell r="F399">
            <v>89142.857142857145</v>
          </cell>
          <cell r="G399">
            <v>0.59595352564102566</v>
          </cell>
        </row>
        <row r="400">
          <cell r="A400" t="str">
            <v>155-10-046</v>
          </cell>
          <cell r="B400">
            <v>7</v>
          </cell>
          <cell r="C400" t="str">
            <v xml:space="preserve">SUBSCRIPTION- STAFF CLUB MEMBERSHIP </v>
          </cell>
          <cell r="D400">
            <v>0</v>
          </cell>
          <cell r="E400">
            <v>0</v>
          </cell>
          <cell r="F400">
            <v>0</v>
          </cell>
          <cell r="G400">
            <v>0</v>
          </cell>
        </row>
        <row r="401">
          <cell r="A401" t="str">
            <v>155-10-054</v>
          </cell>
          <cell r="B401">
            <v>7</v>
          </cell>
          <cell r="C401" t="str">
            <v>LEASED LINES-INTERNET SERVICES</v>
          </cell>
          <cell r="D401">
            <v>0</v>
          </cell>
          <cell r="E401">
            <v>0</v>
          </cell>
          <cell r="F401">
            <v>0</v>
          </cell>
          <cell r="G401">
            <v>0</v>
          </cell>
        </row>
        <row r="402">
          <cell r="A402" t="str">
            <v>155-10-057</v>
          </cell>
          <cell r="B402">
            <v>7</v>
          </cell>
          <cell r="C402" t="str">
            <v>SOFTWARE LICENCES</v>
          </cell>
          <cell r="D402">
            <v>0</v>
          </cell>
          <cell r="E402">
            <v>0</v>
          </cell>
          <cell r="F402">
            <v>0</v>
          </cell>
          <cell r="G402">
            <v>0</v>
          </cell>
        </row>
        <row r="403">
          <cell r="A403" t="str">
            <v>155-10-059</v>
          </cell>
          <cell r="B403">
            <v>7</v>
          </cell>
          <cell r="E403">
            <v>0</v>
          </cell>
          <cell r="G403">
            <v>0</v>
          </cell>
        </row>
        <row r="404">
          <cell r="A404" t="str">
            <v>155-10-060</v>
          </cell>
          <cell r="B404">
            <v>7</v>
          </cell>
          <cell r="E404">
            <v>0</v>
          </cell>
          <cell r="G404">
            <v>0</v>
          </cell>
        </row>
        <row r="405">
          <cell r="A405" t="str">
            <v>155-10-062</v>
          </cell>
          <cell r="B405">
            <v>7</v>
          </cell>
          <cell r="C405" t="str">
            <v>EDUCATION EXPENSES</v>
          </cell>
          <cell r="D405">
            <v>0</v>
          </cell>
          <cell r="E405">
            <v>0</v>
          </cell>
          <cell r="F405">
            <v>0</v>
          </cell>
          <cell r="G405">
            <v>0</v>
          </cell>
        </row>
        <row r="406">
          <cell r="A406" t="str">
            <v>105-10-010</v>
          </cell>
          <cell r="B406">
            <v>8</v>
          </cell>
          <cell r="C406" t="str">
            <v>BASIC SALARY</v>
          </cell>
          <cell r="D406">
            <v>11533220.4</v>
          </cell>
          <cell r="E406">
            <v>5813000</v>
          </cell>
          <cell r="F406">
            <v>10101550</v>
          </cell>
          <cell r="G406">
            <v>1.1417277942493973</v>
          </cell>
          <cell r="H406" t="str">
            <v>We expect a new staff</v>
          </cell>
        </row>
        <row r="407">
          <cell r="A407" t="str">
            <v>105-10-012</v>
          </cell>
          <cell r="B407">
            <v>8</v>
          </cell>
          <cell r="C407" t="str">
            <v>PROVISION FOR MORT. RATE ADJUSTMENTS</v>
          </cell>
          <cell r="D407">
            <v>447480</v>
          </cell>
          <cell r="E407">
            <v>261000</v>
          </cell>
          <cell r="F407">
            <v>447450</v>
          </cell>
          <cell r="G407">
            <v>1.0000670465973851</v>
          </cell>
        </row>
        <row r="408">
          <cell r="A408" t="str">
            <v>105-10-020</v>
          </cell>
          <cell r="B408">
            <v>8</v>
          </cell>
          <cell r="C408" t="str">
            <v>HOUSE ALLOWANCE</v>
          </cell>
          <cell r="D408">
            <v>1152900</v>
          </cell>
          <cell r="E408">
            <v>630000</v>
          </cell>
          <cell r="F408">
            <v>1110375</v>
          </cell>
          <cell r="G408">
            <v>1.0382978723404255</v>
          </cell>
          <cell r="H408" t="str">
            <v>We expect a new staff</v>
          </cell>
        </row>
        <row r="409">
          <cell r="A409" t="str">
            <v>105-10-030</v>
          </cell>
          <cell r="B409">
            <v>8</v>
          </cell>
          <cell r="C409" t="str">
            <v>TELEPHONE ALLOWANCE</v>
          </cell>
          <cell r="D409">
            <v>84000</v>
          </cell>
          <cell r="E409">
            <v>47000</v>
          </cell>
          <cell r="F409">
            <v>82000</v>
          </cell>
          <cell r="G409">
            <v>1.024390243902439</v>
          </cell>
        </row>
        <row r="410">
          <cell r="A410" t="str">
            <v>105-10-040</v>
          </cell>
          <cell r="B410">
            <v>8</v>
          </cell>
          <cell r="C410" t="str">
            <v>SECURITY ALLOWANCE</v>
          </cell>
          <cell r="D410">
            <v>300000</v>
          </cell>
          <cell r="E410">
            <v>175000</v>
          </cell>
          <cell r="F410">
            <v>300000</v>
          </cell>
          <cell r="G410">
            <v>1</v>
          </cell>
        </row>
        <row r="411">
          <cell r="A411" t="str">
            <v>105-10-060</v>
          </cell>
          <cell r="B411">
            <v>8</v>
          </cell>
          <cell r="C411" t="str">
            <v>TRAVEL ALLOWANCE</v>
          </cell>
          <cell r="D411">
            <v>1185600</v>
          </cell>
          <cell r="E411">
            <v>467000</v>
          </cell>
          <cell r="F411">
            <v>961000</v>
          </cell>
          <cell r="G411">
            <v>1.2337148803329865</v>
          </cell>
          <cell r="H411" t="str">
            <v>Increment awarded in april 2004 not backdated to Jan. Full year in the budget</v>
          </cell>
        </row>
        <row r="412">
          <cell r="A412" t="str">
            <v>105-20-010</v>
          </cell>
          <cell r="B412">
            <v>8</v>
          </cell>
          <cell r="C412" t="str">
            <v>NSSF</v>
          </cell>
          <cell r="D412">
            <v>24000</v>
          </cell>
          <cell r="E412">
            <v>12000</v>
          </cell>
          <cell r="F412">
            <v>22000</v>
          </cell>
          <cell r="G412">
            <v>1.0909090909090908</v>
          </cell>
          <cell r="H412" t="str">
            <v>We expect a new staff</v>
          </cell>
        </row>
        <row r="413">
          <cell r="A413" t="str">
            <v>105-20-020</v>
          </cell>
          <cell r="B413">
            <v>8</v>
          </cell>
          <cell r="C413" t="str">
            <v>NHIF</v>
          </cell>
          <cell r="D413">
            <v>28800</v>
          </cell>
          <cell r="E413">
            <v>11000</v>
          </cell>
          <cell r="F413">
            <v>23000</v>
          </cell>
          <cell r="G413">
            <v>1.2521739130434784</v>
          </cell>
          <cell r="H413" t="str">
            <v>We expect a new staff</v>
          </cell>
        </row>
        <row r="414">
          <cell r="A414" t="str">
            <v>105-30-010</v>
          </cell>
          <cell r="B414">
            <v>8</v>
          </cell>
          <cell r="C414" t="str">
            <v xml:space="preserve">PENSION </v>
          </cell>
          <cell r="D414">
            <v>1441652.55</v>
          </cell>
          <cell r="E414">
            <v>673000</v>
          </cell>
          <cell r="F414">
            <v>1273688.5625</v>
          </cell>
          <cell r="G414">
            <v>1.1318721015837026</v>
          </cell>
        </row>
        <row r="415">
          <cell r="A415" t="str">
            <v>105-30-020</v>
          </cell>
          <cell r="B415">
            <v>8</v>
          </cell>
          <cell r="C415" t="str">
            <v>LAST EXPENSE</v>
          </cell>
          <cell r="D415">
            <v>8112</v>
          </cell>
          <cell r="E415">
            <v>6000</v>
          </cell>
          <cell r="F415">
            <v>10285.714285714286</v>
          </cell>
          <cell r="G415">
            <v>0.78866666666666663</v>
          </cell>
        </row>
        <row r="416">
          <cell r="A416" t="str">
            <v>105-30-030</v>
          </cell>
          <cell r="B416">
            <v>8</v>
          </cell>
          <cell r="C416" t="str">
            <v>GROUP LIFE ASSURANCE</v>
          </cell>
          <cell r="D416">
            <v>175032</v>
          </cell>
          <cell r="E416">
            <v>115000</v>
          </cell>
          <cell r="F416">
            <v>197142.85714285713</v>
          </cell>
          <cell r="G416">
            <v>0.88784347826086962</v>
          </cell>
        </row>
        <row r="417">
          <cell r="A417" t="str">
            <v>105-30-040</v>
          </cell>
          <cell r="B417">
            <v>8</v>
          </cell>
          <cell r="C417" t="str">
            <v>STAFF MEDICAL</v>
          </cell>
          <cell r="D417">
            <v>0</v>
          </cell>
          <cell r="F417">
            <v>0</v>
          </cell>
          <cell r="G417">
            <v>0</v>
          </cell>
        </row>
        <row r="418">
          <cell r="A418" t="str">
            <v>105-30-050</v>
          </cell>
          <cell r="B418">
            <v>8</v>
          </cell>
          <cell r="C418" t="str">
            <v>CASH IN LIEU OF LEAVE</v>
          </cell>
          <cell r="D418">
            <v>288330.51</v>
          </cell>
          <cell r="E418">
            <v>196000</v>
          </cell>
          <cell r="F418">
            <v>336000</v>
          </cell>
          <cell r="G418">
            <v>0.85812651785714311</v>
          </cell>
        </row>
        <row r="419">
          <cell r="A419" t="str">
            <v>105-30-060</v>
          </cell>
          <cell r="B419">
            <v>8</v>
          </cell>
          <cell r="C419" t="str">
            <v>GRATUITY</v>
          </cell>
          <cell r="E419">
            <v>0</v>
          </cell>
          <cell r="F419">
            <v>0</v>
          </cell>
          <cell r="G419">
            <v>0</v>
          </cell>
        </row>
        <row r="420">
          <cell r="A420" t="str">
            <v>105-30-070</v>
          </cell>
          <cell r="B420">
            <v>8</v>
          </cell>
          <cell r="C420" t="str">
            <v>LONG SERVICE AWARDS</v>
          </cell>
          <cell r="D420">
            <v>0</v>
          </cell>
          <cell r="E420">
            <v>0</v>
          </cell>
          <cell r="F420">
            <v>0</v>
          </cell>
          <cell r="G420">
            <v>0</v>
          </cell>
        </row>
        <row r="421">
          <cell r="A421" t="str">
            <v>105-30-080</v>
          </cell>
          <cell r="B421">
            <v>8</v>
          </cell>
          <cell r="C421" t="str">
            <v>STAFF RECRUITMENT &amp; REMOVALS</v>
          </cell>
          <cell r="D421">
            <v>0</v>
          </cell>
          <cell r="G421">
            <v>0</v>
          </cell>
        </row>
        <row r="422">
          <cell r="A422" t="str">
            <v>115-10-010</v>
          </cell>
          <cell r="B422">
            <v>8</v>
          </cell>
          <cell r="C422" t="str">
            <v>Furniture &amp; Fittings</v>
          </cell>
          <cell r="D422">
            <v>5625</v>
          </cell>
        </row>
        <row r="423">
          <cell r="A423" t="str">
            <v>115-10-010</v>
          </cell>
          <cell r="B423">
            <v>8</v>
          </cell>
          <cell r="D423">
            <v>3959883.72</v>
          </cell>
          <cell r="E423">
            <v>2519000</v>
          </cell>
          <cell r="F423">
            <v>4318285.7142857146</v>
          </cell>
          <cell r="G423">
            <v>0.9170036403334656</v>
          </cell>
        </row>
        <row r="424">
          <cell r="A424" t="str">
            <v>115-10-010</v>
          </cell>
          <cell r="B424">
            <v>8</v>
          </cell>
          <cell r="C424" t="str">
            <v>Furniture &amp; Fittings</v>
          </cell>
          <cell r="D424">
            <v>2604.166666666667</v>
          </cell>
        </row>
        <row r="425">
          <cell r="A425" t="str">
            <v>115-10-010</v>
          </cell>
          <cell r="B425">
            <v>8</v>
          </cell>
          <cell r="C425" t="str">
            <v>Furniture &amp; Fittings</v>
          </cell>
          <cell r="D425">
            <v>3989.5833333333335</v>
          </cell>
        </row>
        <row r="426">
          <cell r="A426" t="str">
            <v>115-10-010</v>
          </cell>
          <cell r="B426">
            <v>8</v>
          </cell>
          <cell r="C426" t="str">
            <v>Furniture &amp; Fittings</v>
          </cell>
          <cell r="D426">
            <v>0</v>
          </cell>
        </row>
        <row r="427">
          <cell r="A427" t="str">
            <v>115-10-010</v>
          </cell>
          <cell r="B427">
            <v>8</v>
          </cell>
          <cell r="C427" t="str">
            <v>Furniture &amp; Fittings</v>
          </cell>
          <cell r="D427">
            <v>0</v>
          </cell>
        </row>
        <row r="428">
          <cell r="A428" t="str">
            <v>115-10-010</v>
          </cell>
          <cell r="B428">
            <v>8</v>
          </cell>
          <cell r="C428" t="str">
            <v>Furniture &amp; Fittings</v>
          </cell>
          <cell r="D428">
            <v>0</v>
          </cell>
        </row>
        <row r="429">
          <cell r="A429" t="str">
            <v>115-10-010</v>
          </cell>
          <cell r="B429">
            <v>8</v>
          </cell>
          <cell r="C429" t="str">
            <v>Furniture &amp; Fittings</v>
          </cell>
          <cell r="D429">
            <v>0</v>
          </cell>
        </row>
        <row r="430">
          <cell r="A430" t="str">
            <v>115-10-010</v>
          </cell>
          <cell r="B430">
            <v>8</v>
          </cell>
          <cell r="C430" t="str">
            <v>Furniture &amp; Fittings</v>
          </cell>
          <cell r="D430">
            <v>0</v>
          </cell>
        </row>
        <row r="431">
          <cell r="A431" t="str">
            <v>115-10-010</v>
          </cell>
          <cell r="B431">
            <v>8</v>
          </cell>
          <cell r="C431" t="str">
            <v>Furniture &amp; Fittings</v>
          </cell>
          <cell r="D431">
            <v>17500</v>
          </cell>
        </row>
        <row r="432">
          <cell r="A432" t="str">
            <v>115-10-010</v>
          </cell>
          <cell r="B432">
            <v>8</v>
          </cell>
          <cell r="C432" t="str">
            <v>Furniture &amp; Fittings</v>
          </cell>
          <cell r="D432">
            <v>0</v>
          </cell>
        </row>
        <row r="433">
          <cell r="A433" t="str">
            <v>115-10-010</v>
          </cell>
          <cell r="B433">
            <v>8</v>
          </cell>
          <cell r="C433" t="str">
            <v>Furniture &amp; Fittings</v>
          </cell>
          <cell r="D433">
            <v>0</v>
          </cell>
        </row>
        <row r="434">
          <cell r="A434" t="str">
            <v>115-10-010</v>
          </cell>
          <cell r="B434">
            <v>8</v>
          </cell>
          <cell r="C434" t="str">
            <v>Furniture &amp; Fittings</v>
          </cell>
          <cell r="D434">
            <v>10927.083333333334</v>
          </cell>
        </row>
        <row r="435">
          <cell r="A435" t="str">
            <v>115-10-010</v>
          </cell>
          <cell r="B435">
            <v>8</v>
          </cell>
          <cell r="C435" t="str">
            <v>Furniture &amp; Fittings</v>
          </cell>
          <cell r="D435">
            <v>38437.5</v>
          </cell>
        </row>
        <row r="436">
          <cell r="A436" t="str">
            <v>115-10-010</v>
          </cell>
          <cell r="B436">
            <v>8</v>
          </cell>
          <cell r="C436" t="str">
            <v>Furniture &amp; Fittings</v>
          </cell>
          <cell r="D436">
            <v>7500</v>
          </cell>
        </row>
        <row r="437">
          <cell r="A437" t="str">
            <v>115-10-010</v>
          </cell>
          <cell r="B437">
            <v>8</v>
          </cell>
          <cell r="C437" t="str">
            <v>Furniture &amp; Fittings</v>
          </cell>
          <cell r="D437">
            <v>0</v>
          </cell>
        </row>
        <row r="438">
          <cell r="A438" t="str">
            <v>115-10-010</v>
          </cell>
          <cell r="B438">
            <v>8</v>
          </cell>
          <cell r="C438" t="str">
            <v>Furniture &amp; Fittings</v>
          </cell>
          <cell r="D438">
            <v>13593.75</v>
          </cell>
        </row>
        <row r="439">
          <cell r="A439" t="str">
            <v>115-10-010</v>
          </cell>
          <cell r="B439">
            <v>8</v>
          </cell>
          <cell r="C439" t="str">
            <v>Furniture &amp; Fittings</v>
          </cell>
          <cell r="D439">
            <v>145802.08333333334</v>
          </cell>
        </row>
        <row r="440">
          <cell r="A440" t="str">
            <v>115-10-010</v>
          </cell>
          <cell r="B440">
            <v>8</v>
          </cell>
          <cell r="C440" t="str">
            <v>Furniture &amp; Fittings</v>
          </cell>
          <cell r="D440">
            <v>5625</v>
          </cell>
        </row>
        <row r="441">
          <cell r="A441" t="str">
            <v>115-10-010</v>
          </cell>
          <cell r="B441">
            <v>8</v>
          </cell>
          <cell r="C441" t="str">
            <v>Furniture &amp; Fittings</v>
          </cell>
          <cell r="D441">
            <v>0</v>
          </cell>
        </row>
        <row r="442">
          <cell r="A442" t="str">
            <v>115-10-010</v>
          </cell>
          <cell r="B442">
            <v>8</v>
          </cell>
          <cell r="C442" t="str">
            <v>Furniture &amp; Fittings</v>
          </cell>
          <cell r="D442">
            <v>15041.666666666666</v>
          </cell>
        </row>
        <row r="443">
          <cell r="A443" t="str">
            <v>115-10-010</v>
          </cell>
          <cell r="B443">
            <v>8</v>
          </cell>
          <cell r="C443" t="str">
            <v>Furniture &amp; Fittings</v>
          </cell>
          <cell r="D443">
            <v>5208.3333333333339</v>
          </cell>
        </row>
        <row r="444">
          <cell r="A444" t="str">
            <v>115-10-010</v>
          </cell>
          <cell r="B444">
            <v>8</v>
          </cell>
          <cell r="C444" t="str">
            <v>Furniture &amp; Fittings</v>
          </cell>
          <cell r="D444">
            <v>833.33333333333326</v>
          </cell>
        </row>
        <row r="445">
          <cell r="A445" t="str">
            <v>115-10-010</v>
          </cell>
          <cell r="B445">
            <v>8</v>
          </cell>
          <cell r="C445" t="str">
            <v>Furniture &amp; Fittings</v>
          </cell>
          <cell r="D445">
            <v>4708.3333333333339</v>
          </cell>
        </row>
        <row r="446">
          <cell r="A446" t="str">
            <v>115-10-010</v>
          </cell>
          <cell r="B446">
            <v>8</v>
          </cell>
          <cell r="C446" t="str">
            <v>Furniture &amp; Fittings</v>
          </cell>
          <cell r="D446">
            <v>28125</v>
          </cell>
        </row>
        <row r="447">
          <cell r="A447" t="str">
            <v>115-10-020</v>
          </cell>
          <cell r="B447">
            <v>8</v>
          </cell>
          <cell r="C447" t="str">
            <v>Computers</v>
          </cell>
          <cell r="D447">
            <v>50000</v>
          </cell>
          <cell r="H447">
            <v>16761</v>
          </cell>
        </row>
        <row r="448">
          <cell r="A448" t="str">
            <v>115-10-020</v>
          </cell>
          <cell r="B448">
            <v>8</v>
          </cell>
          <cell r="C448" t="str">
            <v>Office Equipment</v>
          </cell>
          <cell r="D448">
            <v>42187.5</v>
          </cell>
          <cell r="H448">
            <v>16761000</v>
          </cell>
        </row>
        <row r="449">
          <cell r="A449" t="str">
            <v>115-10-020</v>
          </cell>
          <cell r="B449">
            <v>8</v>
          </cell>
          <cell r="D449">
            <v>4791352.3</v>
          </cell>
          <cell r="E449">
            <v>2894000</v>
          </cell>
          <cell r="F449">
            <v>4961142.8571428573</v>
          </cell>
          <cell r="G449">
            <v>0.96577591856715039</v>
          </cell>
        </row>
        <row r="450">
          <cell r="A450" t="str">
            <v>115-10-020</v>
          </cell>
          <cell r="B450">
            <v>8</v>
          </cell>
          <cell r="C450" t="str">
            <v>Computers</v>
          </cell>
          <cell r="D450">
            <v>1152083.3333333333</v>
          </cell>
          <cell r="E450">
            <v>26888000</v>
          </cell>
        </row>
        <row r="451">
          <cell r="A451" t="str">
            <v>115-10-020</v>
          </cell>
          <cell r="B451">
            <v>8</v>
          </cell>
          <cell r="C451" t="str">
            <v>Office Equipment</v>
          </cell>
          <cell r="D451">
            <v>0</v>
          </cell>
        </row>
        <row r="452">
          <cell r="A452" t="str">
            <v>115-10-020</v>
          </cell>
          <cell r="B452">
            <v>8</v>
          </cell>
          <cell r="C452" t="str">
            <v>Computers</v>
          </cell>
          <cell r="D452">
            <v>65104.166666666672</v>
          </cell>
          <cell r="E452">
            <v>7340267.9188541677</v>
          </cell>
        </row>
        <row r="453">
          <cell r="A453" t="str">
            <v>115-10-020</v>
          </cell>
          <cell r="B453">
            <v>8</v>
          </cell>
          <cell r="C453" t="str">
            <v>Office Equipment</v>
          </cell>
          <cell r="D453">
            <v>0</v>
          </cell>
        </row>
        <row r="454">
          <cell r="A454" t="str">
            <v>115-10-020</v>
          </cell>
          <cell r="B454">
            <v>8</v>
          </cell>
          <cell r="C454" t="str">
            <v>Computers</v>
          </cell>
          <cell r="D454">
            <v>33333.333333333336</v>
          </cell>
          <cell r="E454">
            <v>11181541.666666666</v>
          </cell>
        </row>
        <row r="455">
          <cell r="A455" t="str">
            <v>115-10-020</v>
          </cell>
          <cell r="B455">
            <v>8</v>
          </cell>
          <cell r="C455" t="str">
            <v>Office Equipment</v>
          </cell>
          <cell r="D455">
            <v>0</v>
          </cell>
        </row>
        <row r="456">
          <cell r="A456" t="str">
            <v>115-10-020</v>
          </cell>
          <cell r="B456">
            <v>8</v>
          </cell>
          <cell r="C456" t="str">
            <v>Computers</v>
          </cell>
          <cell r="D456">
            <v>1868515.85</v>
          </cell>
          <cell r="E456">
            <v>6359333.333333334</v>
          </cell>
        </row>
        <row r="457">
          <cell r="A457" t="str">
            <v>115-10-020</v>
          </cell>
          <cell r="B457">
            <v>8</v>
          </cell>
          <cell r="C457" t="str">
            <v>Office Equipment</v>
          </cell>
          <cell r="D457">
            <v>150000</v>
          </cell>
        </row>
        <row r="458">
          <cell r="A458" t="str">
            <v>115-10-020</v>
          </cell>
          <cell r="B458">
            <v>8</v>
          </cell>
          <cell r="C458" t="str">
            <v>Computers</v>
          </cell>
          <cell r="D458">
            <v>0</v>
          </cell>
          <cell r="E458">
            <v>4244875</v>
          </cell>
        </row>
        <row r="459">
          <cell r="A459" t="str">
            <v>115-10-020</v>
          </cell>
          <cell r="B459">
            <v>8</v>
          </cell>
          <cell r="C459" t="str">
            <v>Office Equipment</v>
          </cell>
          <cell r="D459">
            <v>0</v>
          </cell>
        </row>
        <row r="460">
          <cell r="A460" t="str">
            <v>115-10-020</v>
          </cell>
          <cell r="B460">
            <v>8</v>
          </cell>
          <cell r="C460" t="str">
            <v>Computers</v>
          </cell>
          <cell r="D460">
            <v>0</v>
          </cell>
          <cell r="E460">
            <v>3269400</v>
          </cell>
        </row>
        <row r="461">
          <cell r="A461" t="str">
            <v>115-10-020</v>
          </cell>
          <cell r="B461">
            <v>8</v>
          </cell>
          <cell r="C461" t="str">
            <v>Office Equipment</v>
          </cell>
          <cell r="D461">
            <v>0</v>
          </cell>
        </row>
        <row r="462">
          <cell r="A462" t="str">
            <v>115-10-020</v>
          </cell>
          <cell r="B462">
            <v>8</v>
          </cell>
          <cell r="C462" t="str">
            <v>Computers</v>
          </cell>
          <cell r="D462">
            <v>0</v>
          </cell>
          <cell r="E462">
            <v>3460085.4166666665</v>
          </cell>
        </row>
        <row r="463">
          <cell r="A463" t="str">
            <v>115-10-020</v>
          </cell>
          <cell r="B463">
            <v>8</v>
          </cell>
          <cell r="C463" t="str">
            <v>Office Equipment</v>
          </cell>
          <cell r="D463">
            <v>0</v>
          </cell>
        </row>
        <row r="464">
          <cell r="A464" t="str">
            <v>115-10-020</v>
          </cell>
          <cell r="B464">
            <v>8</v>
          </cell>
          <cell r="C464" t="str">
            <v>Computers</v>
          </cell>
          <cell r="D464">
            <v>0</v>
          </cell>
          <cell r="H464">
            <v>500867.33333333331</v>
          </cell>
        </row>
        <row r="465">
          <cell r="A465" t="str">
            <v>115-10-020</v>
          </cell>
          <cell r="B465">
            <v>8</v>
          </cell>
          <cell r="C465" t="str">
            <v>Office Equipment</v>
          </cell>
          <cell r="D465">
            <v>0</v>
          </cell>
          <cell r="H465">
            <v>500867.33333333331</v>
          </cell>
        </row>
        <row r="466">
          <cell r="A466" t="str">
            <v>115-10-020</v>
          </cell>
          <cell r="B466">
            <v>8</v>
          </cell>
          <cell r="C466" t="str">
            <v>Computers</v>
          </cell>
          <cell r="D466">
            <v>0</v>
          </cell>
          <cell r="E466">
            <v>847491</v>
          </cell>
          <cell r="H466">
            <v>827250</v>
          </cell>
        </row>
        <row r="467">
          <cell r="A467" t="str">
            <v>115-10-020</v>
          </cell>
          <cell r="B467">
            <v>8</v>
          </cell>
          <cell r="C467" t="str">
            <v>Office Equipment</v>
          </cell>
          <cell r="D467">
            <v>0</v>
          </cell>
          <cell r="H467">
            <v>-20241</v>
          </cell>
        </row>
        <row r="468">
          <cell r="A468" t="str">
            <v>115-10-020</v>
          </cell>
          <cell r="B468">
            <v>8</v>
          </cell>
          <cell r="C468" t="str">
            <v>Computers</v>
          </cell>
          <cell r="D468">
            <v>25000</v>
          </cell>
          <cell r="E468">
            <v>993000</v>
          </cell>
          <cell r="H468">
            <v>976500</v>
          </cell>
        </row>
        <row r="469">
          <cell r="A469" t="str">
            <v>115-10-020</v>
          </cell>
          <cell r="B469">
            <v>8</v>
          </cell>
          <cell r="C469" t="str">
            <v>Office Equipment</v>
          </cell>
          <cell r="D469">
            <v>3375</v>
          </cell>
          <cell r="H469">
            <v>-16500</v>
          </cell>
        </row>
        <row r="470">
          <cell r="A470" t="str">
            <v>115-10-020</v>
          </cell>
          <cell r="B470">
            <v>8</v>
          </cell>
          <cell r="C470" t="str">
            <v>Computers</v>
          </cell>
          <cell r="D470">
            <v>25000</v>
          </cell>
          <cell r="E470">
            <v>644887.16666666663</v>
          </cell>
          <cell r="H470">
            <v>588554.16666666663</v>
          </cell>
        </row>
        <row r="471">
          <cell r="A471" t="str">
            <v>115-10-020</v>
          </cell>
          <cell r="B471">
            <v>8</v>
          </cell>
          <cell r="C471" t="str">
            <v>Office Equipment</v>
          </cell>
          <cell r="D471">
            <v>0</v>
          </cell>
          <cell r="H471">
            <v>-56333</v>
          </cell>
        </row>
        <row r="472">
          <cell r="A472" t="str">
            <v>115-10-020</v>
          </cell>
          <cell r="B472">
            <v>8</v>
          </cell>
          <cell r="C472" t="str">
            <v>Computers</v>
          </cell>
          <cell r="D472">
            <v>33333.333333333336</v>
          </cell>
          <cell r="E472">
            <v>833333.33333333326</v>
          </cell>
          <cell r="H472">
            <v>835333.33333333337</v>
          </cell>
        </row>
        <row r="473">
          <cell r="A473" t="str">
            <v>115-10-020</v>
          </cell>
          <cell r="B473">
            <v>8</v>
          </cell>
          <cell r="C473" t="str">
            <v>Office Equipment</v>
          </cell>
          <cell r="D473">
            <v>29166.666666666668</v>
          </cell>
          <cell r="H473">
            <v>2000.0000000001164</v>
          </cell>
        </row>
        <row r="474">
          <cell r="A474" t="str">
            <v>115-10-020</v>
          </cell>
          <cell r="B474">
            <v>8</v>
          </cell>
          <cell r="C474" t="str">
            <v>Computers</v>
          </cell>
          <cell r="D474">
            <v>25000</v>
          </cell>
          <cell r="E474">
            <v>1017333.3333333334</v>
          </cell>
          <cell r="H474">
            <v>958833.33333333326</v>
          </cell>
        </row>
        <row r="475">
          <cell r="A475" t="str">
            <v>115-10-020</v>
          </cell>
          <cell r="B475">
            <v>8</v>
          </cell>
          <cell r="C475" t="str">
            <v>Office Equipment</v>
          </cell>
          <cell r="D475">
            <v>25000</v>
          </cell>
          <cell r="H475">
            <v>-58500.000000000116</v>
          </cell>
        </row>
        <row r="476">
          <cell r="A476" t="str">
            <v>115-10-020</v>
          </cell>
          <cell r="B476">
            <v>8</v>
          </cell>
          <cell r="C476" t="str">
            <v>Computers</v>
          </cell>
          <cell r="D476">
            <v>36666.666666666664</v>
          </cell>
          <cell r="E476">
            <v>38407273.333333336</v>
          </cell>
        </row>
        <row r="477">
          <cell r="A477" t="str">
            <v>115-10-020</v>
          </cell>
          <cell r="B477">
            <v>8</v>
          </cell>
          <cell r="C477" t="str">
            <v>Office Equipment</v>
          </cell>
          <cell r="D477">
            <v>55000</v>
          </cell>
        </row>
        <row r="478">
          <cell r="A478" t="str">
            <v>115-10-020</v>
          </cell>
          <cell r="B478">
            <v>8</v>
          </cell>
          <cell r="C478" t="str">
            <v>Computers</v>
          </cell>
          <cell r="D478">
            <v>0</v>
          </cell>
          <cell r="E478">
            <v>654585.66666666663</v>
          </cell>
          <cell r="H478">
            <v>619666.66666666674</v>
          </cell>
        </row>
        <row r="479">
          <cell r="A479" t="str">
            <v>115-10-020</v>
          </cell>
          <cell r="B479">
            <v>8</v>
          </cell>
          <cell r="C479" t="str">
            <v>Office Equipment</v>
          </cell>
          <cell r="D479">
            <v>0</v>
          </cell>
          <cell r="H479">
            <v>-34918.999999999884</v>
          </cell>
        </row>
        <row r="480">
          <cell r="A480" t="str">
            <v>115-10-020</v>
          </cell>
          <cell r="B480">
            <v>8</v>
          </cell>
          <cell r="C480" t="str">
            <v>Computers</v>
          </cell>
          <cell r="D480">
            <v>0</v>
          </cell>
          <cell r="E480">
            <v>712650</v>
          </cell>
          <cell r="H480">
            <v>697250</v>
          </cell>
        </row>
        <row r="481">
          <cell r="A481" t="str">
            <v>115-10-020</v>
          </cell>
          <cell r="B481">
            <v>8</v>
          </cell>
          <cell r="C481" t="str">
            <v>Office Equipment</v>
          </cell>
          <cell r="D481">
            <v>0</v>
          </cell>
          <cell r="H481">
            <v>-15400</v>
          </cell>
        </row>
        <row r="482">
          <cell r="A482" t="str">
            <v>115-10-020</v>
          </cell>
          <cell r="B482">
            <v>8</v>
          </cell>
          <cell r="C482" t="str">
            <v>Computers</v>
          </cell>
          <cell r="D482">
            <v>0</v>
          </cell>
          <cell r="E482">
            <v>811250</v>
          </cell>
          <cell r="H482">
            <v>791250</v>
          </cell>
        </row>
        <row r="483">
          <cell r="A483" t="str">
            <v>115-10-020</v>
          </cell>
          <cell r="B483">
            <v>8</v>
          </cell>
          <cell r="C483" t="str">
            <v>Office Equipment</v>
          </cell>
          <cell r="D483">
            <v>2145.833333333333</v>
          </cell>
          <cell r="H483">
            <v>-20000</v>
          </cell>
        </row>
        <row r="484">
          <cell r="A484" t="str">
            <v>115-10-020</v>
          </cell>
          <cell r="B484">
            <v>8</v>
          </cell>
          <cell r="C484" t="str">
            <v>Computers</v>
          </cell>
          <cell r="D484">
            <v>0</v>
          </cell>
          <cell r="E484">
            <v>1265666.6666666665</v>
          </cell>
          <cell r="H484">
            <v>1217666.6666666665</v>
          </cell>
        </row>
        <row r="485">
          <cell r="A485" t="str">
            <v>115-10-020</v>
          </cell>
          <cell r="B485">
            <v>8</v>
          </cell>
          <cell r="C485" t="str">
            <v>Office Equipment</v>
          </cell>
          <cell r="D485">
            <v>30208.333333333332</v>
          </cell>
          <cell r="H485">
            <v>-48000</v>
          </cell>
        </row>
        <row r="486">
          <cell r="A486" t="str">
            <v>115-10-020</v>
          </cell>
          <cell r="B486">
            <v>8</v>
          </cell>
          <cell r="C486" t="str">
            <v>Computers</v>
          </cell>
          <cell r="D486">
            <v>20000</v>
          </cell>
          <cell r="E486">
            <v>761500</v>
          </cell>
          <cell r="H486">
            <v>761500</v>
          </cell>
        </row>
        <row r="487">
          <cell r="A487" t="str">
            <v>115-10-020</v>
          </cell>
          <cell r="B487">
            <v>8</v>
          </cell>
          <cell r="C487" t="str">
            <v>Office Equipment</v>
          </cell>
          <cell r="D487">
            <v>8750</v>
          </cell>
          <cell r="H487">
            <v>0</v>
          </cell>
        </row>
        <row r="488">
          <cell r="A488" t="str">
            <v>115-10-020</v>
          </cell>
          <cell r="B488">
            <v>8</v>
          </cell>
          <cell r="C488" t="str">
            <v>Computers</v>
          </cell>
          <cell r="D488">
            <v>25000</v>
          </cell>
          <cell r="E488">
            <v>686250</v>
          </cell>
          <cell r="H488">
            <v>686250</v>
          </cell>
        </row>
        <row r="489">
          <cell r="A489" t="str">
            <v>115-10-020</v>
          </cell>
          <cell r="B489">
            <v>8</v>
          </cell>
          <cell r="C489" t="str">
            <v>Office Equipment</v>
          </cell>
          <cell r="D489">
            <v>0</v>
          </cell>
          <cell r="H489">
            <v>0</v>
          </cell>
        </row>
        <row r="490">
          <cell r="A490" t="str">
            <v>115-10-020</v>
          </cell>
          <cell r="B490">
            <v>8</v>
          </cell>
          <cell r="C490" t="str">
            <v>Computers</v>
          </cell>
          <cell r="D490">
            <v>22500</v>
          </cell>
          <cell r="E490">
            <v>589250</v>
          </cell>
          <cell r="H490">
            <v>589250</v>
          </cell>
        </row>
        <row r="491">
          <cell r="A491" t="str">
            <v>115-10-020</v>
          </cell>
          <cell r="B491">
            <v>8</v>
          </cell>
          <cell r="C491" t="str">
            <v>Office Equipment</v>
          </cell>
          <cell r="D491">
            <v>833.33333333333326</v>
          </cell>
          <cell r="H491">
            <v>0</v>
          </cell>
        </row>
        <row r="492">
          <cell r="A492" t="str">
            <v>115-10-020</v>
          </cell>
          <cell r="B492">
            <v>8</v>
          </cell>
          <cell r="C492" t="str">
            <v>Computers</v>
          </cell>
          <cell r="D492">
            <v>25000</v>
          </cell>
          <cell r="E492">
            <v>16627115.560000001</v>
          </cell>
          <cell r="H492">
            <v>15279080.960000001</v>
          </cell>
        </row>
        <row r="493">
          <cell r="A493" t="str">
            <v>115-10-020</v>
          </cell>
          <cell r="B493">
            <v>8</v>
          </cell>
          <cell r="C493" t="str">
            <v>Office Equipment</v>
          </cell>
          <cell r="D493">
            <v>0</v>
          </cell>
          <cell r="H493">
            <v>1348034.6</v>
          </cell>
        </row>
        <row r="494">
          <cell r="A494" t="str">
            <v>115-10-020</v>
          </cell>
          <cell r="B494">
            <v>8</v>
          </cell>
          <cell r="C494" t="str">
            <v>Computers</v>
          </cell>
          <cell r="D494">
            <v>46875</v>
          </cell>
          <cell r="E494">
            <v>741000</v>
          </cell>
        </row>
        <row r="495">
          <cell r="A495" t="str">
            <v>115-10-020</v>
          </cell>
          <cell r="B495">
            <v>8</v>
          </cell>
          <cell r="C495" t="str">
            <v>Office Equipment</v>
          </cell>
          <cell r="D495">
            <v>0</v>
          </cell>
        </row>
        <row r="496">
          <cell r="A496" t="str">
            <v>115-10-030</v>
          </cell>
          <cell r="B496">
            <v>8</v>
          </cell>
          <cell r="C496" t="str">
            <v>Depreciation -M/V -Additions</v>
          </cell>
          <cell r="D496">
            <v>0</v>
          </cell>
          <cell r="G496" t="str">
            <v/>
          </cell>
        </row>
        <row r="497">
          <cell r="A497" t="str">
            <v>115-10-030</v>
          </cell>
          <cell r="B497">
            <v>8</v>
          </cell>
          <cell r="D497">
            <v>2855000</v>
          </cell>
          <cell r="E497">
            <v>265000</v>
          </cell>
          <cell r="F497">
            <v>4020951.7142857146</v>
          </cell>
          <cell r="G497">
            <v>0.71003090881611464</v>
          </cell>
          <cell r="H497" t="str">
            <v>Due to the acquisition of the new vehicles</v>
          </cell>
        </row>
        <row r="498">
          <cell r="A498" t="str">
            <v>115-10-030</v>
          </cell>
          <cell r="B498">
            <v>8</v>
          </cell>
          <cell r="C498" t="str">
            <v>Depreciation -M/V -Additions</v>
          </cell>
          <cell r="D498">
            <v>0</v>
          </cell>
          <cell r="G498" t="str">
            <v/>
          </cell>
        </row>
        <row r="499">
          <cell r="A499" t="str">
            <v>115-10-030</v>
          </cell>
          <cell r="B499">
            <v>8</v>
          </cell>
          <cell r="C499" t="str">
            <v>Depreciation -M/V -Additions</v>
          </cell>
          <cell r="D499">
            <v>0</v>
          </cell>
          <cell r="G499" t="str">
            <v/>
          </cell>
        </row>
        <row r="500">
          <cell r="A500" t="str">
            <v>115-10-030</v>
          </cell>
          <cell r="B500">
            <v>8</v>
          </cell>
          <cell r="C500" t="str">
            <v>Depreciation -M/V -Additions</v>
          </cell>
          <cell r="D500">
            <v>0</v>
          </cell>
          <cell r="G500" t="str">
            <v/>
          </cell>
        </row>
        <row r="501">
          <cell r="A501" t="str">
            <v>115-10-030</v>
          </cell>
          <cell r="B501">
            <v>8</v>
          </cell>
          <cell r="C501" t="str">
            <v>Depreciation -M/V -Additions</v>
          </cell>
          <cell r="D501">
            <v>0</v>
          </cell>
          <cell r="G501" t="str">
            <v/>
          </cell>
        </row>
        <row r="502">
          <cell r="A502" t="str">
            <v>115-10-030</v>
          </cell>
          <cell r="B502">
            <v>8</v>
          </cell>
          <cell r="C502" t="str">
            <v>Depreciation -M/V -Additions</v>
          </cell>
          <cell r="D502">
            <v>0</v>
          </cell>
          <cell r="G502" t="str">
            <v/>
          </cell>
        </row>
        <row r="503">
          <cell r="A503" t="str">
            <v>115-10-030</v>
          </cell>
          <cell r="B503">
            <v>8</v>
          </cell>
          <cell r="C503" t="str">
            <v>Depreciation -M/V -Additions</v>
          </cell>
          <cell r="D503">
            <v>0</v>
          </cell>
          <cell r="G503" t="str">
            <v/>
          </cell>
        </row>
        <row r="504">
          <cell r="A504" t="str">
            <v>115-10-030</v>
          </cell>
          <cell r="B504">
            <v>8</v>
          </cell>
          <cell r="C504" t="str">
            <v>Depreciation -M/V -Additions</v>
          </cell>
          <cell r="D504">
            <v>0</v>
          </cell>
          <cell r="G504" t="str">
            <v/>
          </cell>
        </row>
        <row r="505">
          <cell r="A505" t="str">
            <v>115-10-030</v>
          </cell>
          <cell r="B505">
            <v>8</v>
          </cell>
          <cell r="C505" t="str">
            <v>Depreciation -M/V -Additions</v>
          </cell>
          <cell r="D505">
            <v>0</v>
          </cell>
          <cell r="G505" t="str">
            <v/>
          </cell>
        </row>
        <row r="506">
          <cell r="A506" t="str">
            <v>115-10-030</v>
          </cell>
          <cell r="B506">
            <v>8</v>
          </cell>
          <cell r="C506" t="str">
            <v>Depreciation -M/V -Additions</v>
          </cell>
          <cell r="D506">
            <v>0</v>
          </cell>
          <cell r="G506" t="str">
            <v/>
          </cell>
        </row>
        <row r="507">
          <cell r="A507" t="str">
            <v>115-10-030</v>
          </cell>
          <cell r="B507">
            <v>8</v>
          </cell>
          <cell r="C507" t="str">
            <v>Depreciation -M/V -Additions</v>
          </cell>
          <cell r="D507">
            <v>0</v>
          </cell>
          <cell r="G507" t="str">
            <v/>
          </cell>
        </row>
        <row r="508">
          <cell r="A508" t="str">
            <v>115-10-030</v>
          </cell>
          <cell r="B508">
            <v>8</v>
          </cell>
          <cell r="C508" t="str">
            <v>Depreciation -M/V -Additions</v>
          </cell>
          <cell r="D508">
            <v>0</v>
          </cell>
          <cell r="G508" t="str">
            <v/>
          </cell>
        </row>
        <row r="509">
          <cell r="A509" t="str">
            <v>115-10-030</v>
          </cell>
          <cell r="B509">
            <v>8</v>
          </cell>
          <cell r="C509" t="str">
            <v>Depreciation -M/V -Additions</v>
          </cell>
          <cell r="D509">
            <v>0</v>
          </cell>
          <cell r="G509" t="str">
            <v/>
          </cell>
        </row>
        <row r="510">
          <cell r="A510" t="str">
            <v>115-10-030</v>
          </cell>
          <cell r="B510">
            <v>8</v>
          </cell>
          <cell r="C510" t="str">
            <v>Depreciation -M/V -Additions</v>
          </cell>
          <cell r="D510">
            <v>0</v>
          </cell>
          <cell r="G510" t="str">
            <v/>
          </cell>
        </row>
        <row r="511">
          <cell r="A511" t="str">
            <v>115-10-030</v>
          </cell>
          <cell r="B511">
            <v>8</v>
          </cell>
          <cell r="C511" t="str">
            <v>Depreciation -M/V -Additions</v>
          </cell>
          <cell r="D511">
            <v>750000</v>
          </cell>
          <cell r="G511" t="str">
            <v/>
          </cell>
        </row>
        <row r="512">
          <cell r="A512" t="str">
            <v>115-10-030</v>
          </cell>
          <cell r="B512">
            <v>8</v>
          </cell>
          <cell r="C512" t="str">
            <v>Depreciation -M/V -Additions</v>
          </cell>
          <cell r="D512">
            <v>0</v>
          </cell>
          <cell r="G512" t="str">
            <v/>
          </cell>
        </row>
        <row r="513">
          <cell r="A513" t="str">
            <v>115-10-030</v>
          </cell>
          <cell r="B513">
            <v>8</v>
          </cell>
          <cell r="C513" t="str">
            <v>Depreciation -M/V -Additions</v>
          </cell>
          <cell r="D513">
            <v>0</v>
          </cell>
          <cell r="G513" t="str">
            <v/>
          </cell>
        </row>
        <row r="514">
          <cell r="A514" t="str">
            <v>115-10-030</v>
          </cell>
          <cell r="B514">
            <v>8</v>
          </cell>
          <cell r="C514" t="str">
            <v>Depreciation -M/V -Additions</v>
          </cell>
          <cell r="D514">
            <v>0</v>
          </cell>
          <cell r="G514" t="str">
            <v/>
          </cell>
        </row>
        <row r="515">
          <cell r="A515" t="str">
            <v>115-10-030</v>
          </cell>
          <cell r="B515">
            <v>8</v>
          </cell>
          <cell r="C515" t="str">
            <v>Depreciation -M/V -Additions</v>
          </cell>
          <cell r="D515">
            <v>0</v>
          </cell>
          <cell r="G515" t="str">
            <v/>
          </cell>
        </row>
        <row r="516">
          <cell r="A516" t="str">
            <v>115-10-030</v>
          </cell>
          <cell r="B516">
            <v>8</v>
          </cell>
          <cell r="C516" t="str">
            <v>Depreciation -M/V -Additions</v>
          </cell>
          <cell r="D516">
            <v>0</v>
          </cell>
          <cell r="G516" t="str">
            <v/>
          </cell>
        </row>
        <row r="517">
          <cell r="A517" t="str">
            <v>115-10-030</v>
          </cell>
          <cell r="B517">
            <v>8</v>
          </cell>
          <cell r="C517" t="str">
            <v>Depreciation -M/V -Additions</v>
          </cell>
          <cell r="D517">
            <v>0</v>
          </cell>
          <cell r="G517" t="str">
            <v/>
          </cell>
        </row>
        <row r="518">
          <cell r="A518" t="str">
            <v>115-10-030</v>
          </cell>
          <cell r="B518">
            <v>8</v>
          </cell>
          <cell r="C518" t="str">
            <v>Depreciation -M/V -Additions</v>
          </cell>
          <cell r="D518">
            <v>0</v>
          </cell>
          <cell r="G518" t="str">
            <v/>
          </cell>
        </row>
        <row r="519">
          <cell r="A519" t="str">
            <v>115-10-030</v>
          </cell>
          <cell r="B519">
            <v>8</v>
          </cell>
          <cell r="C519" t="str">
            <v>Depreciation -M/V -Additions</v>
          </cell>
          <cell r="D519">
            <v>0</v>
          </cell>
          <cell r="G519" t="str">
            <v/>
          </cell>
        </row>
        <row r="520">
          <cell r="A520" t="str">
            <v>115-10-030</v>
          </cell>
          <cell r="B520">
            <v>8</v>
          </cell>
          <cell r="C520" t="str">
            <v>Depreciation -M/V -Additions</v>
          </cell>
          <cell r="D520">
            <v>250000</v>
          </cell>
          <cell r="G520" t="str">
            <v/>
          </cell>
        </row>
        <row r="521">
          <cell r="A521" t="str">
            <v>115-10-040</v>
          </cell>
          <cell r="B521">
            <v>8</v>
          </cell>
          <cell r="D521">
            <v>4079808</v>
          </cell>
          <cell r="E521">
            <v>2803500</v>
          </cell>
          <cell r="F521">
            <v>4026000</v>
          </cell>
          <cell r="G521">
            <v>1.0133651266766022</v>
          </cell>
        </row>
        <row r="522">
          <cell r="A522" t="str">
            <v>115-10-040</v>
          </cell>
          <cell r="B522">
            <v>8</v>
          </cell>
          <cell r="D522">
            <v>600000</v>
          </cell>
          <cell r="F522">
            <v>780000</v>
          </cell>
        </row>
        <row r="523">
          <cell r="A523" t="str">
            <v>115-10-050</v>
          </cell>
          <cell r="B523">
            <v>8</v>
          </cell>
          <cell r="C523" t="str">
            <v>OFFICE CATERING &amp; STAFF WELFARE</v>
          </cell>
          <cell r="D523">
            <v>0</v>
          </cell>
          <cell r="E523">
            <v>0</v>
          </cell>
          <cell r="F523">
            <v>0</v>
          </cell>
          <cell r="G523">
            <v>0</v>
          </cell>
        </row>
        <row r="524">
          <cell r="A524" t="str">
            <v>115-10-051</v>
          </cell>
          <cell r="B524">
            <v>8</v>
          </cell>
          <cell r="C524" t="str">
            <v>OFFICE CLEANING</v>
          </cell>
          <cell r="D524">
            <v>0</v>
          </cell>
          <cell r="E524">
            <v>0</v>
          </cell>
          <cell r="F524">
            <v>0</v>
          </cell>
          <cell r="G524">
            <v>0</v>
          </cell>
        </row>
        <row r="525">
          <cell r="A525" t="str">
            <v>115-10-060</v>
          </cell>
          <cell r="B525">
            <v>8</v>
          </cell>
          <cell r="C525" t="str">
            <v>OFFICE WATER</v>
          </cell>
          <cell r="D525">
            <v>0</v>
          </cell>
          <cell r="E525">
            <v>0</v>
          </cell>
          <cell r="F525">
            <v>0</v>
          </cell>
          <cell r="G525">
            <v>0</v>
          </cell>
        </row>
        <row r="526">
          <cell r="A526" t="str">
            <v>115-10-070</v>
          </cell>
          <cell r="B526">
            <v>8</v>
          </cell>
          <cell r="C526" t="str">
            <v>OFFICE ELECTRICITY</v>
          </cell>
          <cell r="D526">
            <v>0</v>
          </cell>
          <cell r="E526">
            <v>0</v>
          </cell>
          <cell r="F526">
            <v>0</v>
          </cell>
          <cell r="G526">
            <v>0</v>
          </cell>
        </row>
        <row r="527">
          <cell r="A527" t="str">
            <v>115-10-080</v>
          </cell>
          <cell r="B527">
            <v>8</v>
          </cell>
          <cell r="C527" t="str">
            <v>OFFICE SECURITY</v>
          </cell>
          <cell r="D527">
            <v>0</v>
          </cell>
          <cell r="E527">
            <v>0</v>
          </cell>
          <cell r="F527">
            <v>0</v>
          </cell>
          <cell r="G527">
            <v>0</v>
          </cell>
        </row>
        <row r="528">
          <cell r="A528" t="str">
            <v>125-10-010</v>
          </cell>
          <cell r="B528">
            <v>8</v>
          </cell>
          <cell r="C528" t="str">
            <v>BANK CHARGES</v>
          </cell>
          <cell r="D528">
            <v>2000000</v>
          </cell>
          <cell r="E528">
            <v>1062000</v>
          </cell>
          <cell r="F528">
            <v>1820571.4285714286</v>
          </cell>
          <cell r="G528">
            <v>1.0985561833019459</v>
          </cell>
        </row>
        <row r="529">
          <cell r="A529" t="str">
            <v>125-10-020</v>
          </cell>
          <cell r="B529">
            <v>8</v>
          </cell>
          <cell r="C529" t="str">
            <v>BANK OVERDRART CHARGES</v>
          </cell>
          <cell r="E529">
            <v>0</v>
          </cell>
          <cell r="F529">
            <v>0</v>
          </cell>
          <cell r="G529">
            <v>0</v>
          </cell>
        </row>
        <row r="530">
          <cell r="A530" t="str">
            <v>145-10-010</v>
          </cell>
          <cell r="B530">
            <v>8</v>
          </cell>
          <cell r="C530" t="str">
            <v>ALA Group charges- Individual life</v>
          </cell>
          <cell r="D530">
            <v>4500000</v>
          </cell>
          <cell r="E530">
            <v>2414000</v>
          </cell>
          <cell r="F530">
            <v>4138285.7142857141</v>
          </cell>
          <cell r="G530">
            <v>1.0874067937033969</v>
          </cell>
        </row>
        <row r="531">
          <cell r="A531" t="str">
            <v>145-10-020</v>
          </cell>
          <cell r="B531">
            <v>8</v>
          </cell>
          <cell r="C531" t="str">
            <v>Actuarial fees- Individual life</v>
          </cell>
          <cell r="D531">
            <v>3800000</v>
          </cell>
          <cell r="E531">
            <v>4060000</v>
          </cell>
          <cell r="F531">
            <v>9450894</v>
          </cell>
          <cell r="G531">
            <v>0.40207836422670701</v>
          </cell>
        </row>
        <row r="532">
          <cell r="A532" t="str">
            <v>145-10-030</v>
          </cell>
          <cell r="B532">
            <v>8</v>
          </cell>
          <cell r="C532" t="str">
            <v>Audit fee -individual life</v>
          </cell>
          <cell r="D532">
            <v>1927000</v>
          </cell>
          <cell r="E532">
            <v>812000</v>
          </cell>
          <cell r="F532">
            <v>1800000</v>
          </cell>
          <cell r="G532">
            <v>1.0705555555555555</v>
          </cell>
        </row>
        <row r="533">
          <cell r="A533" t="str">
            <v>145-10-031</v>
          </cell>
          <cell r="B533">
            <v>8</v>
          </cell>
          <cell r="C533" t="str">
            <v>Tax filing returns</v>
          </cell>
          <cell r="D533">
            <v>290000</v>
          </cell>
          <cell r="E533">
            <v>236833.33333333334</v>
          </cell>
          <cell r="F533">
            <v>406000</v>
          </cell>
          <cell r="G533">
            <v>0.7142857142857143</v>
          </cell>
        </row>
        <row r="534">
          <cell r="A534" t="str">
            <v>145-10-040</v>
          </cell>
          <cell r="B534">
            <v>8</v>
          </cell>
          <cell r="C534" t="str">
            <v>Legal fees</v>
          </cell>
          <cell r="D534">
            <v>0</v>
          </cell>
          <cell r="E534">
            <v>0</v>
          </cell>
          <cell r="F534">
            <v>0</v>
          </cell>
          <cell r="G534">
            <v>0</v>
          </cell>
        </row>
        <row r="535">
          <cell r="A535" t="str">
            <v>145-10-060</v>
          </cell>
          <cell r="B535">
            <v>8</v>
          </cell>
          <cell r="C535" t="str">
            <v>Palal Share of holding company expenses</v>
          </cell>
          <cell r="D535">
            <v>9706526.9561250005</v>
          </cell>
          <cell r="E535">
            <v>4529000</v>
          </cell>
          <cell r="F535">
            <v>10314247.140000001</v>
          </cell>
          <cell r="G535">
            <v>0.94107954021014473</v>
          </cell>
        </row>
        <row r="536">
          <cell r="A536" t="str">
            <v>145-10-080</v>
          </cell>
          <cell r="B536">
            <v>8</v>
          </cell>
          <cell r="C536" t="str">
            <v>40% Excutive recharge</v>
          </cell>
          <cell r="F536">
            <v>0</v>
          </cell>
          <cell r="G536">
            <v>0</v>
          </cell>
        </row>
        <row r="537">
          <cell r="A537" t="str">
            <v>145-10-080</v>
          </cell>
          <cell r="B537">
            <v>8</v>
          </cell>
          <cell r="C537" t="str">
            <v xml:space="preserve">Recharges: 10% recharge to Corporate </v>
          </cell>
          <cell r="D537">
            <v>-6445782.2219458334</v>
          </cell>
          <cell r="E537">
            <v>-2597000</v>
          </cell>
          <cell r="F537">
            <v>-4452000</v>
          </cell>
          <cell r="G537">
            <v>1.4478396724945717</v>
          </cell>
        </row>
        <row r="538">
          <cell r="A538" t="str">
            <v>145-10-100</v>
          </cell>
          <cell r="B538">
            <v>8</v>
          </cell>
          <cell r="C538" t="str">
            <v xml:space="preserve">25% finance recharge to Hoilding Company </v>
          </cell>
          <cell r="D538">
            <v>-5000738.2379999999</v>
          </cell>
          <cell r="E538">
            <v>-2375000</v>
          </cell>
          <cell r="F538">
            <v>-4071428.5714285709</v>
          </cell>
          <cell r="G538">
            <v>1.2282514970526317</v>
          </cell>
        </row>
        <row r="539">
          <cell r="A539" t="str">
            <v>155-10-007</v>
          </cell>
          <cell r="B539">
            <v>8</v>
          </cell>
          <cell r="C539" t="str">
            <v>NEWSPAPERS &amp; JOURNALS</v>
          </cell>
          <cell r="D539">
            <v>29520</v>
          </cell>
          <cell r="E539">
            <v>16000</v>
          </cell>
          <cell r="F539">
            <v>27428.571428571428</v>
          </cell>
          <cell r="G539">
            <v>1.0762499999999999</v>
          </cell>
        </row>
        <row r="540">
          <cell r="A540" t="str">
            <v>155-10-008</v>
          </cell>
          <cell r="B540">
            <v>8</v>
          </cell>
          <cell r="C540" t="str">
            <v>ENTERTAINMENT &amp; DONATIONS</v>
          </cell>
          <cell r="D540">
            <v>64800</v>
          </cell>
          <cell r="E540">
            <v>34000</v>
          </cell>
          <cell r="F540">
            <v>58285.714285714283</v>
          </cell>
          <cell r="G540">
            <v>1.111764705882353</v>
          </cell>
        </row>
        <row r="541">
          <cell r="A541" t="str">
            <v>155-10-009</v>
          </cell>
          <cell r="B541">
            <v>8</v>
          </cell>
          <cell r="C541" t="str">
            <v>COURIER &amp; FREIGHT CHARGES</v>
          </cell>
          <cell r="D541">
            <v>42256</v>
          </cell>
          <cell r="E541">
            <v>8000</v>
          </cell>
          <cell r="F541">
            <v>13714.285714285714</v>
          </cell>
          <cell r="G541">
            <v>3.0811666666666668</v>
          </cell>
          <cell r="H541" t="str">
            <v>This due to increased number parcels to ALA</v>
          </cell>
        </row>
        <row r="542">
          <cell r="A542" t="str">
            <v>155-10-010</v>
          </cell>
          <cell r="B542">
            <v>8</v>
          </cell>
          <cell r="C542" t="str">
            <v>ADVERTISING &amp; PUBLICITY</v>
          </cell>
          <cell r="D542">
            <v>0</v>
          </cell>
          <cell r="E542">
            <v>0</v>
          </cell>
          <cell r="F542">
            <v>0</v>
          </cell>
          <cell r="G542">
            <v>0</v>
          </cell>
        </row>
        <row r="543">
          <cell r="A543" t="str">
            <v>155-10-012</v>
          </cell>
          <cell r="B543">
            <v>8</v>
          </cell>
          <cell r="C543" t="str">
            <v>TRADE LICENCES</v>
          </cell>
          <cell r="D543">
            <v>0</v>
          </cell>
          <cell r="E543">
            <v>139500</v>
          </cell>
          <cell r="F543">
            <v>239142.85714285713</v>
          </cell>
          <cell r="G543">
            <v>0</v>
          </cell>
        </row>
        <row r="544">
          <cell r="A544" t="str">
            <v>155-10-013</v>
          </cell>
          <cell r="B544">
            <v>8</v>
          </cell>
          <cell r="C544" t="str">
            <v>INSURANCES</v>
          </cell>
          <cell r="D544">
            <v>2007346.1</v>
          </cell>
          <cell r="E544">
            <v>815000</v>
          </cell>
          <cell r="F544">
            <v>1300000</v>
          </cell>
          <cell r="G544">
            <v>1.5441123846153846</v>
          </cell>
        </row>
        <row r="545">
          <cell r="A545" t="str">
            <v>155-10-014</v>
          </cell>
          <cell r="B545">
            <v>8</v>
          </cell>
          <cell r="C545" t="str">
            <v>PHOTOCOPY</v>
          </cell>
          <cell r="D545">
            <v>0</v>
          </cell>
          <cell r="E545">
            <v>1000</v>
          </cell>
          <cell r="F545">
            <v>1714.2857142857142</v>
          </cell>
          <cell r="G545">
            <v>0</v>
          </cell>
        </row>
        <row r="546">
          <cell r="A546" t="str">
            <v>155-10-015</v>
          </cell>
          <cell r="B546">
            <v>8</v>
          </cell>
          <cell r="C546" t="str">
            <v>COMPUTER MAINTAINANCE</v>
          </cell>
          <cell r="D546">
            <v>0</v>
          </cell>
          <cell r="E546">
            <v>0</v>
          </cell>
          <cell r="F546">
            <v>0</v>
          </cell>
          <cell r="G546">
            <v>0</v>
          </cell>
        </row>
        <row r="547">
          <cell r="A547" t="str">
            <v>155-10-016</v>
          </cell>
          <cell r="B547">
            <v>8</v>
          </cell>
          <cell r="C547" t="str">
            <v>EQUIPMENT&amp; FURNITURE REPAIRS &amp; MAINTENANCE</v>
          </cell>
          <cell r="D547">
            <v>0</v>
          </cell>
          <cell r="E547">
            <v>55000</v>
          </cell>
          <cell r="F547">
            <v>94285.71428571429</v>
          </cell>
          <cell r="G547">
            <v>0</v>
          </cell>
        </row>
        <row r="548">
          <cell r="A548" t="str">
            <v>155-10-017</v>
          </cell>
          <cell r="B548">
            <v>8</v>
          </cell>
          <cell r="C548" t="str">
            <v>SEMINARS &amp; SHORT TERM COURSES</v>
          </cell>
          <cell r="D548">
            <v>90000</v>
          </cell>
          <cell r="E548">
            <v>35000</v>
          </cell>
          <cell r="F548">
            <v>60000</v>
          </cell>
          <cell r="G548">
            <v>1.5</v>
          </cell>
        </row>
        <row r="549">
          <cell r="A549" t="str">
            <v>155-10-022</v>
          </cell>
          <cell r="B549">
            <v>8</v>
          </cell>
          <cell r="C549" t="str">
            <v>PRINTING &amp; STATIONERY</v>
          </cell>
          <cell r="D549">
            <v>237022.5</v>
          </cell>
          <cell r="E549">
            <v>160000</v>
          </cell>
          <cell r="F549">
            <v>225000</v>
          </cell>
          <cell r="G549">
            <v>1.0534333333333334</v>
          </cell>
        </row>
        <row r="550">
          <cell r="A550" t="str">
            <v>155-10-025</v>
          </cell>
          <cell r="B550">
            <v>8</v>
          </cell>
          <cell r="C550" t="str">
            <v>STRATEGIC PLANNING</v>
          </cell>
          <cell r="D550">
            <v>0</v>
          </cell>
          <cell r="E550">
            <v>0</v>
          </cell>
          <cell r="F550">
            <v>0</v>
          </cell>
          <cell r="G550">
            <v>0</v>
          </cell>
        </row>
        <row r="551">
          <cell r="A551" t="str">
            <v>155-10-027</v>
          </cell>
          <cell r="B551">
            <v>8</v>
          </cell>
          <cell r="C551" t="str">
            <v>PROFESSIONAL SUBSCRIPTIONS</v>
          </cell>
          <cell r="D551">
            <v>42475</v>
          </cell>
          <cell r="E551">
            <v>21000</v>
          </cell>
          <cell r="F551">
            <v>36000</v>
          </cell>
          <cell r="G551">
            <v>1.179861111111111</v>
          </cell>
          <cell r="H551" t="str">
            <v>Due to the cost of Linda Were</v>
          </cell>
        </row>
        <row r="552">
          <cell r="A552" t="str">
            <v>155-10-028</v>
          </cell>
          <cell r="B552">
            <v>8</v>
          </cell>
          <cell r="C552" t="str">
            <v xml:space="preserve"> SUBSCRIPTIONS -COMPANY MEMBERSHIP</v>
          </cell>
          <cell r="D552">
            <v>0</v>
          </cell>
          <cell r="E552">
            <v>0</v>
          </cell>
          <cell r="F552">
            <v>0</v>
          </cell>
          <cell r="G552">
            <v>0</v>
          </cell>
        </row>
        <row r="553">
          <cell r="A553" t="str">
            <v>155-10-030</v>
          </cell>
          <cell r="B553">
            <v>8</v>
          </cell>
          <cell r="C553" t="str">
            <v>TRAVELLING &amp; ACCOMMODATION</v>
          </cell>
          <cell r="D553">
            <v>469850</v>
          </cell>
          <cell r="E553">
            <v>207000</v>
          </cell>
          <cell r="F553">
            <v>354857.14285714284</v>
          </cell>
          <cell r="G553">
            <v>1.3240539452495974</v>
          </cell>
          <cell r="H553" t="str">
            <v>Due to the cost of Linda Were</v>
          </cell>
        </row>
        <row r="554">
          <cell r="A554" t="str">
            <v>155-10-032</v>
          </cell>
          <cell r="B554">
            <v>8</v>
          </cell>
          <cell r="C554" t="str">
            <v xml:space="preserve">MOTOR CAR EXPENSES </v>
          </cell>
          <cell r="D554">
            <v>10000</v>
          </cell>
          <cell r="E554">
            <v>0</v>
          </cell>
          <cell r="F554">
            <v>0</v>
          </cell>
          <cell r="G554">
            <v>0</v>
          </cell>
        </row>
        <row r="555">
          <cell r="A555" t="str">
            <v>155-10-040</v>
          </cell>
          <cell r="B555">
            <v>8</v>
          </cell>
          <cell r="C555" t="str">
            <v>POSTAGE</v>
          </cell>
          <cell r="D555">
            <v>2280</v>
          </cell>
          <cell r="E555">
            <v>1000</v>
          </cell>
          <cell r="F555">
            <v>1714.2857142857142</v>
          </cell>
          <cell r="G555">
            <v>1.33</v>
          </cell>
        </row>
        <row r="556">
          <cell r="A556" t="str">
            <v>155-10-041</v>
          </cell>
          <cell r="B556">
            <v>8</v>
          </cell>
          <cell r="C556" t="str">
            <v>TELEPHONE &amp; FAX</v>
          </cell>
          <cell r="D556">
            <v>152400</v>
          </cell>
          <cell r="E556">
            <v>116000</v>
          </cell>
          <cell r="F556">
            <v>198857.14285714287</v>
          </cell>
          <cell r="G556">
            <v>0.76637931034482754</v>
          </cell>
        </row>
        <row r="557">
          <cell r="A557" t="str">
            <v>155-10-044</v>
          </cell>
          <cell r="B557">
            <v>8</v>
          </cell>
          <cell r="C557" t="str">
            <v>PROFFESSIONAL TRAINING</v>
          </cell>
          <cell r="D557">
            <v>263375</v>
          </cell>
          <cell r="E557">
            <v>51000</v>
          </cell>
          <cell r="F557">
            <v>87428.57142857142</v>
          </cell>
          <cell r="G557">
            <v>3.0124591503267975</v>
          </cell>
          <cell r="H557" t="str">
            <v>Due to the cost of Linda Were</v>
          </cell>
        </row>
        <row r="558">
          <cell r="A558" t="str">
            <v>155-10-046</v>
          </cell>
          <cell r="B558">
            <v>8</v>
          </cell>
          <cell r="C558" t="str">
            <v xml:space="preserve">SUBSCRIPTION- STAFF CLUB MEMBERSHIP </v>
          </cell>
          <cell r="D558">
            <v>119000</v>
          </cell>
          <cell r="E558">
            <v>61000</v>
          </cell>
          <cell r="F558">
            <v>104571.42857142857</v>
          </cell>
          <cell r="G558">
            <v>1.1379781420765027</v>
          </cell>
        </row>
        <row r="559">
          <cell r="A559" t="str">
            <v>155-10-054</v>
          </cell>
          <cell r="B559">
            <v>8</v>
          </cell>
          <cell r="C559" t="str">
            <v>LEASED LINES-INTERNET SERVICES</v>
          </cell>
          <cell r="D559">
            <v>0</v>
          </cell>
          <cell r="E559">
            <v>0</v>
          </cell>
          <cell r="F559">
            <v>0</v>
          </cell>
          <cell r="G559">
            <v>0</v>
          </cell>
        </row>
        <row r="560">
          <cell r="A560" t="str">
            <v>155-10-057</v>
          </cell>
          <cell r="B560">
            <v>8</v>
          </cell>
          <cell r="C560" t="str">
            <v>SOFTWARE LICENCES</v>
          </cell>
          <cell r="D560">
            <v>0</v>
          </cell>
          <cell r="E560">
            <v>0</v>
          </cell>
          <cell r="F560">
            <v>0</v>
          </cell>
          <cell r="G560">
            <v>0</v>
          </cell>
        </row>
        <row r="561">
          <cell r="A561" t="str">
            <v>155-10-059</v>
          </cell>
          <cell r="B561">
            <v>8</v>
          </cell>
          <cell r="E561">
            <v>0</v>
          </cell>
          <cell r="G561">
            <v>0</v>
          </cell>
        </row>
        <row r="562">
          <cell r="A562" t="str">
            <v>155-10-060</v>
          </cell>
          <cell r="B562">
            <v>8</v>
          </cell>
          <cell r="E562">
            <v>0</v>
          </cell>
          <cell r="G562">
            <v>0</v>
          </cell>
        </row>
        <row r="563">
          <cell r="A563" t="str">
            <v>155-10-062</v>
          </cell>
          <cell r="B563">
            <v>8</v>
          </cell>
          <cell r="C563" t="str">
            <v>EDUCATION EXPENSES</v>
          </cell>
          <cell r="D563">
            <v>643200</v>
          </cell>
          <cell r="E563">
            <v>375000</v>
          </cell>
          <cell r="F563">
            <v>642857.14285714284</v>
          </cell>
          <cell r="G563">
            <v>1.0005333333333333</v>
          </cell>
        </row>
        <row r="564">
          <cell r="A564" t="str">
            <v>105-10-010</v>
          </cell>
          <cell r="B564">
            <v>9</v>
          </cell>
          <cell r="C564" t="str">
            <v>BASIC SALARY</v>
          </cell>
          <cell r="D564">
            <v>6760051.2000000011</v>
          </cell>
          <cell r="E564">
            <v>3244000</v>
          </cell>
          <cell r="F564">
            <v>5758900</v>
          </cell>
          <cell r="G564">
            <v>1.173844171629999</v>
          </cell>
        </row>
        <row r="565">
          <cell r="A565" t="str">
            <v>105-10-012</v>
          </cell>
          <cell r="B565">
            <v>9</v>
          </cell>
          <cell r="C565" t="str">
            <v>PROVISION FOR MORT. RATE ADJUSTMENTS</v>
          </cell>
          <cell r="D565">
            <v>277440</v>
          </cell>
          <cell r="E565">
            <v>162000</v>
          </cell>
          <cell r="F565">
            <v>277600</v>
          </cell>
          <cell r="G565">
            <v>0.9994236311239193</v>
          </cell>
        </row>
        <row r="566">
          <cell r="A566" t="str">
            <v>105-10-020</v>
          </cell>
          <cell r="B566">
            <v>9</v>
          </cell>
          <cell r="C566" t="str">
            <v>HOUSE ALLOWANCE</v>
          </cell>
          <cell r="D566">
            <v>577200</v>
          </cell>
          <cell r="E566">
            <v>261000</v>
          </cell>
          <cell r="F566">
            <v>501500</v>
          </cell>
          <cell r="G566">
            <v>1.1509471585244266</v>
          </cell>
        </row>
        <row r="567">
          <cell r="A567" t="str">
            <v>105-10-030</v>
          </cell>
          <cell r="B567">
            <v>9</v>
          </cell>
          <cell r="C567" t="str">
            <v>TELEPHONE ALLOWANCE</v>
          </cell>
          <cell r="D567">
            <v>78000</v>
          </cell>
          <cell r="E567">
            <v>44000</v>
          </cell>
          <cell r="F567">
            <v>76500</v>
          </cell>
          <cell r="G567">
            <v>1.0196078431372548</v>
          </cell>
        </row>
        <row r="568">
          <cell r="A568" t="str">
            <v>105-10-040</v>
          </cell>
          <cell r="B568">
            <v>9</v>
          </cell>
          <cell r="C568" t="str">
            <v>SECURITY ALLOWANCE</v>
          </cell>
          <cell r="D568">
            <v>0</v>
          </cell>
          <cell r="E568">
            <v>0</v>
          </cell>
          <cell r="F568">
            <v>0</v>
          </cell>
          <cell r="G568">
            <v>0</v>
          </cell>
        </row>
        <row r="569">
          <cell r="A569" t="str">
            <v>105-10-050</v>
          </cell>
          <cell r="B569">
            <v>9</v>
          </cell>
          <cell r="C569" t="str">
            <v>EDUCATION ALLOWANCE</v>
          </cell>
          <cell r="D569">
            <v>99840</v>
          </cell>
          <cell r="E569">
            <v>25000</v>
          </cell>
          <cell r="F569">
            <v>74400</v>
          </cell>
          <cell r="G569">
            <v>1.3419354838709678</v>
          </cell>
        </row>
        <row r="570">
          <cell r="A570" t="str">
            <v>105-10-060</v>
          </cell>
          <cell r="B570">
            <v>9</v>
          </cell>
          <cell r="C570" t="str">
            <v>TRAVEL ALLOWANCE</v>
          </cell>
          <cell r="D570">
            <v>118560</v>
          </cell>
          <cell r="E570">
            <v>92000</v>
          </cell>
          <cell r="F570">
            <v>141400</v>
          </cell>
          <cell r="G570">
            <v>0.83847241867043842</v>
          </cell>
        </row>
        <row r="571">
          <cell r="A571" t="str">
            <v>105-20-010</v>
          </cell>
          <cell r="B571">
            <v>9</v>
          </cell>
          <cell r="C571" t="str">
            <v>NSSF</v>
          </cell>
          <cell r="D571">
            <v>12000</v>
          </cell>
          <cell r="E571">
            <v>6000</v>
          </cell>
          <cell r="F571">
            <v>11000</v>
          </cell>
          <cell r="G571">
            <v>1.0909090909090908</v>
          </cell>
        </row>
        <row r="572">
          <cell r="A572" t="str">
            <v>105-20-020</v>
          </cell>
          <cell r="B572">
            <v>9</v>
          </cell>
          <cell r="C572" t="str">
            <v>NHIF</v>
          </cell>
          <cell r="D572">
            <v>14400</v>
          </cell>
          <cell r="E572">
            <v>7000</v>
          </cell>
          <cell r="F572">
            <v>13000</v>
          </cell>
          <cell r="G572">
            <v>1.1076923076923078</v>
          </cell>
        </row>
        <row r="573">
          <cell r="A573" t="str">
            <v>105-30-010</v>
          </cell>
          <cell r="B573">
            <v>9</v>
          </cell>
          <cell r="C573" t="str">
            <v xml:space="preserve">PENSION </v>
          </cell>
          <cell r="D573">
            <v>845006.4</v>
          </cell>
          <cell r="E573">
            <v>404000</v>
          </cell>
          <cell r="F573">
            <v>756086</v>
          </cell>
          <cell r="G573">
            <v>1.1176061982367087</v>
          </cell>
        </row>
        <row r="574">
          <cell r="A574" t="str">
            <v>105-30-020</v>
          </cell>
          <cell r="B574">
            <v>9</v>
          </cell>
          <cell r="C574" t="str">
            <v>LAST EXPENSE</v>
          </cell>
          <cell r="D574">
            <v>6000</v>
          </cell>
          <cell r="E574">
            <v>3000</v>
          </cell>
          <cell r="F574">
            <v>5142.8571428571431</v>
          </cell>
          <cell r="G574">
            <v>1.1666666666666667</v>
          </cell>
        </row>
        <row r="575">
          <cell r="A575" t="str">
            <v>105-30-030</v>
          </cell>
          <cell r="B575">
            <v>9</v>
          </cell>
          <cell r="C575" t="str">
            <v>GROUP LIFE ASSURANCE</v>
          </cell>
          <cell r="D575">
            <v>79451.97</v>
          </cell>
          <cell r="E575">
            <v>57000</v>
          </cell>
          <cell r="F575">
            <v>97714.28571428571</v>
          </cell>
          <cell r="G575">
            <v>0.81310495614035094</v>
          </cell>
        </row>
        <row r="576">
          <cell r="A576" t="str">
            <v>105-30-040</v>
          </cell>
          <cell r="B576">
            <v>9</v>
          </cell>
          <cell r="C576" t="str">
            <v>STAFF MEDICAL</v>
          </cell>
          <cell r="D576">
            <v>0</v>
          </cell>
          <cell r="E576">
            <v>0</v>
          </cell>
          <cell r="F576">
            <v>0</v>
          </cell>
          <cell r="G576">
            <v>0</v>
          </cell>
        </row>
        <row r="577">
          <cell r="A577" t="str">
            <v>105-30-050</v>
          </cell>
          <cell r="B577">
            <v>9</v>
          </cell>
          <cell r="C577" t="str">
            <v>CASH IN LIEU OF LEAVE</v>
          </cell>
          <cell r="D577">
            <v>169001.28</v>
          </cell>
          <cell r="E577">
            <v>60000</v>
          </cell>
          <cell r="F577">
            <v>102857.14285714284</v>
          </cell>
          <cell r="G577">
            <v>1.6430680000000002</v>
          </cell>
        </row>
        <row r="578">
          <cell r="A578" t="str">
            <v>105-30-060</v>
          </cell>
          <cell r="B578">
            <v>9</v>
          </cell>
          <cell r="C578" t="str">
            <v>GRATUITY</v>
          </cell>
          <cell r="E578">
            <v>0</v>
          </cell>
          <cell r="F578">
            <v>0</v>
          </cell>
          <cell r="G578">
            <v>0</v>
          </cell>
        </row>
        <row r="579">
          <cell r="A579" t="str">
            <v>105-30-070</v>
          </cell>
          <cell r="B579">
            <v>9</v>
          </cell>
          <cell r="C579" t="str">
            <v>LONG SERVICE AWARDS</v>
          </cell>
          <cell r="D579">
            <v>0</v>
          </cell>
          <cell r="E579">
            <v>0</v>
          </cell>
          <cell r="F579">
            <v>0</v>
          </cell>
          <cell r="G579">
            <v>0</v>
          </cell>
        </row>
        <row r="580">
          <cell r="A580" t="str">
            <v>105-30-080</v>
          </cell>
          <cell r="B580">
            <v>9</v>
          </cell>
          <cell r="C580" t="str">
            <v>STAFF RECRUITMENT &amp; REMOVALS</v>
          </cell>
          <cell r="D580">
            <v>0</v>
          </cell>
          <cell r="E580">
            <v>0</v>
          </cell>
          <cell r="F580">
            <v>0</v>
          </cell>
          <cell r="G580">
            <v>0</v>
          </cell>
        </row>
        <row r="581">
          <cell r="A581" t="str">
            <v>115-10-010</v>
          </cell>
          <cell r="B581">
            <v>9</v>
          </cell>
          <cell r="D581">
            <v>0</v>
          </cell>
          <cell r="E581">
            <v>0</v>
          </cell>
          <cell r="F581">
            <v>0</v>
          </cell>
          <cell r="G581">
            <v>0</v>
          </cell>
        </row>
        <row r="582">
          <cell r="A582" t="str">
            <v>115-10-010</v>
          </cell>
          <cell r="B582">
            <v>9</v>
          </cell>
          <cell r="D582">
            <v>0</v>
          </cell>
          <cell r="F582">
            <v>0</v>
          </cell>
          <cell r="G582">
            <v>0</v>
          </cell>
        </row>
        <row r="583">
          <cell r="A583" t="str">
            <v>115-10-020</v>
          </cell>
          <cell r="B583">
            <v>9</v>
          </cell>
          <cell r="D583">
            <v>0</v>
          </cell>
          <cell r="E583">
            <v>0</v>
          </cell>
          <cell r="F583">
            <v>0</v>
          </cell>
          <cell r="G583">
            <v>0</v>
          </cell>
        </row>
        <row r="584">
          <cell r="A584" t="str">
            <v>115-10-020</v>
          </cell>
          <cell r="B584">
            <v>9</v>
          </cell>
          <cell r="D584">
            <v>0</v>
          </cell>
          <cell r="G584">
            <v>0</v>
          </cell>
        </row>
        <row r="585">
          <cell r="A585" t="str">
            <v>115-10-030</v>
          </cell>
          <cell r="B585">
            <v>9</v>
          </cell>
          <cell r="D585">
            <v>0</v>
          </cell>
          <cell r="E585">
            <v>0</v>
          </cell>
          <cell r="F585">
            <v>0</v>
          </cell>
          <cell r="G585">
            <v>0</v>
          </cell>
        </row>
        <row r="586">
          <cell r="A586" t="str">
            <v>115-10-030</v>
          </cell>
          <cell r="B586">
            <v>9</v>
          </cell>
          <cell r="D586">
            <v>0</v>
          </cell>
          <cell r="F586">
            <v>0</v>
          </cell>
          <cell r="G586">
            <v>0</v>
          </cell>
        </row>
        <row r="587">
          <cell r="A587" t="str">
            <v>115-10-040</v>
          </cell>
          <cell r="B587">
            <v>9</v>
          </cell>
          <cell r="D587">
            <v>0</v>
          </cell>
          <cell r="E587">
            <v>0</v>
          </cell>
          <cell r="F587">
            <v>0</v>
          </cell>
          <cell r="G587">
            <v>0</v>
          </cell>
        </row>
        <row r="588">
          <cell r="A588" t="str">
            <v>115-10-040</v>
          </cell>
          <cell r="B588">
            <v>9</v>
          </cell>
          <cell r="D588">
            <v>0</v>
          </cell>
          <cell r="F588">
            <v>0</v>
          </cell>
          <cell r="G588">
            <v>0</v>
          </cell>
        </row>
        <row r="589">
          <cell r="A589" t="str">
            <v>115-10-050</v>
          </cell>
          <cell r="B589">
            <v>9</v>
          </cell>
          <cell r="C589" t="str">
            <v>OFFICE CATERING &amp; STAFF WELFARE</v>
          </cell>
          <cell r="D589">
            <v>0</v>
          </cell>
          <cell r="E589">
            <v>0</v>
          </cell>
          <cell r="F589">
            <v>0</v>
          </cell>
          <cell r="G589">
            <v>0</v>
          </cell>
        </row>
        <row r="590">
          <cell r="A590" t="str">
            <v>115-10-051</v>
          </cell>
          <cell r="B590">
            <v>9</v>
          </cell>
          <cell r="C590" t="str">
            <v>OFFICE CLEANING</v>
          </cell>
          <cell r="D590">
            <v>0</v>
          </cell>
          <cell r="E590">
            <v>0</v>
          </cell>
          <cell r="F590">
            <v>0</v>
          </cell>
          <cell r="G590">
            <v>0</v>
          </cell>
        </row>
        <row r="591">
          <cell r="A591" t="str">
            <v>115-10-060</v>
          </cell>
          <cell r="B591">
            <v>9</v>
          </cell>
          <cell r="C591" t="str">
            <v>OFFICE WATER</v>
          </cell>
          <cell r="D591">
            <v>0</v>
          </cell>
          <cell r="E591">
            <v>0</v>
          </cell>
          <cell r="F591">
            <v>0</v>
          </cell>
          <cell r="G591">
            <v>0</v>
          </cell>
        </row>
        <row r="592">
          <cell r="A592" t="str">
            <v>115-10-070</v>
          </cell>
          <cell r="B592">
            <v>9</v>
          </cell>
          <cell r="C592" t="str">
            <v>OFFICE ELECTRICITY</v>
          </cell>
          <cell r="D592">
            <v>0</v>
          </cell>
          <cell r="E592">
            <v>0</v>
          </cell>
          <cell r="F592">
            <v>0</v>
          </cell>
          <cell r="G592">
            <v>0</v>
          </cell>
        </row>
        <row r="593">
          <cell r="A593" t="str">
            <v>115-10-080</v>
          </cell>
          <cell r="B593">
            <v>9</v>
          </cell>
          <cell r="C593" t="str">
            <v>OFFICE SECURITY</v>
          </cell>
          <cell r="D593">
            <v>0</v>
          </cell>
          <cell r="E593">
            <v>0</v>
          </cell>
          <cell r="F593">
            <v>0</v>
          </cell>
          <cell r="G593">
            <v>0</v>
          </cell>
        </row>
        <row r="594">
          <cell r="A594" t="str">
            <v>125-10-010</v>
          </cell>
          <cell r="B594">
            <v>9</v>
          </cell>
          <cell r="C594" t="str">
            <v>BANK CHARGES</v>
          </cell>
          <cell r="D594">
            <v>0</v>
          </cell>
          <cell r="E594">
            <v>0</v>
          </cell>
          <cell r="F594">
            <v>0</v>
          </cell>
          <cell r="G594">
            <v>0</v>
          </cell>
        </row>
        <row r="595">
          <cell r="A595" t="str">
            <v>125-10-020</v>
          </cell>
          <cell r="B595">
            <v>9</v>
          </cell>
          <cell r="C595" t="str">
            <v>BANK OVERDRART CHARGES</v>
          </cell>
          <cell r="E595">
            <v>0</v>
          </cell>
          <cell r="F595">
            <v>0</v>
          </cell>
          <cell r="G595">
            <v>0</v>
          </cell>
        </row>
        <row r="596">
          <cell r="A596" t="str">
            <v>145-10-010</v>
          </cell>
          <cell r="B596">
            <v>9</v>
          </cell>
          <cell r="C596" t="str">
            <v>ALA Group charges- Individual life</v>
          </cell>
          <cell r="D596">
            <v>0</v>
          </cell>
          <cell r="E596">
            <v>0</v>
          </cell>
          <cell r="F596">
            <v>0</v>
          </cell>
          <cell r="G596">
            <v>0</v>
          </cell>
        </row>
        <row r="597">
          <cell r="A597" t="str">
            <v>145-10-020</v>
          </cell>
          <cell r="B597">
            <v>9</v>
          </cell>
          <cell r="C597" t="str">
            <v>Actuarial fees- Individual life</v>
          </cell>
          <cell r="D597">
            <v>0</v>
          </cell>
          <cell r="E597">
            <v>0</v>
          </cell>
          <cell r="F597">
            <v>0</v>
          </cell>
          <cell r="G597">
            <v>0</v>
          </cell>
        </row>
        <row r="598">
          <cell r="A598" t="str">
            <v>145-10-030</v>
          </cell>
          <cell r="B598">
            <v>9</v>
          </cell>
          <cell r="C598" t="str">
            <v>Audit fee -individual life</v>
          </cell>
          <cell r="D598">
            <v>0</v>
          </cell>
          <cell r="E598">
            <v>0</v>
          </cell>
          <cell r="F598">
            <v>0</v>
          </cell>
          <cell r="G598">
            <v>0</v>
          </cell>
        </row>
        <row r="599">
          <cell r="A599" t="str">
            <v>145-10-031</v>
          </cell>
          <cell r="B599">
            <v>9</v>
          </cell>
          <cell r="C599" t="str">
            <v>Tax filing returns</v>
          </cell>
          <cell r="D599">
            <v>0</v>
          </cell>
          <cell r="E599">
            <v>0</v>
          </cell>
          <cell r="F599">
            <v>0</v>
          </cell>
          <cell r="G599">
            <v>0</v>
          </cell>
        </row>
        <row r="600">
          <cell r="A600" t="str">
            <v>145-10-040</v>
          </cell>
          <cell r="B600">
            <v>9</v>
          </cell>
          <cell r="C600" t="str">
            <v>Legal fees</v>
          </cell>
          <cell r="D600">
            <v>0</v>
          </cell>
          <cell r="E600">
            <v>0</v>
          </cell>
          <cell r="F600">
            <v>0</v>
          </cell>
          <cell r="G600">
            <v>0</v>
          </cell>
        </row>
        <row r="601">
          <cell r="A601" t="str">
            <v>145-10-060</v>
          </cell>
          <cell r="B601">
            <v>9</v>
          </cell>
          <cell r="C601" t="str">
            <v>Intra company charges- individual life</v>
          </cell>
          <cell r="G601">
            <v>0</v>
          </cell>
        </row>
        <row r="602">
          <cell r="A602" t="str">
            <v>145-10-080</v>
          </cell>
          <cell r="B602">
            <v>9</v>
          </cell>
          <cell r="C602" t="str">
            <v>40% Excutive recharge</v>
          </cell>
          <cell r="F602">
            <v>0</v>
          </cell>
          <cell r="G602">
            <v>0</v>
          </cell>
        </row>
        <row r="603">
          <cell r="A603" t="str">
            <v>145-10-120</v>
          </cell>
          <cell r="B603">
            <v>9</v>
          </cell>
          <cell r="C603" t="str">
            <v xml:space="preserve">7. 5 % recharge to Corporate </v>
          </cell>
          <cell r="D603">
            <v>-936073.48842500011</v>
          </cell>
          <cell r="E603">
            <v>0</v>
          </cell>
          <cell r="F603">
            <v>-848239.28585714288</v>
          </cell>
          <cell r="G603">
            <v>1.1035488499911921</v>
          </cell>
        </row>
        <row r="604">
          <cell r="A604" t="str">
            <v>145-10-140</v>
          </cell>
          <cell r="B604">
            <v>9</v>
          </cell>
          <cell r="C604" t="str">
            <v>5% Recharge to PA securities</v>
          </cell>
          <cell r="D604">
            <v>-619916.21750000014</v>
          </cell>
          <cell r="F604">
            <v>-561747.87142857153</v>
          </cell>
          <cell r="G604">
            <v>1.1035488499911921</v>
          </cell>
        </row>
        <row r="605">
          <cell r="A605" t="str">
            <v>155-10-007</v>
          </cell>
          <cell r="B605">
            <v>9</v>
          </cell>
          <cell r="C605" t="str">
            <v>NEWSPAPERS &amp; JOURNALS</v>
          </cell>
          <cell r="D605">
            <v>15840</v>
          </cell>
          <cell r="E605">
            <v>9000</v>
          </cell>
          <cell r="F605">
            <v>15428.571428571429</v>
          </cell>
          <cell r="G605">
            <v>1.0266666666666666</v>
          </cell>
        </row>
        <row r="606">
          <cell r="A606" t="str">
            <v>155-10-008</v>
          </cell>
          <cell r="B606">
            <v>9</v>
          </cell>
          <cell r="C606" t="str">
            <v>ENTERTAINMENT &amp; DONATIONS</v>
          </cell>
          <cell r="D606">
            <v>2000</v>
          </cell>
          <cell r="E606">
            <v>1000</v>
          </cell>
          <cell r="F606">
            <v>1714.2857142857142</v>
          </cell>
          <cell r="G606">
            <v>1.1666666666666667</v>
          </cell>
        </row>
        <row r="607">
          <cell r="A607" t="str">
            <v>155-10-009</v>
          </cell>
          <cell r="B607">
            <v>9</v>
          </cell>
          <cell r="C607" t="str">
            <v>COURIER &amp; FREIGHT CHARGES</v>
          </cell>
          <cell r="D607">
            <v>2641</v>
          </cell>
          <cell r="E607">
            <v>0</v>
          </cell>
          <cell r="F607">
            <v>0</v>
          </cell>
          <cell r="G607">
            <v>0</v>
          </cell>
        </row>
        <row r="608">
          <cell r="A608" t="str">
            <v>155-10-010</v>
          </cell>
          <cell r="B608">
            <v>9</v>
          </cell>
          <cell r="C608" t="str">
            <v>ADVERTISING &amp; PUBLICITY</v>
          </cell>
          <cell r="D608">
            <v>0</v>
          </cell>
          <cell r="E608">
            <v>0</v>
          </cell>
          <cell r="F608">
            <v>0</v>
          </cell>
          <cell r="G608">
            <v>0</v>
          </cell>
        </row>
        <row r="609">
          <cell r="A609" t="str">
            <v>155-10-012</v>
          </cell>
          <cell r="B609">
            <v>9</v>
          </cell>
          <cell r="C609" t="str">
            <v>TRADE LICENCES</v>
          </cell>
          <cell r="D609">
            <v>0</v>
          </cell>
          <cell r="E609">
            <v>0</v>
          </cell>
          <cell r="F609">
            <v>0</v>
          </cell>
          <cell r="G609">
            <v>0</v>
          </cell>
        </row>
        <row r="610">
          <cell r="A610" t="str">
            <v>155-10-013</v>
          </cell>
          <cell r="B610">
            <v>9</v>
          </cell>
          <cell r="C610" t="str">
            <v>INSURANCES</v>
          </cell>
          <cell r="D610">
            <v>0</v>
          </cell>
          <cell r="E610">
            <v>0</v>
          </cell>
          <cell r="F610">
            <v>0</v>
          </cell>
          <cell r="G610">
            <v>0</v>
          </cell>
        </row>
        <row r="611">
          <cell r="A611" t="str">
            <v>155-10-014</v>
          </cell>
          <cell r="B611">
            <v>9</v>
          </cell>
          <cell r="C611" t="str">
            <v>PHOTOCOPY</v>
          </cell>
          <cell r="D611">
            <v>0</v>
          </cell>
          <cell r="E611">
            <v>0</v>
          </cell>
          <cell r="F611">
            <v>0</v>
          </cell>
          <cell r="G611">
            <v>0</v>
          </cell>
        </row>
        <row r="612">
          <cell r="A612" t="str">
            <v>155-10-015</v>
          </cell>
          <cell r="B612">
            <v>9</v>
          </cell>
          <cell r="C612" t="str">
            <v>COMPUTER MAINTAINANCE</v>
          </cell>
          <cell r="D612">
            <v>544500</v>
          </cell>
          <cell r="E612">
            <v>255666.66666666669</v>
          </cell>
          <cell r="F612">
            <v>438285.71428571432</v>
          </cell>
          <cell r="G612">
            <v>1.2423402868318121</v>
          </cell>
          <cell r="H612" t="str">
            <v>We have not yet undertaken a preventive maintennace. It should cost about 200K</v>
          </cell>
        </row>
        <row r="613">
          <cell r="A613" t="str">
            <v>155-10-016</v>
          </cell>
          <cell r="B613">
            <v>9</v>
          </cell>
          <cell r="C613" t="str">
            <v>EQUIPMENT&amp; FURNITURE REPAIRS &amp; MAINTENANCE</v>
          </cell>
          <cell r="D613">
            <v>84000</v>
          </cell>
          <cell r="E613">
            <v>50000</v>
          </cell>
          <cell r="F613">
            <v>85714.28571428571</v>
          </cell>
          <cell r="G613">
            <v>0.98</v>
          </cell>
        </row>
        <row r="614">
          <cell r="A614" t="str">
            <v>155-10-017</v>
          </cell>
          <cell r="B614">
            <v>9</v>
          </cell>
          <cell r="C614" t="str">
            <v>SEMINARS &amp; SHORT TERM COURSES</v>
          </cell>
          <cell r="D614">
            <v>25000</v>
          </cell>
          <cell r="E614">
            <v>0</v>
          </cell>
          <cell r="F614">
            <v>0</v>
          </cell>
          <cell r="G614">
            <v>0</v>
          </cell>
        </row>
        <row r="615">
          <cell r="A615" t="str">
            <v>155-10-022</v>
          </cell>
          <cell r="B615">
            <v>9</v>
          </cell>
          <cell r="C615" t="str">
            <v>PRINTING &amp; STATIONERY</v>
          </cell>
          <cell r="D615">
            <v>285896.5</v>
          </cell>
          <cell r="E615">
            <v>154000</v>
          </cell>
          <cell r="F615">
            <v>264000</v>
          </cell>
          <cell r="G615">
            <v>1.0829412878787879</v>
          </cell>
        </row>
        <row r="616">
          <cell r="A616" t="str">
            <v>155-10-025</v>
          </cell>
          <cell r="B616">
            <v>9</v>
          </cell>
          <cell r="C616" t="str">
            <v>STRATEGIC PLANNING</v>
          </cell>
          <cell r="D616">
            <v>0</v>
          </cell>
          <cell r="E616">
            <v>0</v>
          </cell>
          <cell r="F616">
            <v>0</v>
          </cell>
          <cell r="G616">
            <v>0</v>
          </cell>
        </row>
        <row r="617">
          <cell r="A617" t="str">
            <v>155-10-027</v>
          </cell>
          <cell r="B617">
            <v>9</v>
          </cell>
          <cell r="C617" t="str">
            <v>PROFESSIONAL SUBSCRIPTIONS</v>
          </cell>
          <cell r="D617">
            <v>47900</v>
          </cell>
          <cell r="E617">
            <v>69000</v>
          </cell>
          <cell r="F617">
            <v>118285.71428571429</v>
          </cell>
          <cell r="G617">
            <v>0.40495169082125604</v>
          </cell>
        </row>
        <row r="618">
          <cell r="A618" t="str">
            <v>155-10-028</v>
          </cell>
          <cell r="B618">
            <v>9</v>
          </cell>
          <cell r="C618" t="str">
            <v xml:space="preserve"> SUBSCRIPTIONS -COMPANY MEMBERSHIP</v>
          </cell>
          <cell r="D618">
            <v>7000</v>
          </cell>
          <cell r="E618">
            <v>5000</v>
          </cell>
          <cell r="F618">
            <v>8571.4285714285725</v>
          </cell>
          <cell r="G618">
            <v>0.81666666666666654</v>
          </cell>
        </row>
        <row r="619">
          <cell r="A619" t="str">
            <v>155-10-030</v>
          </cell>
          <cell r="B619">
            <v>9</v>
          </cell>
          <cell r="C619" t="str">
            <v>TRAVELLING &amp; ACCOMMODATION</v>
          </cell>
          <cell r="D619">
            <v>154600</v>
          </cell>
          <cell r="E619">
            <v>121000</v>
          </cell>
          <cell r="F619">
            <v>207428.57142857142</v>
          </cell>
          <cell r="G619">
            <v>0.74531680440771353</v>
          </cell>
        </row>
        <row r="620">
          <cell r="A620" t="str">
            <v>155-10-032</v>
          </cell>
          <cell r="B620">
            <v>9</v>
          </cell>
          <cell r="C620" t="str">
            <v xml:space="preserve">MOTOR CAR EXPENSES </v>
          </cell>
          <cell r="D620">
            <v>0</v>
          </cell>
          <cell r="E620">
            <v>0</v>
          </cell>
          <cell r="F620">
            <v>0</v>
          </cell>
          <cell r="G620">
            <v>0</v>
          </cell>
        </row>
        <row r="621">
          <cell r="A621" t="str">
            <v>155-10-040</v>
          </cell>
          <cell r="B621">
            <v>9</v>
          </cell>
          <cell r="C621" t="str">
            <v>POSTAGE</v>
          </cell>
          <cell r="D621">
            <v>0</v>
          </cell>
          <cell r="E621">
            <v>0</v>
          </cell>
          <cell r="F621">
            <v>0</v>
          </cell>
          <cell r="G621">
            <v>0</v>
          </cell>
        </row>
        <row r="622">
          <cell r="A622" t="str">
            <v>155-10-041</v>
          </cell>
          <cell r="B622">
            <v>9</v>
          </cell>
          <cell r="C622" t="str">
            <v>TELEPHONE &amp; FAX</v>
          </cell>
          <cell r="D622">
            <v>141600</v>
          </cell>
          <cell r="E622">
            <v>83000</v>
          </cell>
          <cell r="F622">
            <v>142285.71428571429</v>
          </cell>
          <cell r="G622">
            <v>0.99518072289156623</v>
          </cell>
        </row>
        <row r="623">
          <cell r="A623" t="str">
            <v>155-10-044</v>
          </cell>
          <cell r="B623">
            <v>9</v>
          </cell>
          <cell r="C623" t="str">
            <v>PROFFESSIONAL TRAINING</v>
          </cell>
          <cell r="D623">
            <v>270396</v>
          </cell>
          <cell r="E623">
            <v>192916.66666666669</v>
          </cell>
          <cell r="F623">
            <v>330714.28571428574</v>
          </cell>
          <cell r="G623">
            <v>0.8176120950323974</v>
          </cell>
        </row>
        <row r="624">
          <cell r="A624" t="str">
            <v>155-10-046</v>
          </cell>
          <cell r="B624">
            <v>9</v>
          </cell>
          <cell r="C624" t="str">
            <v xml:space="preserve">SUBSCRIPTION- STAFF CLUB MEMBERSHIP </v>
          </cell>
          <cell r="D624">
            <v>83000</v>
          </cell>
          <cell r="E624">
            <v>11750</v>
          </cell>
          <cell r="F624">
            <v>20142.857142857145</v>
          </cell>
          <cell r="G624">
            <v>4.120567375886524</v>
          </cell>
          <cell r="H624" t="str">
            <v>Club Joining Fees</v>
          </cell>
        </row>
        <row r="625">
          <cell r="A625" t="str">
            <v>155-10-054</v>
          </cell>
          <cell r="B625">
            <v>9</v>
          </cell>
          <cell r="C625" t="str">
            <v>LEASED LINES-INTERNET SERVICES</v>
          </cell>
          <cell r="D625">
            <v>1152000</v>
          </cell>
          <cell r="E625">
            <v>675000</v>
          </cell>
          <cell r="F625">
            <v>1157142.8571428573</v>
          </cell>
          <cell r="G625">
            <v>0.99555555555555542</v>
          </cell>
        </row>
        <row r="626">
          <cell r="A626" t="str">
            <v>155-10-057</v>
          </cell>
          <cell r="B626">
            <v>9</v>
          </cell>
          <cell r="C626" t="str">
            <v>SOFTWARE LICENCES</v>
          </cell>
          <cell r="D626">
            <v>545000</v>
          </cell>
          <cell r="E626">
            <v>367000</v>
          </cell>
          <cell r="F626">
            <v>629142.85714285716</v>
          </cell>
          <cell r="G626">
            <v>0.86625794732061756</v>
          </cell>
        </row>
        <row r="627">
          <cell r="A627" t="str">
            <v>155-10-059</v>
          </cell>
          <cell r="B627">
            <v>9</v>
          </cell>
          <cell r="E627">
            <v>0</v>
          </cell>
          <cell r="F627">
            <v>0</v>
          </cell>
          <cell r="G627">
            <v>0</v>
          </cell>
        </row>
        <row r="628">
          <cell r="A628" t="str">
            <v>155-10-060</v>
          </cell>
          <cell r="B628">
            <v>9</v>
          </cell>
          <cell r="E628">
            <v>0</v>
          </cell>
          <cell r="F628">
            <v>0</v>
          </cell>
          <cell r="G628">
            <v>0</v>
          </cell>
        </row>
        <row r="629">
          <cell r="A629" t="str">
            <v>155-10-062</v>
          </cell>
          <cell r="B629">
            <v>9</v>
          </cell>
          <cell r="C629" t="str">
            <v>EDUCATION EXPENSES</v>
          </cell>
          <cell r="D629">
            <v>0</v>
          </cell>
          <cell r="E629">
            <v>0</v>
          </cell>
          <cell r="F629">
            <v>0</v>
          </cell>
          <cell r="G629">
            <v>0</v>
          </cell>
        </row>
        <row r="630">
          <cell r="A630" t="str">
            <v>105-10-010</v>
          </cell>
          <cell r="B630">
            <v>10</v>
          </cell>
          <cell r="C630" t="str">
            <v>BASIC SALARY</v>
          </cell>
          <cell r="D630">
            <v>7666310.3999999994</v>
          </cell>
          <cell r="E630">
            <v>2647000</v>
          </cell>
          <cell r="F630">
            <v>5499050</v>
          </cell>
          <cell r="G630">
            <v>1.3941154199361707</v>
          </cell>
          <cell r="H630" t="str">
            <v>Staff costs adjusted to cater for staff who joined in May and June</v>
          </cell>
        </row>
        <row r="631">
          <cell r="A631" t="str">
            <v>105-10-012</v>
          </cell>
          <cell r="B631">
            <v>10</v>
          </cell>
          <cell r="C631" t="str">
            <v>PROVISION FOR MORT. RATE ADJUSTMENTS</v>
          </cell>
          <cell r="D631">
            <v>31080</v>
          </cell>
          <cell r="E631">
            <v>8000</v>
          </cell>
          <cell r="F631">
            <v>20950</v>
          </cell>
          <cell r="G631">
            <v>1.4835322195704057</v>
          </cell>
          <cell r="H631" t="str">
            <v>Staff costs adjusted to cater for staff who joined in May and June</v>
          </cell>
        </row>
        <row r="632">
          <cell r="A632" t="str">
            <v>105-10-020</v>
          </cell>
          <cell r="B632">
            <v>10</v>
          </cell>
          <cell r="C632" t="str">
            <v>HOUSE ALLOWANCE</v>
          </cell>
          <cell r="D632">
            <v>1057200</v>
          </cell>
          <cell r="E632">
            <v>461500</v>
          </cell>
          <cell r="F632">
            <v>902000</v>
          </cell>
          <cell r="G632">
            <v>1.1720620842572063</v>
          </cell>
          <cell r="H632" t="str">
            <v>Staff costs adjusted to cater for staff who joined in May and June</v>
          </cell>
        </row>
        <row r="633">
          <cell r="A633" t="str">
            <v>105-10-030</v>
          </cell>
          <cell r="B633">
            <v>10</v>
          </cell>
          <cell r="C633" t="str">
            <v>TELEPHONE ALLOWANCE</v>
          </cell>
          <cell r="D633">
            <v>102000</v>
          </cell>
          <cell r="E633">
            <v>34000</v>
          </cell>
          <cell r="F633">
            <v>76500</v>
          </cell>
          <cell r="G633">
            <v>1.3333333333333333</v>
          </cell>
          <cell r="H633" t="str">
            <v>Staff costs adjusted to cater for staff who joined in May and June</v>
          </cell>
        </row>
        <row r="634">
          <cell r="A634" t="str">
            <v>105-10-040</v>
          </cell>
          <cell r="B634">
            <v>10</v>
          </cell>
          <cell r="C634" t="str">
            <v>SECURITY ALLOWANCE</v>
          </cell>
          <cell r="D634">
            <v>0</v>
          </cell>
          <cell r="E634">
            <v>0</v>
          </cell>
          <cell r="F634">
            <v>0</v>
          </cell>
          <cell r="G634">
            <v>0</v>
          </cell>
        </row>
        <row r="635">
          <cell r="A635" t="str">
            <v>105-10-050</v>
          </cell>
          <cell r="B635">
            <v>10</v>
          </cell>
          <cell r="C635" t="str">
            <v>EDUCATION ALLOWANCE</v>
          </cell>
          <cell r="D635">
            <v>120000</v>
          </cell>
          <cell r="E635">
            <v>30000</v>
          </cell>
          <cell r="F635">
            <v>156500</v>
          </cell>
          <cell r="G635">
            <v>0.76677316293929709</v>
          </cell>
        </row>
        <row r="636">
          <cell r="A636" t="str">
            <v>105-10-060</v>
          </cell>
          <cell r="B636">
            <v>10</v>
          </cell>
          <cell r="C636" t="str">
            <v>TRAVEL ALLOWANCE</v>
          </cell>
          <cell r="D636">
            <v>303600</v>
          </cell>
          <cell r="E636">
            <v>162000</v>
          </cell>
          <cell r="F636">
            <v>288500</v>
          </cell>
          <cell r="G636">
            <v>1.0523396880415945</v>
          </cell>
        </row>
        <row r="637">
          <cell r="A637" t="str">
            <v>105-20-010</v>
          </cell>
          <cell r="B637">
            <v>10</v>
          </cell>
          <cell r="C637" t="str">
            <v>NSSF</v>
          </cell>
          <cell r="D637">
            <v>19200</v>
          </cell>
          <cell r="E637">
            <v>8000</v>
          </cell>
          <cell r="F637">
            <v>16000</v>
          </cell>
          <cell r="G637">
            <v>1.2</v>
          </cell>
        </row>
        <row r="638">
          <cell r="A638" t="str">
            <v>105-20-020</v>
          </cell>
          <cell r="B638">
            <v>10</v>
          </cell>
          <cell r="C638" t="str">
            <v>NHIF</v>
          </cell>
          <cell r="D638">
            <v>23040</v>
          </cell>
          <cell r="E638">
            <v>8000</v>
          </cell>
          <cell r="F638">
            <v>17600</v>
          </cell>
          <cell r="G638">
            <v>1.3090909090909091</v>
          </cell>
          <cell r="H638" t="str">
            <v>Staff costs adjusted to cater for staff who joined in May and June</v>
          </cell>
        </row>
        <row r="639">
          <cell r="A639" t="str">
            <v>105-30-010</v>
          </cell>
          <cell r="B639">
            <v>10</v>
          </cell>
          <cell r="C639" t="str">
            <v xml:space="preserve">PENSION </v>
          </cell>
          <cell r="D639">
            <v>958288.8</v>
          </cell>
          <cell r="E639">
            <v>332000</v>
          </cell>
          <cell r="F639">
            <v>731287</v>
          </cell>
          <cell r="G639">
            <v>1.3104141055426939</v>
          </cell>
          <cell r="H639" t="str">
            <v>Staff costs adjusted to cater for staff who joined in May and June</v>
          </cell>
        </row>
        <row r="640">
          <cell r="A640" t="str">
            <v>105-30-020</v>
          </cell>
          <cell r="B640">
            <v>10</v>
          </cell>
          <cell r="C640" t="str">
            <v>LAST EXPENSE</v>
          </cell>
          <cell r="D640">
            <v>5375</v>
          </cell>
          <cell r="E640">
            <v>4000</v>
          </cell>
          <cell r="F640">
            <v>6857.1428571428569</v>
          </cell>
          <cell r="G640">
            <v>0.78385416666666674</v>
          </cell>
        </row>
        <row r="641">
          <cell r="A641" t="str">
            <v>105-30-030</v>
          </cell>
          <cell r="B641">
            <v>10</v>
          </cell>
          <cell r="C641" t="str">
            <v>GROUP LIFE ASSURANCE</v>
          </cell>
          <cell r="D641">
            <v>184535.16</v>
          </cell>
          <cell r="E641">
            <v>59000</v>
          </cell>
          <cell r="F641">
            <v>101142.85714285716</v>
          </cell>
          <cell r="G641">
            <v>1.824500169491525</v>
          </cell>
        </row>
        <row r="642">
          <cell r="A642" t="str">
            <v>105-30-040</v>
          </cell>
          <cell r="B642">
            <v>10</v>
          </cell>
          <cell r="C642" t="str">
            <v>STAFF MEDICAL</v>
          </cell>
          <cell r="D642">
            <v>8000000</v>
          </cell>
          <cell r="E642">
            <v>4386000</v>
          </cell>
          <cell r="F642">
            <v>7518857.1428571418</v>
          </cell>
          <cell r="G642">
            <v>1.0639914880680956</v>
          </cell>
        </row>
        <row r="643">
          <cell r="A643" t="str">
            <v>105-30-050</v>
          </cell>
          <cell r="B643">
            <v>10</v>
          </cell>
          <cell r="C643" t="str">
            <v>CASH IN LIEU OF LEAVE</v>
          </cell>
          <cell r="D643">
            <v>191657.76</v>
          </cell>
          <cell r="E643">
            <v>150000</v>
          </cell>
          <cell r="F643">
            <v>257142.85714285713</v>
          </cell>
          <cell r="G643">
            <v>0.74533573333333336</v>
          </cell>
        </row>
        <row r="644">
          <cell r="A644" t="str">
            <v>105-30-060</v>
          </cell>
          <cell r="B644">
            <v>10</v>
          </cell>
          <cell r="C644" t="str">
            <v>GRATUITY</v>
          </cell>
          <cell r="E644">
            <v>0</v>
          </cell>
          <cell r="F644">
            <v>0</v>
          </cell>
          <cell r="G644">
            <v>0</v>
          </cell>
        </row>
        <row r="645">
          <cell r="A645" t="str">
            <v>105-30-070</v>
          </cell>
          <cell r="B645">
            <v>10</v>
          </cell>
          <cell r="C645" t="str">
            <v>LONG SERVICE AWARDS</v>
          </cell>
          <cell r="D645">
            <v>0</v>
          </cell>
          <cell r="E645">
            <v>0</v>
          </cell>
          <cell r="F645">
            <v>0</v>
          </cell>
          <cell r="G645">
            <v>0</v>
          </cell>
        </row>
        <row r="646">
          <cell r="A646" t="str">
            <v>105-30-080</v>
          </cell>
          <cell r="B646">
            <v>10</v>
          </cell>
          <cell r="C646" t="str">
            <v>STAFF RECRUITMENT &amp; REMOVALS</v>
          </cell>
          <cell r="D646">
            <v>0</v>
          </cell>
          <cell r="E646">
            <v>456000</v>
          </cell>
          <cell r="F646">
            <v>456000</v>
          </cell>
          <cell r="G646">
            <v>0</v>
          </cell>
        </row>
        <row r="647">
          <cell r="A647" t="str">
            <v>115-10-010</v>
          </cell>
          <cell r="B647">
            <v>10</v>
          </cell>
          <cell r="D647">
            <v>0</v>
          </cell>
          <cell r="E647">
            <v>0</v>
          </cell>
          <cell r="F647">
            <v>0</v>
          </cell>
          <cell r="G647">
            <v>0</v>
          </cell>
        </row>
        <row r="648">
          <cell r="A648" t="str">
            <v>115-10-010</v>
          </cell>
          <cell r="B648">
            <v>10</v>
          </cell>
          <cell r="D648">
            <v>0</v>
          </cell>
          <cell r="F648">
            <v>0</v>
          </cell>
          <cell r="G648">
            <v>0</v>
          </cell>
        </row>
        <row r="649">
          <cell r="A649" t="str">
            <v>115-10-020</v>
          </cell>
          <cell r="B649">
            <v>10</v>
          </cell>
          <cell r="D649">
            <v>0</v>
          </cell>
          <cell r="E649">
            <v>0</v>
          </cell>
          <cell r="F649">
            <v>0</v>
          </cell>
          <cell r="G649">
            <v>0</v>
          </cell>
        </row>
        <row r="650">
          <cell r="A650" t="str">
            <v>115-10-020</v>
          </cell>
          <cell r="B650">
            <v>10</v>
          </cell>
          <cell r="D650">
            <v>0</v>
          </cell>
          <cell r="G650">
            <v>0</v>
          </cell>
        </row>
        <row r="651">
          <cell r="A651" t="str">
            <v>115-10-030</v>
          </cell>
          <cell r="B651">
            <v>10</v>
          </cell>
          <cell r="D651">
            <v>0</v>
          </cell>
          <cell r="E651">
            <v>0</v>
          </cell>
          <cell r="F651">
            <v>0</v>
          </cell>
          <cell r="G651">
            <v>0</v>
          </cell>
        </row>
        <row r="652">
          <cell r="A652" t="str">
            <v>115-10-030</v>
          </cell>
          <cell r="B652">
            <v>10</v>
          </cell>
          <cell r="D652">
            <v>0</v>
          </cell>
          <cell r="F652">
            <v>0</v>
          </cell>
          <cell r="G652">
            <v>0</v>
          </cell>
        </row>
        <row r="653">
          <cell r="A653" t="str">
            <v>115-10-040</v>
          </cell>
          <cell r="B653">
            <v>10</v>
          </cell>
          <cell r="D653">
            <v>0</v>
          </cell>
          <cell r="E653">
            <v>0</v>
          </cell>
          <cell r="F653">
            <v>0</v>
          </cell>
          <cell r="G653">
            <v>0</v>
          </cell>
        </row>
        <row r="654">
          <cell r="A654" t="str">
            <v>115-10-040</v>
          </cell>
          <cell r="B654">
            <v>10</v>
          </cell>
          <cell r="D654">
            <v>0</v>
          </cell>
          <cell r="F654">
            <v>0</v>
          </cell>
          <cell r="G654">
            <v>0</v>
          </cell>
        </row>
        <row r="655">
          <cell r="A655" t="str">
            <v>115-10-050</v>
          </cell>
          <cell r="B655">
            <v>10</v>
          </cell>
          <cell r="C655" t="str">
            <v>OFFICE CATERING &amp; STAFF WELFARE</v>
          </cell>
          <cell r="D655">
            <v>1663680</v>
          </cell>
          <cell r="E655">
            <v>965000</v>
          </cell>
          <cell r="F655">
            <v>1509000</v>
          </cell>
          <cell r="G655">
            <v>1.1025049701789265</v>
          </cell>
        </row>
        <row r="656">
          <cell r="A656" t="str">
            <v>115-10-051</v>
          </cell>
          <cell r="B656">
            <v>10</v>
          </cell>
          <cell r="C656" t="str">
            <v>OFFICE CLEANING</v>
          </cell>
          <cell r="D656">
            <v>0</v>
          </cell>
          <cell r="E656">
            <v>0</v>
          </cell>
          <cell r="F656">
            <v>0</v>
          </cell>
          <cell r="G656">
            <v>0</v>
          </cell>
        </row>
        <row r="657">
          <cell r="A657" t="str">
            <v>115-10-060</v>
          </cell>
          <cell r="B657">
            <v>10</v>
          </cell>
          <cell r="C657" t="str">
            <v>OFFICE WATER</v>
          </cell>
          <cell r="D657">
            <v>0</v>
          </cell>
          <cell r="E657">
            <v>0</v>
          </cell>
          <cell r="F657">
            <v>0</v>
          </cell>
          <cell r="G657">
            <v>0</v>
          </cell>
        </row>
        <row r="658">
          <cell r="A658" t="str">
            <v>115-10-070</v>
          </cell>
          <cell r="B658">
            <v>10</v>
          </cell>
          <cell r="C658" t="str">
            <v>OFFICE ELECTRICITY</v>
          </cell>
          <cell r="D658">
            <v>0</v>
          </cell>
          <cell r="E658">
            <v>0</v>
          </cell>
          <cell r="F658">
            <v>0</v>
          </cell>
          <cell r="G658">
            <v>0</v>
          </cell>
        </row>
        <row r="659">
          <cell r="A659" t="str">
            <v>115-10-080</v>
          </cell>
          <cell r="B659">
            <v>10</v>
          </cell>
          <cell r="C659" t="str">
            <v>OFFICE SECURITY</v>
          </cell>
          <cell r="D659">
            <v>0</v>
          </cell>
          <cell r="E659">
            <v>0</v>
          </cell>
          <cell r="F659">
            <v>0</v>
          </cell>
          <cell r="G659">
            <v>0</v>
          </cell>
        </row>
        <row r="660">
          <cell r="A660" t="str">
            <v>125-10-010</v>
          </cell>
          <cell r="B660">
            <v>10</v>
          </cell>
          <cell r="C660" t="str">
            <v>BANK CHARGES</v>
          </cell>
          <cell r="D660">
            <v>0</v>
          </cell>
          <cell r="E660">
            <v>0</v>
          </cell>
          <cell r="F660">
            <v>0</v>
          </cell>
          <cell r="G660">
            <v>0</v>
          </cell>
        </row>
        <row r="661">
          <cell r="A661" t="str">
            <v>125-10-020</v>
          </cell>
          <cell r="B661">
            <v>10</v>
          </cell>
          <cell r="C661" t="str">
            <v>BANK OVERDRART CHARGES</v>
          </cell>
          <cell r="E661">
            <v>0</v>
          </cell>
          <cell r="F661">
            <v>0</v>
          </cell>
          <cell r="G661">
            <v>0</v>
          </cell>
        </row>
        <row r="662">
          <cell r="A662" t="str">
            <v>145-10-010</v>
          </cell>
          <cell r="B662">
            <v>10</v>
          </cell>
          <cell r="C662" t="str">
            <v>ALA Group charges- Individual life</v>
          </cell>
          <cell r="D662">
            <v>0</v>
          </cell>
          <cell r="E662">
            <v>0</v>
          </cell>
          <cell r="F662">
            <v>0</v>
          </cell>
          <cell r="G662">
            <v>0</v>
          </cell>
        </row>
        <row r="663">
          <cell r="A663" t="str">
            <v>145-10-020</v>
          </cell>
          <cell r="B663">
            <v>10</v>
          </cell>
          <cell r="C663" t="str">
            <v>Actuarial fees- Individual life</v>
          </cell>
          <cell r="D663">
            <v>0</v>
          </cell>
          <cell r="E663">
            <v>0</v>
          </cell>
          <cell r="F663">
            <v>0</v>
          </cell>
          <cell r="G663">
            <v>0</v>
          </cell>
        </row>
        <row r="664">
          <cell r="A664" t="str">
            <v>145-10-031</v>
          </cell>
          <cell r="B664">
            <v>10</v>
          </cell>
          <cell r="C664" t="str">
            <v>Consultancy</v>
          </cell>
          <cell r="D664">
            <v>0</v>
          </cell>
          <cell r="E664">
            <v>0</v>
          </cell>
          <cell r="F664">
            <v>150000</v>
          </cell>
          <cell r="G664">
            <v>0</v>
          </cell>
          <cell r="H664" t="str">
            <v>BCP/Mision Statement</v>
          </cell>
        </row>
        <row r="665">
          <cell r="A665" t="str">
            <v>145-10-040</v>
          </cell>
          <cell r="B665">
            <v>10</v>
          </cell>
          <cell r="C665" t="str">
            <v>Legal fees</v>
          </cell>
          <cell r="D665">
            <v>0</v>
          </cell>
          <cell r="E665">
            <v>0</v>
          </cell>
          <cell r="F665">
            <v>0</v>
          </cell>
          <cell r="G665">
            <v>0</v>
          </cell>
        </row>
        <row r="666">
          <cell r="A666" t="str">
            <v>145-10-060</v>
          </cell>
          <cell r="B666">
            <v>10</v>
          </cell>
          <cell r="C666" t="str">
            <v>Intra company charges- individual life</v>
          </cell>
          <cell r="G666">
            <v>0</v>
          </cell>
        </row>
        <row r="667">
          <cell r="A667" t="str">
            <v>145-10-080</v>
          </cell>
          <cell r="B667">
            <v>10</v>
          </cell>
          <cell r="C667" t="str">
            <v>40% Excutive recharge</v>
          </cell>
          <cell r="F667">
            <v>0</v>
          </cell>
          <cell r="G667">
            <v>0</v>
          </cell>
        </row>
        <row r="668">
          <cell r="A668" t="str">
            <v>145-10-110</v>
          </cell>
          <cell r="B668">
            <v>10</v>
          </cell>
          <cell r="C668" t="str">
            <v>Outsourcing of staff payroll</v>
          </cell>
          <cell r="D668">
            <v>360000</v>
          </cell>
          <cell r="E668">
            <v>0</v>
          </cell>
          <cell r="F668">
            <v>0</v>
          </cell>
          <cell r="G668">
            <v>0</v>
          </cell>
        </row>
        <row r="669">
          <cell r="A669" t="str">
            <v>145-10-130</v>
          </cell>
          <cell r="B669">
            <v>10</v>
          </cell>
          <cell r="C669" t="str">
            <v>7% recharge to Corporate Business</v>
          </cell>
          <cell r="D669">
            <v>-1617736.1634</v>
          </cell>
          <cell r="E669">
            <v>0</v>
          </cell>
          <cell r="F669">
            <v>-1419122.08</v>
          </cell>
          <cell r="G669">
            <v>1.1399556008599343</v>
          </cell>
        </row>
        <row r="670">
          <cell r="A670" t="str">
            <v>145-10-140</v>
          </cell>
          <cell r="B670">
            <v>10</v>
          </cell>
          <cell r="C670" t="str">
            <v xml:space="preserve"> 3% Recharge to  PA securities</v>
          </cell>
          <cell r="D670">
            <v>-693315.49859999993</v>
          </cell>
          <cell r="F670">
            <v>-608195.17714285711</v>
          </cell>
          <cell r="G670">
            <v>1.1399556008599345</v>
          </cell>
        </row>
        <row r="671">
          <cell r="A671" t="str">
            <v>155-10-007</v>
          </cell>
          <cell r="B671">
            <v>10</v>
          </cell>
          <cell r="C671" t="str">
            <v>NEWSPAPERS &amp; JOURNALS</v>
          </cell>
          <cell r="D671">
            <v>16800</v>
          </cell>
          <cell r="E671">
            <v>14000</v>
          </cell>
          <cell r="F671">
            <v>24000</v>
          </cell>
          <cell r="G671">
            <v>0.7</v>
          </cell>
        </row>
        <row r="672">
          <cell r="A672" t="str">
            <v>155-10-008</v>
          </cell>
          <cell r="B672">
            <v>10</v>
          </cell>
          <cell r="C672" t="str">
            <v>ENTERTAINMENT &amp; DONATIONS</v>
          </cell>
          <cell r="D672">
            <v>13500</v>
          </cell>
          <cell r="E672">
            <v>11250</v>
          </cell>
          <cell r="F672">
            <v>19285.714285714286</v>
          </cell>
          <cell r="G672">
            <v>0.7</v>
          </cell>
        </row>
        <row r="673">
          <cell r="A673" t="str">
            <v>155-10-009</v>
          </cell>
          <cell r="B673">
            <v>10</v>
          </cell>
          <cell r="C673" t="str">
            <v>COURIER &amp; FREIGHT CHARGES</v>
          </cell>
          <cell r="D673">
            <v>564000</v>
          </cell>
          <cell r="E673">
            <v>303000</v>
          </cell>
          <cell r="F673">
            <v>519428.57142857136</v>
          </cell>
          <cell r="G673">
            <v>1.085808580858086</v>
          </cell>
        </row>
        <row r="674">
          <cell r="A674" t="str">
            <v>155-10-010</v>
          </cell>
          <cell r="B674">
            <v>10</v>
          </cell>
          <cell r="C674" t="str">
            <v>ADVERTISING &amp; PUBLICITY</v>
          </cell>
          <cell r="D674">
            <v>175500</v>
          </cell>
          <cell r="E674">
            <v>309000</v>
          </cell>
          <cell r="F674">
            <v>529714.28571428568</v>
          </cell>
          <cell r="G674">
            <v>0.3313106796116505</v>
          </cell>
          <cell r="H674" t="str">
            <v>Corporate Brochure &amp;  Community  awareness</v>
          </cell>
        </row>
        <row r="675">
          <cell r="A675" t="str">
            <v>155-10-012</v>
          </cell>
          <cell r="B675">
            <v>10</v>
          </cell>
          <cell r="C675" t="str">
            <v>TRADE LICENCES</v>
          </cell>
          <cell r="D675">
            <v>0</v>
          </cell>
          <cell r="E675">
            <v>0</v>
          </cell>
          <cell r="F675">
            <v>0</v>
          </cell>
          <cell r="G675">
            <v>0</v>
          </cell>
        </row>
        <row r="676">
          <cell r="A676" t="str">
            <v>155-10-013</v>
          </cell>
          <cell r="B676">
            <v>10</v>
          </cell>
          <cell r="C676" t="str">
            <v>INSURANCES</v>
          </cell>
          <cell r="D676">
            <v>0</v>
          </cell>
          <cell r="E676">
            <v>0</v>
          </cell>
          <cell r="F676">
            <v>0</v>
          </cell>
          <cell r="G676">
            <v>0</v>
          </cell>
        </row>
        <row r="677">
          <cell r="A677" t="str">
            <v>155-10-014</v>
          </cell>
          <cell r="B677">
            <v>10</v>
          </cell>
          <cell r="C677" t="str">
            <v>PHOTOCOPY</v>
          </cell>
          <cell r="D677">
            <v>0</v>
          </cell>
          <cell r="E677">
            <v>0</v>
          </cell>
          <cell r="F677">
            <v>0</v>
          </cell>
          <cell r="G677">
            <v>0</v>
          </cell>
        </row>
        <row r="678">
          <cell r="A678" t="str">
            <v>155-10-015</v>
          </cell>
          <cell r="B678">
            <v>10</v>
          </cell>
          <cell r="C678" t="str">
            <v>COMPUTER MAINTAINANCE</v>
          </cell>
          <cell r="D678">
            <v>0</v>
          </cell>
          <cell r="E678">
            <v>0</v>
          </cell>
          <cell r="F678">
            <v>0</v>
          </cell>
          <cell r="G678">
            <v>0</v>
          </cell>
        </row>
        <row r="679">
          <cell r="A679" t="str">
            <v>155-10-016</v>
          </cell>
          <cell r="B679">
            <v>10</v>
          </cell>
          <cell r="C679" t="str">
            <v>EQUIPMENT&amp; FURNITURE REPAIRS &amp; MAINTENANCE</v>
          </cell>
          <cell r="D679">
            <v>530643</v>
          </cell>
          <cell r="E679">
            <v>204000</v>
          </cell>
          <cell r="F679">
            <v>349714.28571428568</v>
          </cell>
          <cell r="G679">
            <v>1.5173615196078434</v>
          </cell>
        </row>
        <row r="680">
          <cell r="A680" t="str">
            <v>155-10-017</v>
          </cell>
          <cell r="B680">
            <v>10</v>
          </cell>
          <cell r="C680" t="str">
            <v>SEMINARS &amp; SHORT TERM COURSES</v>
          </cell>
          <cell r="D680">
            <v>150682</v>
          </cell>
          <cell r="E680">
            <v>0</v>
          </cell>
          <cell r="F680">
            <v>30857</v>
          </cell>
          <cell r="G680">
            <v>4.8832355705350485</v>
          </cell>
        </row>
        <row r="681">
          <cell r="A681" t="str">
            <v>155-10-022</v>
          </cell>
          <cell r="B681">
            <v>10</v>
          </cell>
          <cell r="C681" t="str">
            <v>PRINTING &amp; STATIONERY</v>
          </cell>
          <cell r="D681">
            <v>171862.5</v>
          </cell>
          <cell r="E681">
            <v>88000</v>
          </cell>
          <cell r="F681">
            <v>150857.14285714284</v>
          </cell>
          <cell r="G681">
            <v>1.139240056818182</v>
          </cell>
          <cell r="H681" t="str">
            <v>Based on limited staff numbers for part of the year. Higher expenditure in 2005</v>
          </cell>
        </row>
        <row r="682">
          <cell r="A682" t="str">
            <v>155-10-025</v>
          </cell>
          <cell r="B682">
            <v>10</v>
          </cell>
          <cell r="C682" t="str">
            <v>STRATEGIC PLANNING</v>
          </cell>
          <cell r="D682">
            <v>0</v>
          </cell>
          <cell r="E682">
            <v>0</v>
          </cell>
          <cell r="F682">
            <v>0</v>
          </cell>
          <cell r="G682">
            <v>0</v>
          </cell>
        </row>
        <row r="683">
          <cell r="A683" t="str">
            <v>155-10-027</v>
          </cell>
          <cell r="B683">
            <v>10</v>
          </cell>
          <cell r="C683" t="str">
            <v>PROFESSIONAL SUBSCRIPTIONS</v>
          </cell>
          <cell r="D683">
            <v>8500</v>
          </cell>
          <cell r="E683">
            <v>0</v>
          </cell>
          <cell r="F683">
            <v>0</v>
          </cell>
          <cell r="G683">
            <v>0</v>
          </cell>
        </row>
        <row r="684">
          <cell r="A684" t="str">
            <v>155-10-028</v>
          </cell>
          <cell r="B684">
            <v>10</v>
          </cell>
          <cell r="C684" t="str">
            <v xml:space="preserve"> SUBSCRIPTIONS -COMPANY MEMBERSHIP</v>
          </cell>
          <cell r="D684">
            <v>586000</v>
          </cell>
          <cell r="E684">
            <v>282000</v>
          </cell>
          <cell r="F684">
            <v>483428.57142857136</v>
          </cell>
          <cell r="G684">
            <v>1.2121749408983453</v>
          </cell>
        </row>
        <row r="685">
          <cell r="A685" t="str">
            <v>155-10-030</v>
          </cell>
          <cell r="B685">
            <v>10</v>
          </cell>
          <cell r="C685" t="str">
            <v>TRAVELLING &amp; ACCOMMODATION</v>
          </cell>
          <cell r="D685">
            <v>81000</v>
          </cell>
          <cell r="E685">
            <v>79000</v>
          </cell>
          <cell r="F685">
            <v>135428.57142857142</v>
          </cell>
          <cell r="G685">
            <v>0.59810126582278489</v>
          </cell>
        </row>
        <row r="686">
          <cell r="A686" t="str">
            <v>155-10-032</v>
          </cell>
          <cell r="B686">
            <v>10</v>
          </cell>
          <cell r="C686" t="str">
            <v xml:space="preserve">MOTOR CAR EXPENSES </v>
          </cell>
          <cell r="D686">
            <v>0</v>
          </cell>
          <cell r="E686">
            <v>0</v>
          </cell>
          <cell r="F686">
            <v>0</v>
          </cell>
          <cell r="G686">
            <v>0</v>
          </cell>
        </row>
        <row r="687">
          <cell r="A687" t="str">
            <v>155-10-040</v>
          </cell>
          <cell r="B687">
            <v>10</v>
          </cell>
          <cell r="C687" t="str">
            <v>POSTAGE</v>
          </cell>
          <cell r="D687">
            <v>4262</v>
          </cell>
          <cell r="E687">
            <v>2000</v>
          </cell>
          <cell r="F687">
            <v>3428.5714285714284</v>
          </cell>
          <cell r="G687">
            <v>1.2430833333333333</v>
          </cell>
        </row>
        <row r="688">
          <cell r="A688" t="str">
            <v>155-10-041</v>
          </cell>
          <cell r="B688">
            <v>10</v>
          </cell>
          <cell r="C688" t="str">
            <v>TELEPHONE &amp; FAX</v>
          </cell>
          <cell r="D688">
            <v>100800</v>
          </cell>
          <cell r="E688">
            <v>63000</v>
          </cell>
          <cell r="F688">
            <v>152000</v>
          </cell>
          <cell r="G688">
            <v>0.66315789473684206</v>
          </cell>
        </row>
        <row r="689">
          <cell r="A689" t="str">
            <v>155-10-044</v>
          </cell>
          <cell r="B689">
            <v>10</v>
          </cell>
          <cell r="C689" t="str">
            <v>PROFFESSIONAL TRAINING</v>
          </cell>
          <cell r="D689">
            <v>0</v>
          </cell>
          <cell r="E689">
            <v>18000</v>
          </cell>
          <cell r="G689">
            <v>0</v>
          </cell>
        </row>
        <row r="690">
          <cell r="A690" t="str">
            <v>155-10-046</v>
          </cell>
          <cell r="B690">
            <v>10</v>
          </cell>
          <cell r="C690" t="str">
            <v xml:space="preserve">SUBSCRIPTION- STAFF CLUB MEMBERSHIP </v>
          </cell>
          <cell r="D690">
            <v>21000</v>
          </cell>
          <cell r="E690">
            <v>97791.666666666657</v>
          </cell>
          <cell r="F690">
            <v>167642.85714285713</v>
          </cell>
          <cell r="G690">
            <v>0.12526629740093737</v>
          </cell>
          <cell r="H690" t="str">
            <v>NEW: HRM's club membership membership started in August 2004</v>
          </cell>
        </row>
        <row r="691">
          <cell r="A691" t="str">
            <v>155-10-054</v>
          </cell>
          <cell r="B691">
            <v>10</v>
          </cell>
          <cell r="C691" t="str">
            <v>LEASED LINES-INTERNET SERVICES</v>
          </cell>
          <cell r="D691">
            <v>0</v>
          </cell>
          <cell r="E691">
            <v>0</v>
          </cell>
          <cell r="F691">
            <v>0</v>
          </cell>
          <cell r="G691">
            <v>0</v>
          </cell>
        </row>
        <row r="692">
          <cell r="A692" t="str">
            <v>155-10-057</v>
          </cell>
          <cell r="B692">
            <v>10</v>
          </cell>
          <cell r="C692" t="str">
            <v>SOFTWARE LICENCES</v>
          </cell>
          <cell r="D692">
            <v>0</v>
          </cell>
          <cell r="E692">
            <v>0</v>
          </cell>
          <cell r="F692">
            <v>0</v>
          </cell>
          <cell r="G692">
            <v>0</v>
          </cell>
        </row>
        <row r="693">
          <cell r="A693" t="str">
            <v>155-10-059</v>
          </cell>
          <cell r="B693">
            <v>10</v>
          </cell>
          <cell r="E693">
            <v>0</v>
          </cell>
          <cell r="G693">
            <v>0</v>
          </cell>
        </row>
        <row r="694">
          <cell r="A694" t="str">
            <v>155-10-060</v>
          </cell>
          <cell r="B694">
            <v>10</v>
          </cell>
          <cell r="E694">
            <v>0</v>
          </cell>
          <cell r="G694">
            <v>0</v>
          </cell>
        </row>
        <row r="695">
          <cell r="A695" t="str">
            <v>155-10-062</v>
          </cell>
          <cell r="B695">
            <v>10</v>
          </cell>
          <cell r="C695" t="str">
            <v>EDUCATION EXPENSES</v>
          </cell>
          <cell r="D695">
            <v>0</v>
          </cell>
          <cell r="E695">
            <v>0</v>
          </cell>
          <cell r="F695">
            <v>0</v>
          </cell>
          <cell r="G695">
            <v>0</v>
          </cell>
        </row>
        <row r="696">
          <cell r="A696" t="str">
            <v>105-10-010</v>
          </cell>
          <cell r="B696">
            <v>30</v>
          </cell>
          <cell r="C696" t="str">
            <v>BASIC SALARY</v>
          </cell>
          <cell r="D696">
            <v>436047.96</v>
          </cell>
          <cell r="E696">
            <v>227000</v>
          </cell>
          <cell r="F696">
            <v>385500</v>
          </cell>
          <cell r="G696">
            <v>1.1311231128404671</v>
          </cell>
        </row>
        <row r="697">
          <cell r="A697" t="str">
            <v>105-10-012</v>
          </cell>
          <cell r="B697">
            <v>30</v>
          </cell>
          <cell r="C697" t="str">
            <v>PROVISION FOR MORT. RATE ADJUSTMENTS</v>
          </cell>
          <cell r="D697">
            <v>0</v>
          </cell>
          <cell r="E697">
            <v>0</v>
          </cell>
          <cell r="F697">
            <v>0</v>
          </cell>
          <cell r="G697">
            <v>0</v>
          </cell>
        </row>
        <row r="698">
          <cell r="A698" t="str">
            <v>105-10-020</v>
          </cell>
          <cell r="B698">
            <v>30</v>
          </cell>
          <cell r="C698" t="str">
            <v>HOUSE ALLOWANCE</v>
          </cell>
          <cell r="D698">
            <v>46800</v>
          </cell>
          <cell r="E698">
            <v>27000</v>
          </cell>
          <cell r="F698">
            <v>46500</v>
          </cell>
          <cell r="G698">
            <v>1.0064516129032257</v>
          </cell>
        </row>
        <row r="699">
          <cell r="A699" t="str">
            <v>105-10-030</v>
          </cell>
          <cell r="B699">
            <v>30</v>
          </cell>
          <cell r="C699" t="str">
            <v>TELEPHONE ALLOWANCE</v>
          </cell>
          <cell r="D699">
            <v>0</v>
          </cell>
          <cell r="E699">
            <v>0</v>
          </cell>
          <cell r="F699">
            <v>0</v>
          </cell>
          <cell r="G699">
            <v>0</v>
          </cell>
        </row>
        <row r="700">
          <cell r="A700" t="str">
            <v>105-10-040</v>
          </cell>
          <cell r="B700">
            <v>30</v>
          </cell>
          <cell r="C700" t="str">
            <v>SECURITY ALLOWANCE</v>
          </cell>
          <cell r="D700">
            <v>0</v>
          </cell>
          <cell r="E700">
            <v>0</v>
          </cell>
          <cell r="F700">
            <v>0</v>
          </cell>
          <cell r="G700">
            <v>0</v>
          </cell>
        </row>
        <row r="701">
          <cell r="A701" t="str">
            <v>105-10-050</v>
          </cell>
          <cell r="B701">
            <v>30</v>
          </cell>
          <cell r="C701" t="str">
            <v>EDUCATION ALLOWANCE</v>
          </cell>
          <cell r="D701">
            <v>0</v>
          </cell>
          <cell r="E701">
            <v>0</v>
          </cell>
          <cell r="F701">
            <v>0</v>
          </cell>
          <cell r="G701">
            <v>0</v>
          </cell>
        </row>
        <row r="702">
          <cell r="A702" t="str">
            <v>105-10-060</v>
          </cell>
          <cell r="B702">
            <v>30</v>
          </cell>
          <cell r="C702" t="str">
            <v>TRAVEL ALLOWANCE</v>
          </cell>
          <cell r="D702">
            <v>0</v>
          </cell>
          <cell r="E702">
            <v>0</v>
          </cell>
          <cell r="F702">
            <v>0</v>
          </cell>
          <cell r="G702">
            <v>0</v>
          </cell>
        </row>
        <row r="703">
          <cell r="A703" t="str">
            <v>105-20-010</v>
          </cell>
          <cell r="B703">
            <v>30</v>
          </cell>
          <cell r="C703" t="str">
            <v>NSSF</v>
          </cell>
          <cell r="D703">
            <v>2400</v>
          </cell>
          <cell r="E703">
            <v>2000</v>
          </cell>
          <cell r="F703">
            <v>3000</v>
          </cell>
          <cell r="G703">
            <v>0.8</v>
          </cell>
        </row>
        <row r="704">
          <cell r="A704" t="str">
            <v>105-20-020</v>
          </cell>
          <cell r="B704">
            <v>30</v>
          </cell>
          <cell r="C704" t="str">
            <v>NHIF</v>
          </cell>
          <cell r="D704">
            <v>2880</v>
          </cell>
          <cell r="E704">
            <v>2000</v>
          </cell>
          <cell r="F704">
            <v>3200</v>
          </cell>
          <cell r="G704">
            <v>0.9</v>
          </cell>
        </row>
        <row r="705">
          <cell r="A705" t="str">
            <v>105-30-010</v>
          </cell>
          <cell r="B705">
            <v>30</v>
          </cell>
          <cell r="C705" t="str">
            <v xml:space="preserve">PENSION </v>
          </cell>
          <cell r="D705">
            <v>53256</v>
          </cell>
          <cell r="E705">
            <v>28000</v>
          </cell>
          <cell r="F705">
            <v>50190</v>
          </cell>
          <cell r="G705">
            <v>1.0610878661087866</v>
          </cell>
        </row>
        <row r="706">
          <cell r="A706" t="str">
            <v>105-30-020</v>
          </cell>
          <cell r="B706">
            <v>30</v>
          </cell>
          <cell r="C706" t="str">
            <v>LAST EXPENSE</v>
          </cell>
          <cell r="D706">
            <v>1750</v>
          </cell>
          <cell r="E706">
            <v>2000</v>
          </cell>
          <cell r="F706">
            <v>3428.5714285714284</v>
          </cell>
          <cell r="G706">
            <v>0.51041666666666674</v>
          </cell>
        </row>
        <row r="707">
          <cell r="A707" t="str">
            <v>105-30-030</v>
          </cell>
          <cell r="B707">
            <v>30</v>
          </cell>
          <cell r="C707" t="str">
            <v>GROUP LIFE ASSURANCE</v>
          </cell>
          <cell r="D707">
            <v>5657.31</v>
          </cell>
          <cell r="E707">
            <v>5000</v>
          </cell>
          <cell r="F707">
            <v>8571.4285714285725</v>
          </cell>
          <cell r="G707">
            <v>0.66001949999999998</v>
          </cell>
        </row>
        <row r="708">
          <cell r="A708" t="str">
            <v>105-30-040</v>
          </cell>
          <cell r="B708">
            <v>30</v>
          </cell>
          <cell r="C708" t="str">
            <v>STAFF MEDICAL</v>
          </cell>
          <cell r="D708">
            <v>0</v>
          </cell>
          <cell r="E708">
            <v>0</v>
          </cell>
          <cell r="F708">
            <v>0</v>
          </cell>
          <cell r="G708">
            <v>0</v>
          </cell>
        </row>
        <row r="709">
          <cell r="A709" t="str">
            <v>105-30-050</v>
          </cell>
          <cell r="B709">
            <v>30</v>
          </cell>
          <cell r="C709" t="str">
            <v>CASH IN LIEU OF LEAVE</v>
          </cell>
          <cell r="D709">
            <v>10651.2</v>
          </cell>
          <cell r="E709">
            <v>13000</v>
          </cell>
          <cell r="F709">
            <v>22285.714285714286</v>
          </cell>
          <cell r="G709">
            <v>0.47793846153846148</v>
          </cell>
        </row>
        <row r="710">
          <cell r="A710" t="str">
            <v>105-30-060</v>
          </cell>
          <cell r="B710">
            <v>30</v>
          </cell>
          <cell r="C710" t="str">
            <v>GRATUITY</v>
          </cell>
          <cell r="E710">
            <v>0</v>
          </cell>
          <cell r="F710">
            <v>0</v>
          </cell>
          <cell r="G710">
            <v>0</v>
          </cell>
        </row>
        <row r="711">
          <cell r="A711" t="str">
            <v>105-30-070</v>
          </cell>
          <cell r="B711">
            <v>30</v>
          </cell>
          <cell r="C711" t="str">
            <v>LONG SERVICE AWARDS</v>
          </cell>
          <cell r="D711">
            <v>0</v>
          </cell>
          <cell r="E711">
            <v>0</v>
          </cell>
          <cell r="F711">
            <v>0</v>
          </cell>
          <cell r="G711">
            <v>0</v>
          </cell>
        </row>
        <row r="712">
          <cell r="A712" t="str">
            <v>105-30-080</v>
          </cell>
          <cell r="B712">
            <v>30</v>
          </cell>
          <cell r="C712" t="str">
            <v>STAFF RECRUITMENT &amp; REMOVALS</v>
          </cell>
          <cell r="D712">
            <v>0</v>
          </cell>
          <cell r="E712">
            <v>9000</v>
          </cell>
          <cell r="F712">
            <v>15428.571428571429</v>
          </cell>
          <cell r="G712">
            <v>0</v>
          </cell>
        </row>
        <row r="713">
          <cell r="A713" t="str">
            <v>115-10-010</v>
          </cell>
          <cell r="B713">
            <v>30</v>
          </cell>
          <cell r="D713">
            <v>0</v>
          </cell>
          <cell r="E713">
            <v>0</v>
          </cell>
          <cell r="F713">
            <v>0</v>
          </cell>
          <cell r="G713">
            <v>0</v>
          </cell>
        </row>
        <row r="714">
          <cell r="A714" t="str">
            <v>115-10-010</v>
          </cell>
          <cell r="B714">
            <v>30</v>
          </cell>
          <cell r="D714">
            <v>0</v>
          </cell>
          <cell r="F714">
            <v>0</v>
          </cell>
          <cell r="G714">
            <v>0</v>
          </cell>
        </row>
        <row r="715">
          <cell r="A715" t="str">
            <v>115-10-020</v>
          </cell>
          <cell r="B715">
            <v>30</v>
          </cell>
          <cell r="D715">
            <v>0</v>
          </cell>
          <cell r="E715">
            <v>0</v>
          </cell>
          <cell r="F715">
            <v>0</v>
          </cell>
          <cell r="G715">
            <v>0</v>
          </cell>
        </row>
        <row r="716">
          <cell r="A716" t="str">
            <v>115-10-020</v>
          </cell>
          <cell r="B716">
            <v>30</v>
          </cell>
          <cell r="D716">
            <v>0</v>
          </cell>
          <cell r="G716">
            <v>0</v>
          </cell>
        </row>
        <row r="717">
          <cell r="A717" t="str">
            <v>115-10-030</v>
          </cell>
          <cell r="B717">
            <v>30</v>
          </cell>
          <cell r="D717">
            <v>0</v>
          </cell>
          <cell r="E717">
            <v>0</v>
          </cell>
          <cell r="F717">
            <v>0</v>
          </cell>
          <cell r="G717">
            <v>0</v>
          </cell>
        </row>
        <row r="718">
          <cell r="A718" t="str">
            <v>115-10-030</v>
          </cell>
          <cell r="B718">
            <v>30</v>
          </cell>
          <cell r="D718">
            <v>0</v>
          </cell>
          <cell r="F718">
            <v>0</v>
          </cell>
          <cell r="G718">
            <v>0</v>
          </cell>
        </row>
        <row r="719">
          <cell r="A719" t="str">
            <v>115-10-040</v>
          </cell>
          <cell r="B719">
            <v>30</v>
          </cell>
          <cell r="D719">
            <v>1080000</v>
          </cell>
          <cell r="E719">
            <v>642000</v>
          </cell>
          <cell r="F719">
            <v>1100571.4285714286</v>
          </cell>
          <cell r="G719">
            <v>0.98130841121495316</v>
          </cell>
        </row>
        <row r="720">
          <cell r="A720" t="str">
            <v>115-10-040</v>
          </cell>
          <cell r="B720">
            <v>30</v>
          </cell>
          <cell r="D720">
            <v>24000</v>
          </cell>
          <cell r="E720">
            <v>24000</v>
          </cell>
          <cell r="F720">
            <v>24000</v>
          </cell>
          <cell r="G720">
            <v>1</v>
          </cell>
        </row>
        <row r="721">
          <cell r="A721" t="str">
            <v>115-10-050</v>
          </cell>
          <cell r="B721">
            <v>30</v>
          </cell>
          <cell r="C721" t="str">
            <v>OFFICE CATERING &amp; STAFF WELFARE</v>
          </cell>
          <cell r="D721">
            <v>75900</v>
          </cell>
          <cell r="E721">
            <v>46666.666666666664</v>
          </cell>
          <cell r="F721">
            <v>80000</v>
          </cell>
          <cell r="G721">
            <v>0.94874999999999998</v>
          </cell>
        </row>
        <row r="722">
          <cell r="A722" t="str">
            <v>115-10-051</v>
          </cell>
          <cell r="B722">
            <v>30</v>
          </cell>
          <cell r="C722" t="str">
            <v>OFFICE CLEANING</v>
          </cell>
          <cell r="D722">
            <v>24000</v>
          </cell>
          <cell r="E722">
            <v>24000</v>
          </cell>
          <cell r="F722">
            <v>24000</v>
          </cell>
          <cell r="G722">
            <v>1</v>
          </cell>
        </row>
        <row r="723">
          <cell r="A723" t="str">
            <v>115-10-060</v>
          </cell>
          <cell r="B723">
            <v>30</v>
          </cell>
          <cell r="C723" t="str">
            <v>OFFICE WATER</v>
          </cell>
          <cell r="D723">
            <v>0</v>
          </cell>
          <cell r="E723">
            <v>0</v>
          </cell>
          <cell r="F723">
            <v>0</v>
          </cell>
          <cell r="G723">
            <v>0</v>
          </cell>
        </row>
        <row r="724">
          <cell r="A724" t="str">
            <v>115-10-070</v>
          </cell>
          <cell r="B724">
            <v>30</v>
          </cell>
          <cell r="C724" t="str">
            <v>OFFICE ELECTRICITY</v>
          </cell>
          <cell r="D724">
            <v>0</v>
          </cell>
          <cell r="E724">
            <v>0</v>
          </cell>
          <cell r="F724">
            <v>0</v>
          </cell>
          <cell r="G724">
            <v>0</v>
          </cell>
        </row>
        <row r="725">
          <cell r="A725" t="str">
            <v>115-10-080</v>
          </cell>
          <cell r="B725">
            <v>30</v>
          </cell>
          <cell r="C725" t="str">
            <v>OFFICE SECURITY</v>
          </cell>
          <cell r="D725">
            <v>0</v>
          </cell>
          <cell r="E725">
            <v>0</v>
          </cell>
          <cell r="F725">
            <v>0</v>
          </cell>
          <cell r="G725">
            <v>0</v>
          </cell>
        </row>
        <row r="726">
          <cell r="A726" t="str">
            <v>125-10-010</v>
          </cell>
          <cell r="B726">
            <v>30</v>
          </cell>
          <cell r="C726" t="str">
            <v>BANK CHARGES</v>
          </cell>
          <cell r="D726">
            <v>36000</v>
          </cell>
          <cell r="E726">
            <v>1000</v>
          </cell>
          <cell r="F726">
            <v>1714.2857142857142</v>
          </cell>
          <cell r="G726">
            <v>21</v>
          </cell>
        </row>
        <row r="727">
          <cell r="A727" t="str">
            <v>125-10-020</v>
          </cell>
          <cell r="B727">
            <v>30</v>
          </cell>
          <cell r="C727" t="str">
            <v>BANK OVERDRART CHARGES</v>
          </cell>
          <cell r="E727">
            <v>0</v>
          </cell>
          <cell r="F727">
            <v>0</v>
          </cell>
          <cell r="G727">
            <v>0</v>
          </cell>
        </row>
        <row r="728">
          <cell r="A728" t="str">
            <v>135-60-030</v>
          </cell>
          <cell r="B728">
            <v>30</v>
          </cell>
          <cell r="C728" t="str">
            <v>SALES PROMOTIONS &amp; COMPETITION</v>
          </cell>
          <cell r="D728">
            <v>0</v>
          </cell>
          <cell r="E728">
            <v>0</v>
          </cell>
          <cell r="F728">
            <v>0</v>
          </cell>
          <cell r="G728">
            <v>0</v>
          </cell>
        </row>
        <row r="729">
          <cell r="A729" t="str">
            <v>135-70-010</v>
          </cell>
          <cell r="B729">
            <v>30</v>
          </cell>
          <cell r="C729" t="str">
            <v>AGENCY PENSION</v>
          </cell>
          <cell r="D729">
            <v>0</v>
          </cell>
          <cell r="E729">
            <v>0</v>
          </cell>
          <cell r="F729">
            <v>0</v>
          </cell>
          <cell r="G729">
            <v>0</v>
          </cell>
        </row>
        <row r="730">
          <cell r="A730" t="str">
            <v>135-70-020</v>
          </cell>
          <cell r="B730">
            <v>30</v>
          </cell>
          <cell r="C730" t="str">
            <v>AGENCY GLA</v>
          </cell>
          <cell r="D730">
            <v>0</v>
          </cell>
          <cell r="E730">
            <v>0</v>
          </cell>
          <cell r="F730">
            <v>0</v>
          </cell>
          <cell r="G730">
            <v>0</v>
          </cell>
        </row>
        <row r="731">
          <cell r="A731" t="str">
            <v>135-70-030</v>
          </cell>
          <cell r="B731">
            <v>30</v>
          </cell>
          <cell r="C731" t="str">
            <v>AGENCY MEDICAL</v>
          </cell>
          <cell r="D731">
            <v>0</v>
          </cell>
          <cell r="E731">
            <v>0</v>
          </cell>
          <cell r="F731">
            <v>0</v>
          </cell>
          <cell r="G731">
            <v>0</v>
          </cell>
        </row>
        <row r="732">
          <cell r="A732" t="str">
            <v>135-70-040</v>
          </cell>
          <cell r="B732">
            <v>30</v>
          </cell>
          <cell r="C732" t="str">
            <v>AGENCY LAST EXPENSE</v>
          </cell>
          <cell r="D732">
            <v>0</v>
          </cell>
          <cell r="E732">
            <v>0</v>
          </cell>
          <cell r="F732">
            <v>0</v>
          </cell>
          <cell r="G732">
            <v>0</v>
          </cell>
        </row>
        <row r="733">
          <cell r="A733" t="str">
            <v>145-10-030</v>
          </cell>
          <cell r="B733">
            <v>30</v>
          </cell>
          <cell r="C733" t="str">
            <v>Audit fee -individual life</v>
          </cell>
          <cell r="D733">
            <v>0</v>
          </cell>
          <cell r="E733">
            <v>0</v>
          </cell>
          <cell r="F733">
            <v>0</v>
          </cell>
          <cell r="G733">
            <v>0</v>
          </cell>
        </row>
        <row r="734">
          <cell r="A734" t="str">
            <v>145-10-031</v>
          </cell>
          <cell r="B734">
            <v>30</v>
          </cell>
          <cell r="C734" t="str">
            <v>Tax filing returns</v>
          </cell>
          <cell r="D734">
            <v>0</v>
          </cell>
          <cell r="E734">
            <v>0</v>
          </cell>
          <cell r="F734">
            <v>0</v>
          </cell>
          <cell r="G734">
            <v>0</v>
          </cell>
        </row>
        <row r="735">
          <cell r="A735" t="str">
            <v>145-10-060</v>
          </cell>
          <cell r="B735">
            <v>30</v>
          </cell>
          <cell r="C735" t="str">
            <v>Intra company charges- individual life</v>
          </cell>
          <cell r="G735">
            <v>0</v>
          </cell>
        </row>
        <row r="736">
          <cell r="A736" t="str">
            <v>145-10-060</v>
          </cell>
          <cell r="B736">
            <v>30</v>
          </cell>
          <cell r="E736">
            <v>0</v>
          </cell>
          <cell r="G736">
            <v>0</v>
          </cell>
        </row>
        <row r="737">
          <cell r="A737" t="str">
            <v>145-10-080</v>
          </cell>
          <cell r="B737">
            <v>30</v>
          </cell>
          <cell r="C737" t="str">
            <v>40% Excutive recharge</v>
          </cell>
          <cell r="F737">
            <v>0</v>
          </cell>
          <cell r="G737">
            <v>0</v>
          </cell>
        </row>
        <row r="738">
          <cell r="A738" t="str">
            <v>145-10-080</v>
          </cell>
          <cell r="B738">
            <v>30</v>
          </cell>
          <cell r="C738" t="str">
            <v xml:space="preserve">Recharges: 10% recharge to Corporate </v>
          </cell>
          <cell r="E738">
            <v>0</v>
          </cell>
          <cell r="G738">
            <v>0</v>
          </cell>
        </row>
        <row r="739">
          <cell r="A739" t="str">
            <v>145-10-100</v>
          </cell>
          <cell r="B739">
            <v>30</v>
          </cell>
          <cell r="E739">
            <v>0</v>
          </cell>
          <cell r="G739">
            <v>0</v>
          </cell>
        </row>
        <row r="740">
          <cell r="A740" t="str">
            <v>155-10-007</v>
          </cell>
          <cell r="B740">
            <v>30</v>
          </cell>
          <cell r="C740" t="str">
            <v>NEWSPAPERS &amp; JOURNALS</v>
          </cell>
          <cell r="D740">
            <v>10560</v>
          </cell>
          <cell r="E740">
            <v>6000</v>
          </cell>
          <cell r="F740">
            <v>10285.714285714286</v>
          </cell>
          <cell r="G740">
            <v>1.0266666666666666</v>
          </cell>
        </row>
        <row r="741">
          <cell r="A741" t="str">
            <v>155-10-008</v>
          </cell>
          <cell r="B741">
            <v>30</v>
          </cell>
          <cell r="C741" t="str">
            <v>ENTERTAINMENT &amp; DONATIONS</v>
          </cell>
          <cell r="D741">
            <v>35000</v>
          </cell>
          <cell r="E741">
            <v>6000</v>
          </cell>
          <cell r="F741">
            <v>10285.714285714286</v>
          </cell>
          <cell r="G741">
            <v>3.4027777777777777</v>
          </cell>
        </row>
        <row r="742">
          <cell r="A742" t="str">
            <v>155-10-009</v>
          </cell>
          <cell r="B742">
            <v>30</v>
          </cell>
          <cell r="C742" t="str">
            <v>COURIER &amp; FREIGHT CHARGES</v>
          </cell>
          <cell r="D742">
            <v>35000</v>
          </cell>
          <cell r="E742">
            <v>23000</v>
          </cell>
          <cell r="F742">
            <v>39428.571428571428</v>
          </cell>
          <cell r="G742">
            <v>0.88768115942028991</v>
          </cell>
        </row>
        <row r="743">
          <cell r="A743" t="str">
            <v>155-10-010</v>
          </cell>
          <cell r="B743">
            <v>30</v>
          </cell>
          <cell r="C743" t="str">
            <v>ADVERTISING &amp; PUBLICITY</v>
          </cell>
          <cell r="D743">
            <v>0</v>
          </cell>
          <cell r="E743">
            <v>0</v>
          </cell>
          <cell r="F743">
            <v>0</v>
          </cell>
          <cell r="G743">
            <v>0</v>
          </cell>
        </row>
        <row r="744">
          <cell r="A744" t="str">
            <v>155-10-012</v>
          </cell>
          <cell r="B744">
            <v>30</v>
          </cell>
          <cell r="C744" t="str">
            <v>TRADE LICENCES</v>
          </cell>
          <cell r="D744">
            <v>60000</v>
          </cell>
          <cell r="E744">
            <v>43000</v>
          </cell>
          <cell r="F744">
            <v>43000</v>
          </cell>
          <cell r="G744">
            <v>1.3953488372093024</v>
          </cell>
        </row>
        <row r="745">
          <cell r="A745" t="str">
            <v>155-10-013</v>
          </cell>
          <cell r="B745">
            <v>30</v>
          </cell>
          <cell r="C745" t="str">
            <v>INSURANCES</v>
          </cell>
          <cell r="D745">
            <v>0</v>
          </cell>
          <cell r="E745">
            <v>0</v>
          </cell>
          <cell r="F745">
            <v>0</v>
          </cell>
          <cell r="G745">
            <v>0</v>
          </cell>
        </row>
        <row r="746">
          <cell r="A746" t="str">
            <v>155-10-014</v>
          </cell>
          <cell r="B746">
            <v>30</v>
          </cell>
          <cell r="C746" t="str">
            <v>PHOTOCOPY</v>
          </cell>
          <cell r="D746">
            <v>0</v>
          </cell>
          <cell r="E746">
            <v>0</v>
          </cell>
          <cell r="F746">
            <v>0</v>
          </cell>
          <cell r="G746">
            <v>0</v>
          </cell>
        </row>
        <row r="747">
          <cell r="A747" t="str">
            <v>155-10-015</v>
          </cell>
          <cell r="B747">
            <v>30</v>
          </cell>
          <cell r="C747" t="str">
            <v>COMPUTER MAINTAINANCE</v>
          </cell>
          <cell r="D747">
            <v>5500</v>
          </cell>
          <cell r="E747">
            <v>0</v>
          </cell>
          <cell r="F747">
            <v>0</v>
          </cell>
          <cell r="G747">
            <v>0</v>
          </cell>
        </row>
        <row r="748">
          <cell r="A748" t="str">
            <v>155-10-016</v>
          </cell>
          <cell r="B748">
            <v>30</v>
          </cell>
          <cell r="C748" t="str">
            <v>EQUIPMENT&amp; FURNITURE REPAIRS &amp; MAINTENANCE</v>
          </cell>
          <cell r="D748">
            <v>9000</v>
          </cell>
          <cell r="E748">
            <v>1000</v>
          </cell>
          <cell r="F748">
            <v>1714.2857142857142</v>
          </cell>
          <cell r="G748">
            <v>5.25</v>
          </cell>
        </row>
        <row r="749">
          <cell r="A749" t="str">
            <v>155-10-017</v>
          </cell>
          <cell r="B749">
            <v>30</v>
          </cell>
          <cell r="C749" t="str">
            <v>SEMINARS &amp; SHORT TERM COURSES</v>
          </cell>
          <cell r="D749">
            <v>0</v>
          </cell>
          <cell r="E749">
            <v>6000</v>
          </cell>
          <cell r="F749">
            <v>10285.714285714286</v>
          </cell>
          <cell r="G749">
            <v>0</v>
          </cell>
        </row>
        <row r="750">
          <cell r="A750" t="str">
            <v>155-10-022</v>
          </cell>
          <cell r="B750">
            <v>30</v>
          </cell>
          <cell r="C750" t="str">
            <v>PRINTING &amp; STATIONERY</v>
          </cell>
          <cell r="D750">
            <v>134686.70000000001</v>
          </cell>
          <cell r="E750">
            <v>53000</v>
          </cell>
          <cell r="F750">
            <v>90857.142857142855</v>
          </cell>
          <cell r="G750">
            <v>1.4824007861635222</v>
          </cell>
        </row>
        <row r="751">
          <cell r="A751" t="str">
            <v>155-10-025</v>
          </cell>
          <cell r="B751">
            <v>30</v>
          </cell>
          <cell r="C751" t="str">
            <v>STRATEGIC PLANNING</v>
          </cell>
          <cell r="D751">
            <v>0</v>
          </cell>
          <cell r="E751">
            <v>0</v>
          </cell>
          <cell r="F751">
            <v>0</v>
          </cell>
          <cell r="G751">
            <v>0</v>
          </cell>
        </row>
        <row r="752">
          <cell r="A752" t="str">
            <v>155-10-027</v>
          </cell>
          <cell r="B752">
            <v>30</v>
          </cell>
          <cell r="C752" t="str">
            <v>PROFESSIONAL SUBSCRIPTIONS</v>
          </cell>
          <cell r="D752">
            <v>0</v>
          </cell>
          <cell r="E752">
            <v>0</v>
          </cell>
          <cell r="F752">
            <v>0</v>
          </cell>
          <cell r="G752">
            <v>0</v>
          </cell>
        </row>
        <row r="753">
          <cell r="A753" t="str">
            <v>155-10-028</v>
          </cell>
          <cell r="B753">
            <v>30</v>
          </cell>
          <cell r="C753" t="str">
            <v xml:space="preserve"> SUBSCRIPTIONS -COMPANY MEMBERSHIP</v>
          </cell>
          <cell r="D753">
            <v>0</v>
          </cell>
          <cell r="E753">
            <v>0</v>
          </cell>
          <cell r="F753">
            <v>0</v>
          </cell>
          <cell r="G753">
            <v>0</v>
          </cell>
        </row>
        <row r="754">
          <cell r="A754" t="str">
            <v>155-10-030</v>
          </cell>
          <cell r="B754">
            <v>30</v>
          </cell>
          <cell r="C754" t="str">
            <v>TRAVELLING &amp; ACCOMMODATION</v>
          </cell>
          <cell r="D754">
            <v>74960</v>
          </cell>
          <cell r="E754">
            <v>11000</v>
          </cell>
          <cell r="F754">
            <v>18857.142857142855</v>
          </cell>
          <cell r="G754">
            <v>3.9751515151515155</v>
          </cell>
        </row>
        <row r="755">
          <cell r="A755" t="str">
            <v>155-10-032</v>
          </cell>
          <cell r="B755">
            <v>30</v>
          </cell>
          <cell r="C755" t="str">
            <v xml:space="preserve">MOTOR CAR EXPENSES </v>
          </cell>
          <cell r="D755">
            <v>0</v>
          </cell>
          <cell r="E755">
            <v>0</v>
          </cell>
          <cell r="F755">
            <v>0</v>
          </cell>
          <cell r="G755">
            <v>0</v>
          </cell>
        </row>
        <row r="756">
          <cell r="A756" t="str">
            <v>155-10-040</v>
          </cell>
          <cell r="B756">
            <v>30</v>
          </cell>
          <cell r="C756" t="str">
            <v>POSTAGE</v>
          </cell>
          <cell r="D756">
            <v>7500</v>
          </cell>
          <cell r="E756">
            <v>4000</v>
          </cell>
          <cell r="F756">
            <v>6857.1428571428569</v>
          </cell>
          <cell r="G756">
            <v>1.09375</v>
          </cell>
        </row>
        <row r="757">
          <cell r="A757" t="str">
            <v>155-10-041</v>
          </cell>
          <cell r="B757">
            <v>30</v>
          </cell>
          <cell r="C757" t="str">
            <v>TELEPHONE &amp; FAX</v>
          </cell>
          <cell r="D757">
            <v>108000</v>
          </cell>
          <cell r="E757">
            <v>49000</v>
          </cell>
          <cell r="F757">
            <v>84000</v>
          </cell>
          <cell r="G757">
            <v>1.2857142857142858</v>
          </cell>
        </row>
        <row r="758">
          <cell r="A758" t="str">
            <v>155-10-044</v>
          </cell>
          <cell r="B758">
            <v>30</v>
          </cell>
          <cell r="C758" t="str">
            <v>PROFFESSIONAL TRAINING</v>
          </cell>
          <cell r="D758">
            <v>0</v>
          </cell>
          <cell r="E758">
            <v>0</v>
          </cell>
          <cell r="F758">
            <v>0</v>
          </cell>
          <cell r="G758">
            <v>0</v>
          </cell>
        </row>
        <row r="759">
          <cell r="A759" t="str">
            <v>155-10-046</v>
          </cell>
          <cell r="B759">
            <v>30</v>
          </cell>
          <cell r="C759" t="str">
            <v xml:space="preserve">SUBSCRIPTION- STAFF CLUB MEMBERSHIP </v>
          </cell>
          <cell r="D759">
            <v>40000</v>
          </cell>
          <cell r="E759">
            <v>0</v>
          </cell>
          <cell r="F759">
            <v>0</v>
          </cell>
          <cell r="G759">
            <v>0</v>
          </cell>
        </row>
        <row r="760">
          <cell r="A760" t="str">
            <v>155-10-054</v>
          </cell>
          <cell r="B760">
            <v>30</v>
          </cell>
          <cell r="C760" t="str">
            <v>LEASED LINES-INTERNET SERVICES</v>
          </cell>
          <cell r="D760">
            <v>0</v>
          </cell>
          <cell r="E760">
            <v>11000</v>
          </cell>
          <cell r="F760">
            <v>18857.142857142855</v>
          </cell>
          <cell r="G760">
            <v>0</v>
          </cell>
        </row>
        <row r="761">
          <cell r="A761" t="str">
            <v>155-10-057</v>
          </cell>
          <cell r="B761">
            <v>30</v>
          </cell>
          <cell r="C761" t="str">
            <v>SOFTWARE LICENCES</v>
          </cell>
          <cell r="D761">
            <v>0</v>
          </cell>
          <cell r="E761">
            <v>0</v>
          </cell>
          <cell r="F761">
            <v>0</v>
          </cell>
          <cell r="G761">
            <v>0</v>
          </cell>
        </row>
        <row r="762">
          <cell r="A762" t="str">
            <v>155-10-059</v>
          </cell>
          <cell r="B762">
            <v>30</v>
          </cell>
          <cell r="E762">
            <v>0</v>
          </cell>
          <cell r="G762">
            <v>0</v>
          </cell>
        </row>
        <row r="763">
          <cell r="A763" t="str">
            <v>155-10-060</v>
          </cell>
          <cell r="B763">
            <v>30</v>
          </cell>
          <cell r="E763">
            <v>0</v>
          </cell>
          <cell r="G763">
            <v>0</v>
          </cell>
        </row>
        <row r="764">
          <cell r="A764" t="str">
            <v>155-10-062</v>
          </cell>
          <cell r="B764">
            <v>30</v>
          </cell>
          <cell r="C764" t="str">
            <v>EDUCATION EXPENSES</v>
          </cell>
          <cell r="D764">
            <v>0</v>
          </cell>
          <cell r="E764">
            <v>0</v>
          </cell>
          <cell r="F764">
            <v>0</v>
          </cell>
          <cell r="G764">
            <v>0</v>
          </cell>
        </row>
        <row r="765">
          <cell r="A765" t="str">
            <v>160-10-010</v>
          </cell>
          <cell r="B765">
            <v>30</v>
          </cell>
          <cell r="E765">
            <v>0</v>
          </cell>
          <cell r="G765">
            <v>0</v>
          </cell>
        </row>
        <row r="766">
          <cell r="A766" t="str">
            <v>105-10-010</v>
          </cell>
          <cell r="B766">
            <v>40</v>
          </cell>
          <cell r="C766" t="str">
            <v>BASIC SALARY</v>
          </cell>
          <cell r="D766">
            <v>284175.96000000002</v>
          </cell>
          <cell r="E766">
            <v>151000</v>
          </cell>
          <cell r="F766">
            <v>253000</v>
          </cell>
          <cell r="G766">
            <v>1.1232251383399212</v>
          </cell>
          <cell r="H766" t="str">
            <v>Please check out the  calcualations on this one . They do not seem to tally to 110% growth.</v>
          </cell>
        </row>
        <row r="767">
          <cell r="A767" t="str">
            <v>105-10-012</v>
          </cell>
          <cell r="B767">
            <v>40</v>
          </cell>
          <cell r="C767" t="str">
            <v>PROVISION FOR MORT. RATE ADJUSTMENTS</v>
          </cell>
          <cell r="D767">
            <v>0</v>
          </cell>
          <cell r="E767">
            <v>0</v>
          </cell>
          <cell r="F767">
            <v>0</v>
          </cell>
          <cell r="G767">
            <v>0</v>
          </cell>
        </row>
        <row r="768">
          <cell r="A768" t="str">
            <v>105-10-020</v>
          </cell>
          <cell r="B768">
            <v>40</v>
          </cell>
          <cell r="C768" t="str">
            <v>HOUSE ALLOWANCE</v>
          </cell>
          <cell r="D768">
            <v>46800</v>
          </cell>
          <cell r="E768">
            <v>72000</v>
          </cell>
          <cell r="F768">
            <v>91500</v>
          </cell>
          <cell r="G768">
            <v>0.51147540983606554</v>
          </cell>
        </row>
        <row r="769">
          <cell r="A769" t="str">
            <v>105-10-030</v>
          </cell>
          <cell r="B769">
            <v>40</v>
          </cell>
          <cell r="C769" t="str">
            <v>TELEPHONE ALLOWANCE</v>
          </cell>
          <cell r="D769">
            <v>0</v>
          </cell>
          <cell r="E769">
            <v>0</v>
          </cell>
          <cell r="F769">
            <v>0</v>
          </cell>
          <cell r="G769">
            <v>0</v>
          </cell>
        </row>
        <row r="770">
          <cell r="A770" t="str">
            <v>105-10-040</v>
          </cell>
          <cell r="B770">
            <v>40</v>
          </cell>
          <cell r="C770" t="str">
            <v>SECURITY ALLOWANCE</v>
          </cell>
          <cell r="D770">
            <v>0</v>
          </cell>
          <cell r="E770">
            <v>0</v>
          </cell>
          <cell r="F770">
            <v>0</v>
          </cell>
          <cell r="G770">
            <v>0</v>
          </cell>
        </row>
        <row r="771">
          <cell r="A771" t="str">
            <v>105-10-050</v>
          </cell>
          <cell r="B771">
            <v>40</v>
          </cell>
          <cell r="C771" t="str">
            <v>EDUCATION ALLOWANCE</v>
          </cell>
          <cell r="D771">
            <v>0</v>
          </cell>
          <cell r="E771">
            <v>0</v>
          </cell>
          <cell r="F771">
            <v>0</v>
          </cell>
          <cell r="G771">
            <v>0</v>
          </cell>
        </row>
        <row r="772">
          <cell r="A772" t="str">
            <v>105-10-060</v>
          </cell>
          <cell r="B772">
            <v>40</v>
          </cell>
          <cell r="C772" t="str">
            <v>TRAVEL ALLOWANCE</v>
          </cell>
          <cell r="D772">
            <v>0</v>
          </cell>
          <cell r="E772">
            <v>0</v>
          </cell>
          <cell r="F772">
            <v>0</v>
          </cell>
          <cell r="G772">
            <v>0</v>
          </cell>
        </row>
        <row r="773">
          <cell r="A773" t="str">
            <v>105-20-010</v>
          </cell>
          <cell r="B773">
            <v>40</v>
          </cell>
          <cell r="C773" t="str">
            <v>NSSF</v>
          </cell>
          <cell r="D773">
            <v>2400</v>
          </cell>
          <cell r="E773">
            <v>2000</v>
          </cell>
          <cell r="F773">
            <v>3000</v>
          </cell>
          <cell r="G773">
            <v>0.8</v>
          </cell>
        </row>
        <row r="774">
          <cell r="A774" t="str">
            <v>105-20-020</v>
          </cell>
          <cell r="B774">
            <v>40</v>
          </cell>
          <cell r="C774" t="str">
            <v>NHIF</v>
          </cell>
          <cell r="D774">
            <v>2880</v>
          </cell>
          <cell r="E774">
            <v>3000</v>
          </cell>
          <cell r="F774">
            <v>4200</v>
          </cell>
          <cell r="G774">
            <v>0.68571428571428572</v>
          </cell>
        </row>
        <row r="775">
          <cell r="A775" t="str">
            <v>105-30-010</v>
          </cell>
          <cell r="B775">
            <v>40</v>
          </cell>
          <cell r="C775" t="str">
            <v xml:space="preserve">PENSION </v>
          </cell>
          <cell r="D775">
            <v>34272</v>
          </cell>
          <cell r="E775">
            <v>32000</v>
          </cell>
          <cell r="F775">
            <v>46280</v>
          </cell>
          <cell r="G775">
            <v>0.74053586862575638</v>
          </cell>
        </row>
        <row r="776">
          <cell r="A776" t="str">
            <v>105-30-020</v>
          </cell>
          <cell r="B776">
            <v>40</v>
          </cell>
          <cell r="C776" t="str">
            <v>LAST EXPENSE</v>
          </cell>
          <cell r="D776">
            <v>0</v>
          </cell>
          <cell r="E776">
            <v>1000</v>
          </cell>
          <cell r="F776">
            <v>1714.2857142857142</v>
          </cell>
          <cell r="G776">
            <v>0</v>
          </cell>
        </row>
        <row r="777">
          <cell r="A777" t="str">
            <v>105-30-030</v>
          </cell>
          <cell r="B777">
            <v>40</v>
          </cell>
          <cell r="C777" t="str">
            <v>GROUP LIFE ASSURANCE</v>
          </cell>
          <cell r="D777">
            <v>0</v>
          </cell>
          <cell r="E777">
            <v>6000</v>
          </cell>
          <cell r="F777">
            <v>10285.714285714286</v>
          </cell>
          <cell r="G777">
            <v>0</v>
          </cell>
        </row>
        <row r="778">
          <cell r="A778" t="str">
            <v>105-30-040</v>
          </cell>
          <cell r="B778">
            <v>40</v>
          </cell>
          <cell r="C778" t="str">
            <v>STAFF MEDICAL</v>
          </cell>
          <cell r="D778">
            <v>0</v>
          </cell>
          <cell r="E778">
            <v>0</v>
          </cell>
          <cell r="F778">
            <v>0</v>
          </cell>
          <cell r="G778">
            <v>0</v>
          </cell>
        </row>
        <row r="779">
          <cell r="A779" t="str">
            <v>105-30-050</v>
          </cell>
          <cell r="B779">
            <v>40</v>
          </cell>
          <cell r="C779" t="str">
            <v>CASH IN LIEU OF LEAVE</v>
          </cell>
          <cell r="D779">
            <v>6854.4</v>
          </cell>
          <cell r="E779">
            <v>9000</v>
          </cell>
          <cell r="F779">
            <v>15428.571428571429</v>
          </cell>
          <cell r="G779">
            <v>0.4442666666666667</v>
          </cell>
        </row>
        <row r="780">
          <cell r="A780" t="str">
            <v>105-30-060</v>
          </cell>
          <cell r="B780">
            <v>40</v>
          </cell>
          <cell r="C780" t="str">
            <v>GRATUITY</v>
          </cell>
          <cell r="E780">
            <v>0</v>
          </cell>
          <cell r="F780">
            <v>0</v>
          </cell>
          <cell r="G780">
            <v>0</v>
          </cell>
        </row>
        <row r="781">
          <cell r="A781" t="str">
            <v>105-30-070</v>
          </cell>
          <cell r="B781">
            <v>40</v>
          </cell>
          <cell r="C781" t="str">
            <v>LONG SERVICE AWARDS</v>
          </cell>
          <cell r="D781">
            <v>0</v>
          </cell>
          <cell r="E781">
            <v>0</v>
          </cell>
          <cell r="F781">
            <v>0</v>
          </cell>
          <cell r="G781">
            <v>0</v>
          </cell>
        </row>
        <row r="782">
          <cell r="A782" t="str">
            <v>105-30-080</v>
          </cell>
          <cell r="B782">
            <v>40</v>
          </cell>
          <cell r="C782" t="str">
            <v>STAFF RECRUITMENT &amp; REMOVALS</v>
          </cell>
          <cell r="D782">
            <v>0</v>
          </cell>
          <cell r="E782">
            <v>0</v>
          </cell>
          <cell r="F782">
            <v>0</v>
          </cell>
          <cell r="G782">
            <v>0</v>
          </cell>
        </row>
        <row r="783">
          <cell r="A783" t="str">
            <v>115-10-010</v>
          </cell>
          <cell r="B783">
            <v>40</v>
          </cell>
          <cell r="D783">
            <v>0</v>
          </cell>
          <cell r="E783">
            <v>0</v>
          </cell>
          <cell r="F783">
            <v>0</v>
          </cell>
          <cell r="G783">
            <v>0</v>
          </cell>
        </row>
        <row r="784">
          <cell r="A784" t="str">
            <v>115-10-010</v>
          </cell>
          <cell r="B784">
            <v>40</v>
          </cell>
          <cell r="D784">
            <v>0</v>
          </cell>
          <cell r="F784">
            <v>0</v>
          </cell>
          <cell r="G784">
            <v>0</v>
          </cell>
        </row>
        <row r="785">
          <cell r="A785" t="str">
            <v>115-10-020</v>
          </cell>
          <cell r="B785">
            <v>40</v>
          </cell>
          <cell r="D785">
            <v>0</v>
          </cell>
          <cell r="E785">
            <v>0</v>
          </cell>
          <cell r="F785">
            <v>0</v>
          </cell>
          <cell r="G785">
            <v>0</v>
          </cell>
        </row>
        <row r="786">
          <cell r="A786" t="str">
            <v>115-10-020</v>
          </cell>
          <cell r="B786">
            <v>40</v>
          </cell>
          <cell r="D786">
            <v>0</v>
          </cell>
          <cell r="G786">
            <v>0</v>
          </cell>
        </row>
        <row r="787">
          <cell r="A787" t="str">
            <v>115-10-030</v>
          </cell>
          <cell r="B787">
            <v>40</v>
          </cell>
          <cell r="D787">
            <v>0</v>
          </cell>
          <cell r="E787">
            <v>0</v>
          </cell>
          <cell r="F787">
            <v>0</v>
          </cell>
          <cell r="G787">
            <v>0</v>
          </cell>
        </row>
        <row r="788">
          <cell r="A788" t="str">
            <v>115-10-030</v>
          </cell>
          <cell r="B788">
            <v>40</v>
          </cell>
          <cell r="D788">
            <v>0</v>
          </cell>
          <cell r="F788">
            <v>0</v>
          </cell>
          <cell r="G788">
            <v>0</v>
          </cell>
        </row>
        <row r="789">
          <cell r="A789" t="str">
            <v>115-10-040</v>
          </cell>
          <cell r="B789">
            <v>40</v>
          </cell>
          <cell r="D789">
            <v>294336</v>
          </cell>
          <cell r="E789">
            <v>193000</v>
          </cell>
          <cell r="F789">
            <v>330857.14285714284</v>
          </cell>
          <cell r="G789">
            <v>0.88961658031088087</v>
          </cell>
        </row>
        <row r="790">
          <cell r="A790" t="str">
            <v>115-10-040</v>
          </cell>
          <cell r="B790">
            <v>40</v>
          </cell>
          <cell r="D790">
            <v>0</v>
          </cell>
          <cell r="F790">
            <v>0</v>
          </cell>
          <cell r="G790">
            <v>0</v>
          </cell>
        </row>
        <row r="791">
          <cell r="A791" t="str">
            <v>115-10-050</v>
          </cell>
          <cell r="B791">
            <v>40</v>
          </cell>
          <cell r="C791" t="str">
            <v>OFFICE CATERING &amp; STAFF WELFARE</v>
          </cell>
          <cell r="D791">
            <v>64800</v>
          </cell>
          <cell r="E791">
            <v>50250</v>
          </cell>
          <cell r="F791">
            <v>86142.857142857145</v>
          </cell>
          <cell r="G791">
            <v>0.75223880597014925</v>
          </cell>
          <cell r="H791" t="str">
            <v>Takes into account refreshments during agents training in the year and zone meeting costs.</v>
          </cell>
        </row>
        <row r="792">
          <cell r="A792" t="str">
            <v>115-10-051</v>
          </cell>
          <cell r="B792">
            <v>40</v>
          </cell>
          <cell r="C792" t="str">
            <v>OFFICE CLEANING</v>
          </cell>
          <cell r="D792">
            <v>30000</v>
          </cell>
          <cell r="E792">
            <v>0</v>
          </cell>
          <cell r="F792">
            <v>0</v>
          </cell>
          <cell r="G792">
            <v>0</v>
          </cell>
        </row>
        <row r="793">
          <cell r="A793" t="str">
            <v>115-10-060</v>
          </cell>
          <cell r="B793">
            <v>40</v>
          </cell>
          <cell r="C793" t="str">
            <v>OFFICE WATER</v>
          </cell>
          <cell r="D793">
            <v>0</v>
          </cell>
          <cell r="E793">
            <v>0</v>
          </cell>
          <cell r="F793">
            <v>0</v>
          </cell>
          <cell r="G793">
            <v>0</v>
          </cell>
        </row>
        <row r="794">
          <cell r="A794" t="str">
            <v>115-10-070</v>
          </cell>
          <cell r="B794">
            <v>40</v>
          </cell>
          <cell r="C794" t="str">
            <v>OFFICE ELECTRICITY</v>
          </cell>
          <cell r="D794">
            <v>0</v>
          </cell>
          <cell r="E794">
            <v>0</v>
          </cell>
          <cell r="F794">
            <v>0</v>
          </cell>
          <cell r="G794">
            <v>0</v>
          </cell>
        </row>
        <row r="795">
          <cell r="A795" t="str">
            <v>115-10-080</v>
          </cell>
          <cell r="B795">
            <v>40</v>
          </cell>
          <cell r="C795" t="str">
            <v>OFFICE SECURITY</v>
          </cell>
          <cell r="D795">
            <v>0</v>
          </cell>
          <cell r="E795">
            <v>0</v>
          </cell>
          <cell r="F795">
            <v>0</v>
          </cell>
          <cell r="G795">
            <v>0</v>
          </cell>
        </row>
        <row r="796">
          <cell r="A796" t="str">
            <v>125-10-010</v>
          </cell>
          <cell r="B796">
            <v>40</v>
          </cell>
          <cell r="C796" t="str">
            <v>BANK CHARGES</v>
          </cell>
          <cell r="D796">
            <v>18000</v>
          </cell>
          <cell r="E796">
            <v>1000</v>
          </cell>
          <cell r="F796">
            <v>1714.2857142857142</v>
          </cell>
          <cell r="G796">
            <v>10.5</v>
          </cell>
          <cell r="H796" t="str">
            <v>Assumes that the branch will run two accounts in the year and thus the cost.</v>
          </cell>
        </row>
        <row r="797">
          <cell r="A797" t="str">
            <v>125-10-020</v>
          </cell>
          <cell r="B797">
            <v>40</v>
          </cell>
          <cell r="C797" t="str">
            <v>BANK OVERDRART CHARGES</v>
          </cell>
          <cell r="E797">
            <v>0</v>
          </cell>
          <cell r="F797">
            <v>0</v>
          </cell>
          <cell r="G797">
            <v>0</v>
          </cell>
        </row>
        <row r="798">
          <cell r="A798" t="str">
            <v>135-60-030</v>
          </cell>
          <cell r="B798">
            <v>40</v>
          </cell>
          <cell r="C798" t="str">
            <v>SALES PROMOTIONS &amp; COMPETITION</v>
          </cell>
          <cell r="D798">
            <v>0</v>
          </cell>
          <cell r="E798">
            <v>0</v>
          </cell>
          <cell r="F798">
            <v>0</v>
          </cell>
          <cell r="G798">
            <v>0</v>
          </cell>
        </row>
        <row r="799">
          <cell r="A799" t="str">
            <v>135-70-010</v>
          </cell>
          <cell r="B799">
            <v>40</v>
          </cell>
          <cell r="C799" t="str">
            <v>AGENCY PENSION</v>
          </cell>
          <cell r="D799">
            <v>0</v>
          </cell>
          <cell r="E799">
            <v>0</v>
          </cell>
          <cell r="F799">
            <v>0</v>
          </cell>
          <cell r="G799">
            <v>0</v>
          </cell>
        </row>
        <row r="800">
          <cell r="A800" t="str">
            <v>135-70-020</v>
          </cell>
          <cell r="B800">
            <v>40</v>
          </cell>
          <cell r="C800" t="str">
            <v>AGENCY GLA</v>
          </cell>
          <cell r="D800">
            <v>0</v>
          </cell>
          <cell r="E800">
            <v>0</v>
          </cell>
          <cell r="F800">
            <v>0</v>
          </cell>
          <cell r="G800">
            <v>0</v>
          </cell>
        </row>
        <row r="801">
          <cell r="A801" t="str">
            <v>135-70-030</v>
          </cell>
          <cell r="B801">
            <v>40</v>
          </cell>
          <cell r="C801" t="str">
            <v>AGENCY MEDICAL</v>
          </cell>
          <cell r="D801">
            <v>0</v>
          </cell>
          <cell r="E801">
            <v>0</v>
          </cell>
          <cell r="F801">
            <v>0</v>
          </cell>
          <cell r="G801">
            <v>0</v>
          </cell>
        </row>
        <row r="802">
          <cell r="A802" t="str">
            <v>135-70-040</v>
          </cell>
          <cell r="B802">
            <v>40</v>
          </cell>
          <cell r="C802" t="str">
            <v>AGENCY LAST EXPENSE</v>
          </cell>
          <cell r="D802">
            <v>0</v>
          </cell>
          <cell r="E802">
            <v>0</v>
          </cell>
          <cell r="F802">
            <v>0</v>
          </cell>
          <cell r="G802">
            <v>0</v>
          </cell>
        </row>
        <row r="803">
          <cell r="A803" t="str">
            <v>145-10-030</v>
          </cell>
          <cell r="B803">
            <v>40</v>
          </cell>
          <cell r="C803" t="str">
            <v>Audit fee -individual life</v>
          </cell>
          <cell r="D803">
            <v>0</v>
          </cell>
          <cell r="E803">
            <v>0</v>
          </cell>
          <cell r="F803">
            <v>0</v>
          </cell>
          <cell r="G803">
            <v>0</v>
          </cell>
        </row>
        <row r="804">
          <cell r="A804" t="str">
            <v>145-10-031</v>
          </cell>
          <cell r="B804">
            <v>40</v>
          </cell>
          <cell r="C804" t="str">
            <v>Tax filing returns</v>
          </cell>
          <cell r="D804">
            <v>0</v>
          </cell>
          <cell r="E804">
            <v>0</v>
          </cell>
          <cell r="F804">
            <v>0</v>
          </cell>
          <cell r="G804">
            <v>0</v>
          </cell>
        </row>
        <row r="805">
          <cell r="A805" t="str">
            <v>145-10-060</v>
          </cell>
          <cell r="B805">
            <v>40</v>
          </cell>
          <cell r="C805" t="str">
            <v>Intra company charges- individual life</v>
          </cell>
          <cell r="G805">
            <v>0</v>
          </cell>
        </row>
        <row r="806">
          <cell r="A806" t="str">
            <v>145-10-060</v>
          </cell>
          <cell r="B806">
            <v>40</v>
          </cell>
          <cell r="E806">
            <v>0</v>
          </cell>
          <cell r="G806">
            <v>0</v>
          </cell>
        </row>
        <row r="807">
          <cell r="A807" t="str">
            <v>145-10-080</v>
          </cell>
          <cell r="B807">
            <v>40</v>
          </cell>
          <cell r="C807" t="str">
            <v>40% Excutive recharge</v>
          </cell>
          <cell r="F807">
            <v>0</v>
          </cell>
          <cell r="G807">
            <v>0</v>
          </cell>
        </row>
        <row r="808">
          <cell r="A808" t="str">
            <v>145-10-080</v>
          </cell>
          <cell r="B808">
            <v>40</v>
          </cell>
          <cell r="C808" t="str">
            <v xml:space="preserve">Recharges: 10% recharge to Corporate </v>
          </cell>
          <cell r="E808">
            <v>0</v>
          </cell>
          <cell r="G808">
            <v>0</v>
          </cell>
        </row>
        <row r="809">
          <cell r="A809" t="str">
            <v>145-10-100</v>
          </cell>
          <cell r="B809">
            <v>40</v>
          </cell>
          <cell r="E809">
            <v>0</v>
          </cell>
          <cell r="G809">
            <v>0</v>
          </cell>
        </row>
        <row r="810">
          <cell r="A810" t="str">
            <v>155-10-007</v>
          </cell>
          <cell r="B810">
            <v>40</v>
          </cell>
          <cell r="C810" t="str">
            <v>NEWSPAPERS &amp; JOURNALS</v>
          </cell>
          <cell r="D810">
            <v>10560</v>
          </cell>
          <cell r="E810">
            <v>6000</v>
          </cell>
          <cell r="F810">
            <v>10285.714285714286</v>
          </cell>
          <cell r="G810">
            <v>1.0266666666666666</v>
          </cell>
        </row>
        <row r="811">
          <cell r="A811" t="str">
            <v>155-10-008</v>
          </cell>
          <cell r="B811">
            <v>40</v>
          </cell>
          <cell r="C811" t="str">
            <v>ENTERTAINMENT &amp; DONATIONS</v>
          </cell>
          <cell r="D811">
            <v>18000</v>
          </cell>
          <cell r="E811">
            <v>13000</v>
          </cell>
          <cell r="F811">
            <v>22285.714285714286</v>
          </cell>
          <cell r="G811">
            <v>0.80769230769230771</v>
          </cell>
        </row>
        <row r="812">
          <cell r="A812" t="str">
            <v>155-10-009</v>
          </cell>
          <cell r="B812">
            <v>40</v>
          </cell>
          <cell r="C812" t="str">
            <v>COURIER &amp; FREIGHT CHARGES</v>
          </cell>
          <cell r="D812">
            <v>18487</v>
          </cell>
          <cell r="E812">
            <v>15000</v>
          </cell>
          <cell r="F812">
            <v>25714.28571428571</v>
          </cell>
          <cell r="G812">
            <v>0.71893888888888902</v>
          </cell>
        </row>
        <row r="813">
          <cell r="A813" t="str">
            <v>155-10-010</v>
          </cell>
          <cell r="B813">
            <v>40</v>
          </cell>
          <cell r="C813" t="str">
            <v>ADVERTISING &amp; PUBLICITY</v>
          </cell>
          <cell r="D813">
            <v>0</v>
          </cell>
          <cell r="E813">
            <v>0</v>
          </cell>
          <cell r="F813">
            <v>0</v>
          </cell>
          <cell r="G813">
            <v>0</v>
          </cell>
        </row>
        <row r="814">
          <cell r="A814" t="str">
            <v>155-10-012</v>
          </cell>
          <cell r="B814">
            <v>40</v>
          </cell>
          <cell r="C814" t="str">
            <v>TRADE LICENCES</v>
          </cell>
          <cell r="D814">
            <v>22500</v>
          </cell>
          <cell r="E814">
            <v>23000</v>
          </cell>
          <cell r="F814">
            <v>23000</v>
          </cell>
          <cell r="G814">
            <v>0.97826086956521741</v>
          </cell>
          <cell r="H814" t="str">
            <v>This assumes that the trade licence costs will increase over the year which is not true.</v>
          </cell>
        </row>
        <row r="815">
          <cell r="A815" t="str">
            <v>155-10-013</v>
          </cell>
          <cell r="B815">
            <v>40</v>
          </cell>
          <cell r="C815" t="str">
            <v>INSURANCES</v>
          </cell>
          <cell r="D815">
            <v>0</v>
          </cell>
          <cell r="E815">
            <v>0</v>
          </cell>
          <cell r="F815">
            <v>0</v>
          </cell>
          <cell r="G815">
            <v>0</v>
          </cell>
        </row>
        <row r="816">
          <cell r="A816" t="str">
            <v>155-10-014</v>
          </cell>
          <cell r="B816">
            <v>40</v>
          </cell>
          <cell r="C816" t="str">
            <v>PHOTOCOPY</v>
          </cell>
          <cell r="D816">
            <v>0</v>
          </cell>
          <cell r="E816">
            <v>0</v>
          </cell>
          <cell r="F816">
            <v>0</v>
          </cell>
          <cell r="G816">
            <v>0</v>
          </cell>
        </row>
        <row r="817">
          <cell r="A817" t="str">
            <v>155-10-015</v>
          </cell>
          <cell r="B817">
            <v>40</v>
          </cell>
          <cell r="C817" t="str">
            <v>COMPUTER MAINTAINANCE</v>
          </cell>
          <cell r="D817">
            <v>12500</v>
          </cell>
          <cell r="E817">
            <v>0</v>
          </cell>
          <cell r="F817">
            <v>0</v>
          </cell>
          <cell r="G817">
            <v>0</v>
          </cell>
        </row>
        <row r="818">
          <cell r="A818" t="str">
            <v>155-10-016</v>
          </cell>
          <cell r="B818">
            <v>40</v>
          </cell>
          <cell r="C818" t="str">
            <v>EQUIPMENT&amp; FURNITURE REPAIRS &amp; MAINTENANCE</v>
          </cell>
          <cell r="D818">
            <v>1200</v>
          </cell>
          <cell r="E818">
            <v>0</v>
          </cell>
          <cell r="F818">
            <v>0</v>
          </cell>
          <cell r="G818">
            <v>0</v>
          </cell>
        </row>
        <row r="819">
          <cell r="A819" t="str">
            <v>155-10-017</v>
          </cell>
          <cell r="B819">
            <v>40</v>
          </cell>
          <cell r="C819" t="str">
            <v>SEMINARS &amp; SHORT TERM COURSES</v>
          </cell>
          <cell r="D819">
            <v>0</v>
          </cell>
          <cell r="E819">
            <v>6000</v>
          </cell>
          <cell r="F819">
            <v>10285.714285714286</v>
          </cell>
          <cell r="G819">
            <v>0</v>
          </cell>
        </row>
        <row r="820">
          <cell r="A820" t="str">
            <v>155-10-022</v>
          </cell>
          <cell r="B820">
            <v>40</v>
          </cell>
          <cell r="C820" t="str">
            <v>PRINTING &amp; STATIONERY</v>
          </cell>
          <cell r="D820">
            <v>116115</v>
          </cell>
          <cell r="E820">
            <v>36000</v>
          </cell>
          <cell r="F820">
            <v>61714.285714285717</v>
          </cell>
          <cell r="G820">
            <v>1.8814930555555556</v>
          </cell>
          <cell r="H820" t="str">
            <v>Initially the branch used exisiting stationery left over from last year, thus the lower cost in the year.</v>
          </cell>
        </row>
        <row r="821">
          <cell r="A821" t="str">
            <v>155-10-025</v>
          </cell>
          <cell r="B821">
            <v>40</v>
          </cell>
          <cell r="C821" t="str">
            <v>STRATEGIC PLANNING</v>
          </cell>
          <cell r="D821">
            <v>0</v>
          </cell>
          <cell r="E821">
            <v>0</v>
          </cell>
          <cell r="F821">
            <v>0</v>
          </cell>
          <cell r="G821">
            <v>0</v>
          </cell>
        </row>
        <row r="822">
          <cell r="A822" t="str">
            <v>155-10-027</v>
          </cell>
          <cell r="B822">
            <v>40</v>
          </cell>
          <cell r="C822" t="str">
            <v>PROFESSIONAL SUBSCRIPTIONS</v>
          </cell>
          <cell r="D822">
            <v>0</v>
          </cell>
          <cell r="E822">
            <v>0</v>
          </cell>
          <cell r="F822">
            <v>0</v>
          </cell>
          <cell r="G822">
            <v>0</v>
          </cell>
        </row>
        <row r="823">
          <cell r="A823" t="str">
            <v>155-10-028</v>
          </cell>
          <cell r="B823">
            <v>40</v>
          </cell>
          <cell r="C823" t="str">
            <v xml:space="preserve"> SUBSCRIPTIONS -COMPANY MEMBERSHIP</v>
          </cell>
          <cell r="D823">
            <v>0</v>
          </cell>
          <cell r="E823">
            <v>0</v>
          </cell>
          <cell r="F823">
            <v>0</v>
          </cell>
          <cell r="G823">
            <v>0</v>
          </cell>
        </row>
        <row r="824">
          <cell r="A824" t="str">
            <v>155-10-030</v>
          </cell>
          <cell r="B824">
            <v>40</v>
          </cell>
          <cell r="C824" t="str">
            <v>TRAVELLING &amp; ACCOMMODATION</v>
          </cell>
          <cell r="D824">
            <v>54935</v>
          </cell>
          <cell r="E824">
            <v>22000</v>
          </cell>
          <cell r="F824">
            <v>37714.28571428571</v>
          </cell>
          <cell r="G824">
            <v>1.4566098484848486</v>
          </cell>
          <cell r="H824" t="str">
            <v>Takes into account zone meetings and training in the year.</v>
          </cell>
        </row>
        <row r="825">
          <cell r="A825" t="str">
            <v>155-10-032</v>
          </cell>
          <cell r="B825">
            <v>40</v>
          </cell>
          <cell r="C825" t="str">
            <v xml:space="preserve">MOTOR CAR EXPENSES </v>
          </cell>
          <cell r="D825">
            <v>0</v>
          </cell>
          <cell r="E825">
            <v>0</v>
          </cell>
          <cell r="F825">
            <v>0</v>
          </cell>
          <cell r="G825">
            <v>0</v>
          </cell>
        </row>
        <row r="826">
          <cell r="A826" t="str">
            <v>155-10-040</v>
          </cell>
          <cell r="B826">
            <v>40</v>
          </cell>
          <cell r="C826" t="str">
            <v>POSTAGE</v>
          </cell>
          <cell r="D826">
            <v>6552</v>
          </cell>
          <cell r="E826">
            <v>4000</v>
          </cell>
          <cell r="F826">
            <v>6857.1428571428569</v>
          </cell>
          <cell r="G826">
            <v>0.95550000000000002</v>
          </cell>
        </row>
        <row r="827">
          <cell r="A827" t="str">
            <v>155-10-041</v>
          </cell>
          <cell r="B827">
            <v>40</v>
          </cell>
          <cell r="C827" t="str">
            <v>TELEPHONE &amp; FAX</v>
          </cell>
          <cell r="D827">
            <v>108000</v>
          </cell>
          <cell r="E827">
            <v>31000</v>
          </cell>
          <cell r="F827">
            <v>53142.857142857145</v>
          </cell>
          <cell r="G827">
            <v>2.032258064516129</v>
          </cell>
          <cell r="H827" t="str">
            <v>Telephone cost over the year adjusted to 9000 per month</v>
          </cell>
        </row>
        <row r="828">
          <cell r="A828" t="str">
            <v>155-10-044</v>
          </cell>
          <cell r="B828">
            <v>40</v>
          </cell>
          <cell r="C828" t="str">
            <v>PROFFESSIONAL TRAINING</v>
          </cell>
          <cell r="D828">
            <v>0</v>
          </cell>
          <cell r="E828">
            <v>0</v>
          </cell>
          <cell r="F828">
            <v>0</v>
          </cell>
          <cell r="G828">
            <v>0</v>
          </cell>
        </row>
        <row r="829">
          <cell r="A829" t="str">
            <v>155-10-046</v>
          </cell>
          <cell r="B829">
            <v>40</v>
          </cell>
          <cell r="C829" t="str">
            <v xml:space="preserve">SUBSCRIPTION- STAFF CLUB MEMBERSHIP </v>
          </cell>
          <cell r="D829">
            <v>10000</v>
          </cell>
          <cell r="E829">
            <v>10000</v>
          </cell>
          <cell r="F829">
            <v>10000</v>
          </cell>
          <cell r="G829">
            <v>1</v>
          </cell>
          <cell r="H829" t="str">
            <v>Assumption that the cost of the same will increase over the year is not true as it is a one off payment.</v>
          </cell>
        </row>
        <row r="830">
          <cell r="A830" t="str">
            <v>155-10-054</v>
          </cell>
          <cell r="B830">
            <v>40</v>
          </cell>
          <cell r="C830" t="str">
            <v>LEASED LINES-INTERNET SERVICES</v>
          </cell>
          <cell r="D830">
            <v>0</v>
          </cell>
          <cell r="E830">
            <v>0</v>
          </cell>
          <cell r="F830">
            <v>0</v>
          </cell>
          <cell r="G830">
            <v>0</v>
          </cell>
        </row>
        <row r="831">
          <cell r="A831" t="str">
            <v>155-10-057</v>
          </cell>
          <cell r="B831">
            <v>40</v>
          </cell>
          <cell r="C831" t="str">
            <v>SOFTWARE LICENCES</v>
          </cell>
          <cell r="D831">
            <v>0</v>
          </cell>
          <cell r="E831">
            <v>0</v>
          </cell>
          <cell r="F831">
            <v>0</v>
          </cell>
          <cell r="G831">
            <v>0</v>
          </cell>
          <cell r="H831">
            <v>0</v>
          </cell>
        </row>
        <row r="832">
          <cell r="A832" t="str">
            <v>155-10-059</v>
          </cell>
          <cell r="B832">
            <v>40</v>
          </cell>
          <cell r="E832">
            <v>0</v>
          </cell>
          <cell r="G832">
            <v>0</v>
          </cell>
        </row>
        <row r="833">
          <cell r="A833" t="str">
            <v>155-10-060</v>
          </cell>
          <cell r="B833">
            <v>40</v>
          </cell>
          <cell r="E833">
            <v>0</v>
          </cell>
          <cell r="G833">
            <v>0</v>
          </cell>
        </row>
        <row r="834">
          <cell r="A834" t="str">
            <v>155-10-062</v>
          </cell>
          <cell r="B834">
            <v>40</v>
          </cell>
          <cell r="C834" t="str">
            <v>EDUCATION EXPENSES</v>
          </cell>
          <cell r="D834">
            <v>0</v>
          </cell>
          <cell r="E834">
            <v>0</v>
          </cell>
          <cell r="F834">
            <v>0</v>
          </cell>
          <cell r="G834">
            <v>0</v>
          </cell>
          <cell r="H834">
            <v>0</v>
          </cell>
        </row>
        <row r="835">
          <cell r="A835" t="str">
            <v>160-10-010</v>
          </cell>
          <cell r="B835">
            <v>40</v>
          </cell>
          <cell r="E835">
            <v>0</v>
          </cell>
          <cell r="G835">
            <v>0</v>
          </cell>
        </row>
        <row r="836">
          <cell r="A836" t="str">
            <v>105-10-010</v>
          </cell>
          <cell r="B836">
            <v>50</v>
          </cell>
          <cell r="C836" t="str">
            <v>BASIC SALARY</v>
          </cell>
          <cell r="D836">
            <v>360783.96</v>
          </cell>
          <cell r="E836">
            <v>188000</v>
          </cell>
          <cell r="F836">
            <v>318500</v>
          </cell>
          <cell r="G836">
            <v>1.1327596860282576</v>
          </cell>
        </row>
        <row r="837">
          <cell r="A837" t="str">
            <v>105-10-012</v>
          </cell>
          <cell r="B837">
            <v>50</v>
          </cell>
          <cell r="C837" t="str">
            <v>PROVISION FOR MORT. RATE ADJUSTMENTS</v>
          </cell>
          <cell r="D837">
            <v>0</v>
          </cell>
          <cell r="E837">
            <v>0</v>
          </cell>
          <cell r="F837">
            <v>0</v>
          </cell>
          <cell r="G837">
            <v>0</v>
          </cell>
        </row>
        <row r="838">
          <cell r="A838" t="str">
            <v>105-10-020</v>
          </cell>
          <cell r="B838">
            <v>50</v>
          </cell>
          <cell r="C838" t="str">
            <v>HOUSE ALLOWANCE</v>
          </cell>
          <cell r="D838">
            <v>46800</v>
          </cell>
          <cell r="E838">
            <v>27000</v>
          </cell>
          <cell r="F838">
            <v>46500</v>
          </cell>
          <cell r="G838">
            <v>1.0064516129032257</v>
          </cell>
        </row>
        <row r="839">
          <cell r="A839" t="str">
            <v>105-10-030</v>
          </cell>
          <cell r="B839">
            <v>50</v>
          </cell>
          <cell r="C839" t="str">
            <v>TELEPHONE ALLOWANCE</v>
          </cell>
          <cell r="D839">
            <v>0</v>
          </cell>
          <cell r="E839">
            <v>0</v>
          </cell>
          <cell r="F839">
            <v>0</v>
          </cell>
          <cell r="G839">
            <v>0</v>
          </cell>
        </row>
        <row r="840">
          <cell r="A840" t="str">
            <v>105-10-040</v>
          </cell>
          <cell r="B840">
            <v>50</v>
          </cell>
          <cell r="C840" t="str">
            <v>SECURITY ALLOWANCE</v>
          </cell>
          <cell r="D840">
            <v>0</v>
          </cell>
          <cell r="E840">
            <v>0</v>
          </cell>
          <cell r="F840">
            <v>0</v>
          </cell>
          <cell r="G840">
            <v>0</v>
          </cell>
        </row>
        <row r="841">
          <cell r="A841" t="str">
            <v>105-10-050</v>
          </cell>
          <cell r="B841">
            <v>50</v>
          </cell>
          <cell r="C841" t="str">
            <v>EDUCATION ALLOWANCE</v>
          </cell>
          <cell r="D841">
            <v>0</v>
          </cell>
          <cell r="E841">
            <v>0</v>
          </cell>
          <cell r="F841">
            <v>0</v>
          </cell>
          <cell r="G841">
            <v>0</v>
          </cell>
        </row>
        <row r="842">
          <cell r="A842" t="str">
            <v>105-10-060</v>
          </cell>
          <cell r="B842">
            <v>50</v>
          </cell>
          <cell r="C842" t="str">
            <v>TRAVEL ALLOWANCE</v>
          </cell>
          <cell r="D842">
            <v>0</v>
          </cell>
          <cell r="E842">
            <v>0</v>
          </cell>
          <cell r="F842">
            <v>0</v>
          </cell>
          <cell r="G842">
            <v>0</v>
          </cell>
        </row>
        <row r="843">
          <cell r="A843" t="str">
            <v>105-20-010</v>
          </cell>
          <cell r="B843">
            <v>50</v>
          </cell>
          <cell r="C843" t="str">
            <v>NSSF</v>
          </cell>
          <cell r="D843">
            <v>2400</v>
          </cell>
          <cell r="E843">
            <v>1000</v>
          </cell>
          <cell r="F843">
            <v>2000</v>
          </cell>
          <cell r="G843">
            <v>1.2</v>
          </cell>
        </row>
        <row r="844">
          <cell r="A844" t="str">
            <v>105-20-020</v>
          </cell>
          <cell r="B844">
            <v>50</v>
          </cell>
          <cell r="C844" t="str">
            <v>NHIF</v>
          </cell>
          <cell r="D844">
            <v>2880</v>
          </cell>
          <cell r="E844">
            <v>2000</v>
          </cell>
          <cell r="F844">
            <v>3200</v>
          </cell>
          <cell r="G844">
            <v>0.9</v>
          </cell>
        </row>
        <row r="845">
          <cell r="A845" t="str">
            <v>105-30-010</v>
          </cell>
          <cell r="B845">
            <v>50</v>
          </cell>
          <cell r="C845" t="str">
            <v xml:space="preserve">PENSION </v>
          </cell>
          <cell r="D845">
            <v>43848</v>
          </cell>
          <cell r="E845">
            <v>23000</v>
          </cell>
          <cell r="F845">
            <v>41270</v>
          </cell>
          <cell r="G845">
            <v>1.0624666828204508</v>
          </cell>
        </row>
        <row r="846">
          <cell r="A846" t="str">
            <v>105-30-020</v>
          </cell>
          <cell r="B846">
            <v>50</v>
          </cell>
          <cell r="C846" t="str">
            <v>LAST EXPENSE</v>
          </cell>
          <cell r="D846">
            <v>0</v>
          </cell>
          <cell r="E846">
            <v>1000</v>
          </cell>
          <cell r="F846">
            <v>1714.2857142857142</v>
          </cell>
          <cell r="G846">
            <v>0</v>
          </cell>
        </row>
        <row r="847">
          <cell r="A847" t="str">
            <v>105-30-030</v>
          </cell>
          <cell r="B847">
            <v>50</v>
          </cell>
          <cell r="C847" t="str">
            <v>GROUP LIFE ASSURANCE</v>
          </cell>
          <cell r="D847">
            <v>0</v>
          </cell>
          <cell r="E847">
            <v>13000</v>
          </cell>
          <cell r="F847">
            <v>22285.714285714286</v>
          </cell>
          <cell r="G847">
            <v>0</v>
          </cell>
        </row>
        <row r="848">
          <cell r="A848" t="str">
            <v>105-30-040</v>
          </cell>
          <cell r="B848">
            <v>50</v>
          </cell>
          <cell r="C848" t="str">
            <v>STAFF MEDICAL</v>
          </cell>
          <cell r="D848">
            <v>0</v>
          </cell>
          <cell r="E848">
            <v>0</v>
          </cell>
          <cell r="F848">
            <v>0</v>
          </cell>
          <cell r="G848">
            <v>0</v>
          </cell>
        </row>
        <row r="849">
          <cell r="A849" t="str">
            <v>105-30-050</v>
          </cell>
          <cell r="B849">
            <v>50</v>
          </cell>
          <cell r="C849" t="str">
            <v>CASH IN LIEU OF LEAVE</v>
          </cell>
          <cell r="D849">
            <v>8769.6</v>
          </cell>
          <cell r="E849">
            <v>12000</v>
          </cell>
          <cell r="F849">
            <v>20571.428571428572</v>
          </cell>
          <cell r="G849">
            <v>0.42630000000000001</v>
          </cell>
        </row>
        <row r="850">
          <cell r="A850" t="str">
            <v>105-30-060</v>
          </cell>
          <cell r="B850">
            <v>50</v>
          </cell>
          <cell r="C850" t="str">
            <v>GRATUITY</v>
          </cell>
          <cell r="E850">
            <v>0</v>
          </cell>
          <cell r="F850">
            <v>0</v>
          </cell>
          <cell r="G850">
            <v>0</v>
          </cell>
        </row>
        <row r="851">
          <cell r="A851" t="str">
            <v>105-30-070</v>
          </cell>
          <cell r="B851">
            <v>50</v>
          </cell>
          <cell r="C851" t="str">
            <v>LONG SERVICE AWARDS</v>
          </cell>
          <cell r="D851">
            <v>0</v>
          </cell>
          <cell r="E851">
            <v>0</v>
          </cell>
          <cell r="F851">
            <v>0</v>
          </cell>
          <cell r="G851">
            <v>0</v>
          </cell>
        </row>
        <row r="852">
          <cell r="A852" t="str">
            <v>105-30-080</v>
          </cell>
          <cell r="B852">
            <v>50</v>
          </cell>
          <cell r="C852" t="str">
            <v>STAFF RECRUITMENT &amp; REMOVALS</v>
          </cell>
          <cell r="D852">
            <v>0</v>
          </cell>
          <cell r="E852">
            <v>0</v>
          </cell>
          <cell r="F852">
            <v>0</v>
          </cell>
          <cell r="G852">
            <v>0</v>
          </cell>
        </row>
        <row r="853">
          <cell r="A853" t="str">
            <v>115-10-010</v>
          </cell>
          <cell r="B853">
            <v>50</v>
          </cell>
          <cell r="D853">
            <v>0</v>
          </cell>
          <cell r="E853">
            <v>0</v>
          </cell>
          <cell r="F853">
            <v>0</v>
          </cell>
          <cell r="G853">
            <v>0</v>
          </cell>
        </row>
        <row r="854">
          <cell r="A854" t="str">
            <v>115-10-010</v>
          </cell>
          <cell r="B854">
            <v>50</v>
          </cell>
          <cell r="D854">
            <v>0</v>
          </cell>
          <cell r="F854">
            <v>0</v>
          </cell>
          <cell r="G854">
            <v>0</v>
          </cell>
        </row>
        <row r="855">
          <cell r="A855" t="str">
            <v>115-10-020</v>
          </cell>
          <cell r="B855">
            <v>50</v>
          </cell>
          <cell r="D855">
            <v>0</v>
          </cell>
          <cell r="E855">
            <v>0</v>
          </cell>
          <cell r="F855">
            <v>0</v>
          </cell>
          <cell r="G855">
            <v>0</v>
          </cell>
        </row>
        <row r="856">
          <cell r="A856" t="str">
            <v>115-10-020</v>
          </cell>
          <cell r="B856">
            <v>50</v>
          </cell>
          <cell r="D856">
            <v>0</v>
          </cell>
          <cell r="G856">
            <v>0</v>
          </cell>
        </row>
        <row r="857">
          <cell r="A857" t="str">
            <v>115-10-030</v>
          </cell>
          <cell r="B857">
            <v>50</v>
          </cell>
          <cell r="D857">
            <v>0</v>
          </cell>
          <cell r="E857">
            <v>0</v>
          </cell>
          <cell r="F857">
            <v>0</v>
          </cell>
          <cell r="G857">
            <v>0</v>
          </cell>
        </row>
        <row r="858">
          <cell r="A858" t="str">
            <v>115-10-030</v>
          </cell>
          <cell r="B858">
            <v>50</v>
          </cell>
          <cell r="D858">
            <v>0</v>
          </cell>
          <cell r="F858">
            <v>0</v>
          </cell>
          <cell r="G858">
            <v>0</v>
          </cell>
        </row>
        <row r="859">
          <cell r="A859" t="str">
            <v>115-10-040</v>
          </cell>
          <cell r="B859">
            <v>50</v>
          </cell>
          <cell r="D859">
            <v>312000</v>
          </cell>
          <cell r="E859">
            <v>181000</v>
          </cell>
          <cell r="F859">
            <v>310285.71428571432</v>
          </cell>
          <cell r="G859">
            <v>1.0055248618784529</v>
          </cell>
        </row>
        <row r="860">
          <cell r="A860" t="str">
            <v>115-10-040</v>
          </cell>
          <cell r="B860">
            <v>50</v>
          </cell>
          <cell r="D860">
            <v>0</v>
          </cell>
          <cell r="F860">
            <v>0</v>
          </cell>
          <cell r="G860">
            <v>0</v>
          </cell>
        </row>
        <row r="861">
          <cell r="A861" t="str">
            <v>115-10-050</v>
          </cell>
          <cell r="B861">
            <v>50</v>
          </cell>
          <cell r="C861" t="str">
            <v>OFFICE CATERING &amp; STAFF WELFARE</v>
          </cell>
          <cell r="D861">
            <v>55200</v>
          </cell>
          <cell r="E861">
            <v>67250</v>
          </cell>
          <cell r="F861">
            <v>115285.71428571429</v>
          </cell>
          <cell r="G861">
            <v>0.47881040892193305</v>
          </cell>
        </row>
        <row r="862">
          <cell r="A862" t="str">
            <v>115-10-051</v>
          </cell>
          <cell r="B862">
            <v>50</v>
          </cell>
          <cell r="C862" t="str">
            <v>OFFICE CLEANING</v>
          </cell>
          <cell r="D862">
            <v>51000</v>
          </cell>
          <cell r="E862">
            <v>0</v>
          </cell>
          <cell r="F862">
            <v>0</v>
          </cell>
          <cell r="G862">
            <v>0</v>
          </cell>
        </row>
        <row r="863">
          <cell r="A863" t="str">
            <v>115-10-060</v>
          </cell>
          <cell r="B863">
            <v>50</v>
          </cell>
          <cell r="C863" t="str">
            <v>OFFICE WATER</v>
          </cell>
          <cell r="D863">
            <v>0</v>
          </cell>
          <cell r="E863">
            <v>0</v>
          </cell>
          <cell r="F863">
            <v>0</v>
          </cell>
          <cell r="G863">
            <v>0</v>
          </cell>
        </row>
        <row r="864">
          <cell r="A864" t="str">
            <v>115-10-070</v>
          </cell>
          <cell r="B864">
            <v>50</v>
          </cell>
          <cell r="C864" t="str">
            <v>OFFICE ELECTRICITY</v>
          </cell>
          <cell r="D864">
            <v>0</v>
          </cell>
          <cell r="E864">
            <v>2000</v>
          </cell>
          <cell r="F864">
            <v>3428.5714285714284</v>
          </cell>
          <cell r="G864">
            <v>0</v>
          </cell>
        </row>
        <row r="865">
          <cell r="A865" t="str">
            <v>115-10-080</v>
          </cell>
          <cell r="B865">
            <v>50</v>
          </cell>
          <cell r="C865" t="str">
            <v>OFFICE SECURITY</v>
          </cell>
          <cell r="D865">
            <v>0</v>
          </cell>
          <cell r="E865">
            <v>10000</v>
          </cell>
          <cell r="F865">
            <v>17142.857142857145</v>
          </cell>
          <cell r="G865">
            <v>0</v>
          </cell>
        </row>
        <row r="866">
          <cell r="A866" t="str">
            <v>125-10-010</v>
          </cell>
          <cell r="B866">
            <v>50</v>
          </cell>
          <cell r="C866" t="str">
            <v>BANK CHARGES</v>
          </cell>
          <cell r="D866">
            <v>24000</v>
          </cell>
          <cell r="E866">
            <v>14000</v>
          </cell>
          <cell r="F866">
            <v>24000</v>
          </cell>
          <cell r="G866">
            <v>1</v>
          </cell>
        </row>
        <row r="867">
          <cell r="A867" t="str">
            <v>125-10-020</v>
          </cell>
          <cell r="B867">
            <v>50</v>
          </cell>
          <cell r="C867" t="str">
            <v>BANK OVERDRART CHARGES</v>
          </cell>
          <cell r="E867">
            <v>0</v>
          </cell>
          <cell r="F867">
            <v>0</v>
          </cell>
          <cell r="G867">
            <v>0</v>
          </cell>
        </row>
        <row r="868">
          <cell r="A868" t="str">
            <v>135-60-030</v>
          </cell>
          <cell r="B868">
            <v>50</v>
          </cell>
          <cell r="C868" t="str">
            <v>SALES PROMOTIONS &amp; COMPETITION</v>
          </cell>
          <cell r="D868">
            <v>0</v>
          </cell>
          <cell r="E868">
            <v>0</v>
          </cell>
          <cell r="F868">
            <v>0</v>
          </cell>
          <cell r="G868">
            <v>0</v>
          </cell>
        </row>
        <row r="869">
          <cell r="A869" t="str">
            <v>135-70-010</v>
          </cell>
          <cell r="B869">
            <v>50</v>
          </cell>
          <cell r="C869" t="str">
            <v>AGENCY PENSION</v>
          </cell>
          <cell r="D869">
            <v>0</v>
          </cell>
          <cell r="E869">
            <v>0</v>
          </cell>
          <cell r="F869">
            <v>0</v>
          </cell>
          <cell r="G869">
            <v>0</v>
          </cell>
        </row>
        <row r="870">
          <cell r="A870" t="str">
            <v>135-70-020</v>
          </cell>
          <cell r="B870">
            <v>50</v>
          </cell>
          <cell r="C870" t="str">
            <v>AGENCY GLA</v>
          </cell>
          <cell r="D870">
            <v>0</v>
          </cell>
          <cell r="E870">
            <v>0</v>
          </cell>
          <cell r="F870">
            <v>0</v>
          </cell>
          <cell r="G870">
            <v>0</v>
          </cell>
        </row>
        <row r="871">
          <cell r="A871" t="str">
            <v>135-70-030</v>
          </cell>
          <cell r="B871">
            <v>50</v>
          </cell>
          <cell r="C871" t="str">
            <v>AGENCY MEDICAL</v>
          </cell>
          <cell r="D871">
            <v>0</v>
          </cell>
          <cell r="E871">
            <v>0</v>
          </cell>
          <cell r="F871">
            <v>0</v>
          </cell>
          <cell r="G871">
            <v>0</v>
          </cell>
        </row>
        <row r="872">
          <cell r="A872" t="str">
            <v>135-70-040</v>
          </cell>
          <cell r="B872">
            <v>50</v>
          </cell>
          <cell r="C872" t="str">
            <v>AGENCY LAST EXPENSE</v>
          </cell>
          <cell r="D872">
            <v>0</v>
          </cell>
          <cell r="E872">
            <v>0</v>
          </cell>
          <cell r="F872">
            <v>0</v>
          </cell>
          <cell r="G872">
            <v>0</v>
          </cell>
        </row>
        <row r="873">
          <cell r="A873" t="str">
            <v>145-10-030</v>
          </cell>
          <cell r="B873">
            <v>50</v>
          </cell>
          <cell r="C873" t="str">
            <v>Audit fee -individual life</v>
          </cell>
          <cell r="D873">
            <v>0</v>
          </cell>
          <cell r="E873">
            <v>0</v>
          </cell>
          <cell r="F873">
            <v>0</v>
          </cell>
          <cell r="G873">
            <v>0</v>
          </cell>
        </row>
        <row r="874">
          <cell r="A874" t="str">
            <v>145-10-031</v>
          </cell>
          <cell r="B874">
            <v>50</v>
          </cell>
          <cell r="C874" t="str">
            <v>Tax filing returns</v>
          </cell>
          <cell r="D874">
            <v>0</v>
          </cell>
          <cell r="E874">
            <v>0</v>
          </cell>
          <cell r="F874">
            <v>0</v>
          </cell>
          <cell r="G874">
            <v>0</v>
          </cell>
        </row>
        <row r="875">
          <cell r="A875" t="str">
            <v>145-10-060</v>
          </cell>
          <cell r="B875">
            <v>50</v>
          </cell>
          <cell r="C875" t="str">
            <v>Intra company charges- individual life</v>
          </cell>
          <cell r="G875">
            <v>0</v>
          </cell>
        </row>
        <row r="876">
          <cell r="A876" t="str">
            <v>145-10-060</v>
          </cell>
          <cell r="B876">
            <v>50</v>
          </cell>
          <cell r="E876">
            <v>0</v>
          </cell>
          <cell r="G876">
            <v>0</v>
          </cell>
        </row>
        <row r="877">
          <cell r="A877" t="str">
            <v>145-10-080</v>
          </cell>
          <cell r="B877">
            <v>50</v>
          </cell>
          <cell r="C877" t="str">
            <v>40% Excutive recharge</v>
          </cell>
          <cell r="F877">
            <v>0</v>
          </cell>
          <cell r="G877">
            <v>0</v>
          </cell>
        </row>
        <row r="878">
          <cell r="A878" t="str">
            <v>145-10-080</v>
          </cell>
          <cell r="B878">
            <v>50</v>
          </cell>
          <cell r="C878" t="str">
            <v xml:space="preserve">Recharges: 10% recharge to Corporate </v>
          </cell>
          <cell r="E878">
            <v>0</v>
          </cell>
          <cell r="G878">
            <v>0</v>
          </cell>
        </row>
        <row r="879">
          <cell r="A879" t="str">
            <v>145-10-100</v>
          </cell>
          <cell r="B879">
            <v>50</v>
          </cell>
          <cell r="E879">
            <v>0</v>
          </cell>
          <cell r="G879">
            <v>0</v>
          </cell>
        </row>
        <row r="880">
          <cell r="A880" t="str">
            <v>155-10-007</v>
          </cell>
          <cell r="B880">
            <v>50</v>
          </cell>
          <cell r="C880" t="str">
            <v>NEWSPAPERS &amp; JOURNALS</v>
          </cell>
          <cell r="D880">
            <v>10560</v>
          </cell>
          <cell r="E880">
            <v>6000</v>
          </cell>
          <cell r="F880">
            <v>10285.714285714286</v>
          </cell>
          <cell r="G880">
            <v>1.0266666666666666</v>
          </cell>
        </row>
        <row r="881">
          <cell r="A881" t="str">
            <v>155-10-008</v>
          </cell>
          <cell r="B881">
            <v>50</v>
          </cell>
          <cell r="C881" t="str">
            <v>ENTERTAINMENT &amp; DONATIONS</v>
          </cell>
          <cell r="D881">
            <v>15000</v>
          </cell>
          <cell r="E881">
            <v>3000</v>
          </cell>
          <cell r="F881">
            <v>5142.8571428571431</v>
          </cell>
          <cell r="G881">
            <v>2.9166666666666665</v>
          </cell>
          <cell r="H881" t="str">
            <v>WILL WORK WITH MORE CHECK OFFS.</v>
          </cell>
        </row>
        <row r="882">
          <cell r="A882" t="str">
            <v>155-10-009</v>
          </cell>
          <cell r="B882">
            <v>50</v>
          </cell>
          <cell r="C882" t="str">
            <v>COURIER &amp; FREIGHT CHARGES</v>
          </cell>
          <cell r="D882">
            <v>50796</v>
          </cell>
          <cell r="E882">
            <v>63000</v>
          </cell>
          <cell r="F882">
            <v>108000</v>
          </cell>
          <cell r="G882">
            <v>0.47033333333333333</v>
          </cell>
        </row>
        <row r="883">
          <cell r="A883" t="str">
            <v>155-10-010</v>
          </cell>
          <cell r="B883">
            <v>50</v>
          </cell>
          <cell r="C883" t="str">
            <v>ADVERTISING &amp; PUBLICITY</v>
          </cell>
          <cell r="D883">
            <v>0</v>
          </cell>
          <cell r="E883">
            <v>0</v>
          </cell>
          <cell r="F883">
            <v>0</v>
          </cell>
          <cell r="G883">
            <v>0</v>
          </cell>
        </row>
        <row r="884">
          <cell r="A884" t="str">
            <v>155-10-012</v>
          </cell>
          <cell r="B884">
            <v>50</v>
          </cell>
          <cell r="C884" t="str">
            <v>TRADE LICENCES</v>
          </cell>
          <cell r="D884">
            <v>48000</v>
          </cell>
          <cell r="E884">
            <v>43000</v>
          </cell>
          <cell r="F884">
            <v>43000</v>
          </cell>
          <cell r="G884">
            <v>1.1162790697674418</v>
          </cell>
          <cell r="H884" t="str">
            <v>The current end of year assumption estimates that this cost will double which is false.</v>
          </cell>
        </row>
        <row r="885">
          <cell r="A885" t="str">
            <v>155-10-013</v>
          </cell>
          <cell r="B885">
            <v>50</v>
          </cell>
          <cell r="C885" t="str">
            <v>INSURANCES</v>
          </cell>
          <cell r="D885">
            <v>0</v>
          </cell>
          <cell r="E885">
            <v>0</v>
          </cell>
          <cell r="F885">
            <v>0</v>
          </cell>
          <cell r="G885">
            <v>0</v>
          </cell>
        </row>
        <row r="886">
          <cell r="A886" t="str">
            <v>155-10-014</v>
          </cell>
          <cell r="B886">
            <v>50</v>
          </cell>
          <cell r="C886" t="str">
            <v>PHOTOCOPY</v>
          </cell>
          <cell r="D886">
            <v>0</v>
          </cell>
          <cell r="E886">
            <v>0</v>
          </cell>
          <cell r="F886">
            <v>0</v>
          </cell>
          <cell r="G886">
            <v>0</v>
          </cell>
        </row>
        <row r="887">
          <cell r="A887" t="str">
            <v>155-10-015</v>
          </cell>
          <cell r="B887">
            <v>50</v>
          </cell>
          <cell r="C887" t="str">
            <v>COMPUTER MAINTAINANCE</v>
          </cell>
          <cell r="D887">
            <v>7500</v>
          </cell>
          <cell r="E887">
            <v>1000</v>
          </cell>
          <cell r="F887">
            <v>1714.2857142857142</v>
          </cell>
          <cell r="G887">
            <v>4.375</v>
          </cell>
        </row>
        <row r="888">
          <cell r="A888" t="str">
            <v>155-10-016</v>
          </cell>
          <cell r="B888">
            <v>50</v>
          </cell>
          <cell r="C888" t="str">
            <v>EQUIPMENT&amp; FURNITURE REPAIRS &amp; MAINTENANCE</v>
          </cell>
          <cell r="D888">
            <v>6000</v>
          </cell>
          <cell r="E888">
            <v>10000</v>
          </cell>
          <cell r="F888">
            <v>17142.857142857145</v>
          </cell>
          <cell r="G888">
            <v>0.35</v>
          </cell>
        </row>
        <row r="889">
          <cell r="A889" t="str">
            <v>155-10-017</v>
          </cell>
          <cell r="B889">
            <v>50</v>
          </cell>
          <cell r="C889" t="str">
            <v>SEMINARS &amp; SHORT TERM COURSES</v>
          </cell>
          <cell r="D889">
            <v>0</v>
          </cell>
          <cell r="E889">
            <v>6000</v>
          </cell>
          <cell r="F889">
            <v>10285.714285714286</v>
          </cell>
          <cell r="G889">
            <v>0</v>
          </cell>
        </row>
        <row r="890">
          <cell r="A890" t="str">
            <v>155-10-022</v>
          </cell>
          <cell r="B890">
            <v>50</v>
          </cell>
          <cell r="C890" t="str">
            <v>PRINTING &amp; STATIONERY</v>
          </cell>
          <cell r="D890">
            <v>126907.5</v>
          </cell>
          <cell r="E890">
            <v>50000</v>
          </cell>
          <cell r="F890">
            <v>85714.28571428571</v>
          </cell>
          <cell r="G890">
            <v>1.4805875000000002</v>
          </cell>
        </row>
        <row r="891">
          <cell r="A891" t="str">
            <v>155-10-025</v>
          </cell>
          <cell r="B891">
            <v>50</v>
          </cell>
          <cell r="C891" t="str">
            <v>STRATEGIC PLANNING</v>
          </cell>
          <cell r="D891">
            <v>0</v>
          </cell>
          <cell r="E891">
            <v>0</v>
          </cell>
          <cell r="F891">
            <v>0</v>
          </cell>
          <cell r="G891">
            <v>0</v>
          </cell>
        </row>
        <row r="892">
          <cell r="A892" t="str">
            <v>155-10-027</v>
          </cell>
          <cell r="B892">
            <v>50</v>
          </cell>
          <cell r="C892" t="str">
            <v>PROFESSIONAL SUBSCRIPTIONS</v>
          </cell>
          <cell r="D892">
            <v>6000</v>
          </cell>
          <cell r="E892">
            <v>6000</v>
          </cell>
          <cell r="F892">
            <v>6000</v>
          </cell>
          <cell r="G892">
            <v>1</v>
          </cell>
        </row>
        <row r="893">
          <cell r="A893" t="str">
            <v>155-10-028</v>
          </cell>
          <cell r="B893">
            <v>50</v>
          </cell>
          <cell r="C893" t="str">
            <v xml:space="preserve"> SUBSCRIPTIONS -COMPANY MEMBERSHIP</v>
          </cell>
          <cell r="D893">
            <v>0</v>
          </cell>
          <cell r="E893">
            <v>0</v>
          </cell>
          <cell r="F893">
            <v>0</v>
          </cell>
          <cell r="G893">
            <v>0</v>
          </cell>
        </row>
        <row r="894">
          <cell r="A894" t="str">
            <v>155-10-030</v>
          </cell>
          <cell r="B894">
            <v>50</v>
          </cell>
          <cell r="C894" t="str">
            <v>TRAVELLING &amp; ACCOMMODATION</v>
          </cell>
          <cell r="D894">
            <v>73520</v>
          </cell>
          <cell r="E894">
            <v>24000</v>
          </cell>
          <cell r="F894">
            <v>41142.857142857145</v>
          </cell>
          <cell r="G894">
            <v>1.7869444444444444</v>
          </cell>
          <cell r="H894" t="str">
            <v>Taken into account training and  Zone meetings.</v>
          </cell>
        </row>
        <row r="895">
          <cell r="A895" t="str">
            <v>155-10-032</v>
          </cell>
          <cell r="B895">
            <v>50</v>
          </cell>
          <cell r="C895" t="str">
            <v xml:space="preserve">MOTOR CAR EXPENSES </v>
          </cell>
          <cell r="D895">
            <v>0</v>
          </cell>
          <cell r="E895">
            <v>0</v>
          </cell>
          <cell r="F895">
            <v>0</v>
          </cell>
          <cell r="G895">
            <v>0</v>
          </cell>
        </row>
        <row r="896">
          <cell r="A896" t="str">
            <v>155-10-040</v>
          </cell>
          <cell r="B896">
            <v>50</v>
          </cell>
          <cell r="C896" t="str">
            <v>POSTAGE</v>
          </cell>
          <cell r="D896">
            <v>1440</v>
          </cell>
          <cell r="E896">
            <v>0</v>
          </cell>
          <cell r="F896">
            <v>0</v>
          </cell>
          <cell r="G896">
            <v>0</v>
          </cell>
        </row>
        <row r="897">
          <cell r="A897" t="str">
            <v>155-10-041</v>
          </cell>
          <cell r="B897">
            <v>50</v>
          </cell>
          <cell r="C897" t="str">
            <v>TELEPHONE &amp; FAX</v>
          </cell>
          <cell r="D897">
            <v>108000</v>
          </cell>
          <cell r="E897">
            <v>58000</v>
          </cell>
          <cell r="F897">
            <v>99428.571428571435</v>
          </cell>
          <cell r="G897">
            <v>1.086206896551724</v>
          </cell>
          <cell r="H897" t="str">
            <v>Budgeted at 10,000 per month given the high cost of calls in the area.</v>
          </cell>
        </row>
        <row r="898">
          <cell r="A898" t="str">
            <v>155-10-044</v>
          </cell>
          <cell r="B898">
            <v>50</v>
          </cell>
          <cell r="C898" t="str">
            <v>PROFFESSIONAL TRAINING</v>
          </cell>
          <cell r="D898">
            <v>0</v>
          </cell>
          <cell r="E898">
            <v>0</v>
          </cell>
          <cell r="F898">
            <v>0</v>
          </cell>
          <cell r="G898">
            <v>0</v>
          </cell>
        </row>
        <row r="899">
          <cell r="A899" t="str">
            <v>155-10-046</v>
          </cell>
          <cell r="B899">
            <v>50</v>
          </cell>
          <cell r="C899" t="str">
            <v xml:space="preserve">SUBSCRIPTION- STAFF CLUB MEMBERSHIP </v>
          </cell>
          <cell r="D899">
            <v>0</v>
          </cell>
          <cell r="E899">
            <v>0</v>
          </cell>
          <cell r="F899">
            <v>0</v>
          </cell>
          <cell r="G899">
            <v>0</v>
          </cell>
          <cell r="H899" t="str">
            <v>Not there last year.</v>
          </cell>
        </row>
        <row r="900">
          <cell r="A900" t="str">
            <v>155-10-054</v>
          </cell>
          <cell r="B900">
            <v>50</v>
          </cell>
          <cell r="C900" t="str">
            <v>LEASED LINES-INTERNET SERVICES</v>
          </cell>
          <cell r="D900">
            <v>0</v>
          </cell>
          <cell r="E900">
            <v>0</v>
          </cell>
          <cell r="F900">
            <v>0</v>
          </cell>
          <cell r="G900">
            <v>0</v>
          </cell>
        </row>
        <row r="901">
          <cell r="A901" t="str">
            <v>155-10-057</v>
          </cell>
          <cell r="B901">
            <v>50</v>
          </cell>
          <cell r="C901" t="str">
            <v>SOFTWARE LICENCES</v>
          </cell>
          <cell r="D901">
            <v>0</v>
          </cell>
          <cell r="E901">
            <v>0</v>
          </cell>
          <cell r="F901">
            <v>0</v>
          </cell>
          <cell r="G901">
            <v>0</v>
          </cell>
        </row>
        <row r="902">
          <cell r="A902" t="str">
            <v>155-10-059</v>
          </cell>
          <cell r="B902">
            <v>50</v>
          </cell>
          <cell r="E902">
            <v>0</v>
          </cell>
          <cell r="G902">
            <v>0</v>
          </cell>
        </row>
        <row r="903">
          <cell r="A903" t="str">
            <v>155-10-060</v>
          </cell>
          <cell r="B903">
            <v>50</v>
          </cell>
          <cell r="E903">
            <v>0</v>
          </cell>
          <cell r="G903">
            <v>0</v>
          </cell>
        </row>
        <row r="904">
          <cell r="A904" t="str">
            <v>155-10-062</v>
          </cell>
          <cell r="B904">
            <v>50</v>
          </cell>
          <cell r="C904" t="str">
            <v>EDUCATION EXPENSES</v>
          </cell>
          <cell r="D904">
            <v>0</v>
          </cell>
          <cell r="E904">
            <v>0</v>
          </cell>
          <cell r="F904">
            <v>0</v>
          </cell>
          <cell r="G904">
            <v>0</v>
          </cell>
        </row>
        <row r="905">
          <cell r="A905" t="str">
            <v>160-10-010</v>
          </cell>
          <cell r="B905">
            <v>50</v>
          </cell>
          <cell r="E905">
            <v>0</v>
          </cell>
          <cell r="G905">
            <v>0</v>
          </cell>
        </row>
        <row r="906">
          <cell r="A906" t="str">
            <v>105-10-010</v>
          </cell>
          <cell r="B906">
            <v>60</v>
          </cell>
          <cell r="C906" t="str">
            <v>BASIC SALARY</v>
          </cell>
          <cell r="D906">
            <v>329871.96000000002</v>
          </cell>
          <cell r="E906">
            <v>174000</v>
          </cell>
          <cell r="F906">
            <v>293000</v>
          </cell>
          <cell r="G906">
            <v>1.1258428668941982</v>
          </cell>
          <cell r="H906" t="str">
            <v>There will be an additional 1 staff to do data capture.</v>
          </cell>
        </row>
        <row r="907">
          <cell r="A907" t="str">
            <v>105-10-012</v>
          </cell>
          <cell r="B907">
            <v>60</v>
          </cell>
          <cell r="C907" t="str">
            <v>PROVISION FOR MORT. RATE ADJUSTMENTS</v>
          </cell>
          <cell r="D907">
            <v>0</v>
          </cell>
          <cell r="E907">
            <v>0</v>
          </cell>
          <cell r="F907">
            <v>0</v>
          </cell>
          <cell r="G907">
            <v>0</v>
          </cell>
        </row>
        <row r="908">
          <cell r="A908" t="str">
            <v>105-10-020</v>
          </cell>
          <cell r="B908">
            <v>60</v>
          </cell>
          <cell r="C908" t="str">
            <v>HOUSE ALLOWANCE</v>
          </cell>
          <cell r="D908">
            <v>46800</v>
          </cell>
          <cell r="E908">
            <v>27000</v>
          </cell>
          <cell r="F908">
            <v>46500</v>
          </cell>
          <cell r="G908">
            <v>1.0064516129032257</v>
          </cell>
          <cell r="H908" t="str">
            <v>There will be an additional 1 staff to do data capture.</v>
          </cell>
        </row>
        <row r="909">
          <cell r="A909" t="str">
            <v>105-10-030</v>
          </cell>
          <cell r="B909">
            <v>60</v>
          </cell>
          <cell r="C909" t="str">
            <v>TELEPHONE ALLOWANCE</v>
          </cell>
          <cell r="D909">
            <v>0</v>
          </cell>
          <cell r="E909">
            <v>0</v>
          </cell>
          <cell r="F909">
            <v>0</v>
          </cell>
          <cell r="G909">
            <v>0</v>
          </cell>
        </row>
        <row r="910">
          <cell r="A910" t="str">
            <v>105-10-040</v>
          </cell>
          <cell r="B910">
            <v>60</v>
          </cell>
          <cell r="C910" t="str">
            <v>SECURITY ALLOWANCE</v>
          </cell>
          <cell r="D910">
            <v>0</v>
          </cell>
          <cell r="E910">
            <v>0</v>
          </cell>
          <cell r="F910">
            <v>0</v>
          </cell>
          <cell r="G910">
            <v>0</v>
          </cell>
        </row>
        <row r="911">
          <cell r="A911" t="str">
            <v>105-10-050</v>
          </cell>
          <cell r="B911">
            <v>60</v>
          </cell>
          <cell r="C911" t="str">
            <v>EDUCATION ALLOWANCE</v>
          </cell>
          <cell r="D911">
            <v>0</v>
          </cell>
          <cell r="E911">
            <v>0</v>
          </cell>
          <cell r="F911">
            <v>0</v>
          </cell>
          <cell r="G911">
            <v>0</v>
          </cell>
        </row>
        <row r="912">
          <cell r="A912" t="str">
            <v>105-10-060</v>
          </cell>
          <cell r="B912">
            <v>60</v>
          </cell>
          <cell r="C912" t="str">
            <v>TRAVEL ALLOWANCE</v>
          </cell>
          <cell r="D912">
            <v>0</v>
          </cell>
          <cell r="E912">
            <v>0</v>
          </cell>
          <cell r="F912">
            <v>0</v>
          </cell>
          <cell r="G912">
            <v>0</v>
          </cell>
        </row>
        <row r="913">
          <cell r="A913" t="str">
            <v>105-20-010</v>
          </cell>
          <cell r="B913">
            <v>60</v>
          </cell>
          <cell r="C913" t="str">
            <v>NSSF</v>
          </cell>
          <cell r="D913">
            <v>2400</v>
          </cell>
          <cell r="E913">
            <v>1000</v>
          </cell>
          <cell r="F913">
            <v>2000</v>
          </cell>
          <cell r="G913">
            <v>1.2</v>
          </cell>
        </row>
        <row r="914">
          <cell r="A914" t="str">
            <v>105-20-020</v>
          </cell>
          <cell r="B914">
            <v>60</v>
          </cell>
          <cell r="C914" t="str">
            <v>NHIF</v>
          </cell>
          <cell r="D914">
            <v>2880</v>
          </cell>
          <cell r="E914">
            <v>2000</v>
          </cell>
          <cell r="F914">
            <v>3200</v>
          </cell>
          <cell r="G914">
            <v>0.9</v>
          </cell>
        </row>
        <row r="915">
          <cell r="A915" t="str">
            <v>105-30-010</v>
          </cell>
          <cell r="B915">
            <v>60</v>
          </cell>
          <cell r="C915" t="str">
            <v xml:space="preserve">PENSION </v>
          </cell>
          <cell r="D915">
            <v>39984</v>
          </cell>
          <cell r="E915">
            <v>21000</v>
          </cell>
          <cell r="F915">
            <v>37660</v>
          </cell>
          <cell r="G915">
            <v>1.0617100371747215</v>
          </cell>
        </row>
        <row r="916">
          <cell r="A916" t="str">
            <v>105-30-020</v>
          </cell>
          <cell r="B916">
            <v>60</v>
          </cell>
          <cell r="C916" t="str">
            <v>LAST EXPENSE</v>
          </cell>
          <cell r="D916">
            <v>1500</v>
          </cell>
          <cell r="E916">
            <v>1000</v>
          </cell>
          <cell r="F916">
            <v>1714.2857142857142</v>
          </cell>
          <cell r="G916">
            <v>0.875</v>
          </cell>
        </row>
        <row r="917">
          <cell r="A917" t="str">
            <v>105-30-030</v>
          </cell>
          <cell r="B917">
            <v>60</v>
          </cell>
          <cell r="C917" t="str">
            <v>GROUP LIFE ASSURANCE</v>
          </cell>
          <cell r="D917">
            <v>3820.19</v>
          </cell>
          <cell r="E917">
            <v>3000</v>
          </cell>
          <cell r="F917">
            <v>5142.8571428571431</v>
          </cell>
          <cell r="G917">
            <v>0.74281472222222233</v>
          </cell>
        </row>
        <row r="918">
          <cell r="A918" t="str">
            <v>105-30-040</v>
          </cell>
          <cell r="B918">
            <v>60</v>
          </cell>
          <cell r="C918" t="str">
            <v>STAFF MEDICAL</v>
          </cell>
          <cell r="D918">
            <v>0</v>
          </cell>
          <cell r="E918">
            <v>0</v>
          </cell>
          <cell r="F918">
            <v>0</v>
          </cell>
          <cell r="G918">
            <v>0</v>
          </cell>
        </row>
        <row r="919">
          <cell r="A919" t="str">
            <v>105-30-050</v>
          </cell>
          <cell r="B919">
            <v>60</v>
          </cell>
          <cell r="C919" t="str">
            <v>CASH IN LIEU OF LEAVE</v>
          </cell>
          <cell r="D919">
            <v>7996.8</v>
          </cell>
          <cell r="E919">
            <v>11000</v>
          </cell>
          <cell r="F919">
            <v>18857.142857142855</v>
          </cell>
          <cell r="G919">
            <v>0.42407272727272738</v>
          </cell>
        </row>
        <row r="920">
          <cell r="A920" t="str">
            <v>105-30-060</v>
          </cell>
          <cell r="B920">
            <v>60</v>
          </cell>
          <cell r="C920" t="str">
            <v>GRATUITY</v>
          </cell>
          <cell r="E920">
            <v>0</v>
          </cell>
          <cell r="F920">
            <v>0</v>
          </cell>
          <cell r="G920">
            <v>0</v>
          </cell>
        </row>
        <row r="921">
          <cell r="A921" t="str">
            <v>105-30-070</v>
          </cell>
          <cell r="B921">
            <v>60</v>
          </cell>
          <cell r="C921" t="str">
            <v>LONG SERVICE AWARDS</v>
          </cell>
          <cell r="D921">
            <v>0</v>
          </cell>
          <cell r="E921">
            <v>0</v>
          </cell>
          <cell r="F921">
            <v>0</v>
          </cell>
          <cell r="G921">
            <v>0</v>
          </cell>
        </row>
        <row r="922">
          <cell r="A922" t="str">
            <v>105-30-080</v>
          </cell>
          <cell r="B922">
            <v>60</v>
          </cell>
          <cell r="C922" t="str">
            <v>STAFF RECRUITMENT &amp; REMOVALS</v>
          </cell>
          <cell r="D922">
            <v>0</v>
          </cell>
          <cell r="E922">
            <v>0</v>
          </cell>
          <cell r="F922">
            <v>0</v>
          </cell>
          <cell r="G922">
            <v>0</v>
          </cell>
        </row>
        <row r="923">
          <cell r="A923" t="str">
            <v>115-10-010</v>
          </cell>
          <cell r="B923">
            <v>60</v>
          </cell>
          <cell r="D923">
            <v>0</v>
          </cell>
          <cell r="E923">
            <v>0</v>
          </cell>
          <cell r="F923">
            <v>0</v>
          </cell>
          <cell r="G923">
            <v>0</v>
          </cell>
        </row>
        <row r="924">
          <cell r="A924" t="str">
            <v>115-10-010</v>
          </cell>
          <cell r="B924">
            <v>60</v>
          </cell>
          <cell r="D924">
            <v>0</v>
          </cell>
          <cell r="F924">
            <v>0</v>
          </cell>
          <cell r="G924">
            <v>0</v>
          </cell>
        </row>
        <row r="925">
          <cell r="A925" t="str">
            <v>115-10-020</v>
          </cell>
          <cell r="B925">
            <v>60</v>
          </cell>
          <cell r="D925">
            <v>0</v>
          </cell>
          <cell r="E925">
            <v>0</v>
          </cell>
          <cell r="F925">
            <v>0</v>
          </cell>
          <cell r="G925">
            <v>0</v>
          </cell>
        </row>
        <row r="926">
          <cell r="A926" t="str">
            <v>115-10-020</v>
          </cell>
          <cell r="B926">
            <v>60</v>
          </cell>
          <cell r="D926">
            <v>0</v>
          </cell>
          <cell r="G926">
            <v>0</v>
          </cell>
        </row>
        <row r="927">
          <cell r="A927" t="str">
            <v>115-10-030</v>
          </cell>
          <cell r="B927">
            <v>60</v>
          </cell>
          <cell r="D927">
            <v>0</v>
          </cell>
          <cell r="E927">
            <v>0</v>
          </cell>
          <cell r="F927">
            <v>0</v>
          </cell>
          <cell r="G927">
            <v>0</v>
          </cell>
        </row>
        <row r="928">
          <cell r="A928" t="str">
            <v>115-10-030</v>
          </cell>
          <cell r="B928">
            <v>60</v>
          </cell>
          <cell r="D928">
            <v>0</v>
          </cell>
          <cell r="F928">
            <v>0</v>
          </cell>
          <cell r="G928">
            <v>0</v>
          </cell>
        </row>
        <row r="929">
          <cell r="A929" t="str">
            <v>115-10-040</v>
          </cell>
          <cell r="B929">
            <v>60</v>
          </cell>
          <cell r="D929">
            <v>708288</v>
          </cell>
          <cell r="E929">
            <v>286000</v>
          </cell>
          <cell r="F929">
            <v>490285.71428571426</v>
          </cell>
          <cell r="G929">
            <v>1.4446433566433567</v>
          </cell>
          <cell r="H929" t="str">
            <v xml:space="preserve">Two new setelite offices are planned for in Kericho </v>
          </cell>
        </row>
        <row r="930">
          <cell r="A930" t="str">
            <v>115-10-040</v>
          </cell>
          <cell r="B930">
            <v>60</v>
          </cell>
          <cell r="D930">
            <v>0</v>
          </cell>
          <cell r="F930">
            <v>0</v>
          </cell>
          <cell r="G930">
            <v>0</v>
          </cell>
        </row>
        <row r="931">
          <cell r="A931" t="str">
            <v>115-10-050</v>
          </cell>
          <cell r="B931">
            <v>60</v>
          </cell>
          <cell r="C931" t="str">
            <v>OFFICE CATERING &amp; STAFF WELFARE</v>
          </cell>
          <cell r="D931">
            <v>94500</v>
          </cell>
          <cell r="E931">
            <v>79500</v>
          </cell>
          <cell r="F931">
            <v>136285.71428571429</v>
          </cell>
          <cell r="G931">
            <v>0.69339622641509435</v>
          </cell>
          <cell r="H931" t="str">
            <v>Increased staff in the two new setelite offices</v>
          </cell>
        </row>
        <row r="932">
          <cell r="A932" t="str">
            <v>115-10-051</v>
          </cell>
          <cell r="B932">
            <v>60</v>
          </cell>
          <cell r="C932" t="str">
            <v>OFFICE CLEANING</v>
          </cell>
          <cell r="D932">
            <v>36000</v>
          </cell>
          <cell r="E932">
            <v>36000</v>
          </cell>
          <cell r="F932">
            <v>36000</v>
          </cell>
          <cell r="G932">
            <v>1</v>
          </cell>
        </row>
        <row r="933">
          <cell r="A933" t="str">
            <v>115-10-060</v>
          </cell>
          <cell r="B933">
            <v>60</v>
          </cell>
          <cell r="C933" t="str">
            <v>OFFICE WATER</v>
          </cell>
          <cell r="D933">
            <v>0</v>
          </cell>
          <cell r="E933">
            <v>0</v>
          </cell>
          <cell r="F933">
            <v>0</v>
          </cell>
          <cell r="G933">
            <v>0</v>
          </cell>
        </row>
        <row r="934">
          <cell r="A934" t="str">
            <v>115-10-070</v>
          </cell>
          <cell r="B934">
            <v>60</v>
          </cell>
          <cell r="C934" t="str">
            <v>OFFICE ELECTRICITY</v>
          </cell>
          <cell r="D934">
            <v>0</v>
          </cell>
          <cell r="E934">
            <v>7000</v>
          </cell>
          <cell r="F934">
            <v>12000</v>
          </cell>
          <cell r="G934">
            <v>0</v>
          </cell>
          <cell r="H934" t="str">
            <v>Increased staff in the two new setelite offices</v>
          </cell>
        </row>
        <row r="935">
          <cell r="A935" t="str">
            <v>115-10-080</v>
          </cell>
          <cell r="B935">
            <v>60</v>
          </cell>
          <cell r="C935" t="str">
            <v>OFFICE SECURITY</v>
          </cell>
          <cell r="D935">
            <v>0</v>
          </cell>
          <cell r="E935">
            <v>0</v>
          </cell>
          <cell r="F935">
            <v>0</v>
          </cell>
          <cell r="G935">
            <v>0</v>
          </cell>
        </row>
        <row r="936">
          <cell r="A936" t="str">
            <v>125-10-010</v>
          </cell>
          <cell r="B936">
            <v>60</v>
          </cell>
          <cell r="C936" t="str">
            <v>BANK CHARGES</v>
          </cell>
          <cell r="D936">
            <v>18000</v>
          </cell>
          <cell r="E936">
            <v>12000</v>
          </cell>
          <cell r="F936">
            <v>12000</v>
          </cell>
          <cell r="G936">
            <v>1.5</v>
          </cell>
        </row>
        <row r="937">
          <cell r="A937" t="str">
            <v>125-10-020</v>
          </cell>
          <cell r="B937">
            <v>60</v>
          </cell>
          <cell r="C937" t="str">
            <v>BANK OVERDRART CHARGES</v>
          </cell>
          <cell r="E937">
            <v>0</v>
          </cell>
          <cell r="F937">
            <v>0</v>
          </cell>
          <cell r="G937">
            <v>0</v>
          </cell>
        </row>
        <row r="938">
          <cell r="A938" t="str">
            <v>135-60-030</v>
          </cell>
          <cell r="B938">
            <v>60</v>
          </cell>
          <cell r="C938" t="str">
            <v>SALES PROMOTIONS &amp; COMPETITION</v>
          </cell>
          <cell r="D938">
            <v>0</v>
          </cell>
          <cell r="E938">
            <v>0</v>
          </cell>
          <cell r="F938">
            <v>0</v>
          </cell>
          <cell r="G938">
            <v>0</v>
          </cell>
        </row>
        <row r="939">
          <cell r="A939" t="str">
            <v>135-70-010</v>
          </cell>
          <cell r="B939">
            <v>60</v>
          </cell>
          <cell r="C939" t="str">
            <v>AGENCY PENSION</v>
          </cell>
          <cell r="D939">
            <v>0</v>
          </cell>
          <cell r="E939">
            <v>0</v>
          </cell>
          <cell r="F939">
            <v>0</v>
          </cell>
          <cell r="G939">
            <v>0</v>
          </cell>
        </row>
        <row r="940">
          <cell r="A940" t="str">
            <v>135-70-020</v>
          </cell>
          <cell r="B940">
            <v>60</v>
          </cell>
          <cell r="C940" t="str">
            <v>AGENCY GLA</v>
          </cell>
          <cell r="D940">
            <v>0</v>
          </cell>
          <cell r="E940">
            <v>0</v>
          </cell>
          <cell r="F940">
            <v>0</v>
          </cell>
          <cell r="G940">
            <v>0</v>
          </cell>
        </row>
        <row r="941">
          <cell r="A941" t="str">
            <v>135-70-030</v>
          </cell>
          <cell r="B941">
            <v>60</v>
          </cell>
          <cell r="C941" t="str">
            <v>AGENCY MEDICAL</v>
          </cell>
          <cell r="D941">
            <v>0</v>
          </cell>
          <cell r="E941">
            <v>0</v>
          </cell>
          <cell r="F941">
            <v>0</v>
          </cell>
          <cell r="G941">
            <v>0</v>
          </cell>
        </row>
        <row r="942">
          <cell r="A942" t="str">
            <v>135-70-040</v>
          </cell>
          <cell r="B942">
            <v>60</v>
          </cell>
          <cell r="C942" t="str">
            <v>AGENCY LAST EXPENSE</v>
          </cell>
          <cell r="D942">
            <v>0</v>
          </cell>
          <cell r="E942">
            <v>0</v>
          </cell>
          <cell r="F942">
            <v>0</v>
          </cell>
          <cell r="G942">
            <v>0</v>
          </cell>
        </row>
        <row r="943">
          <cell r="A943" t="str">
            <v>145-10-030</v>
          </cell>
          <cell r="B943">
            <v>60</v>
          </cell>
          <cell r="C943" t="str">
            <v>Audit fee -individual life</v>
          </cell>
          <cell r="D943">
            <v>0</v>
          </cell>
          <cell r="E943">
            <v>0</v>
          </cell>
          <cell r="F943">
            <v>0</v>
          </cell>
          <cell r="G943">
            <v>0</v>
          </cell>
        </row>
        <row r="944">
          <cell r="A944" t="str">
            <v>145-10-031</v>
          </cell>
          <cell r="B944">
            <v>60</v>
          </cell>
          <cell r="C944" t="str">
            <v>Tax filing returns</v>
          </cell>
          <cell r="D944">
            <v>0</v>
          </cell>
          <cell r="E944">
            <v>0</v>
          </cell>
          <cell r="F944">
            <v>0</v>
          </cell>
          <cell r="G944">
            <v>0</v>
          </cell>
        </row>
        <row r="945">
          <cell r="A945" t="str">
            <v>145-10-060</v>
          </cell>
          <cell r="B945">
            <v>60</v>
          </cell>
          <cell r="C945" t="str">
            <v>Intra company charges- individual life</v>
          </cell>
          <cell r="G945">
            <v>0</v>
          </cell>
        </row>
        <row r="946">
          <cell r="A946" t="str">
            <v>145-10-060</v>
          </cell>
          <cell r="B946">
            <v>60</v>
          </cell>
          <cell r="E946">
            <v>0</v>
          </cell>
          <cell r="G946">
            <v>0</v>
          </cell>
        </row>
        <row r="947">
          <cell r="A947" t="str">
            <v>145-10-080</v>
          </cell>
          <cell r="B947">
            <v>60</v>
          </cell>
          <cell r="C947" t="str">
            <v>40% Excutive recharge</v>
          </cell>
          <cell r="F947">
            <v>0</v>
          </cell>
          <cell r="G947">
            <v>0</v>
          </cell>
        </row>
        <row r="948">
          <cell r="A948" t="str">
            <v>145-10-080</v>
          </cell>
          <cell r="B948">
            <v>60</v>
          </cell>
          <cell r="C948" t="str">
            <v xml:space="preserve">Recharges: 10% recharge to Corporate </v>
          </cell>
          <cell r="E948">
            <v>0</v>
          </cell>
          <cell r="G948">
            <v>0</v>
          </cell>
        </row>
        <row r="949">
          <cell r="A949" t="str">
            <v>145-10-100</v>
          </cell>
          <cell r="B949">
            <v>60</v>
          </cell>
          <cell r="E949">
            <v>0</v>
          </cell>
          <cell r="G949">
            <v>0</v>
          </cell>
        </row>
        <row r="950">
          <cell r="A950" t="str">
            <v>155-10-007</v>
          </cell>
          <cell r="B950">
            <v>60</v>
          </cell>
          <cell r="C950" t="str">
            <v>NEWSPAPERS &amp; JOURNALS</v>
          </cell>
          <cell r="D950">
            <v>10560</v>
          </cell>
          <cell r="E950">
            <v>4000</v>
          </cell>
          <cell r="F950">
            <v>6857.1428571428569</v>
          </cell>
          <cell r="G950">
            <v>1.54</v>
          </cell>
          <cell r="H950" t="str">
            <v>one more newspaper and magazine budgeted for.</v>
          </cell>
        </row>
        <row r="951">
          <cell r="A951" t="str">
            <v>155-10-008</v>
          </cell>
          <cell r="B951">
            <v>60</v>
          </cell>
          <cell r="C951" t="str">
            <v>ENTERTAINMENT &amp; DONATIONS</v>
          </cell>
          <cell r="D951">
            <v>12000</v>
          </cell>
          <cell r="E951">
            <v>13000</v>
          </cell>
          <cell r="F951">
            <v>22285.714285714286</v>
          </cell>
          <cell r="G951">
            <v>0.53846153846153844</v>
          </cell>
          <cell r="H951" t="str">
            <v>Due to paypoint visits whih was not done for 2004.</v>
          </cell>
        </row>
        <row r="952">
          <cell r="A952" t="str">
            <v>155-10-009</v>
          </cell>
          <cell r="B952">
            <v>60</v>
          </cell>
          <cell r="C952" t="str">
            <v>COURIER &amp; FREIGHT CHARGES</v>
          </cell>
          <cell r="D952">
            <v>36000</v>
          </cell>
          <cell r="E952">
            <v>42000</v>
          </cell>
          <cell r="F952">
            <v>72000</v>
          </cell>
          <cell r="G952">
            <v>0.5</v>
          </cell>
        </row>
        <row r="953">
          <cell r="A953" t="str">
            <v>155-10-010</v>
          </cell>
          <cell r="B953">
            <v>60</v>
          </cell>
          <cell r="C953" t="str">
            <v>ADVERTISING &amp; PUBLICITY</v>
          </cell>
          <cell r="D953">
            <v>0</v>
          </cell>
          <cell r="E953">
            <v>0</v>
          </cell>
          <cell r="F953">
            <v>0</v>
          </cell>
          <cell r="G953">
            <v>0</v>
          </cell>
        </row>
        <row r="954">
          <cell r="A954" t="str">
            <v>155-10-012</v>
          </cell>
          <cell r="B954">
            <v>60</v>
          </cell>
          <cell r="C954" t="str">
            <v>TRADE LICENCES</v>
          </cell>
          <cell r="D954">
            <v>50000</v>
          </cell>
          <cell r="E954">
            <v>29166.666666666668</v>
          </cell>
          <cell r="F954">
            <v>50000</v>
          </cell>
          <cell r="G954">
            <v>1</v>
          </cell>
        </row>
        <row r="955">
          <cell r="A955" t="str">
            <v>155-10-013</v>
          </cell>
          <cell r="B955">
            <v>60</v>
          </cell>
          <cell r="C955" t="str">
            <v>INSURANCES</v>
          </cell>
          <cell r="D955">
            <v>0</v>
          </cell>
          <cell r="E955">
            <v>0</v>
          </cell>
          <cell r="F955">
            <v>0</v>
          </cell>
          <cell r="G955">
            <v>0</v>
          </cell>
        </row>
        <row r="956">
          <cell r="A956" t="str">
            <v>155-10-014</v>
          </cell>
          <cell r="B956">
            <v>60</v>
          </cell>
          <cell r="C956" t="str">
            <v>PHOTOCOPY</v>
          </cell>
          <cell r="D956">
            <v>0</v>
          </cell>
          <cell r="E956">
            <v>0</v>
          </cell>
          <cell r="F956">
            <v>0</v>
          </cell>
          <cell r="G956">
            <v>0</v>
          </cell>
        </row>
        <row r="957">
          <cell r="A957" t="str">
            <v>155-10-015</v>
          </cell>
          <cell r="B957">
            <v>60</v>
          </cell>
          <cell r="C957" t="str">
            <v>COMPUTER MAINTAINANCE</v>
          </cell>
          <cell r="D957">
            <v>12500</v>
          </cell>
          <cell r="E957">
            <v>0</v>
          </cell>
          <cell r="F957">
            <v>0</v>
          </cell>
          <cell r="G957">
            <v>0</v>
          </cell>
        </row>
        <row r="958">
          <cell r="A958" t="str">
            <v>155-10-016</v>
          </cell>
          <cell r="B958">
            <v>60</v>
          </cell>
          <cell r="C958" t="str">
            <v>EQUIPMENT&amp; FURNITURE REPAIRS &amp; MAINTENANCE</v>
          </cell>
          <cell r="D958">
            <v>18600</v>
          </cell>
          <cell r="E958">
            <v>12500</v>
          </cell>
          <cell r="F958">
            <v>21428.571428571428</v>
          </cell>
          <cell r="G958">
            <v>0.86799999999999999</v>
          </cell>
          <cell r="H958" t="str">
            <v>There was underbudgeting in 2004.</v>
          </cell>
        </row>
        <row r="959">
          <cell r="A959" t="str">
            <v>155-10-017</v>
          </cell>
          <cell r="B959">
            <v>60</v>
          </cell>
          <cell r="C959" t="str">
            <v>SEMINARS &amp; SHORT TERM COURSES</v>
          </cell>
          <cell r="D959">
            <v>15000</v>
          </cell>
          <cell r="E959">
            <v>6000</v>
          </cell>
          <cell r="F959">
            <v>10285.714285714286</v>
          </cell>
          <cell r="G959">
            <v>1.4583333333333333</v>
          </cell>
          <cell r="H959" t="str">
            <v>Budgeting for agents which was not done for 2004</v>
          </cell>
        </row>
        <row r="960">
          <cell r="A960" t="str">
            <v>155-10-022</v>
          </cell>
          <cell r="B960">
            <v>60</v>
          </cell>
          <cell r="C960" t="str">
            <v>PRINTING &amp; STATIONERY</v>
          </cell>
          <cell r="D960">
            <v>176763.5</v>
          </cell>
          <cell r="E960">
            <v>49000</v>
          </cell>
          <cell r="F960">
            <v>84000</v>
          </cell>
          <cell r="G960">
            <v>2.1043273809523808</v>
          </cell>
        </row>
        <row r="961">
          <cell r="A961" t="str">
            <v>155-10-025</v>
          </cell>
          <cell r="B961">
            <v>60</v>
          </cell>
          <cell r="C961" t="str">
            <v>STRATEGIC PLANNING</v>
          </cell>
          <cell r="D961">
            <v>0</v>
          </cell>
          <cell r="E961">
            <v>0</v>
          </cell>
          <cell r="F961">
            <v>0</v>
          </cell>
          <cell r="G961">
            <v>0</v>
          </cell>
        </row>
        <row r="962">
          <cell r="A962" t="str">
            <v>155-10-027</v>
          </cell>
          <cell r="B962">
            <v>60</v>
          </cell>
          <cell r="C962" t="str">
            <v>PROFESSIONAL SUBSCRIPTIONS</v>
          </cell>
          <cell r="D962">
            <v>0</v>
          </cell>
          <cell r="E962">
            <v>0</v>
          </cell>
          <cell r="F962">
            <v>0</v>
          </cell>
          <cell r="G962">
            <v>0</v>
          </cell>
        </row>
        <row r="963">
          <cell r="A963" t="str">
            <v>155-10-028</v>
          </cell>
          <cell r="B963">
            <v>60</v>
          </cell>
          <cell r="C963" t="str">
            <v xml:space="preserve"> SUBSCRIPTIONS -COMPANY MEMBERSHIP</v>
          </cell>
          <cell r="D963">
            <v>0</v>
          </cell>
          <cell r="E963">
            <v>0</v>
          </cell>
          <cell r="F963">
            <v>0</v>
          </cell>
          <cell r="G963">
            <v>0</v>
          </cell>
        </row>
        <row r="964">
          <cell r="A964" t="str">
            <v>155-10-030</v>
          </cell>
          <cell r="B964">
            <v>60</v>
          </cell>
          <cell r="C964" t="str">
            <v>TRAVELLING &amp; ACCOMMODATION</v>
          </cell>
          <cell r="D964">
            <v>35710</v>
          </cell>
          <cell r="E964">
            <v>20000</v>
          </cell>
          <cell r="F964">
            <v>34285.71428571429</v>
          </cell>
          <cell r="G964">
            <v>1.0415416666666666</v>
          </cell>
        </row>
        <row r="965">
          <cell r="A965" t="str">
            <v>155-10-032</v>
          </cell>
          <cell r="B965">
            <v>60</v>
          </cell>
          <cell r="C965" t="str">
            <v xml:space="preserve">MOTOR CAR EXPENSES </v>
          </cell>
          <cell r="D965">
            <v>0</v>
          </cell>
          <cell r="E965">
            <v>0</v>
          </cell>
          <cell r="F965">
            <v>0</v>
          </cell>
          <cell r="G965">
            <v>0</v>
          </cell>
        </row>
        <row r="966">
          <cell r="A966" t="str">
            <v>155-10-040</v>
          </cell>
          <cell r="B966">
            <v>60</v>
          </cell>
          <cell r="C966" t="str">
            <v>POSTAGE</v>
          </cell>
          <cell r="D966">
            <v>14875</v>
          </cell>
          <cell r="E966">
            <v>7000</v>
          </cell>
          <cell r="F966">
            <v>12000</v>
          </cell>
          <cell r="G966">
            <v>1.2395833333333333</v>
          </cell>
          <cell r="H966" t="str">
            <v>Postage form setelite offices.</v>
          </cell>
        </row>
        <row r="967">
          <cell r="A967" t="str">
            <v>155-10-041</v>
          </cell>
          <cell r="B967">
            <v>60</v>
          </cell>
          <cell r="C967" t="str">
            <v>TELEPHONE &amp; FAX</v>
          </cell>
          <cell r="D967">
            <v>108000</v>
          </cell>
          <cell r="E967">
            <v>106000</v>
          </cell>
          <cell r="F967">
            <v>181714.28571428571</v>
          </cell>
          <cell r="G967">
            <v>0.59433962264150941</v>
          </cell>
        </row>
        <row r="968">
          <cell r="A968" t="str">
            <v>155-10-044</v>
          </cell>
          <cell r="B968">
            <v>60</v>
          </cell>
          <cell r="C968" t="str">
            <v>PROFFESSIONAL TRAINING</v>
          </cell>
          <cell r="D968">
            <v>42500</v>
          </cell>
          <cell r="E968">
            <v>36166.666666666672</v>
          </cell>
          <cell r="F968">
            <v>62000</v>
          </cell>
          <cell r="G968">
            <v>0.68548387096774188</v>
          </cell>
        </row>
        <row r="969">
          <cell r="A969" t="str">
            <v>155-10-046</v>
          </cell>
          <cell r="B969">
            <v>60</v>
          </cell>
          <cell r="C969" t="str">
            <v xml:space="preserve">SUBSCRIPTION- STAFF CLUB MEMBERSHIP </v>
          </cell>
          <cell r="D969">
            <v>10000</v>
          </cell>
          <cell r="E969">
            <v>32000</v>
          </cell>
          <cell r="F969">
            <v>54857.142857142855</v>
          </cell>
          <cell r="G969">
            <v>0.18229166666666669</v>
          </cell>
        </row>
        <row r="970">
          <cell r="A970" t="str">
            <v>155-10-054</v>
          </cell>
          <cell r="B970">
            <v>60</v>
          </cell>
          <cell r="C970" t="str">
            <v>LEASED LINES-INTERNET SERVICES</v>
          </cell>
          <cell r="D970">
            <v>0</v>
          </cell>
          <cell r="E970">
            <v>0</v>
          </cell>
          <cell r="F970">
            <v>0</v>
          </cell>
          <cell r="G970">
            <v>0</v>
          </cell>
        </row>
        <row r="971">
          <cell r="A971" t="str">
            <v>155-10-057</v>
          </cell>
          <cell r="B971">
            <v>60</v>
          </cell>
          <cell r="C971" t="str">
            <v>SOFTWARE LICENCES</v>
          </cell>
          <cell r="D971">
            <v>0</v>
          </cell>
          <cell r="E971">
            <v>0</v>
          </cell>
          <cell r="F971">
            <v>0</v>
          </cell>
          <cell r="G971">
            <v>0</v>
          </cell>
        </row>
        <row r="972">
          <cell r="A972" t="str">
            <v>155-10-059</v>
          </cell>
          <cell r="B972">
            <v>60</v>
          </cell>
          <cell r="E972">
            <v>0</v>
          </cell>
          <cell r="G972">
            <v>0</v>
          </cell>
        </row>
        <row r="973">
          <cell r="A973" t="str">
            <v>155-10-060</v>
          </cell>
          <cell r="B973">
            <v>60</v>
          </cell>
          <cell r="E973">
            <v>0</v>
          </cell>
          <cell r="G973">
            <v>0</v>
          </cell>
        </row>
        <row r="974">
          <cell r="A974" t="str">
            <v>155-10-062</v>
          </cell>
          <cell r="B974">
            <v>60</v>
          </cell>
          <cell r="C974" t="str">
            <v>EDUCATION EXPENSES</v>
          </cell>
          <cell r="D974">
            <v>0</v>
          </cell>
          <cell r="E974">
            <v>0</v>
          </cell>
          <cell r="F974">
            <v>0</v>
          </cell>
          <cell r="G974">
            <v>0</v>
          </cell>
        </row>
        <row r="975">
          <cell r="A975" t="str">
            <v>160-10-010</v>
          </cell>
          <cell r="B975">
            <v>60</v>
          </cell>
          <cell r="E975">
            <v>0</v>
          </cell>
          <cell r="G975">
            <v>0</v>
          </cell>
        </row>
        <row r="976">
          <cell r="A976" t="str">
            <v>105-10-010</v>
          </cell>
          <cell r="B976">
            <v>70</v>
          </cell>
          <cell r="C976" t="str">
            <v>BASIC SALARY</v>
          </cell>
          <cell r="D976">
            <v>466959.96</v>
          </cell>
          <cell r="E976">
            <v>238000</v>
          </cell>
          <cell r="F976">
            <v>408000</v>
          </cell>
          <cell r="G976">
            <v>1.144509705882353</v>
          </cell>
        </row>
        <row r="977">
          <cell r="A977" t="str">
            <v>105-10-012</v>
          </cell>
          <cell r="B977">
            <v>70</v>
          </cell>
          <cell r="C977" t="str">
            <v>PROVISION FOR MORT. RATE ADJUSTMENTS</v>
          </cell>
          <cell r="D977">
            <v>0</v>
          </cell>
          <cell r="E977">
            <v>0</v>
          </cell>
          <cell r="F977">
            <v>0</v>
          </cell>
          <cell r="G977">
            <v>0</v>
          </cell>
        </row>
        <row r="978">
          <cell r="A978" t="str">
            <v>105-10-020</v>
          </cell>
          <cell r="B978">
            <v>70</v>
          </cell>
          <cell r="C978" t="str">
            <v>HOUSE ALLOWANCE</v>
          </cell>
          <cell r="D978">
            <v>62400</v>
          </cell>
          <cell r="E978">
            <v>36000</v>
          </cell>
          <cell r="F978">
            <v>62000</v>
          </cell>
          <cell r="G978">
            <v>1.0064516129032257</v>
          </cell>
        </row>
        <row r="979">
          <cell r="A979" t="str">
            <v>105-10-030</v>
          </cell>
          <cell r="B979">
            <v>70</v>
          </cell>
          <cell r="C979" t="str">
            <v>TELEPHONE ALLOWANCE</v>
          </cell>
          <cell r="D979">
            <v>0</v>
          </cell>
          <cell r="E979">
            <v>0</v>
          </cell>
          <cell r="F979">
            <v>0</v>
          </cell>
          <cell r="G979">
            <v>0</v>
          </cell>
        </row>
        <row r="980">
          <cell r="A980" t="str">
            <v>105-10-040</v>
          </cell>
          <cell r="B980">
            <v>70</v>
          </cell>
          <cell r="C980" t="str">
            <v>SECURITY ALLOWANCE</v>
          </cell>
          <cell r="D980">
            <v>0</v>
          </cell>
          <cell r="E980">
            <v>0</v>
          </cell>
          <cell r="F980">
            <v>0</v>
          </cell>
          <cell r="G980">
            <v>0</v>
          </cell>
        </row>
        <row r="981">
          <cell r="A981" t="str">
            <v>105-10-050</v>
          </cell>
          <cell r="B981">
            <v>70</v>
          </cell>
          <cell r="C981" t="str">
            <v>EDUCATION ALLOWANCE</v>
          </cell>
          <cell r="D981">
            <v>0</v>
          </cell>
          <cell r="E981">
            <v>0</v>
          </cell>
          <cell r="F981">
            <v>0</v>
          </cell>
          <cell r="G981">
            <v>0</v>
          </cell>
        </row>
        <row r="982">
          <cell r="A982" t="str">
            <v>105-10-060</v>
          </cell>
          <cell r="B982">
            <v>70</v>
          </cell>
          <cell r="C982" t="str">
            <v>TRAVEL ALLOWANCE</v>
          </cell>
          <cell r="D982">
            <v>0</v>
          </cell>
          <cell r="E982">
            <v>0</v>
          </cell>
          <cell r="F982">
            <v>0</v>
          </cell>
          <cell r="G982">
            <v>0</v>
          </cell>
        </row>
        <row r="983">
          <cell r="A983" t="str">
            <v>105-20-010</v>
          </cell>
          <cell r="B983">
            <v>70</v>
          </cell>
          <cell r="C983" t="str">
            <v>NSSF</v>
          </cell>
          <cell r="D983">
            <v>2400</v>
          </cell>
          <cell r="E983">
            <v>1000</v>
          </cell>
          <cell r="F983">
            <v>2000</v>
          </cell>
          <cell r="G983">
            <v>1.2</v>
          </cell>
          <cell r="H983" t="str">
            <v>SALARY REVIEW FOR SALES SUPPORT STAFF</v>
          </cell>
        </row>
        <row r="984">
          <cell r="A984" t="str">
            <v>105-20-020</v>
          </cell>
          <cell r="B984">
            <v>70</v>
          </cell>
          <cell r="C984" t="str">
            <v>NHIF</v>
          </cell>
          <cell r="D984">
            <v>2880</v>
          </cell>
          <cell r="E984">
            <v>2000</v>
          </cell>
          <cell r="F984">
            <v>3200</v>
          </cell>
          <cell r="G984">
            <v>0.9</v>
          </cell>
        </row>
        <row r="985">
          <cell r="A985" t="str">
            <v>105-30-010</v>
          </cell>
          <cell r="B985">
            <v>70</v>
          </cell>
          <cell r="C985" t="str">
            <v xml:space="preserve">PENSION </v>
          </cell>
          <cell r="D985">
            <v>57120</v>
          </cell>
          <cell r="E985">
            <v>30000</v>
          </cell>
          <cell r="F985">
            <v>53800</v>
          </cell>
          <cell r="G985">
            <v>1.0617100371747212</v>
          </cell>
        </row>
        <row r="986">
          <cell r="A986" t="str">
            <v>105-30-020</v>
          </cell>
          <cell r="B986">
            <v>70</v>
          </cell>
          <cell r="C986" t="str">
            <v>LAST EXPENSE</v>
          </cell>
          <cell r="D986">
            <v>1500</v>
          </cell>
          <cell r="E986">
            <v>1500</v>
          </cell>
          <cell r="F986">
            <v>1500</v>
          </cell>
          <cell r="G986">
            <v>1</v>
          </cell>
        </row>
        <row r="987">
          <cell r="A987" t="str">
            <v>105-30-030</v>
          </cell>
          <cell r="B987">
            <v>70</v>
          </cell>
          <cell r="C987" t="str">
            <v>GROUP LIFE ASSURANCE</v>
          </cell>
          <cell r="D987">
            <v>8682.9599999999991</v>
          </cell>
          <cell r="E987">
            <v>8000</v>
          </cell>
          <cell r="F987">
            <v>13714.285714285714</v>
          </cell>
          <cell r="G987">
            <v>0.63313249999999999</v>
          </cell>
        </row>
        <row r="988">
          <cell r="A988" t="str">
            <v>105-30-040</v>
          </cell>
          <cell r="B988">
            <v>70</v>
          </cell>
          <cell r="C988" t="str">
            <v>STAFF MEDICAL</v>
          </cell>
          <cell r="D988">
            <v>0</v>
          </cell>
          <cell r="E988">
            <v>0</v>
          </cell>
          <cell r="F988">
            <v>0</v>
          </cell>
          <cell r="G988">
            <v>0</v>
          </cell>
        </row>
        <row r="989">
          <cell r="A989" t="str">
            <v>105-30-050</v>
          </cell>
          <cell r="B989">
            <v>70</v>
          </cell>
          <cell r="C989" t="str">
            <v>CASH IN LIEU OF LEAVE</v>
          </cell>
          <cell r="D989">
            <v>11424</v>
          </cell>
          <cell r="E989">
            <v>12000</v>
          </cell>
          <cell r="F989">
            <v>20571.428571428572</v>
          </cell>
          <cell r="G989">
            <v>0.55533333333333335</v>
          </cell>
        </row>
        <row r="990">
          <cell r="A990" t="str">
            <v>105-30-060</v>
          </cell>
          <cell r="B990">
            <v>70</v>
          </cell>
          <cell r="C990" t="str">
            <v>GRATUITY</v>
          </cell>
          <cell r="E990">
            <v>0</v>
          </cell>
          <cell r="F990">
            <v>0</v>
          </cell>
          <cell r="G990">
            <v>0</v>
          </cell>
        </row>
        <row r="991">
          <cell r="A991" t="str">
            <v>105-30-070</v>
          </cell>
          <cell r="B991">
            <v>70</v>
          </cell>
          <cell r="C991" t="str">
            <v>LONG SERVICE AWARDS</v>
          </cell>
          <cell r="D991">
            <v>0</v>
          </cell>
          <cell r="E991">
            <v>0</v>
          </cell>
          <cell r="F991">
            <v>0</v>
          </cell>
          <cell r="G991">
            <v>0</v>
          </cell>
        </row>
        <row r="992">
          <cell r="A992" t="str">
            <v>105-30-080</v>
          </cell>
          <cell r="B992">
            <v>70</v>
          </cell>
          <cell r="C992" t="str">
            <v>STAFF RECRUITMENT &amp; REMOVALS</v>
          </cell>
          <cell r="D992">
            <v>0</v>
          </cell>
          <cell r="E992">
            <v>0</v>
          </cell>
          <cell r="F992">
            <v>0</v>
          </cell>
          <cell r="G992">
            <v>0</v>
          </cell>
        </row>
        <row r="993">
          <cell r="A993" t="str">
            <v>115-10-010</v>
          </cell>
          <cell r="B993">
            <v>70</v>
          </cell>
          <cell r="D993">
            <v>0</v>
          </cell>
          <cell r="E993">
            <v>0</v>
          </cell>
          <cell r="F993">
            <v>0</v>
          </cell>
          <cell r="G993">
            <v>0</v>
          </cell>
        </row>
        <row r="994">
          <cell r="A994" t="str">
            <v>115-10-010</v>
          </cell>
          <cell r="B994">
            <v>70</v>
          </cell>
          <cell r="D994">
            <v>0</v>
          </cell>
          <cell r="F994">
            <v>0</v>
          </cell>
          <cell r="G994">
            <v>0</v>
          </cell>
        </row>
        <row r="995">
          <cell r="A995" t="str">
            <v>115-10-020</v>
          </cell>
          <cell r="B995">
            <v>70</v>
          </cell>
          <cell r="D995">
            <v>0</v>
          </cell>
          <cell r="E995">
            <v>0</v>
          </cell>
          <cell r="F995">
            <v>0</v>
          </cell>
          <cell r="G995">
            <v>0</v>
          </cell>
        </row>
        <row r="996">
          <cell r="A996" t="str">
            <v>115-10-020</v>
          </cell>
          <cell r="B996">
            <v>70</v>
          </cell>
          <cell r="D996">
            <v>0</v>
          </cell>
          <cell r="G996">
            <v>0</v>
          </cell>
        </row>
        <row r="997">
          <cell r="A997" t="str">
            <v>115-10-030</v>
          </cell>
          <cell r="B997">
            <v>70</v>
          </cell>
          <cell r="D997">
            <v>0</v>
          </cell>
          <cell r="E997">
            <v>0</v>
          </cell>
          <cell r="F997">
            <v>0</v>
          </cell>
          <cell r="G997">
            <v>0</v>
          </cell>
        </row>
        <row r="998">
          <cell r="A998" t="str">
            <v>115-10-030</v>
          </cell>
          <cell r="B998">
            <v>70</v>
          </cell>
          <cell r="D998">
            <v>0</v>
          </cell>
          <cell r="F998">
            <v>0</v>
          </cell>
          <cell r="G998">
            <v>0</v>
          </cell>
        </row>
        <row r="999">
          <cell r="A999" t="str">
            <v>115-10-040</v>
          </cell>
          <cell r="B999">
            <v>70</v>
          </cell>
          <cell r="D999">
            <v>509496</v>
          </cell>
          <cell r="E999">
            <v>279000</v>
          </cell>
          <cell r="F999">
            <v>478285.71428571426</v>
          </cell>
          <cell r="G999">
            <v>1.0652544802867383</v>
          </cell>
          <cell r="H999" t="str">
            <v>RENT FOR BUNGOMA OFFICE INCLUDED</v>
          </cell>
        </row>
        <row r="1000">
          <cell r="A1000" t="str">
            <v>115-10-040</v>
          </cell>
          <cell r="B1000">
            <v>70</v>
          </cell>
          <cell r="D1000">
            <v>0</v>
          </cell>
          <cell r="F1000">
            <v>0</v>
          </cell>
          <cell r="G1000">
            <v>0</v>
          </cell>
        </row>
        <row r="1001">
          <cell r="A1001" t="str">
            <v>115-10-050</v>
          </cell>
          <cell r="B1001">
            <v>70</v>
          </cell>
          <cell r="C1001" t="str">
            <v>OFFICE CATERING &amp; STAFF WELFARE</v>
          </cell>
          <cell r="D1001">
            <v>110950</v>
          </cell>
          <cell r="E1001">
            <v>79500</v>
          </cell>
          <cell r="F1001">
            <v>136285.71428571429</v>
          </cell>
          <cell r="G1001">
            <v>0.81409853249475883</v>
          </cell>
          <cell r="H1001" t="str">
            <v>This includes bungome budget</v>
          </cell>
        </row>
        <row r="1002">
          <cell r="A1002" t="str">
            <v>115-10-051</v>
          </cell>
          <cell r="B1002">
            <v>70</v>
          </cell>
          <cell r="C1002" t="str">
            <v>OFFICE CLEANING</v>
          </cell>
          <cell r="D1002">
            <v>66000</v>
          </cell>
          <cell r="E1002">
            <v>0</v>
          </cell>
          <cell r="F1002">
            <v>0</v>
          </cell>
          <cell r="G1002">
            <v>0</v>
          </cell>
        </row>
        <row r="1003">
          <cell r="A1003" t="str">
            <v>115-10-060</v>
          </cell>
          <cell r="B1003">
            <v>70</v>
          </cell>
          <cell r="C1003" t="str">
            <v>OFFICE WATER</v>
          </cell>
          <cell r="D1003">
            <v>0</v>
          </cell>
          <cell r="E1003">
            <v>0</v>
          </cell>
          <cell r="F1003">
            <v>0</v>
          </cell>
          <cell r="G1003">
            <v>0</v>
          </cell>
        </row>
        <row r="1004">
          <cell r="A1004" t="str">
            <v>115-10-070</v>
          </cell>
          <cell r="B1004">
            <v>70</v>
          </cell>
          <cell r="C1004" t="str">
            <v>OFFICE ELECTRICITY</v>
          </cell>
          <cell r="D1004">
            <v>0</v>
          </cell>
          <cell r="E1004">
            <v>0</v>
          </cell>
          <cell r="F1004">
            <v>0</v>
          </cell>
          <cell r="G1004">
            <v>0</v>
          </cell>
        </row>
        <row r="1005">
          <cell r="A1005" t="str">
            <v>115-10-080</v>
          </cell>
          <cell r="B1005">
            <v>70</v>
          </cell>
          <cell r="C1005" t="str">
            <v>OFFICE SECURITY</v>
          </cell>
          <cell r="D1005">
            <v>0</v>
          </cell>
          <cell r="E1005">
            <v>0</v>
          </cell>
          <cell r="F1005">
            <v>0</v>
          </cell>
          <cell r="G1005">
            <v>0</v>
          </cell>
        </row>
        <row r="1006">
          <cell r="A1006" t="str">
            <v>125-10-010</v>
          </cell>
          <cell r="B1006">
            <v>70</v>
          </cell>
          <cell r="C1006" t="str">
            <v>BANK CHARGES</v>
          </cell>
          <cell r="D1006">
            <v>30000</v>
          </cell>
          <cell r="E1006">
            <v>15000</v>
          </cell>
          <cell r="F1006">
            <v>22500</v>
          </cell>
          <cell r="G1006">
            <v>1.3333333333333333</v>
          </cell>
        </row>
        <row r="1007">
          <cell r="A1007" t="str">
            <v>125-10-020</v>
          </cell>
          <cell r="B1007">
            <v>70</v>
          </cell>
          <cell r="C1007" t="str">
            <v>BANK OVERDRART CHARGES</v>
          </cell>
          <cell r="E1007">
            <v>0</v>
          </cell>
          <cell r="F1007">
            <v>0</v>
          </cell>
          <cell r="G1007">
            <v>0</v>
          </cell>
        </row>
        <row r="1008">
          <cell r="A1008" t="str">
            <v>135-60-030</v>
          </cell>
          <cell r="B1008">
            <v>70</v>
          </cell>
          <cell r="C1008" t="str">
            <v>SALES PROMOTIONS &amp; COMPETITION</v>
          </cell>
          <cell r="D1008">
            <v>0</v>
          </cell>
          <cell r="E1008">
            <v>0</v>
          </cell>
          <cell r="F1008">
            <v>0</v>
          </cell>
          <cell r="G1008">
            <v>0</v>
          </cell>
        </row>
        <row r="1009">
          <cell r="A1009" t="str">
            <v>135-70-010</v>
          </cell>
          <cell r="B1009">
            <v>70</v>
          </cell>
          <cell r="C1009" t="str">
            <v>AGENCY PENSION</v>
          </cell>
          <cell r="D1009">
            <v>0</v>
          </cell>
          <cell r="E1009">
            <v>0</v>
          </cell>
          <cell r="F1009">
            <v>0</v>
          </cell>
          <cell r="G1009">
            <v>0</v>
          </cell>
        </row>
        <row r="1010">
          <cell r="A1010" t="str">
            <v>135-70-020</v>
          </cell>
          <cell r="B1010">
            <v>70</v>
          </cell>
          <cell r="C1010" t="str">
            <v>AGENCY GLA</v>
          </cell>
          <cell r="D1010">
            <v>0</v>
          </cell>
          <cell r="E1010">
            <v>0</v>
          </cell>
          <cell r="F1010">
            <v>0</v>
          </cell>
          <cell r="G1010">
            <v>0</v>
          </cell>
        </row>
        <row r="1011">
          <cell r="A1011" t="str">
            <v>135-70-030</v>
          </cell>
          <cell r="B1011">
            <v>70</v>
          </cell>
          <cell r="C1011" t="str">
            <v>AGENCY MEDICAL</v>
          </cell>
          <cell r="D1011">
            <v>0</v>
          </cell>
          <cell r="E1011">
            <v>0</v>
          </cell>
          <cell r="F1011">
            <v>0</v>
          </cell>
          <cell r="G1011">
            <v>0</v>
          </cell>
        </row>
        <row r="1012">
          <cell r="A1012" t="str">
            <v>135-70-040</v>
          </cell>
          <cell r="B1012">
            <v>70</v>
          </cell>
          <cell r="C1012" t="str">
            <v>AGENCY LAST EXPENSE</v>
          </cell>
          <cell r="D1012">
            <v>0</v>
          </cell>
          <cell r="E1012">
            <v>0</v>
          </cell>
          <cell r="F1012">
            <v>0</v>
          </cell>
          <cell r="G1012">
            <v>0</v>
          </cell>
        </row>
        <row r="1013">
          <cell r="A1013" t="str">
            <v>145-10-030</v>
          </cell>
          <cell r="B1013">
            <v>70</v>
          </cell>
          <cell r="C1013" t="str">
            <v>Audit fee -individual life</v>
          </cell>
          <cell r="D1013">
            <v>0</v>
          </cell>
          <cell r="E1013">
            <v>0</v>
          </cell>
          <cell r="F1013">
            <v>0</v>
          </cell>
          <cell r="G1013">
            <v>0</v>
          </cell>
        </row>
        <row r="1014">
          <cell r="A1014" t="str">
            <v>145-10-031</v>
          </cell>
          <cell r="B1014">
            <v>70</v>
          </cell>
          <cell r="C1014" t="str">
            <v>Tax filing returns</v>
          </cell>
          <cell r="D1014">
            <v>0</v>
          </cell>
          <cell r="E1014">
            <v>0</v>
          </cell>
          <cell r="F1014">
            <v>0</v>
          </cell>
          <cell r="G1014">
            <v>0</v>
          </cell>
        </row>
        <row r="1015">
          <cell r="A1015" t="str">
            <v>145-10-060</v>
          </cell>
          <cell r="B1015">
            <v>70</v>
          </cell>
          <cell r="C1015" t="str">
            <v>Intra company charges- individual life</v>
          </cell>
          <cell r="G1015">
            <v>0</v>
          </cell>
        </row>
        <row r="1016">
          <cell r="A1016" t="str">
            <v>145-10-060</v>
          </cell>
          <cell r="B1016">
            <v>70</v>
          </cell>
          <cell r="E1016">
            <v>0</v>
          </cell>
          <cell r="G1016">
            <v>0</v>
          </cell>
        </row>
        <row r="1017">
          <cell r="A1017" t="str">
            <v>145-10-080</v>
          </cell>
          <cell r="B1017">
            <v>70</v>
          </cell>
          <cell r="C1017" t="str">
            <v>40% Excutive recharge</v>
          </cell>
          <cell r="F1017">
            <v>0</v>
          </cell>
          <cell r="G1017">
            <v>0</v>
          </cell>
        </row>
        <row r="1018">
          <cell r="A1018" t="str">
            <v>145-10-080</v>
          </cell>
          <cell r="B1018">
            <v>70</v>
          </cell>
          <cell r="C1018" t="str">
            <v xml:space="preserve">Recharges: 10% recharge to Corporate </v>
          </cell>
          <cell r="E1018">
            <v>0</v>
          </cell>
          <cell r="G1018">
            <v>0</v>
          </cell>
        </row>
        <row r="1019">
          <cell r="A1019" t="str">
            <v>145-10-100</v>
          </cell>
          <cell r="B1019">
            <v>70</v>
          </cell>
          <cell r="E1019">
            <v>0</v>
          </cell>
          <cell r="G1019">
            <v>0</v>
          </cell>
        </row>
        <row r="1020">
          <cell r="A1020" t="str">
            <v>155-10-007</v>
          </cell>
          <cell r="B1020">
            <v>70</v>
          </cell>
          <cell r="C1020" t="str">
            <v>NEWSPAPERS &amp; JOURNALS</v>
          </cell>
          <cell r="D1020">
            <v>10560</v>
          </cell>
          <cell r="E1020">
            <v>6000</v>
          </cell>
          <cell r="F1020">
            <v>10285.714285714286</v>
          </cell>
          <cell r="G1020">
            <v>1.0266666666666666</v>
          </cell>
          <cell r="H1020" t="str">
            <v>MARKET INTELLIGENCE MAGAZINE,ONCE IN A MONTH</v>
          </cell>
        </row>
        <row r="1021">
          <cell r="A1021" t="str">
            <v>155-10-008</v>
          </cell>
          <cell r="B1021">
            <v>70</v>
          </cell>
          <cell r="C1021" t="str">
            <v>ENTERTAINMENT &amp; DONATIONS</v>
          </cell>
          <cell r="D1021">
            <v>37000</v>
          </cell>
          <cell r="E1021">
            <v>14000</v>
          </cell>
          <cell r="F1021">
            <v>24000</v>
          </cell>
          <cell r="G1021">
            <v>1.5416666666666667</v>
          </cell>
          <cell r="H1021" t="str">
            <v>OPENING PAYPOINTS,ENTERTAINMENT,LAUNCHING &amp; CHEQUE COLLECTIONS</v>
          </cell>
        </row>
        <row r="1022">
          <cell r="A1022" t="str">
            <v>155-10-009</v>
          </cell>
          <cell r="B1022">
            <v>70</v>
          </cell>
          <cell r="C1022" t="str">
            <v>COURIER &amp; FREIGHT CHARGES</v>
          </cell>
          <cell r="D1022">
            <v>42400</v>
          </cell>
          <cell r="E1022">
            <v>62000</v>
          </cell>
          <cell r="F1022">
            <v>106285.71428571429</v>
          </cell>
          <cell r="G1022">
            <v>0.3989247311827957</v>
          </cell>
        </row>
        <row r="1023">
          <cell r="A1023" t="str">
            <v>155-10-010</v>
          </cell>
          <cell r="B1023">
            <v>70</v>
          </cell>
          <cell r="C1023" t="str">
            <v>ADVERTISING &amp; PUBLICITY</v>
          </cell>
          <cell r="D1023">
            <v>20000</v>
          </cell>
          <cell r="E1023">
            <v>0</v>
          </cell>
          <cell r="F1023">
            <v>0</v>
          </cell>
          <cell r="G1023">
            <v>0</v>
          </cell>
        </row>
        <row r="1024">
          <cell r="A1024" t="str">
            <v>155-10-012</v>
          </cell>
          <cell r="B1024">
            <v>70</v>
          </cell>
          <cell r="C1024" t="str">
            <v>TRADE LICENCES</v>
          </cell>
          <cell r="D1024">
            <v>52800</v>
          </cell>
          <cell r="E1024">
            <v>33000</v>
          </cell>
          <cell r="F1024">
            <v>56571.42857142858</v>
          </cell>
          <cell r="G1024">
            <v>0.93333333333333324</v>
          </cell>
        </row>
        <row r="1025">
          <cell r="A1025" t="str">
            <v>155-10-013</v>
          </cell>
          <cell r="B1025">
            <v>70</v>
          </cell>
          <cell r="C1025" t="str">
            <v>INSURANCES</v>
          </cell>
          <cell r="D1025">
            <v>0</v>
          </cell>
          <cell r="E1025">
            <v>0</v>
          </cell>
          <cell r="F1025">
            <v>0</v>
          </cell>
          <cell r="G1025">
            <v>0</v>
          </cell>
        </row>
        <row r="1026">
          <cell r="A1026" t="str">
            <v>155-10-014</v>
          </cell>
          <cell r="B1026">
            <v>70</v>
          </cell>
          <cell r="C1026" t="str">
            <v>PHOTOCOPY</v>
          </cell>
          <cell r="D1026">
            <v>0</v>
          </cell>
          <cell r="E1026">
            <v>0</v>
          </cell>
          <cell r="F1026">
            <v>0</v>
          </cell>
          <cell r="G1026">
            <v>0</v>
          </cell>
        </row>
        <row r="1027">
          <cell r="A1027" t="str">
            <v>155-10-015</v>
          </cell>
          <cell r="B1027">
            <v>70</v>
          </cell>
          <cell r="C1027" t="str">
            <v>COMPUTER MAINTAINANCE</v>
          </cell>
          <cell r="D1027">
            <v>10000</v>
          </cell>
          <cell r="E1027">
            <v>2000</v>
          </cell>
          <cell r="F1027">
            <v>3428.5714285714284</v>
          </cell>
          <cell r="G1027">
            <v>2.916666666666667</v>
          </cell>
        </row>
        <row r="1028">
          <cell r="A1028" t="str">
            <v>155-10-016</v>
          </cell>
          <cell r="B1028">
            <v>70</v>
          </cell>
          <cell r="C1028" t="str">
            <v>EQUIPMENT&amp; FURNITURE REPAIRS &amp; MAINTENANCE</v>
          </cell>
          <cell r="D1028">
            <v>10000</v>
          </cell>
          <cell r="E1028">
            <v>4000</v>
          </cell>
          <cell r="F1028">
            <v>6857.1428571428569</v>
          </cell>
          <cell r="G1028">
            <v>1.4583333333333335</v>
          </cell>
        </row>
        <row r="1029">
          <cell r="A1029" t="str">
            <v>155-10-017</v>
          </cell>
          <cell r="B1029">
            <v>70</v>
          </cell>
          <cell r="C1029" t="str">
            <v>SEMINARS &amp; SHORT TERM COURSES</v>
          </cell>
          <cell r="D1029">
            <v>16000</v>
          </cell>
          <cell r="E1029">
            <v>0</v>
          </cell>
          <cell r="F1029">
            <v>0</v>
          </cell>
          <cell r="G1029">
            <v>0</v>
          </cell>
        </row>
        <row r="1030">
          <cell r="A1030" t="str">
            <v>155-10-022</v>
          </cell>
          <cell r="B1030">
            <v>70</v>
          </cell>
          <cell r="C1030" t="str">
            <v>PRINTING &amp; STATIONERY</v>
          </cell>
          <cell r="D1030">
            <v>142412.5</v>
          </cell>
          <cell r="E1030">
            <v>53000</v>
          </cell>
          <cell r="F1030">
            <v>90857.142857142855</v>
          </cell>
          <cell r="G1030">
            <v>1.567433176100629</v>
          </cell>
          <cell r="H1030" t="str">
            <v>PROPOSALS ,Revenue Stamps,Payment Instructions.Usage of stationery in BGMA</v>
          </cell>
        </row>
        <row r="1031">
          <cell r="A1031" t="str">
            <v>155-10-025</v>
          </cell>
          <cell r="B1031">
            <v>70</v>
          </cell>
          <cell r="C1031" t="str">
            <v>STRATEGIC PLANNING</v>
          </cell>
          <cell r="D1031">
            <v>0</v>
          </cell>
          <cell r="E1031">
            <v>0</v>
          </cell>
          <cell r="F1031">
            <v>0</v>
          </cell>
          <cell r="G1031">
            <v>0</v>
          </cell>
        </row>
        <row r="1032">
          <cell r="A1032" t="str">
            <v>155-10-027</v>
          </cell>
          <cell r="B1032">
            <v>70</v>
          </cell>
          <cell r="C1032" t="str">
            <v>PROFESSIONAL SUBSCRIPTIONS</v>
          </cell>
          <cell r="D1032">
            <v>0</v>
          </cell>
          <cell r="E1032">
            <v>0</v>
          </cell>
          <cell r="F1032">
            <v>0</v>
          </cell>
          <cell r="G1032">
            <v>0</v>
          </cell>
        </row>
        <row r="1033">
          <cell r="A1033" t="str">
            <v>155-10-028</v>
          </cell>
          <cell r="B1033">
            <v>70</v>
          </cell>
          <cell r="C1033" t="str">
            <v xml:space="preserve"> SUBSCRIPTIONS -COMPANY MEMBERSHIP</v>
          </cell>
          <cell r="D1033">
            <v>0</v>
          </cell>
          <cell r="E1033">
            <v>0</v>
          </cell>
          <cell r="F1033">
            <v>0</v>
          </cell>
          <cell r="G1033">
            <v>0</v>
          </cell>
        </row>
        <row r="1034">
          <cell r="A1034" t="str">
            <v>155-10-030</v>
          </cell>
          <cell r="B1034">
            <v>70</v>
          </cell>
          <cell r="C1034" t="str">
            <v>TRAVELLING &amp; ACCOMMODATION</v>
          </cell>
          <cell r="D1034">
            <v>70000</v>
          </cell>
          <cell r="E1034">
            <v>49000</v>
          </cell>
          <cell r="F1034">
            <v>84000</v>
          </cell>
          <cell r="G1034">
            <v>0.83333333333333337</v>
          </cell>
          <cell r="H1034" t="str">
            <v xml:space="preserve"> COURSES FOR MANAGERS,SSS,FOR 2 DAYS EACH IN THE YEAR.</v>
          </cell>
        </row>
        <row r="1035">
          <cell r="A1035" t="str">
            <v>155-10-032</v>
          </cell>
          <cell r="B1035">
            <v>70</v>
          </cell>
          <cell r="C1035" t="str">
            <v xml:space="preserve">MOTOR CAR EXPENSES </v>
          </cell>
          <cell r="D1035">
            <v>0</v>
          </cell>
          <cell r="E1035">
            <v>0</v>
          </cell>
          <cell r="F1035">
            <v>0</v>
          </cell>
          <cell r="G1035">
            <v>0</v>
          </cell>
        </row>
        <row r="1036">
          <cell r="A1036" t="str">
            <v>155-10-040</v>
          </cell>
          <cell r="B1036">
            <v>70</v>
          </cell>
          <cell r="C1036" t="str">
            <v>POSTAGE</v>
          </cell>
          <cell r="D1036">
            <v>7086</v>
          </cell>
          <cell r="E1036">
            <v>4000</v>
          </cell>
          <cell r="F1036">
            <v>6857.1428571428569</v>
          </cell>
          <cell r="G1036">
            <v>1.0333749999999999</v>
          </cell>
          <cell r="H1036" t="str">
            <v>Policy documents for Terminated Agents,Cost of stamps could go up.</v>
          </cell>
        </row>
        <row r="1037">
          <cell r="A1037" t="str">
            <v>155-10-041</v>
          </cell>
          <cell r="B1037">
            <v>70</v>
          </cell>
          <cell r="C1037" t="str">
            <v>TELEPHONE &amp; FAX</v>
          </cell>
          <cell r="D1037">
            <v>108000</v>
          </cell>
          <cell r="E1037">
            <v>64000</v>
          </cell>
          <cell r="F1037">
            <v>109714.28571428571</v>
          </cell>
          <cell r="G1037">
            <v>0.984375</v>
          </cell>
          <cell r="H1037" t="str">
            <v>PURCHASE OF FAX MODEM,E-MAIL INSTALLATION-BUNGOMA OFFICE</v>
          </cell>
        </row>
        <row r="1038">
          <cell r="A1038" t="str">
            <v>155-10-044</v>
          </cell>
          <cell r="B1038">
            <v>70</v>
          </cell>
          <cell r="C1038" t="str">
            <v>PROFFESSIONAL TRAINING</v>
          </cell>
          <cell r="D1038">
            <v>10625</v>
          </cell>
          <cell r="E1038">
            <v>0</v>
          </cell>
          <cell r="F1038">
            <v>0</v>
          </cell>
          <cell r="G1038">
            <v>0</v>
          </cell>
        </row>
        <row r="1039">
          <cell r="A1039" t="str">
            <v>155-10-046</v>
          </cell>
          <cell r="B1039">
            <v>70</v>
          </cell>
          <cell r="C1039" t="str">
            <v xml:space="preserve">SUBSCRIPTION- STAFF CLUB MEMBERSHIP </v>
          </cell>
          <cell r="D1039">
            <v>15000</v>
          </cell>
          <cell r="E1039">
            <v>0</v>
          </cell>
          <cell r="F1039">
            <v>0</v>
          </cell>
          <cell r="G1039">
            <v>0</v>
          </cell>
        </row>
        <row r="1040">
          <cell r="A1040" t="str">
            <v>155-10-054</v>
          </cell>
          <cell r="B1040">
            <v>70</v>
          </cell>
          <cell r="C1040" t="str">
            <v>LEASED LINES-INTERNET SERVICES</v>
          </cell>
          <cell r="D1040">
            <v>0</v>
          </cell>
          <cell r="E1040">
            <v>0</v>
          </cell>
          <cell r="F1040">
            <v>0</v>
          </cell>
          <cell r="G1040">
            <v>0</v>
          </cell>
        </row>
        <row r="1041">
          <cell r="A1041" t="str">
            <v>155-10-057</v>
          </cell>
          <cell r="B1041">
            <v>70</v>
          </cell>
          <cell r="C1041" t="str">
            <v>SOFTWARE LICENCES</v>
          </cell>
          <cell r="D1041">
            <v>0</v>
          </cell>
          <cell r="E1041">
            <v>0</v>
          </cell>
          <cell r="F1041">
            <v>0</v>
          </cell>
          <cell r="G1041">
            <v>0</v>
          </cell>
        </row>
        <row r="1042">
          <cell r="A1042" t="str">
            <v>155-10-059</v>
          </cell>
          <cell r="B1042">
            <v>70</v>
          </cell>
          <cell r="E1042">
            <v>0</v>
          </cell>
          <cell r="G1042">
            <v>0</v>
          </cell>
        </row>
        <row r="1043">
          <cell r="A1043" t="str">
            <v>155-10-060</v>
          </cell>
          <cell r="B1043">
            <v>70</v>
          </cell>
          <cell r="E1043">
            <v>0</v>
          </cell>
          <cell r="G1043">
            <v>0</v>
          </cell>
        </row>
        <row r="1044">
          <cell r="A1044" t="str">
            <v>155-10-062</v>
          </cell>
          <cell r="B1044">
            <v>70</v>
          </cell>
          <cell r="C1044" t="str">
            <v>EDUCATION EXPENSES</v>
          </cell>
          <cell r="D1044">
            <v>0</v>
          </cell>
          <cell r="E1044">
            <v>0</v>
          </cell>
          <cell r="F1044">
            <v>0</v>
          </cell>
          <cell r="G1044">
            <v>0</v>
          </cell>
        </row>
        <row r="1045">
          <cell r="A1045" t="str">
            <v>160-10-010</v>
          </cell>
          <cell r="B1045">
            <v>70</v>
          </cell>
          <cell r="E1045">
            <v>0</v>
          </cell>
          <cell r="G1045">
            <v>0</v>
          </cell>
        </row>
        <row r="1046">
          <cell r="A1046" t="str">
            <v>105-10-010</v>
          </cell>
          <cell r="B1046">
            <v>80</v>
          </cell>
          <cell r="C1046" t="str">
            <v>BASIC SALARY</v>
          </cell>
          <cell r="D1046">
            <v>391695.96</v>
          </cell>
          <cell r="E1046">
            <v>211000</v>
          </cell>
          <cell r="F1046">
            <v>353000</v>
          </cell>
          <cell r="G1046">
            <v>1.1096202832861193</v>
          </cell>
        </row>
        <row r="1047">
          <cell r="A1047" t="str">
            <v>105-10-012</v>
          </cell>
          <cell r="B1047">
            <v>80</v>
          </cell>
          <cell r="C1047" t="str">
            <v>PROVISION FOR MORT. RATE ADJUSTMENTS</v>
          </cell>
          <cell r="D1047">
            <v>0</v>
          </cell>
          <cell r="E1047">
            <v>0</v>
          </cell>
          <cell r="F1047">
            <v>0</v>
          </cell>
          <cell r="G1047">
            <v>0</v>
          </cell>
        </row>
        <row r="1048">
          <cell r="A1048" t="str">
            <v>105-10-020</v>
          </cell>
          <cell r="B1048">
            <v>80</v>
          </cell>
          <cell r="C1048" t="str">
            <v>HOUSE ALLOWANCE</v>
          </cell>
          <cell r="D1048">
            <v>46800</v>
          </cell>
          <cell r="E1048">
            <v>27000</v>
          </cell>
          <cell r="F1048">
            <v>46500</v>
          </cell>
          <cell r="G1048">
            <v>1.0064516129032257</v>
          </cell>
        </row>
        <row r="1049">
          <cell r="A1049" t="str">
            <v>105-10-030</v>
          </cell>
          <cell r="B1049">
            <v>80</v>
          </cell>
          <cell r="C1049" t="str">
            <v>TELEPHONE ALLOWANCE</v>
          </cell>
          <cell r="D1049">
            <v>0</v>
          </cell>
          <cell r="E1049">
            <v>0</v>
          </cell>
          <cell r="F1049">
            <v>0</v>
          </cell>
          <cell r="G1049">
            <v>0</v>
          </cell>
        </row>
        <row r="1050">
          <cell r="A1050" t="str">
            <v>105-10-040</v>
          </cell>
          <cell r="B1050">
            <v>80</v>
          </cell>
          <cell r="C1050" t="str">
            <v>SECURITY ALLOWANCE</v>
          </cell>
          <cell r="D1050">
            <v>0</v>
          </cell>
          <cell r="E1050">
            <v>0</v>
          </cell>
          <cell r="F1050">
            <v>0</v>
          </cell>
          <cell r="G1050">
            <v>0</v>
          </cell>
        </row>
        <row r="1051">
          <cell r="A1051" t="str">
            <v>105-10-050</v>
          </cell>
          <cell r="B1051">
            <v>80</v>
          </cell>
          <cell r="C1051" t="str">
            <v>EDUCATION ALLOWANCE</v>
          </cell>
          <cell r="D1051">
            <v>0</v>
          </cell>
          <cell r="E1051">
            <v>0</v>
          </cell>
          <cell r="F1051">
            <v>0</v>
          </cell>
          <cell r="G1051">
            <v>0</v>
          </cell>
        </row>
        <row r="1052">
          <cell r="A1052" t="str">
            <v>105-10-060</v>
          </cell>
          <cell r="B1052">
            <v>80</v>
          </cell>
          <cell r="C1052" t="str">
            <v>TRAVEL ALLOWANCE</v>
          </cell>
          <cell r="D1052">
            <v>0</v>
          </cell>
          <cell r="E1052">
            <v>0</v>
          </cell>
          <cell r="F1052">
            <v>0</v>
          </cell>
          <cell r="G1052">
            <v>0</v>
          </cell>
        </row>
        <row r="1053">
          <cell r="A1053" t="str">
            <v>105-20-010</v>
          </cell>
          <cell r="B1053">
            <v>80</v>
          </cell>
          <cell r="C1053" t="str">
            <v>NSSF</v>
          </cell>
          <cell r="D1053">
            <v>2400</v>
          </cell>
          <cell r="E1053">
            <v>1000</v>
          </cell>
          <cell r="F1053">
            <v>2000</v>
          </cell>
          <cell r="G1053">
            <v>1.2</v>
          </cell>
        </row>
        <row r="1054">
          <cell r="A1054" t="str">
            <v>105-20-020</v>
          </cell>
          <cell r="B1054">
            <v>80</v>
          </cell>
          <cell r="C1054" t="str">
            <v>NHIF</v>
          </cell>
          <cell r="D1054">
            <v>2880</v>
          </cell>
          <cell r="E1054">
            <v>2000</v>
          </cell>
          <cell r="F1054">
            <v>3200</v>
          </cell>
          <cell r="G1054">
            <v>0.9</v>
          </cell>
        </row>
        <row r="1055">
          <cell r="A1055" t="str">
            <v>105-30-010</v>
          </cell>
          <cell r="B1055">
            <v>80</v>
          </cell>
          <cell r="C1055" t="str">
            <v xml:space="preserve">PENSION </v>
          </cell>
          <cell r="D1055">
            <v>47712</v>
          </cell>
          <cell r="E1055">
            <v>25000</v>
          </cell>
          <cell r="F1055">
            <v>44880</v>
          </cell>
          <cell r="G1055">
            <v>1.063101604278075</v>
          </cell>
        </row>
        <row r="1056">
          <cell r="A1056" t="str">
            <v>105-30-020</v>
          </cell>
          <cell r="B1056">
            <v>80</v>
          </cell>
          <cell r="C1056" t="str">
            <v>LAST EXPENSE</v>
          </cell>
          <cell r="D1056">
            <v>1250</v>
          </cell>
          <cell r="E1056">
            <v>0</v>
          </cell>
          <cell r="F1056">
            <v>0</v>
          </cell>
          <cell r="G1056">
            <v>0</v>
          </cell>
        </row>
        <row r="1057">
          <cell r="A1057" t="str">
            <v>105-30-030</v>
          </cell>
          <cell r="B1057">
            <v>80</v>
          </cell>
          <cell r="C1057" t="str">
            <v>GROUP LIFE ASSURANCE</v>
          </cell>
          <cell r="D1057">
            <v>10121.76</v>
          </cell>
          <cell r="E1057">
            <v>8000</v>
          </cell>
          <cell r="F1057">
            <v>13714.285714285714</v>
          </cell>
          <cell r="G1057">
            <v>0.73804500000000006</v>
          </cell>
        </row>
        <row r="1058">
          <cell r="A1058" t="str">
            <v>105-30-040</v>
          </cell>
          <cell r="B1058">
            <v>80</v>
          </cell>
          <cell r="C1058" t="str">
            <v>STAFF MEDICAL</v>
          </cell>
          <cell r="D1058">
            <v>0</v>
          </cell>
          <cell r="E1058">
            <v>0</v>
          </cell>
          <cell r="F1058">
            <v>0</v>
          </cell>
          <cell r="G1058">
            <v>0</v>
          </cell>
        </row>
        <row r="1059">
          <cell r="A1059" t="str">
            <v>105-30-050</v>
          </cell>
          <cell r="B1059">
            <v>80</v>
          </cell>
          <cell r="C1059" t="str">
            <v>CASH IN LIEU OF LEAVE</v>
          </cell>
          <cell r="D1059">
            <v>9542.4</v>
          </cell>
          <cell r="E1059">
            <v>2000</v>
          </cell>
          <cell r="F1059">
            <v>3428.5714285714284</v>
          </cell>
          <cell r="G1059">
            <v>2.7832000000000003</v>
          </cell>
        </row>
        <row r="1060">
          <cell r="A1060" t="str">
            <v>105-30-060</v>
          </cell>
          <cell r="B1060">
            <v>80</v>
          </cell>
          <cell r="C1060" t="str">
            <v>GRATUITY</v>
          </cell>
          <cell r="E1060">
            <v>0</v>
          </cell>
          <cell r="F1060">
            <v>0</v>
          </cell>
          <cell r="G1060">
            <v>0</v>
          </cell>
        </row>
        <row r="1061">
          <cell r="A1061" t="str">
            <v>105-30-070</v>
          </cell>
          <cell r="B1061">
            <v>80</v>
          </cell>
          <cell r="C1061" t="str">
            <v>LONG SERVICE AWARDS</v>
          </cell>
          <cell r="D1061">
            <v>0</v>
          </cell>
          <cell r="E1061">
            <v>0</v>
          </cell>
          <cell r="F1061">
            <v>0</v>
          </cell>
          <cell r="G1061">
            <v>0</v>
          </cell>
        </row>
        <row r="1062">
          <cell r="A1062" t="str">
            <v>105-30-080</v>
          </cell>
          <cell r="B1062">
            <v>80</v>
          </cell>
          <cell r="C1062" t="str">
            <v>STAFF RECRUITMENT &amp; REMOVALS</v>
          </cell>
          <cell r="D1062">
            <v>0</v>
          </cell>
          <cell r="E1062">
            <v>0</v>
          </cell>
          <cell r="F1062">
            <v>0</v>
          </cell>
          <cell r="G1062">
            <v>0</v>
          </cell>
        </row>
        <row r="1063">
          <cell r="A1063" t="str">
            <v>115-10-010</v>
          </cell>
          <cell r="B1063">
            <v>80</v>
          </cell>
          <cell r="D1063">
            <v>0</v>
          </cell>
          <cell r="E1063">
            <v>0</v>
          </cell>
          <cell r="F1063">
            <v>0</v>
          </cell>
          <cell r="G1063">
            <v>0</v>
          </cell>
        </row>
        <row r="1064">
          <cell r="A1064" t="str">
            <v>115-10-010</v>
          </cell>
          <cell r="B1064">
            <v>80</v>
          </cell>
          <cell r="D1064">
            <v>0</v>
          </cell>
          <cell r="F1064">
            <v>0</v>
          </cell>
          <cell r="G1064">
            <v>0</v>
          </cell>
        </row>
        <row r="1065">
          <cell r="A1065" t="str">
            <v>115-10-020</v>
          </cell>
          <cell r="B1065">
            <v>80</v>
          </cell>
          <cell r="D1065">
            <v>0</v>
          </cell>
          <cell r="E1065">
            <v>0</v>
          </cell>
          <cell r="F1065">
            <v>0</v>
          </cell>
          <cell r="G1065">
            <v>0</v>
          </cell>
        </row>
        <row r="1066">
          <cell r="A1066" t="str">
            <v>115-10-020</v>
          </cell>
          <cell r="B1066">
            <v>80</v>
          </cell>
          <cell r="D1066">
            <v>0</v>
          </cell>
          <cell r="G1066">
            <v>0</v>
          </cell>
        </row>
        <row r="1067">
          <cell r="A1067" t="str">
            <v>115-10-030</v>
          </cell>
          <cell r="B1067">
            <v>80</v>
          </cell>
          <cell r="D1067">
            <v>0</v>
          </cell>
          <cell r="E1067">
            <v>0</v>
          </cell>
          <cell r="F1067">
            <v>0</v>
          </cell>
          <cell r="G1067">
            <v>0</v>
          </cell>
        </row>
        <row r="1068">
          <cell r="A1068" t="str">
            <v>115-10-030</v>
          </cell>
          <cell r="B1068">
            <v>80</v>
          </cell>
          <cell r="D1068">
            <v>0</v>
          </cell>
          <cell r="F1068">
            <v>0</v>
          </cell>
          <cell r="G1068">
            <v>0</v>
          </cell>
        </row>
        <row r="1069">
          <cell r="A1069" t="str">
            <v>115-10-040</v>
          </cell>
          <cell r="B1069">
            <v>80</v>
          </cell>
          <cell r="D1069">
            <v>405600</v>
          </cell>
          <cell r="E1069">
            <v>181000</v>
          </cell>
          <cell r="F1069">
            <v>310285.71428571432</v>
          </cell>
          <cell r="G1069">
            <v>1.3071823204419888</v>
          </cell>
        </row>
        <row r="1070">
          <cell r="A1070" t="str">
            <v>115-10-040</v>
          </cell>
          <cell r="B1070">
            <v>80</v>
          </cell>
          <cell r="D1070">
            <v>0</v>
          </cell>
          <cell r="F1070">
            <v>0</v>
          </cell>
          <cell r="G1070">
            <v>0</v>
          </cell>
        </row>
        <row r="1071">
          <cell r="A1071" t="str">
            <v>115-10-050</v>
          </cell>
          <cell r="B1071">
            <v>80</v>
          </cell>
          <cell r="C1071" t="str">
            <v>OFFICE CATERING &amp; STAFF WELFARE</v>
          </cell>
          <cell r="D1071">
            <v>105500</v>
          </cell>
          <cell r="E1071">
            <v>63500</v>
          </cell>
          <cell r="F1071">
            <v>108857.14285714284</v>
          </cell>
          <cell r="G1071">
            <v>0.96916010498687677</v>
          </cell>
        </row>
        <row r="1072">
          <cell r="A1072" t="str">
            <v>115-10-051</v>
          </cell>
          <cell r="B1072">
            <v>80</v>
          </cell>
          <cell r="C1072" t="str">
            <v>OFFICE CLEANING</v>
          </cell>
          <cell r="D1072">
            <v>42000</v>
          </cell>
          <cell r="E1072">
            <v>0</v>
          </cell>
          <cell r="F1072">
            <v>0</v>
          </cell>
          <cell r="G1072">
            <v>0</v>
          </cell>
        </row>
        <row r="1073">
          <cell r="A1073" t="str">
            <v>115-10-060</v>
          </cell>
          <cell r="B1073">
            <v>80</v>
          </cell>
          <cell r="C1073" t="str">
            <v>OFFICE WATER</v>
          </cell>
          <cell r="D1073">
            <v>0</v>
          </cell>
          <cell r="E1073">
            <v>0</v>
          </cell>
          <cell r="F1073">
            <v>0</v>
          </cell>
          <cell r="G1073">
            <v>0</v>
          </cell>
        </row>
        <row r="1074">
          <cell r="A1074" t="str">
            <v>115-10-070</v>
          </cell>
          <cell r="B1074">
            <v>80</v>
          </cell>
          <cell r="C1074" t="str">
            <v>OFFICE ELECTRICITY</v>
          </cell>
          <cell r="D1074">
            <v>0</v>
          </cell>
          <cell r="E1074">
            <v>3000</v>
          </cell>
          <cell r="F1074">
            <v>5142.8571428571431</v>
          </cell>
          <cell r="G1074">
            <v>0</v>
          </cell>
        </row>
        <row r="1075">
          <cell r="A1075" t="str">
            <v>115-10-080</v>
          </cell>
          <cell r="B1075">
            <v>80</v>
          </cell>
          <cell r="C1075" t="str">
            <v>OFFICE SECURITY</v>
          </cell>
          <cell r="D1075">
            <v>14400</v>
          </cell>
          <cell r="E1075">
            <v>0</v>
          </cell>
          <cell r="F1075">
            <v>0</v>
          </cell>
          <cell r="G1075">
            <v>0</v>
          </cell>
        </row>
        <row r="1076">
          <cell r="A1076" t="str">
            <v>125-10-010</v>
          </cell>
          <cell r="B1076">
            <v>80</v>
          </cell>
          <cell r="C1076" t="str">
            <v>BANK CHARGES</v>
          </cell>
          <cell r="D1076">
            <v>3000</v>
          </cell>
          <cell r="E1076">
            <v>3000</v>
          </cell>
          <cell r="F1076">
            <v>5142.8571428571431</v>
          </cell>
          <cell r="G1076">
            <v>0.58333333333333326</v>
          </cell>
        </row>
        <row r="1077">
          <cell r="A1077" t="str">
            <v>125-10-020</v>
          </cell>
          <cell r="B1077">
            <v>80</v>
          </cell>
          <cell r="C1077" t="str">
            <v>BANK OVERDRART CHARGES</v>
          </cell>
          <cell r="E1077">
            <v>0</v>
          </cell>
          <cell r="F1077">
            <v>0</v>
          </cell>
          <cell r="G1077">
            <v>0</v>
          </cell>
        </row>
        <row r="1078">
          <cell r="A1078" t="str">
            <v>135-60-030</v>
          </cell>
          <cell r="B1078">
            <v>80</v>
          </cell>
          <cell r="C1078" t="str">
            <v>SALES PROMOTIONS &amp; COMPETITION</v>
          </cell>
          <cell r="D1078">
            <v>0</v>
          </cell>
          <cell r="E1078">
            <v>0</v>
          </cell>
          <cell r="F1078">
            <v>0</v>
          </cell>
          <cell r="G1078">
            <v>0</v>
          </cell>
        </row>
        <row r="1079">
          <cell r="A1079" t="str">
            <v>135-70-010</v>
          </cell>
          <cell r="B1079">
            <v>80</v>
          </cell>
          <cell r="C1079" t="str">
            <v>AGENCY PENSION</v>
          </cell>
          <cell r="D1079">
            <v>0</v>
          </cell>
          <cell r="E1079">
            <v>0</v>
          </cell>
          <cell r="F1079">
            <v>0</v>
          </cell>
          <cell r="G1079">
            <v>0</v>
          </cell>
        </row>
        <row r="1080">
          <cell r="A1080" t="str">
            <v>135-70-020</v>
          </cell>
          <cell r="B1080">
            <v>80</v>
          </cell>
          <cell r="C1080" t="str">
            <v>AGENCY GLA</v>
          </cell>
          <cell r="D1080">
            <v>0</v>
          </cell>
          <cell r="E1080">
            <v>0</v>
          </cell>
          <cell r="F1080">
            <v>0</v>
          </cell>
          <cell r="G1080">
            <v>0</v>
          </cell>
        </row>
        <row r="1081">
          <cell r="A1081" t="str">
            <v>135-70-030</v>
          </cell>
          <cell r="B1081">
            <v>80</v>
          </cell>
          <cell r="C1081" t="str">
            <v>AGENCY MEDICAL</v>
          </cell>
          <cell r="D1081">
            <v>0</v>
          </cell>
          <cell r="E1081">
            <v>0</v>
          </cell>
          <cell r="F1081">
            <v>0</v>
          </cell>
          <cell r="G1081">
            <v>0</v>
          </cell>
        </row>
        <row r="1082">
          <cell r="A1082" t="str">
            <v>135-70-040</v>
          </cell>
          <cell r="B1082">
            <v>80</v>
          </cell>
          <cell r="C1082" t="str">
            <v>AGENCY LAST EXPENSE</v>
          </cell>
          <cell r="D1082">
            <v>0</v>
          </cell>
          <cell r="E1082">
            <v>0</v>
          </cell>
          <cell r="F1082">
            <v>0</v>
          </cell>
          <cell r="G1082">
            <v>0</v>
          </cell>
        </row>
        <row r="1083">
          <cell r="A1083" t="str">
            <v>145-10-030</v>
          </cell>
          <cell r="B1083">
            <v>80</v>
          </cell>
          <cell r="C1083" t="str">
            <v>Audit fee -individual life</v>
          </cell>
          <cell r="D1083">
            <v>0</v>
          </cell>
          <cell r="E1083">
            <v>0</v>
          </cell>
          <cell r="F1083">
            <v>0</v>
          </cell>
          <cell r="G1083">
            <v>0</v>
          </cell>
        </row>
        <row r="1084">
          <cell r="A1084" t="str">
            <v>145-10-031</v>
          </cell>
          <cell r="B1084">
            <v>80</v>
          </cell>
          <cell r="C1084" t="str">
            <v>Tax filing returns</v>
          </cell>
          <cell r="D1084">
            <v>0</v>
          </cell>
          <cell r="E1084">
            <v>0</v>
          </cell>
          <cell r="F1084">
            <v>0</v>
          </cell>
          <cell r="G1084">
            <v>0</v>
          </cell>
        </row>
        <row r="1085">
          <cell r="A1085" t="str">
            <v>145-10-060</v>
          </cell>
          <cell r="B1085">
            <v>80</v>
          </cell>
          <cell r="C1085" t="str">
            <v>Intra company charges- individual life</v>
          </cell>
          <cell r="G1085">
            <v>0</v>
          </cell>
        </row>
        <row r="1086">
          <cell r="A1086" t="str">
            <v>145-10-060</v>
          </cell>
          <cell r="B1086">
            <v>80</v>
          </cell>
          <cell r="E1086">
            <v>0</v>
          </cell>
          <cell r="G1086">
            <v>0</v>
          </cell>
        </row>
        <row r="1087">
          <cell r="A1087" t="str">
            <v>145-10-080</v>
          </cell>
          <cell r="B1087">
            <v>80</v>
          </cell>
          <cell r="C1087" t="str">
            <v>40% Excutive recharge</v>
          </cell>
          <cell r="F1087">
            <v>0</v>
          </cell>
          <cell r="G1087">
            <v>0</v>
          </cell>
        </row>
        <row r="1088">
          <cell r="A1088" t="str">
            <v>145-10-080</v>
          </cell>
          <cell r="B1088">
            <v>80</v>
          </cell>
          <cell r="C1088" t="str">
            <v xml:space="preserve">Recharges: 10% recharge to Corporate </v>
          </cell>
          <cell r="E1088">
            <v>0</v>
          </cell>
          <cell r="G1088">
            <v>0</v>
          </cell>
        </row>
        <row r="1089">
          <cell r="A1089" t="str">
            <v>145-10-100</v>
          </cell>
          <cell r="B1089">
            <v>80</v>
          </cell>
          <cell r="E1089">
            <v>0</v>
          </cell>
          <cell r="G1089">
            <v>0</v>
          </cell>
        </row>
        <row r="1090">
          <cell r="A1090" t="str">
            <v>155-10-007</v>
          </cell>
          <cell r="B1090">
            <v>80</v>
          </cell>
          <cell r="C1090" t="str">
            <v>NEWSPAPERS &amp; JOURNALS</v>
          </cell>
          <cell r="D1090">
            <v>10560</v>
          </cell>
          <cell r="E1090">
            <v>6000</v>
          </cell>
          <cell r="F1090">
            <v>10285.714285714286</v>
          </cell>
          <cell r="G1090">
            <v>1.0266666666666666</v>
          </cell>
        </row>
        <row r="1091">
          <cell r="A1091" t="str">
            <v>155-10-008</v>
          </cell>
          <cell r="B1091">
            <v>80</v>
          </cell>
          <cell r="C1091" t="str">
            <v>ENTERTAINMENT &amp; DONATIONS</v>
          </cell>
          <cell r="D1091">
            <v>16800</v>
          </cell>
          <cell r="E1091">
            <v>6000</v>
          </cell>
          <cell r="F1091">
            <v>10285.714285714286</v>
          </cell>
          <cell r="G1091">
            <v>1.6333333333333333</v>
          </cell>
          <cell r="H1091" t="str">
            <v>New satelite unit</v>
          </cell>
        </row>
        <row r="1092">
          <cell r="A1092" t="str">
            <v>155-10-009</v>
          </cell>
          <cell r="B1092">
            <v>80</v>
          </cell>
          <cell r="C1092" t="str">
            <v>COURIER &amp; FREIGHT CHARGES</v>
          </cell>
          <cell r="D1092">
            <v>38320</v>
          </cell>
          <cell r="E1092">
            <v>34000</v>
          </cell>
          <cell r="F1092">
            <v>58285.714285714283</v>
          </cell>
          <cell r="G1092">
            <v>0.65745098039215688</v>
          </cell>
        </row>
        <row r="1093">
          <cell r="A1093" t="str">
            <v>155-10-010</v>
          </cell>
          <cell r="B1093">
            <v>80</v>
          </cell>
          <cell r="C1093" t="str">
            <v>ADVERTISING &amp; PUBLICITY</v>
          </cell>
          <cell r="D1093">
            <v>0</v>
          </cell>
          <cell r="E1093">
            <v>0</v>
          </cell>
          <cell r="F1093">
            <v>0</v>
          </cell>
          <cell r="G1093">
            <v>0</v>
          </cell>
        </row>
        <row r="1094">
          <cell r="A1094" t="str">
            <v>155-10-012</v>
          </cell>
          <cell r="B1094">
            <v>80</v>
          </cell>
          <cell r="C1094" t="str">
            <v>TRADE LICENCES</v>
          </cell>
          <cell r="D1094">
            <v>60000</v>
          </cell>
          <cell r="E1094">
            <v>38000</v>
          </cell>
          <cell r="F1094">
            <v>38000</v>
          </cell>
          <cell r="G1094">
            <v>1.5789473684210527</v>
          </cell>
        </row>
        <row r="1095">
          <cell r="A1095" t="str">
            <v>155-10-013</v>
          </cell>
          <cell r="B1095">
            <v>80</v>
          </cell>
          <cell r="C1095" t="str">
            <v>INSURANCES</v>
          </cell>
          <cell r="D1095">
            <v>0</v>
          </cell>
          <cell r="E1095">
            <v>0</v>
          </cell>
          <cell r="F1095">
            <v>0</v>
          </cell>
          <cell r="G1095">
            <v>0</v>
          </cell>
        </row>
        <row r="1096">
          <cell r="A1096" t="str">
            <v>155-10-014</v>
          </cell>
          <cell r="B1096">
            <v>80</v>
          </cell>
          <cell r="C1096" t="str">
            <v>PHOTOCOPY</v>
          </cell>
          <cell r="D1096">
            <v>0</v>
          </cell>
          <cell r="E1096">
            <v>0</v>
          </cell>
          <cell r="F1096">
            <v>0</v>
          </cell>
          <cell r="G1096">
            <v>0</v>
          </cell>
        </row>
        <row r="1097">
          <cell r="A1097" t="str">
            <v>155-10-015</v>
          </cell>
          <cell r="B1097">
            <v>80</v>
          </cell>
          <cell r="C1097" t="str">
            <v>COMPUTER MAINTAINANCE</v>
          </cell>
          <cell r="D1097">
            <v>10000</v>
          </cell>
          <cell r="E1097">
            <v>0</v>
          </cell>
          <cell r="F1097">
            <v>0</v>
          </cell>
          <cell r="G1097">
            <v>0</v>
          </cell>
        </row>
        <row r="1098">
          <cell r="A1098" t="str">
            <v>155-10-016</v>
          </cell>
          <cell r="B1098">
            <v>80</v>
          </cell>
          <cell r="C1098" t="str">
            <v>EQUIPMENT&amp; FURNITURE REPAIRS &amp; MAINTENANCE</v>
          </cell>
          <cell r="D1098">
            <v>6000</v>
          </cell>
          <cell r="E1098">
            <v>5000</v>
          </cell>
          <cell r="F1098">
            <v>8571.4285714285725</v>
          </cell>
          <cell r="G1098">
            <v>0.7</v>
          </cell>
        </row>
        <row r="1099">
          <cell r="A1099" t="str">
            <v>155-10-017</v>
          </cell>
          <cell r="B1099">
            <v>80</v>
          </cell>
          <cell r="C1099" t="str">
            <v>SEMINARS &amp; SHORT TERM COURSES</v>
          </cell>
          <cell r="D1099">
            <v>15000</v>
          </cell>
          <cell r="E1099">
            <v>6000</v>
          </cell>
          <cell r="F1099">
            <v>10285.714285714286</v>
          </cell>
          <cell r="G1099">
            <v>1.4583333333333333</v>
          </cell>
        </row>
        <row r="1100">
          <cell r="A1100" t="str">
            <v>155-10-022</v>
          </cell>
          <cell r="B1100">
            <v>80</v>
          </cell>
          <cell r="C1100" t="str">
            <v>PRINTING &amp; STATIONERY</v>
          </cell>
          <cell r="D1100">
            <v>174878.7</v>
          </cell>
          <cell r="E1100">
            <v>88000</v>
          </cell>
          <cell r="F1100">
            <v>150857.14285714284</v>
          </cell>
          <cell r="G1100">
            <v>1.159233806818182</v>
          </cell>
        </row>
        <row r="1101">
          <cell r="A1101" t="str">
            <v>155-10-025</v>
          </cell>
          <cell r="B1101">
            <v>80</v>
          </cell>
          <cell r="C1101" t="str">
            <v>STRATEGIC PLANNING</v>
          </cell>
          <cell r="D1101">
            <v>0</v>
          </cell>
          <cell r="E1101">
            <v>0</v>
          </cell>
          <cell r="F1101">
            <v>0</v>
          </cell>
          <cell r="G1101">
            <v>0</v>
          </cell>
        </row>
        <row r="1102">
          <cell r="A1102" t="str">
            <v>155-10-027</v>
          </cell>
          <cell r="B1102">
            <v>80</v>
          </cell>
          <cell r="C1102" t="str">
            <v>PROFESSIONAL SUBSCRIPTIONS</v>
          </cell>
          <cell r="D1102">
            <v>0</v>
          </cell>
          <cell r="E1102">
            <v>0</v>
          </cell>
          <cell r="F1102">
            <v>0</v>
          </cell>
          <cell r="G1102">
            <v>0</v>
          </cell>
        </row>
        <row r="1103">
          <cell r="A1103" t="str">
            <v>155-10-028</v>
          </cell>
          <cell r="B1103">
            <v>80</v>
          </cell>
          <cell r="C1103" t="str">
            <v xml:space="preserve"> SUBSCRIPTIONS -COMPANY MEMBERSHIP</v>
          </cell>
          <cell r="D1103">
            <v>0</v>
          </cell>
          <cell r="E1103">
            <v>0</v>
          </cell>
          <cell r="F1103">
            <v>0</v>
          </cell>
          <cell r="G1103">
            <v>0</v>
          </cell>
        </row>
        <row r="1104">
          <cell r="A1104" t="str">
            <v>155-10-030</v>
          </cell>
          <cell r="B1104">
            <v>80</v>
          </cell>
          <cell r="C1104" t="str">
            <v>TRAVELLING &amp; ACCOMMODATION</v>
          </cell>
          <cell r="D1104">
            <v>74115</v>
          </cell>
          <cell r="E1104">
            <v>24833.333333333332</v>
          </cell>
          <cell r="F1104">
            <v>42571.428571428565</v>
          </cell>
          <cell r="G1104">
            <v>1.7409563758389264</v>
          </cell>
        </row>
        <row r="1105">
          <cell r="A1105" t="str">
            <v>155-10-032</v>
          </cell>
          <cell r="B1105">
            <v>80</v>
          </cell>
          <cell r="C1105" t="str">
            <v xml:space="preserve">MOTOR CAR EXPENSES </v>
          </cell>
          <cell r="D1105">
            <v>0</v>
          </cell>
          <cell r="E1105">
            <v>0</v>
          </cell>
          <cell r="F1105">
            <v>0</v>
          </cell>
          <cell r="G1105">
            <v>0</v>
          </cell>
        </row>
        <row r="1106">
          <cell r="A1106" t="str">
            <v>155-10-040</v>
          </cell>
          <cell r="B1106">
            <v>80</v>
          </cell>
          <cell r="C1106" t="str">
            <v>POSTAGE</v>
          </cell>
          <cell r="D1106">
            <v>3600</v>
          </cell>
          <cell r="E1106">
            <v>7000</v>
          </cell>
          <cell r="F1106">
            <v>12000</v>
          </cell>
          <cell r="G1106">
            <v>0.3</v>
          </cell>
        </row>
        <row r="1107">
          <cell r="A1107" t="str">
            <v>155-10-041</v>
          </cell>
          <cell r="B1107">
            <v>80</v>
          </cell>
          <cell r="C1107" t="str">
            <v>TELEPHONE &amp; FAX</v>
          </cell>
          <cell r="D1107">
            <v>102000</v>
          </cell>
          <cell r="E1107">
            <v>84000</v>
          </cell>
          <cell r="F1107">
            <v>144000</v>
          </cell>
          <cell r="G1107">
            <v>0.70833333333333337</v>
          </cell>
        </row>
        <row r="1108">
          <cell r="A1108" t="str">
            <v>155-10-044</v>
          </cell>
          <cell r="B1108">
            <v>80</v>
          </cell>
          <cell r="C1108" t="str">
            <v>PROFFESSIONAL TRAINING</v>
          </cell>
          <cell r="D1108">
            <v>12750</v>
          </cell>
          <cell r="E1108">
            <v>8000</v>
          </cell>
          <cell r="F1108">
            <v>13714.285714285714</v>
          </cell>
          <cell r="G1108">
            <v>0.9296875</v>
          </cell>
        </row>
        <row r="1109">
          <cell r="A1109" t="str">
            <v>155-10-046</v>
          </cell>
          <cell r="B1109">
            <v>80</v>
          </cell>
          <cell r="C1109" t="str">
            <v xml:space="preserve">SUBSCRIPTION- STAFF CLUB MEMBERSHIP </v>
          </cell>
          <cell r="D1109">
            <v>5000</v>
          </cell>
          <cell r="E1109">
            <v>0</v>
          </cell>
          <cell r="F1109">
            <v>0</v>
          </cell>
          <cell r="G1109">
            <v>0</v>
          </cell>
        </row>
        <row r="1110">
          <cell r="A1110" t="str">
            <v>155-10-054</v>
          </cell>
          <cell r="B1110">
            <v>80</v>
          </cell>
          <cell r="C1110" t="str">
            <v>LEASED LINES-INTERNET SERVICES</v>
          </cell>
          <cell r="D1110">
            <v>0</v>
          </cell>
          <cell r="F1110">
            <v>0</v>
          </cell>
          <cell r="G1110">
            <v>0</v>
          </cell>
        </row>
        <row r="1111">
          <cell r="A1111" t="str">
            <v>155-10-057</v>
          </cell>
          <cell r="B1111">
            <v>80</v>
          </cell>
          <cell r="C1111" t="str">
            <v>SOFTWARE LICENCES</v>
          </cell>
          <cell r="D1111">
            <v>0</v>
          </cell>
          <cell r="E1111">
            <v>0</v>
          </cell>
          <cell r="F1111">
            <v>0</v>
          </cell>
          <cell r="G1111">
            <v>0</v>
          </cell>
        </row>
        <row r="1112">
          <cell r="A1112" t="str">
            <v>155-10-059</v>
          </cell>
          <cell r="B1112">
            <v>80</v>
          </cell>
          <cell r="E1112">
            <v>0</v>
          </cell>
          <cell r="G1112">
            <v>0</v>
          </cell>
        </row>
        <row r="1113">
          <cell r="A1113" t="str">
            <v>155-10-060</v>
          </cell>
          <cell r="B1113">
            <v>80</v>
          </cell>
          <cell r="E1113">
            <v>0</v>
          </cell>
          <cell r="G1113">
            <v>0</v>
          </cell>
        </row>
        <row r="1114">
          <cell r="A1114" t="str">
            <v>155-10-062</v>
          </cell>
          <cell r="B1114">
            <v>80</v>
          </cell>
          <cell r="C1114" t="str">
            <v>EDUCATION EXPENSES</v>
          </cell>
          <cell r="D1114">
            <v>0</v>
          </cell>
          <cell r="E1114">
            <v>0</v>
          </cell>
          <cell r="F1114">
            <v>0</v>
          </cell>
          <cell r="G1114">
            <v>0</v>
          </cell>
          <cell r="H1114">
            <v>0</v>
          </cell>
        </row>
        <row r="1115">
          <cell r="A1115" t="str">
            <v>160-10-010</v>
          </cell>
          <cell r="B1115">
            <v>80</v>
          </cell>
          <cell r="E1115">
            <v>0</v>
          </cell>
          <cell r="G1115">
            <v>0</v>
          </cell>
        </row>
        <row r="1116">
          <cell r="A1116" t="str">
            <v>105-10-010</v>
          </cell>
          <cell r="B1116">
            <v>90</v>
          </cell>
          <cell r="C1116" t="str">
            <v>BASIC SALARY</v>
          </cell>
          <cell r="D1116">
            <v>293584</v>
          </cell>
          <cell r="E1116">
            <v>73000</v>
          </cell>
          <cell r="F1116">
            <v>178500</v>
          </cell>
          <cell r="G1116">
            <v>1.6447282913165269</v>
          </cell>
          <cell r="H1116" t="str">
            <v>She joined in May so the totals are not reflective of 12 months assumptions.</v>
          </cell>
        </row>
        <row r="1117">
          <cell r="A1117" t="str">
            <v>105-10-012</v>
          </cell>
          <cell r="B1117">
            <v>90</v>
          </cell>
          <cell r="C1117" t="str">
            <v>PROVISION FOR MORT. RATE ADJUSTMENTS</v>
          </cell>
          <cell r="D1117">
            <v>0</v>
          </cell>
          <cell r="E1117">
            <v>0</v>
          </cell>
          <cell r="F1117">
            <v>0</v>
          </cell>
          <cell r="G1117">
            <v>0</v>
          </cell>
        </row>
        <row r="1118">
          <cell r="A1118" t="str">
            <v>105-10-020</v>
          </cell>
          <cell r="B1118">
            <v>90</v>
          </cell>
          <cell r="C1118" t="str">
            <v>HOUSE ALLOWANCE</v>
          </cell>
          <cell r="D1118">
            <v>46800</v>
          </cell>
          <cell r="E1118">
            <v>12000</v>
          </cell>
          <cell r="F1118">
            <v>31500</v>
          </cell>
          <cell r="G1118">
            <v>1.4857142857142858</v>
          </cell>
          <cell r="H1118" t="str">
            <v>She joined in May so the totals are not reflective of 12 months assumptions.</v>
          </cell>
        </row>
        <row r="1119">
          <cell r="A1119" t="str">
            <v>105-10-030</v>
          </cell>
          <cell r="B1119">
            <v>90</v>
          </cell>
          <cell r="C1119" t="str">
            <v>TELEPHONE ALLOWANCE</v>
          </cell>
          <cell r="D1119">
            <v>0</v>
          </cell>
          <cell r="E1119">
            <v>0</v>
          </cell>
          <cell r="F1119">
            <v>0</v>
          </cell>
          <cell r="G1119">
            <v>0</v>
          </cell>
        </row>
        <row r="1120">
          <cell r="A1120" t="str">
            <v>105-10-040</v>
          </cell>
          <cell r="B1120">
            <v>90</v>
          </cell>
          <cell r="C1120" t="str">
            <v>SECURITY ALLOWANCE</v>
          </cell>
          <cell r="D1120">
            <v>0</v>
          </cell>
          <cell r="E1120">
            <v>0</v>
          </cell>
          <cell r="F1120">
            <v>0</v>
          </cell>
          <cell r="G1120">
            <v>0</v>
          </cell>
        </row>
        <row r="1121">
          <cell r="A1121" t="str">
            <v>105-10-050</v>
          </cell>
          <cell r="B1121">
            <v>90</v>
          </cell>
          <cell r="C1121" t="str">
            <v>EDUCATION ALLOWANCE</v>
          </cell>
          <cell r="D1121">
            <v>0</v>
          </cell>
          <cell r="E1121">
            <v>0</v>
          </cell>
          <cell r="F1121">
            <v>0</v>
          </cell>
          <cell r="G1121">
            <v>0</v>
          </cell>
        </row>
        <row r="1122">
          <cell r="A1122" t="str">
            <v>105-10-060</v>
          </cell>
          <cell r="B1122">
            <v>90</v>
          </cell>
          <cell r="C1122" t="str">
            <v>TRAVEL ALLOWANCE</v>
          </cell>
          <cell r="D1122">
            <v>0</v>
          </cell>
          <cell r="E1122">
            <v>0</v>
          </cell>
          <cell r="F1122">
            <v>0</v>
          </cell>
          <cell r="G1122">
            <v>0</v>
          </cell>
        </row>
        <row r="1123">
          <cell r="A1123" t="str">
            <v>105-20-010</v>
          </cell>
          <cell r="B1123">
            <v>90</v>
          </cell>
          <cell r="C1123" t="str">
            <v>NSSF</v>
          </cell>
          <cell r="D1123">
            <v>2400</v>
          </cell>
          <cell r="E1123">
            <v>1000</v>
          </cell>
          <cell r="F1123">
            <v>2000</v>
          </cell>
          <cell r="G1123">
            <v>1.2</v>
          </cell>
          <cell r="H1123" t="str">
            <v>She joined in May so the totals are not reflective of 12 months assumptions.</v>
          </cell>
        </row>
        <row r="1124">
          <cell r="A1124" t="str">
            <v>105-20-020</v>
          </cell>
          <cell r="B1124">
            <v>90</v>
          </cell>
          <cell r="C1124" t="str">
            <v>NHIF</v>
          </cell>
          <cell r="D1124">
            <v>2880</v>
          </cell>
          <cell r="E1124">
            <v>0</v>
          </cell>
          <cell r="F1124">
            <v>1200</v>
          </cell>
          <cell r="G1124">
            <v>2.4</v>
          </cell>
          <cell r="H1124" t="str">
            <v>She joined in May so the totals are not reflective of 12 months assumptions.</v>
          </cell>
        </row>
        <row r="1125">
          <cell r="A1125" t="str">
            <v>105-30-010</v>
          </cell>
          <cell r="B1125">
            <v>90</v>
          </cell>
          <cell r="C1125" t="str">
            <v xml:space="preserve">PENSION </v>
          </cell>
          <cell r="D1125">
            <v>35448</v>
          </cell>
          <cell r="E1125">
            <v>5000</v>
          </cell>
          <cell r="F1125">
            <v>19770</v>
          </cell>
          <cell r="G1125">
            <v>1.7930197268588774</v>
          </cell>
          <cell r="H1125" t="str">
            <v>She joined in May so the totals are not reflective of 12 months assumptions.</v>
          </cell>
        </row>
        <row r="1126">
          <cell r="A1126" t="str">
            <v>105-30-020</v>
          </cell>
          <cell r="B1126">
            <v>90</v>
          </cell>
          <cell r="C1126" t="str">
            <v>LAST EXPENSE</v>
          </cell>
          <cell r="D1126">
            <v>0</v>
          </cell>
          <cell r="E1126">
            <v>0</v>
          </cell>
          <cell r="F1126">
            <v>0</v>
          </cell>
          <cell r="G1126">
            <v>0</v>
          </cell>
        </row>
        <row r="1127">
          <cell r="A1127" t="str">
            <v>105-30-030</v>
          </cell>
          <cell r="B1127">
            <v>90</v>
          </cell>
          <cell r="C1127" t="str">
            <v>GROUP LIFE ASSURANCE</v>
          </cell>
          <cell r="D1127">
            <v>0</v>
          </cell>
          <cell r="E1127">
            <v>0</v>
          </cell>
          <cell r="F1127">
            <v>0</v>
          </cell>
          <cell r="G1127">
            <v>0</v>
          </cell>
        </row>
        <row r="1128">
          <cell r="A1128" t="str">
            <v>105-30-040</v>
          </cell>
          <cell r="B1128">
            <v>90</v>
          </cell>
          <cell r="C1128" t="str">
            <v>STAFF MEDICAL</v>
          </cell>
          <cell r="D1128">
            <v>0</v>
          </cell>
          <cell r="E1128">
            <v>0</v>
          </cell>
          <cell r="F1128">
            <v>0</v>
          </cell>
          <cell r="G1128">
            <v>0</v>
          </cell>
        </row>
        <row r="1129">
          <cell r="A1129" t="str">
            <v>105-30-050</v>
          </cell>
          <cell r="B1129">
            <v>90</v>
          </cell>
          <cell r="C1129" t="str">
            <v>CASH IN LIEU OF LEAVE</v>
          </cell>
          <cell r="D1129">
            <v>7089.6</v>
          </cell>
          <cell r="E1129">
            <v>3000</v>
          </cell>
          <cell r="F1129">
            <v>5142.8571428571431</v>
          </cell>
          <cell r="G1129">
            <v>1.3785333333333334</v>
          </cell>
          <cell r="H1129" t="str">
            <v>She joined in May so the totals are not reflective of 12 months assumptions.</v>
          </cell>
        </row>
        <row r="1130">
          <cell r="A1130" t="str">
            <v>105-30-060</v>
          </cell>
          <cell r="B1130">
            <v>90</v>
          </cell>
          <cell r="C1130" t="str">
            <v>GRATUITY</v>
          </cell>
          <cell r="E1130">
            <v>0</v>
          </cell>
          <cell r="F1130">
            <v>0</v>
          </cell>
          <cell r="G1130">
            <v>0</v>
          </cell>
        </row>
        <row r="1131">
          <cell r="A1131" t="str">
            <v>105-30-070</v>
          </cell>
          <cell r="B1131">
            <v>90</v>
          </cell>
          <cell r="C1131" t="str">
            <v>LONG SERVICE AWARDS</v>
          </cell>
          <cell r="D1131">
            <v>0</v>
          </cell>
          <cell r="E1131">
            <v>0</v>
          </cell>
          <cell r="F1131">
            <v>0</v>
          </cell>
          <cell r="G1131">
            <v>0</v>
          </cell>
        </row>
        <row r="1132">
          <cell r="A1132" t="str">
            <v>105-30-080</v>
          </cell>
          <cell r="B1132">
            <v>90</v>
          </cell>
          <cell r="C1132" t="str">
            <v>STAFF RECRUITMENT &amp; REMOVALS</v>
          </cell>
          <cell r="D1132">
            <v>0</v>
          </cell>
          <cell r="E1132">
            <v>0</v>
          </cell>
          <cell r="F1132">
            <v>0</v>
          </cell>
          <cell r="G1132">
            <v>0</v>
          </cell>
        </row>
        <row r="1133">
          <cell r="A1133" t="str">
            <v>115-10-010</v>
          </cell>
          <cell r="B1133">
            <v>90</v>
          </cell>
          <cell r="D1133">
            <v>0</v>
          </cell>
          <cell r="E1133">
            <v>0</v>
          </cell>
          <cell r="F1133">
            <v>0</v>
          </cell>
          <cell r="G1133">
            <v>0</v>
          </cell>
        </row>
        <row r="1134">
          <cell r="A1134" t="str">
            <v>115-10-010</v>
          </cell>
          <cell r="B1134">
            <v>90</v>
          </cell>
          <cell r="D1134">
            <v>0</v>
          </cell>
          <cell r="F1134">
            <v>0</v>
          </cell>
          <cell r="G1134">
            <v>0</v>
          </cell>
        </row>
        <row r="1135">
          <cell r="A1135" t="str">
            <v>115-10-020</v>
          </cell>
          <cell r="B1135">
            <v>90</v>
          </cell>
          <cell r="D1135">
            <v>0</v>
          </cell>
          <cell r="E1135">
            <v>0</v>
          </cell>
          <cell r="F1135">
            <v>0</v>
          </cell>
          <cell r="G1135">
            <v>0</v>
          </cell>
        </row>
        <row r="1136">
          <cell r="A1136" t="str">
            <v>115-10-020</v>
          </cell>
          <cell r="B1136">
            <v>90</v>
          </cell>
          <cell r="D1136">
            <v>0</v>
          </cell>
          <cell r="G1136">
            <v>0</v>
          </cell>
        </row>
        <row r="1137">
          <cell r="A1137" t="str">
            <v>115-10-030</v>
          </cell>
          <cell r="B1137">
            <v>90</v>
          </cell>
          <cell r="D1137">
            <v>0</v>
          </cell>
          <cell r="E1137">
            <v>0</v>
          </cell>
          <cell r="F1137">
            <v>0</v>
          </cell>
          <cell r="G1137">
            <v>0</v>
          </cell>
        </row>
        <row r="1138">
          <cell r="A1138" t="str">
            <v>115-10-030</v>
          </cell>
          <cell r="B1138">
            <v>90</v>
          </cell>
          <cell r="D1138">
            <v>0</v>
          </cell>
          <cell r="F1138">
            <v>0</v>
          </cell>
          <cell r="G1138">
            <v>0</v>
          </cell>
        </row>
        <row r="1139">
          <cell r="A1139" t="str">
            <v>115-10-040</v>
          </cell>
          <cell r="B1139">
            <v>90</v>
          </cell>
          <cell r="D1139">
            <v>0</v>
          </cell>
          <cell r="E1139">
            <v>294784</v>
          </cell>
          <cell r="F1139">
            <v>505344</v>
          </cell>
          <cell r="G1139">
            <v>0</v>
          </cell>
        </row>
        <row r="1140">
          <cell r="A1140" t="str">
            <v>115-10-040</v>
          </cell>
          <cell r="B1140">
            <v>90</v>
          </cell>
          <cell r="D1140">
            <v>0</v>
          </cell>
          <cell r="F1140">
            <v>0</v>
          </cell>
          <cell r="G1140">
            <v>0</v>
          </cell>
        </row>
        <row r="1141">
          <cell r="A1141" t="str">
            <v>115-10-050</v>
          </cell>
          <cell r="B1141">
            <v>90</v>
          </cell>
          <cell r="C1141" t="str">
            <v>OFFICE CATERING &amp; STAFF WELFARE</v>
          </cell>
          <cell r="D1141">
            <v>48000</v>
          </cell>
          <cell r="E1141">
            <v>12833.333333333332</v>
          </cell>
          <cell r="F1141">
            <v>22000</v>
          </cell>
          <cell r="G1141">
            <v>2.1818181818181817</v>
          </cell>
        </row>
        <row r="1142">
          <cell r="A1142" t="str">
            <v>115-10-051</v>
          </cell>
          <cell r="B1142">
            <v>90</v>
          </cell>
          <cell r="C1142" t="str">
            <v>OFFICE CLEANING</v>
          </cell>
          <cell r="D1142">
            <v>0</v>
          </cell>
          <cell r="E1142">
            <v>0</v>
          </cell>
          <cell r="F1142">
            <v>0</v>
          </cell>
          <cell r="G1142">
            <v>0</v>
          </cell>
        </row>
        <row r="1143">
          <cell r="A1143" t="str">
            <v>115-10-060</v>
          </cell>
          <cell r="B1143">
            <v>90</v>
          </cell>
          <cell r="C1143" t="str">
            <v>OFFICE WATER</v>
          </cell>
          <cell r="D1143">
            <v>0</v>
          </cell>
          <cell r="E1143">
            <v>0</v>
          </cell>
          <cell r="F1143">
            <v>0</v>
          </cell>
          <cell r="G1143">
            <v>0</v>
          </cell>
        </row>
        <row r="1144">
          <cell r="A1144" t="str">
            <v>115-10-070</v>
          </cell>
          <cell r="B1144">
            <v>90</v>
          </cell>
          <cell r="C1144" t="str">
            <v>OFFICE ELECTRICITY</v>
          </cell>
          <cell r="D1144">
            <v>0</v>
          </cell>
          <cell r="E1144">
            <v>0</v>
          </cell>
          <cell r="F1144">
            <v>0</v>
          </cell>
          <cell r="G1144">
            <v>0</v>
          </cell>
        </row>
        <row r="1145">
          <cell r="A1145" t="str">
            <v>115-10-080</v>
          </cell>
          <cell r="B1145">
            <v>90</v>
          </cell>
          <cell r="C1145" t="str">
            <v>OFFICE SECURITY</v>
          </cell>
          <cell r="D1145">
            <v>0</v>
          </cell>
          <cell r="E1145">
            <v>0</v>
          </cell>
          <cell r="F1145">
            <v>0</v>
          </cell>
          <cell r="G1145">
            <v>0</v>
          </cell>
        </row>
        <row r="1146">
          <cell r="A1146" t="str">
            <v>125-10-010</v>
          </cell>
          <cell r="B1146">
            <v>90</v>
          </cell>
          <cell r="C1146" t="str">
            <v>BANK CHARGES</v>
          </cell>
          <cell r="D1146">
            <v>12000</v>
          </cell>
          <cell r="E1146">
            <v>0</v>
          </cell>
          <cell r="F1146">
            <v>0</v>
          </cell>
          <cell r="G1146">
            <v>0</v>
          </cell>
        </row>
        <row r="1147">
          <cell r="A1147" t="str">
            <v>125-10-020</v>
          </cell>
          <cell r="B1147">
            <v>90</v>
          </cell>
          <cell r="C1147" t="str">
            <v>BANK OVERDRART CHARGES</v>
          </cell>
          <cell r="E1147">
            <v>0</v>
          </cell>
          <cell r="F1147">
            <v>0</v>
          </cell>
          <cell r="G1147">
            <v>0</v>
          </cell>
        </row>
        <row r="1148">
          <cell r="A1148" t="str">
            <v>135-60-030</v>
          </cell>
          <cell r="B1148">
            <v>90</v>
          </cell>
          <cell r="C1148" t="str">
            <v>SALES PROMOTIONS &amp; COMPETITION</v>
          </cell>
          <cell r="D1148">
            <v>0</v>
          </cell>
          <cell r="E1148">
            <v>0</v>
          </cell>
          <cell r="F1148">
            <v>0</v>
          </cell>
          <cell r="G1148">
            <v>0</v>
          </cell>
        </row>
        <row r="1149">
          <cell r="A1149" t="str">
            <v>135-70-010</v>
          </cell>
          <cell r="B1149">
            <v>90</v>
          </cell>
          <cell r="C1149" t="str">
            <v>AGENCY PENSION</v>
          </cell>
          <cell r="D1149">
            <v>0</v>
          </cell>
          <cell r="E1149">
            <v>0</v>
          </cell>
          <cell r="F1149">
            <v>0</v>
          </cell>
          <cell r="G1149">
            <v>0</v>
          </cell>
        </row>
        <row r="1150">
          <cell r="A1150" t="str">
            <v>135-70-020</v>
          </cell>
          <cell r="B1150">
            <v>90</v>
          </cell>
          <cell r="C1150" t="str">
            <v>AGENCY GLA</v>
          </cell>
          <cell r="D1150">
            <v>0</v>
          </cell>
          <cell r="E1150">
            <v>0</v>
          </cell>
          <cell r="F1150">
            <v>0</v>
          </cell>
          <cell r="G1150">
            <v>0</v>
          </cell>
        </row>
        <row r="1151">
          <cell r="A1151" t="str">
            <v>135-70-030</v>
          </cell>
          <cell r="B1151">
            <v>90</v>
          </cell>
          <cell r="C1151" t="str">
            <v>AGENCY MEDICAL</v>
          </cell>
          <cell r="D1151">
            <v>0</v>
          </cell>
          <cell r="E1151">
            <v>0</v>
          </cell>
          <cell r="F1151">
            <v>0</v>
          </cell>
          <cell r="G1151">
            <v>0</v>
          </cell>
        </row>
        <row r="1152">
          <cell r="A1152" t="str">
            <v>135-70-040</v>
          </cell>
          <cell r="B1152">
            <v>90</v>
          </cell>
          <cell r="C1152" t="str">
            <v>AGENCY LAST EXPENSE</v>
          </cell>
          <cell r="D1152">
            <v>0</v>
          </cell>
          <cell r="E1152">
            <v>0</v>
          </cell>
          <cell r="F1152">
            <v>0</v>
          </cell>
          <cell r="G1152">
            <v>0</v>
          </cell>
        </row>
        <row r="1153">
          <cell r="A1153" t="str">
            <v>145-10-030</v>
          </cell>
          <cell r="B1153">
            <v>90</v>
          </cell>
          <cell r="C1153" t="str">
            <v>Audit fee -individual life</v>
          </cell>
          <cell r="D1153">
            <v>0</v>
          </cell>
          <cell r="E1153">
            <v>0</v>
          </cell>
          <cell r="F1153">
            <v>0</v>
          </cell>
          <cell r="G1153">
            <v>0</v>
          </cell>
        </row>
        <row r="1154">
          <cell r="A1154" t="str">
            <v>145-10-031</v>
          </cell>
          <cell r="B1154">
            <v>90</v>
          </cell>
          <cell r="C1154" t="str">
            <v>Tax filing returns</v>
          </cell>
          <cell r="D1154">
            <v>0</v>
          </cell>
          <cell r="E1154">
            <v>0</v>
          </cell>
          <cell r="F1154">
            <v>0</v>
          </cell>
          <cell r="G1154">
            <v>0</v>
          </cell>
        </row>
        <row r="1155">
          <cell r="A1155" t="str">
            <v>145-10-060</v>
          </cell>
          <cell r="B1155">
            <v>90</v>
          </cell>
          <cell r="C1155" t="str">
            <v>Intra company charges- individual life</v>
          </cell>
          <cell r="G1155">
            <v>0</v>
          </cell>
        </row>
        <row r="1156">
          <cell r="A1156" t="str">
            <v>145-10-060</v>
          </cell>
          <cell r="B1156">
            <v>90</v>
          </cell>
          <cell r="E1156">
            <v>0</v>
          </cell>
          <cell r="G1156">
            <v>0</v>
          </cell>
        </row>
        <row r="1157">
          <cell r="A1157" t="str">
            <v>145-10-080</v>
          </cell>
          <cell r="B1157">
            <v>90</v>
          </cell>
          <cell r="C1157" t="str">
            <v>40% Excutive recharge</v>
          </cell>
          <cell r="F1157">
            <v>0</v>
          </cell>
          <cell r="G1157">
            <v>0</v>
          </cell>
        </row>
        <row r="1158">
          <cell r="A1158" t="str">
            <v>145-10-080</v>
          </cell>
          <cell r="B1158">
            <v>90</v>
          </cell>
          <cell r="C1158" t="str">
            <v xml:space="preserve">Recharges: 10% recharge to Corporate </v>
          </cell>
          <cell r="E1158">
            <v>0</v>
          </cell>
          <cell r="G1158">
            <v>0</v>
          </cell>
        </row>
        <row r="1159">
          <cell r="A1159" t="str">
            <v>145-10-100</v>
          </cell>
          <cell r="B1159">
            <v>90</v>
          </cell>
          <cell r="E1159">
            <v>0</v>
          </cell>
          <cell r="G1159">
            <v>0</v>
          </cell>
        </row>
        <row r="1160">
          <cell r="A1160" t="str">
            <v>155-10-007</v>
          </cell>
          <cell r="B1160">
            <v>90</v>
          </cell>
          <cell r="C1160" t="str">
            <v>NEWSPAPERS &amp; JOURNALS</v>
          </cell>
          <cell r="D1160">
            <v>10560</v>
          </cell>
          <cell r="E1160">
            <v>5000</v>
          </cell>
          <cell r="F1160">
            <v>8571.4285714285725</v>
          </cell>
          <cell r="G1160">
            <v>1.2319999999999998</v>
          </cell>
          <cell r="H1160" t="str">
            <v>This year we started getting the newspapers from March 2004 thus the big increase.</v>
          </cell>
        </row>
        <row r="1161">
          <cell r="A1161" t="str">
            <v>155-10-008</v>
          </cell>
          <cell r="B1161">
            <v>90</v>
          </cell>
          <cell r="C1161" t="str">
            <v>ENTERTAINMENT &amp; DONATIONS</v>
          </cell>
          <cell r="D1161">
            <v>13500</v>
          </cell>
          <cell r="E1161">
            <v>1000</v>
          </cell>
          <cell r="F1161">
            <v>1714.2857142857142</v>
          </cell>
          <cell r="G1161">
            <v>7.875</v>
          </cell>
          <cell r="H1161" t="str">
            <v>This year I have only opened three paypoints and plan a higher number 2005</v>
          </cell>
        </row>
        <row r="1162">
          <cell r="A1162" t="str">
            <v>155-10-009</v>
          </cell>
          <cell r="B1162">
            <v>90</v>
          </cell>
          <cell r="C1162" t="str">
            <v>COURIER &amp; FREIGHT CHARGES</v>
          </cell>
          <cell r="D1162">
            <v>0</v>
          </cell>
          <cell r="E1162">
            <v>0</v>
          </cell>
          <cell r="F1162">
            <v>0</v>
          </cell>
          <cell r="G1162">
            <v>0</v>
          </cell>
        </row>
        <row r="1163">
          <cell r="A1163" t="str">
            <v>155-10-010</v>
          </cell>
          <cell r="B1163">
            <v>90</v>
          </cell>
          <cell r="C1163" t="str">
            <v>ADVERTISING &amp; PUBLICITY</v>
          </cell>
          <cell r="D1163">
            <v>0</v>
          </cell>
          <cell r="E1163">
            <v>0</v>
          </cell>
          <cell r="F1163">
            <v>0</v>
          </cell>
          <cell r="G1163">
            <v>0</v>
          </cell>
        </row>
        <row r="1164">
          <cell r="A1164" t="str">
            <v>155-10-012</v>
          </cell>
          <cell r="B1164">
            <v>90</v>
          </cell>
          <cell r="C1164" t="str">
            <v>TRADE LICENCES</v>
          </cell>
          <cell r="D1164">
            <v>0</v>
          </cell>
          <cell r="E1164">
            <v>0</v>
          </cell>
          <cell r="F1164">
            <v>0</v>
          </cell>
          <cell r="G1164">
            <v>0</v>
          </cell>
        </row>
        <row r="1165">
          <cell r="A1165" t="str">
            <v>155-10-013</v>
          </cell>
          <cell r="B1165">
            <v>90</v>
          </cell>
          <cell r="C1165" t="str">
            <v>INSURANCES</v>
          </cell>
          <cell r="D1165">
            <v>0</v>
          </cell>
          <cell r="E1165">
            <v>0</v>
          </cell>
          <cell r="F1165">
            <v>0</v>
          </cell>
          <cell r="G1165">
            <v>0</v>
          </cell>
        </row>
        <row r="1166">
          <cell r="A1166" t="str">
            <v>155-10-014</v>
          </cell>
          <cell r="B1166">
            <v>90</v>
          </cell>
          <cell r="C1166" t="str">
            <v>PHOTOCOPY</v>
          </cell>
          <cell r="D1166">
            <v>0</v>
          </cell>
          <cell r="E1166">
            <v>0</v>
          </cell>
          <cell r="F1166">
            <v>0</v>
          </cell>
          <cell r="G1166">
            <v>0</v>
          </cell>
        </row>
        <row r="1167">
          <cell r="A1167" t="str">
            <v>155-10-015</v>
          </cell>
          <cell r="B1167">
            <v>90</v>
          </cell>
          <cell r="C1167" t="str">
            <v>COMPUTER MAINTAINANCE</v>
          </cell>
          <cell r="D1167">
            <v>10000</v>
          </cell>
          <cell r="E1167">
            <v>3000</v>
          </cell>
          <cell r="F1167">
            <v>5142.8571428571431</v>
          </cell>
          <cell r="G1167">
            <v>1.9444444444444444</v>
          </cell>
        </row>
        <row r="1168">
          <cell r="A1168" t="str">
            <v>155-10-016</v>
          </cell>
          <cell r="B1168">
            <v>90</v>
          </cell>
          <cell r="C1168" t="str">
            <v>EQUIPMENT&amp; FURNITURE REPAIRS &amp; MAINTENANCE</v>
          </cell>
          <cell r="D1168">
            <v>6000</v>
          </cell>
          <cell r="E1168">
            <v>1000</v>
          </cell>
          <cell r="F1168">
            <v>1714.2857142857142</v>
          </cell>
          <cell r="G1168">
            <v>3.5</v>
          </cell>
          <cell r="H1168" t="str">
            <v>There wil be more furniture repairs with the expansion of manpower</v>
          </cell>
        </row>
        <row r="1169">
          <cell r="A1169" t="str">
            <v>155-10-017</v>
          </cell>
          <cell r="B1169">
            <v>90</v>
          </cell>
          <cell r="C1169" t="str">
            <v>SEMINARS &amp; SHORT TERM COURSES</v>
          </cell>
          <cell r="D1169">
            <v>25000</v>
          </cell>
          <cell r="E1169">
            <v>2000</v>
          </cell>
          <cell r="F1169">
            <v>3428.5714285714284</v>
          </cell>
          <cell r="G1169">
            <v>7.291666666666667</v>
          </cell>
          <cell r="H1169" t="str">
            <v>We hope to get the CSS to trai in the year.</v>
          </cell>
        </row>
        <row r="1170">
          <cell r="A1170" t="str">
            <v>155-10-022</v>
          </cell>
          <cell r="B1170">
            <v>90</v>
          </cell>
          <cell r="C1170" t="str">
            <v>PRINTING &amp; STATIONERY</v>
          </cell>
          <cell r="D1170">
            <v>113725</v>
          </cell>
          <cell r="E1170">
            <v>44000</v>
          </cell>
          <cell r="F1170">
            <v>75428.57142857142</v>
          </cell>
          <cell r="G1170">
            <v>1.5077178030303031</v>
          </cell>
          <cell r="H1170" t="str">
            <v>The agency has grown four times so the need for more stationary/ initially used existing stationary.</v>
          </cell>
        </row>
        <row r="1171">
          <cell r="A1171" t="str">
            <v>155-10-025</v>
          </cell>
          <cell r="B1171">
            <v>90</v>
          </cell>
          <cell r="C1171" t="str">
            <v>STRATEGIC PLANNING</v>
          </cell>
          <cell r="D1171">
            <v>0</v>
          </cell>
          <cell r="E1171">
            <v>0</v>
          </cell>
          <cell r="F1171">
            <v>0</v>
          </cell>
          <cell r="G1171">
            <v>0</v>
          </cell>
        </row>
        <row r="1172">
          <cell r="A1172" t="str">
            <v>155-10-027</v>
          </cell>
          <cell r="B1172">
            <v>90</v>
          </cell>
          <cell r="C1172" t="str">
            <v>PROFESSIONAL SUBSCRIPTIONS</v>
          </cell>
          <cell r="D1172">
            <v>0</v>
          </cell>
          <cell r="E1172">
            <v>0</v>
          </cell>
          <cell r="F1172">
            <v>0</v>
          </cell>
          <cell r="G1172">
            <v>0</v>
          </cell>
        </row>
        <row r="1173">
          <cell r="A1173" t="str">
            <v>155-10-028</v>
          </cell>
          <cell r="B1173">
            <v>90</v>
          </cell>
          <cell r="C1173" t="str">
            <v xml:space="preserve"> SUBSCRIPTIONS -COMPANY MEMBERSHIP</v>
          </cell>
          <cell r="D1173">
            <v>0</v>
          </cell>
          <cell r="E1173">
            <v>0</v>
          </cell>
          <cell r="F1173">
            <v>0</v>
          </cell>
          <cell r="G1173">
            <v>0</v>
          </cell>
        </row>
        <row r="1174">
          <cell r="A1174" t="str">
            <v>155-10-030</v>
          </cell>
          <cell r="B1174">
            <v>90</v>
          </cell>
          <cell r="C1174" t="str">
            <v>TRAVELLING &amp; ACCOMMODATION</v>
          </cell>
          <cell r="D1174">
            <v>35800</v>
          </cell>
          <cell r="E1174">
            <v>8250</v>
          </cell>
          <cell r="F1174">
            <v>14142.857142857145</v>
          </cell>
          <cell r="G1174">
            <v>2.531313131313131</v>
          </cell>
          <cell r="H1174" t="str">
            <v>We have included accomodation during branch Zone meetings.</v>
          </cell>
        </row>
        <row r="1175">
          <cell r="A1175" t="str">
            <v>155-10-032</v>
          </cell>
          <cell r="B1175">
            <v>90</v>
          </cell>
          <cell r="C1175" t="str">
            <v xml:space="preserve">MOTOR CAR EXPENSES </v>
          </cell>
          <cell r="D1175">
            <v>0</v>
          </cell>
          <cell r="E1175">
            <v>0</v>
          </cell>
          <cell r="F1175">
            <v>0</v>
          </cell>
          <cell r="G1175">
            <v>0</v>
          </cell>
        </row>
        <row r="1176">
          <cell r="A1176" t="str">
            <v>155-10-040</v>
          </cell>
          <cell r="B1176">
            <v>90</v>
          </cell>
          <cell r="C1176" t="str">
            <v>POSTAGE</v>
          </cell>
          <cell r="D1176">
            <v>2400</v>
          </cell>
          <cell r="E1176">
            <v>0</v>
          </cell>
          <cell r="F1176">
            <v>0</v>
          </cell>
          <cell r="G1176">
            <v>0</v>
          </cell>
        </row>
        <row r="1177">
          <cell r="A1177" t="str">
            <v>155-10-041</v>
          </cell>
          <cell r="B1177">
            <v>90</v>
          </cell>
          <cell r="C1177" t="str">
            <v>TELEPHONE &amp; FAX</v>
          </cell>
          <cell r="D1177">
            <v>96000</v>
          </cell>
          <cell r="E1177">
            <v>35000</v>
          </cell>
          <cell r="F1177">
            <v>60000</v>
          </cell>
          <cell r="G1177">
            <v>1.6</v>
          </cell>
          <cell r="H1177" t="str">
            <v>The current cost allocation may need to be adjusted as the allocation per month may not be reflecting.</v>
          </cell>
        </row>
        <row r="1178">
          <cell r="A1178" t="str">
            <v>155-10-044</v>
          </cell>
          <cell r="B1178">
            <v>90</v>
          </cell>
          <cell r="C1178" t="str">
            <v>PROFFESSIONAL TRAINING</v>
          </cell>
          <cell r="D1178">
            <v>0</v>
          </cell>
          <cell r="E1178">
            <v>0</v>
          </cell>
          <cell r="F1178">
            <v>0</v>
          </cell>
          <cell r="G1178">
            <v>0</v>
          </cell>
        </row>
        <row r="1179">
          <cell r="A1179" t="str">
            <v>155-10-046</v>
          </cell>
          <cell r="B1179">
            <v>90</v>
          </cell>
          <cell r="C1179" t="str">
            <v xml:space="preserve">SUBSCRIPTION- STAFF CLUB MEMBERSHIP </v>
          </cell>
          <cell r="D1179">
            <v>44000</v>
          </cell>
          <cell r="E1179">
            <v>0</v>
          </cell>
          <cell r="F1179">
            <v>0</v>
          </cell>
          <cell r="G1179">
            <v>0</v>
          </cell>
        </row>
        <row r="1180">
          <cell r="A1180" t="str">
            <v>155-10-054</v>
          </cell>
          <cell r="B1180">
            <v>90</v>
          </cell>
          <cell r="C1180" t="str">
            <v>LEASED LINES-INTERNET SERVICES</v>
          </cell>
          <cell r="D1180">
            <v>0</v>
          </cell>
          <cell r="E1180">
            <v>0</v>
          </cell>
          <cell r="F1180">
            <v>0</v>
          </cell>
          <cell r="G1180">
            <v>0</v>
          </cell>
        </row>
        <row r="1181">
          <cell r="A1181" t="str">
            <v>155-10-057</v>
          </cell>
          <cell r="B1181">
            <v>90</v>
          </cell>
          <cell r="C1181" t="str">
            <v>SOFTWARE LICENCES</v>
          </cell>
          <cell r="D1181">
            <v>0</v>
          </cell>
          <cell r="E1181">
            <v>0</v>
          </cell>
          <cell r="F1181">
            <v>0</v>
          </cell>
          <cell r="G1181">
            <v>0</v>
          </cell>
        </row>
        <row r="1182">
          <cell r="A1182" t="str">
            <v>155-10-059</v>
          </cell>
          <cell r="B1182">
            <v>90</v>
          </cell>
          <cell r="E1182">
            <v>0</v>
          </cell>
          <cell r="G1182">
            <v>0</v>
          </cell>
        </row>
        <row r="1183">
          <cell r="A1183" t="str">
            <v>155-10-060</v>
          </cell>
          <cell r="B1183">
            <v>90</v>
          </cell>
          <cell r="E1183">
            <v>0</v>
          </cell>
          <cell r="G1183">
            <v>0</v>
          </cell>
        </row>
        <row r="1184">
          <cell r="A1184" t="str">
            <v>155-10-062</v>
          </cell>
          <cell r="B1184">
            <v>90</v>
          </cell>
          <cell r="C1184" t="str">
            <v>EDUCATION EXPENSES</v>
          </cell>
          <cell r="D1184">
            <v>0</v>
          </cell>
          <cell r="E1184">
            <v>0</v>
          </cell>
          <cell r="F1184">
            <v>0</v>
          </cell>
          <cell r="G1184">
            <v>0</v>
          </cell>
        </row>
        <row r="1185">
          <cell r="A1185" t="str">
            <v>160-10-010</v>
          </cell>
          <cell r="B1185">
            <v>90</v>
          </cell>
          <cell r="E1185">
            <v>0</v>
          </cell>
          <cell r="G1185">
            <v>0</v>
          </cell>
        </row>
        <row r="1186">
          <cell r="A1186" t="str">
            <v>105-10-010</v>
          </cell>
          <cell r="B1186">
            <v>110</v>
          </cell>
          <cell r="C1186" t="str">
            <v>BASIC SALARY</v>
          </cell>
          <cell r="D1186">
            <v>247887.96</v>
          </cell>
          <cell r="E1186">
            <v>131000</v>
          </cell>
          <cell r="F1186">
            <v>219500</v>
          </cell>
          <cell r="G1186">
            <v>1.1293301138952165</v>
          </cell>
        </row>
        <row r="1187">
          <cell r="A1187" t="str">
            <v>105-10-012</v>
          </cell>
          <cell r="B1187">
            <v>110</v>
          </cell>
          <cell r="C1187" t="str">
            <v>PROVISION FOR MORT. RATE ADJUSTMENTS</v>
          </cell>
          <cell r="D1187">
            <v>0</v>
          </cell>
          <cell r="E1187">
            <v>0</v>
          </cell>
          <cell r="F1187">
            <v>0</v>
          </cell>
          <cell r="G1187">
            <v>0</v>
          </cell>
        </row>
        <row r="1188">
          <cell r="A1188" t="str">
            <v>105-10-020</v>
          </cell>
          <cell r="B1188">
            <v>110</v>
          </cell>
          <cell r="C1188" t="str">
            <v>HOUSE ALLOWANCE</v>
          </cell>
          <cell r="D1188">
            <v>31200</v>
          </cell>
          <cell r="E1188">
            <v>18000</v>
          </cell>
          <cell r="F1188">
            <v>31000</v>
          </cell>
          <cell r="G1188">
            <v>1.0064516129032257</v>
          </cell>
        </row>
        <row r="1189">
          <cell r="A1189" t="str">
            <v>105-10-030</v>
          </cell>
          <cell r="B1189">
            <v>110</v>
          </cell>
          <cell r="C1189" t="str">
            <v>TELEPHONE ALLOWANCE</v>
          </cell>
          <cell r="D1189">
            <v>0</v>
          </cell>
          <cell r="E1189">
            <v>0</v>
          </cell>
          <cell r="F1189">
            <v>0</v>
          </cell>
          <cell r="G1189">
            <v>0</v>
          </cell>
        </row>
        <row r="1190">
          <cell r="A1190" t="str">
            <v>105-10-040</v>
          </cell>
          <cell r="B1190">
            <v>110</v>
          </cell>
          <cell r="C1190" t="str">
            <v>SECURITY ALLOWANCE</v>
          </cell>
          <cell r="D1190">
            <v>0</v>
          </cell>
          <cell r="E1190">
            <v>0</v>
          </cell>
          <cell r="F1190">
            <v>0</v>
          </cell>
          <cell r="G1190">
            <v>0</v>
          </cell>
        </row>
        <row r="1191">
          <cell r="A1191" t="str">
            <v>105-10-050</v>
          </cell>
          <cell r="B1191">
            <v>110</v>
          </cell>
          <cell r="C1191" t="str">
            <v>EDUCATION ALLOWANCE</v>
          </cell>
          <cell r="D1191">
            <v>0</v>
          </cell>
          <cell r="E1191">
            <v>0</v>
          </cell>
          <cell r="F1191">
            <v>0</v>
          </cell>
          <cell r="G1191">
            <v>0</v>
          </cell>
        </row>
        <row r="1192">
          <cell r="A1192" t="str">
            <v>105-10-060</v>
          </cell>
          <cell r="B1192">
            <v>110</v>
          </cell>
          <cell r="C1192" t="str">
            <v>TRAVEL ALLOWANCE</v>
          </cell>
          <cell r="D1192">
            <v>0</v>
          </cell>
          <cell r="E1192">
            <v>0</v>
          </cell>
          <cell r="F1192">
            <v>0</v>
          </cell>
          <cell r="G1192">
            <v>0</v>
          </cell>
        </row>
        <row r="1193">
          <cell r="A1193" t="str">
            <v>105-20-010</v>
          </cell>
          <cell r="B1193">
            <v>110</v>
          </cell>
          <cell r="C1193" t="str">
            <v>NSSF</v>
          </cell>
          <cell r="D1193">
            <v>2400</v>
          </cell>
          <cell r="E1193">
            <v>1000</v>
          </cell>
          <cell r="F1193">
            <v>2000</v>
          </cell>
          <cell r="G1193">
            <v>1.2</v>
          </cell>
        </row>
        <row r="1194">
          <cell r="A1194" t="str">
            <v>105-20-020</v>
          </cell>
          <cell r="B1194">
            <v>110</v>
          </cell>
          <cell r="C1194" t="str">
            <v>NHIF</v>
          </cell>
          <cell r="D1194">
            <v>2880</v>
          </cell>
          <cell r="E1194">
            <v>2000</v>
          </cell>
          <cell r="F1194">
            <v>3200</v>
          </cell>
          <cell r="G1194">
            <v>0.9</v>
          </cell>
        </row>
        <row r="1195">
          <cell r="A1195" t="str">
            <v>105-30-010</v>
          </cell>
          <cell r="B1195">
            <v>110</v>
          </cell>
          <cell r="C1195" t="str">
            <v xml:space="preserve">PENSION </v>
          </cell>
          <cell r="D1195">
            <v>29736</v>
          </cell>
          <cell r="E1195">
            <v>12169</v>
          </cell>
          <cell r="F1195">
            <v>12169</v>
          </cell>
          <cell r="G1195">
            <v>2.4435861615580579</v>
          </cell>
        </row>
        <row r="1196">
          <cell r="A1196" t="str">
            <v>105-30-020</v>
          </cell>
          <cell r="B1196">
            <v>110</v>
          </cell>
          <cell r="C1196" t="str">
            <v>LAST EXPENSE</v>
          </cell>
          <cell r="D1196">
            <v>750</v>
          </cell>
          <cell r="E1196">
            <v>750</v>
          </cell>
          <cell r="F1196">
            <v>750</v>
          </cell>
          <cell r="G1196">
            <v>1</v>
          </cell>
        </row>
        <row r="1197">
          <cell r="A1197" t="str">
            <v>105-30-030</v>
          </cell>
          <cell r="B1197">
            <v>110</v>
          </cell>
          <cell r="C1197" t="str">
            <v>GROUP LIFE ASSURANCE</v>
          </cell>
          <cell r="D1197">
            <v>2420.5100000000002</v>
          </cell>
          <cell r="E1197">
            <v>2000</v>
          </cell>
          <cell r="F1197">
            <v>3428.5714285714284</v>
          </cell>
          <cell r="G1197">
            <v>0.70598208333333345</v>
          </cell>
        </row>
        <row r="1198">
          <cell r="A1198" t="str">
            <v>105-30-040</v>
          </cell>
          <cell r="B1198">
            <v>110</v>
          </cell>
          <cell r="C1198" t="str">
            <v>STAFF MEDICAL</v>
          </cell>
          <cell r="D1198">
            <v>0</v>
          </cell>
          <cell r="E1198">
            <v>0</v>
          </cell>
          <cell r="F1198">
            <v>0</v>
          </cell>
          <cell r="G1198">
            <v>0</v>
          </cell>
        </row>
        <row r="1199">
          <cell r="A1199" t="str">
            <v>105-30-050</v>
          </cell>
          <cell r="B1199">
            <v>110</v>
          </cell>
          <cell r="C1199" t="str">
            <v>CASH IN LIEU OF LEAVE</v>
          </cell>
          <cell r="D1199">
            <v>5947.2</v>
          </cell>
          <cell r="E1199">
            <v>7000</v>
          </cell>
          <cell r="F1199">
            <v>12000</v>
          </cell>
          <cell r="G1199">
            <v>0.49560000000000004</v>
          </cell>
        </row>
        <row r="1200">
          <cell r="A1200" t="str">
            <v>105-30-060</v>
          </cell>
          <cell r="B1200">
            <v>110</v>
          </cell>
          <cell r="C1200" t="str">
            <v>GRATUITY</v>
          </cell>
          <cell r="E1200">
            <v>0</v>
          </cell>
          <cell r="F1200">
            <v>0</v>
          </cell>
          <cell r="G1200">
            <v>0</v>
          </cell>
        </row>
        <row r="1201">
          <cell r="A1201" t="str">
            <v>105-30-070</v>
          </cell>
          <cell r="B1201">
            <v>110</v>
          </cell>
          <cell r="C1201" t="str">
            <v>LONG SERVICE AWARDS</v>
          </cell>
          <cell r="D1201">
            <v>0</v>
          </cell>
          <cell r="E1201">
            <v>0</v>
          </cell>
          <cell r="F1201">
            <v>0</v>
          </cell>
          <cell r="G1201">
            <v>0</v>
          </cell>
        </row>
        <row r="1202">
          <cell r="A1202" t="str">
            <v>105-30-080</v>
          </cell>
          <cell r="B1202">
            <v>110</v>
          </cell>
          <cell r="C1202" t="str">
            <v>STAFF RECRUITMENT &amp; REMOVALS</v>
          </cell>
          <cell r="D1202">
            <v>0</v>
          </cell>
          <cell r="E1202">
            <v>0</v>
          </cell>
          <cell r="F1202">
            <v>0</v>
          </cell>
          <cell r="G1202">
            <v>0</v>
          </cell>
        </row>
        <row r="1203">
          <cell r="A1203" t="str">
            <v>115-10-010</v>
          </cell>
          <cell r="B1203">
            <v>110</v>
          </cell>
          <cell r="D1203">
            <v>0</v>
          </cell>
          <cell r="E1203">
            <v>0</v>
          </cell>
          <cell r="F1203">
            <v>0</v>
          </cell>
          <cell r="G1203">
            <v>0</v>
          </cell>
        </row>
        <row r="1204">
          <cell r="A1204" t="str">
            <v>115-10-010</v>
          </cell>
          <cell r="B1204">
            <v>110</v>
          </cell>
          <cell r="D1204">
            <v>0</v>
          </cell>
          <cell r="F1204">
            <v>0</v>
          </cell>
          <cell r="G1204">
            <v>0</v>
          </cell>
        </row>
        <row r="1205">
          <cell r="A1205" t="str">
            <v>115-10-020</v>
          </cell>
          <cell r="B1205">
            <v>110</v>
          </cell>
          <cell r="D1205">
            <v>0</v>
          </cell>
          <cell r="E1205">
            <v>0</v>
          </cell>
          <cell r="F1205">
            <v>0</v>
          </cell>
          <cell r="G1205">
            <v>0</v>
          </cell>
        </row>
        <row r="1206">
          <cell r="A1206" t="str">
            <v>115-10-020</v>
          </cell>
          <cell r="B1206">
            <v>110</v>
          </cell>
          <cell r="D1206">
            <v>0</v>
          </cell>
          <cell r="G1206">
            <v>0</v>
          </cell>
        </row>
        <row r="1207">
          <cell r="A1207" t="str">
            <v>115-10-030</v>
          </cell>
          <cell r="B1207">
            <v>110</v>
          </cell>
          <cell r="D1207">
            <v>0</v>
          </cell>
          <cell r="E1207">
            <v>0</v>
          </cell>
          <cell r="F1207">
            <v>0</v>
          </cell>
          <cell r="G1207">
            <v>0</v>
          </cell>
        </row>
        <row r="1208">
          <cell r="A1208" t="str">
            <v>115-10-030</v>
          </cell>
          <cell r="B1208">
            <v>110</v>
          </cell>
          <cell r="D1208">
            <v>0</v>
          </cell>
          <cell r="F1208">
            <v>0</v>
          </cell>
          <cell r="G1208">
            <v>0</v>
          </cell>
        </row>
        <row r="1209">
          <cell r="A1209" t="str">
            <v>115-10-040</v>
          </cell>
          <cell r="B1209">
            <v>110</v>
          </cell>
          <cell r="D1209">
            <v>324576</v>
          </cell>
          <cell r="E1209">
            <v>190000</v>
          </cell>
          <cell r="F1209">
            <v>325714.28571428568</v>
          </cell>
          <cell r="G1209">
            <v>0.99650526315789489</v>
          </cell>
          <cell r="H1209" t="str">
            <v>We have used the rate at which we currently pay</v>
          </cell>
        </row>
        <row r="1210">
          <cell r="A1210" t="str">
            <v>115-10-040</v>
          </cell>
          <cell r="B1210">
            <v>110</v>
          </cell>
          <cell r="D1210">
            <v>0</v>
          </cell>
          <cell r="F1210">
            <v>0</v>
          </cell>
          <cell r="G1210">
            <v>0</v>
          </cell>
        </row>
        <row r="1211">
          <cell r="A1211" t="str">
            <v>115-10-050</v>
          </cell>
          <cell r="B1211">
            <v>110</v>
          </cell>
          <cell r="C1211" t="str">
            <v>OFFICE CATERING &amp; STAFF WELFARE</v>
          </cell>
          <cell r="D1211">
            <v>62700</v>
          </cell>
          <cell r="E1211">
            <v>58666.666666666664</v>
          </cell>
          <cell r="F1211">
            <v>100571.42857142855</v>
          </cell>
          <cell r="G1211">
            <v>0.62343749999999998</v>
          </cell>
          <cell r="H1211" t="str">
            <v>BEFORE WE HAD ONLY TWO ACTIVE UNIT BUT NOW WE HAVE FOUR</v>
          </cell>
        </row>
        <row r="1212">
          <cell r="A1212" t="str">
            <v>115-10-051</v>
          </cell>
          <cell r="B1212">
            <v>110</v>
          </cell>
          <cell r="C1212" t="str">
            <v>OFFICE CLEANING</v>
          </cell>
          <cell r="D1212">
            <v>36000</v>
          </cell>
          <cell r="E1212">
            <v>0</v>
          </cell>
          <cell r="F1212">
            <v>0</v>
          </cell>
          <cell r="G1212">
            <v>0</v>
          </cell>
        </row>
        <row r="1213">
          <cell r="A1213" t="str">
            <v>115-10-060</v>
          </cell>
          <cell r="B1213">
            <v>110</v>
          </cell>
          <cell r="C1213" t="str">
            <v>OFFICE WATER</v>
          </cell>
          <cell r="D1213">
            <v>0</v>
          </cell>
          <cell r="E1213">
            <v>0</v>
          </cell>
          <cell r="F1213">
            <v>0</v>
          </cell>
          <cell r="G1213">
            <v>0</v>
          </cell>
        </row>
        <row r="1214">
          <cell r="A1214" t="str">
            <v>115-10-070</v>
          </cell>
          <cell r="B1214">
            <v>110</v>
          </cell>
          <cell r="C1214" t="str">
            <v>OFFICE ELECTRICITY</v>
          </cell>
          <cell r="D1214">
            <v>0</v>
          </cell>
          <cell r="E1214">
            <v>3000</v>
          </cell>
          <cell r="F1214">
            <v>5142.8571428571431</v>
          </cell>
          <cell r="G1214">
            <v>0</v>
          </cell>
        </row>
        <row r="1215">
          <cell r="A1215" t="str">
            <v>115-10-080</v>
          </cell>
          <cell r="B1215">
            <v>110</v>
          </cell>
          <cell r="C1215" t="str">
            <v>OFFICE SECURITY</v>
          </cell>
          <cell r="D1215">
            <v>24600</v>
          </cell>
          <cell r="E1215">
            <v>0</v>
          </cell>
          <cell r="F1215">
            <v>0</v>
          </cell>
          <cell r="G1215">
            <v>0</v>
          </cell>
        </row>
        <row r="1216">
          <cell r="A1216" t="str">
            <v>125-10-010</v>
          </cell>
          <cell r="B1216">
            <v>110</v>
          </cell>
          <cell r="C1216" t="str">
            <v>BANK CHARGES</v>
          </cell>
          <cell r="D1216">
            <v>36000</v>
          </cell>
          <cell r="E1216">
            <v>22000</v>
          </cell>
          <cell r="F1216">
            <v>25000</v>
          </cell>
          <cell r="G1216">
            <v>1.44</v>
          </cell>
        </row>
        <row r="1217">
          <cell r="A1217" t="str">
            <v>125-10-020</v>
          </cell>
          <cell r="B1217">
            <v>110</v>
          </cell>
          <cell r="C1217" t="str">
            <v>BANK OVERDRART CHARGES</v>
          </cell>
          <cell r="E1217">
            <v>0</v>
          </cell>
          <cell r="F1217">
            <v>0</v>
          </cell>
          <cell r="G1217">
            <v>0</v>
          </cell>
        </row>
        <row r="1218">
          <cell r="A1218" t="str">
            <v>135-60-030</v>
          </cell>
          <cell r="B1218">
            <v>110</v>
          </cell>
          <cell r="C1218" t="str">
            <v>SALES PROMOTIONS &amp; COMPETITION</v>
          </cell>
          <cell r="D1218">
            <v>0</v>
          </cell>
          <cell r="E1218">
            <v>0</v>
          </cell>
          <cell r="F1218">
            <v>0</v>
          </cell>
          <cell r="G1218">
            <v>0</v>
          </cell>
        </row>
        <row r="1219">
          <cell r="A1219" t="str">
            <v>135-70-010</v>
          </cell>
          <cell r="B1219">
            <v>110</v>
          </cell>
          <cell r="C1219" t="str">
            <v>AGENCY PENSION</v>
          </cell>
          <cell r="D1219">
            <v>0</v>
          </cell>
          <cell r="E1219">
            <v>0</v>
          </cell>
          <cell r="F1219">
            <v>0</v>
          </cell>
          <cell r="G1219">
            <v>0</v>
          </cell>
        </row>
        <row r="1220">
          <cell r="A1220" t="str">
            <v>135-70-020</v>
          </cell>
          <cell r="B1220">
            <v>110</v>
          </cell>
          <cell r="C1220" t="str">
            <v>AGENCY GLA</v>
          </cell>
          <cell r="D1220">
            <v>0</v>
          </cell>
          <cell r="E1220">
            <v>0</v>
          </cell>
          <cell r="F1220">
            <v>0</v>
          </cell>
          <cell r="G1220">
            <v>0</v>
          </cell>
        </row>
        <row r="1221">
          <cell r="A1221" t="str">
            <v>135-70-030</v>
          </cell>
          <cell r="B1221">
            <v>110</v>
          </cell>
          <cell r="C1221" t="str">
            <v>AGENCY MEDICAL</v>
          </cell>
          <cell r="D1221">
            <v>0</v>
          </cell>
          <cell r="E1221">
            <v>0</v>
          </cell>
          <cell r="F1221">
            <v>0</v>
          </cell>
          <cell r="G1221">
            <v>0</v>
          </cell>
        </row>
        <row r="1222">
          <cell r="A1222" t="str">
            <v>135-70-040</v>
          </cell>
          <cell r="B1222">
            <v>110</v>
          </cell>
          <cell r="C1222" t="str">
            <v>AGENCY LAST EXPENSE</v>
          </cell>
          <cell r="D1222">
            <v>0</v>
          </cell>
          <cell r="E1222">
            <v>0</v>
          </cell>
          <cell r="F1222">
            <v>0</v>
          </cell>
          <cell r="G1222">
            <v>0</v>
          </cell>
        </row>
        <row r="1223">
          <cell r="A1223" t="str">
            <v>145-10-030</v>
          </cell>
          <cell r="B1223">
            <v>110</v>
          </cell>
          <cell r="C1223" t="str">
            <v>Audit fee -individual life</v>
          </cell>
          <cell r="D1223">
            <v>0</v>
          </cell>
          <cell r="E1223">
            <v>0</v>
          </cell>
          <cell r="F1223">
            <v>0</v>
          </cell>
          <cell r="G1223">
            <v>0</v>
          </cell>
        </row>
        <row r="1224">
          <cell r="A1224" t="str">
            <v>145-10-031</v>
          </cell>
          <cell r="B1224">
            <v>110</v>
          </cell>
          <cell r="C1224" t="str">
            <v>Tax filing returns</v>
          </cell>
          <cell r="D1224">
            <v>0</v>
          </cell>
          <cell r="E1224">
            <v>0</v>
          </cell>
          <cell r="F1224">
            <v>0</v>
          </cell>
          <cell r="G1224">
            <v>0</v>
          </cell>
        </row>
        <row r="1225">
          <cell r="A1225" t="str">
            <v>145-10-060</v>
          </cell>
          <cell r="B1225">
            <v>110</v>
          </cell>
          <cell r="C1225" t="str">
            <v>Intra company charges- individual life</v>
          </cell>
          <cell r="G1225">
            <v>0</v>
          </cell>
        </row>
        <row r="1226">
          <cell r="A1226" t="str">
            <v>145-10-060</v>
          </cell>
          <cell r="B1226">
            <v>110</v>
          </cell>
          <cell r="E1226">
            <v>0</v>
          </cell>
          <cell r="G1226">
            <v>0</v>
          </cell>
        </row>
        <row r="1227">
          <cell r="A1227" t="str">
            <v>145-10-080</v>
          </cell>
          <cell r="B1227">
            <v>110</v>
          </cell>
          <cell r="C1227" t="str">
            <v>40% Excutive recharge</v>
          </cell>
          <cell r="F1227">
            <v>0</v>
          </cell>
          <cell r="G1227">
            <v>0</v>
          </cell>
        </row>
        <row r="1228">
          <cell r="A1228" t="str">
            <v>145-10-080</v>
          </cell>
          <cell r="B1228">
            <v>110</v>
          </cell>
          <cell r="C1228" t="str">
            <v xml:space="preserve">Recharges: 10% recharge to Corporate </v>
          </cell>
          <cell r="E1228">
            <v>0</v>
          </cell>
          <cell r="G1228">
            <v>0</v>
          </cell>
        </row>
        <row r="1229">
          <cell r="A1229" t="str">
            <v>145-10-100</v>
          </cell>
          <cell r="B1229">
            <v>110</v>
          </cell>
          <cell r="E1229">
            <v>0</v>
          </cell>
          <cell r="G1229">
            <v>0</v>
          </cell>
        </row>
        <row r="1230">
          <cell r="A1230" t="str">
            <v>155-10-007</v>
          </cell>
          <cell r="B1230">
            <v>110</v>
          </cell>
          <cell r="C1230" t="str">
            <v>NEWSPAPERS &amp; JOURNALS</v>
          </cell>
          <cell r="D1230">
            <v>10560</v>
          </cell>
          <cell r="E1230">
            <v>6000</v>
          </cell>
          <cell r="F1230">
            <v>10285.714285714286</v>
          </cell>
          <cell r="G1230">
            <v>1.0266666666666666</v>
          </cell>
          <cell r="H1230" t="str">
            <v>We have budget for only one paper per day for the year using the given rates</v>
          </cell>
        </row>
        <row r="1231">
          <cell r="A1231" t="str">
            <v>155-10-008</v>
          </cell>
          <cell r="B1231">
            <v>110</v>
          </cell>
          <cell r="C1231" t="str">
            <v>ENTERTAINMENT &amp; DONATIONS</v>
          </cell>
          <cell r="D1231">
            <v>15000</v>
          </cell>
          <cell r="E1231">
            <v>6000</v>
          </cell>
          <cell r="F1231">
            <v>10285.714285714286</v>
          </cell>
          <cell r="G1231">
            <v>1.4583333333333333</v>
          </cell>
          <cell r="H1231" t="str">
            <v>THIS WILL FACILITATE OPENING OF LOCAL CHECK-OFFS</v>
          </cell>
        </row>
        <row r="1232">
          <cell r="A1232" t="str">
            <v>155-10-009</v>
          </cell>
          <cell r="B1232">
            <v>110</v>
          </cell>
          <cell r="C1232" t="str">
            <v>COURIER &amp; FREIGHT CHARGES</v>
          </cell>
          <cell r="D1232">
            <v>21261.599999999999</v>
          </cell>
          <cell r="E1232">
            <v>12000</v>
          </cell>
          <cell r="F1232">
            <v>20571.428571428572</v>
          </cell>
          <cell r="G1232">
            <v>1.03355</v>
          </cell>
          <cell r="H1232" t="str">
            <v>we have used the rates given on the attached notes.</v>
          </cell>
        </row>
        <row r="1233">
          <cell r="A1233" t="str">
            <v>155-10-010</v>
          </cell>
          <cell r="B1233">
            <v>110</v>
          </cell>
          <cell r="C1233" t="str">
            <v>ADVERTISING &amp; PUBLICITY</v>
          </cell>
          <cell r="D1233">
            <v>0</v>
          </cell>
          <cell r="E1233">
            <v>0</v>
          </cell>
          <cell r="F1233">
            <v>0</v>
          </cell>
          <cell r="G1233">
            <v>0</v>
          </cell>
        </row>
        <row r="1234">
          <cell r="A1234" t="str">
            <v>155-10-012</v>
          </cell>
          <cell r="B1234">
            <v>110</v>
          </cell>
          <cell r="C1234" t="str">
            <v>TRADE LICENCES</v>
          </cell>
          <cell r="D1234">
            <v>20000</v>
          </cell>
          <cell r="E1234">
            <v>15000</v>
          </cell>
          <cell r="F1234">
            <v>15000</v>
          </cell>
          <cell r="G1234">
            <v>1.3333333333333333</v>
          </cell>
        </row>
        <row r="1235">
          <cell r="A1235" t="str">
            <v>155-10-013</v>
          </cell>
          <cell r="B1235">
            <v>110</v>
          </cell>
          <cell r="C1235" t="str">
            <v>INSURANCES</v>
          </cell>
          <cell r="D1235">
            <v>0</v>
          </cell>
          <cell r="E1235">
            <v>0</v>
          </cell>
          <cell r="F1235">
            <v>0</v>
          </cell>
          <cell r="G1235">
            <v>0</v>
          </cell>
        </row>
        <row r="1236">
          <cell r="A1236" t="str">
            <v>155-10-014</v>
          </cell>
          <cell r="B1236">
            <v>110</v>
          </cell>
          <cell r="C1236" t="str">
            <v>PHOTOCOPY</v>
          </cell>
          <cell r="D1236">
            <v>0</v>
          </cell>
          <cell r="E1236">
            <v>0</v>
          </cell>
          <cell r="F1236">
            <v>0</v>
          </cell>
          <cell r="G1236">
            <v>0</v>
          </cell>
        </row>
        <row r="1237">
          <cell r="A1237" t="str">
            <v>155-10-015</v>
          </cell>
          <cell r="B1237">
            <v>110</v>
          </cell>
          <cell r="C1237" t="str">
            <v>COMPUTER MAINTAINANCE</v>
          </cell>
          <cell r="D1237">
            <v>9000</v>
          </cell>
          <cell r="E1237">
            <v>0</v>
          </cell>
          <cell r="F1237">
            <v>0</v>
          </cell>
          <cell r="G1237">
            <v>0</v>
          </cell>
        </row>
        <row r="1238">
          <cell r="A1238" t="str">
            <v>155-10-016</v>
          </cell>
          <cell r="B1238">
            <v>110</v>
          </cell>
          <cell r="C1238" t="str">
            <v>EQUIPMENT&amp; FURNITURE REPAIRS &amp; MAINTENANCE</v>
          </cell>
          <cell r="D1238">
            <v>9000</v>
          </cell>
          <cell r="E1238">
            <v>9000</v>
          </cell>
          <cell r="F1238">
            <v>15428.571428571429</v>
          </cell>
          <cell r="G1238">
            <v>0.58333333333333326</v>
          </cell>
          <cell r="H1238" t="str">
            <v>MOST OF OUR OFFICE FURNITURE ARE TORN HENCE CREATING A BAD IMAGE</v>
          </cell>
        </row>
        <row r="1239">
          <cell r="A1239" t="str">
            <v>155-10-017</v>
          </cell>
          <cell r="B1239">
            <v>110</v>
          </cell>
          <cell r="C1239" t="str">
            <v>SEMINARS &amp; SHORT TERM COURSES</v>
          </cell>
          <cell r="D1239">
            <v>9000</v>
          </cell>
          <cell r="E1239">
            <v>6000</v>
          </cell>
          <cell r="F1239">
            <v>10285.714285714286</v>
          </cell>
          <cell r="G1239">
            <v>0.875</v>
          </cell>
        </row>
        <row r="1240">
          <cell r="A1240" t="str">
            <v>155-10-022</v>
          </cell>
          <cell r="B1240">
            <v>110</v>
          </cell>
          <cell r="C1240" t="str">
            <v>PRINTING &amp; STATIONERY</v>
          </cell>
          <cell r="D1240">
            <v>116875.5</v>
          </cell>
          <cell r="E1240">
            <v>54000</v>
          </cell>
          <cell r="F1240">
            <v>92571.42857142858</v>
          </cell>
          <cell r="G1240">
            <v>1.2625439814814814</v>
          </cell>
          <cell r="H1240" t="str">
            <v>This is because of the increasing number of agents in the branch</v>
          </cell>
        </row>
        <row r="1241">
          <cell r="A1241" t="str">
            <v>155-10-025</v>
          </cell>
          <cell r="B1241">
            <v>110</v>
          </cell>
          <cell r="C1241" t="str">
            <v>STRATEGIC PLANNING</v>
          </cell>
          <cell r="D1241">
            <v>0</v>
          </cell>
          <cell r="E1241">
            <v>0</v>
          </cell>
          <cell r="F1241">
            <v>0</v>
          </cell>
          <cell r="G1241">
            <v>0</v>
          </cell>
        </row>
        <row r="1242">
          <cell r="A1242" t="str">
            <v>155-10-027</v>
          </cell>
          <cell r="B1242">
            <v>110</v>
          </cell>
          <cell r="C1242" t="str">
            <v>PROFESSIONAL SUBSCRIPTIONS</v>
          </cell>
          <cell r="D1242">
            <v>0</v>
          </cell>
          <cell r="E1242">
            <v>0</v>
          </cell>
          <cell r="F1242">
            <v>0</v>
          </cell>
          <cell r="G1242">
            <v>0</v>
          </cell>
        </row>
        <row r="1243">
          <cell r="A1243" t="str">
            <v>155-10-028</v>
          </cell>
          <cell r="B1243">
            <v>110</v>
          </cell>
          <cell r="C1243" t="str">
            <v xml:space="preserve"> SUBSCRIPTIONS -COMPANY MEMBERSHIP</v>
          </cell>
          <cell r="D1243">
            <v>0</v>
          </cell>
          <cell r="E1243">
            <v>0</v>
          </cell>
          <cell r="F1243">
            <v>0</v>
          </cell>
          <cell r="G1243">
            <v>0</v>
          </cell>
        </row>
        <row r="1244">
          <cell r="A1244" t="str">
            <v>155-10-030</v>
          </cell>
          <cell r="B1244">
            <v>110</v>
          </cell>
          <cell r="C1244" t="str">
            <v>TRAVELLING &amp; ACCOMMODATION</v>
          </cell>
          <cell r="D1244">
            <v>64304</v>
          </cell>
          <cell r="E1244">
            <v>31000</v>
          </cell>
          <cell r="F1244">
            <v>53142.857142857145</v>
          </cell>
          <cell r="G1244">
            <v>1.2100215053763441</v>
          </cell>
          <cell r="H1244" t="str">
            <v>This wil cater for our Manager during their Regional Meetings</v>
          </cell>
        </row>
        <row r="1245">
          <cell r="A1245" t="str">
            <v>155-10-032</v>
          </cell>
          <cell r="B1245">
            <v>110</v>
          </cell>
          <cell r="C1245" t="str">
            <v xml:space="preserve">MOTOR CAR EXPENSES </v>
          </cell>
          <cell r="D1245">
            <v>0</v>
          </cell>
          <cell r="E1245">
            <v>0</v>
          </cell>
          <cell r="F1245">
            <v>0</v>
          </cell>
          <cell r="G1245">
            <v>0</v>
          </cell>
        </row>
        <row r="1246">
          <cell r="A1246" t="str">
            <v>155-10-040</v>
          </cell>
          <cell r="B1246">
            <v>110</v>
          </cell>
          <cell r="C1246" t="str">
            <v>POSTAGE</v>
          </cell>
          <cell r="D1246">
            <v>5000</v>
          </cell>
          <cell r="E1246">
            <v>3000</v>
          </cell>
          <cell r="F1246">
            <v>5142.8571428571431</v>
          </cell>
          <cell r="G1246">
            <v>0.97222222222222221</v>
          </cell>
        </row>
        <row r="1247">
          <cell r="A1247" t="str">
            <v>155-10-041</v>
          </cell>
          <cell r="B1247">
            <v>110</v>
          </cell>
          <cell r="C1247" t="str">
            <v>TELEPHONE &amp; FAX</v>
          </cell>
          <cell r="D1247">
            <v>108000</v>
          </cell>
          <cell r="E1247">
            <v>65000</v>
          </cell>
          <cell r="F1247">
            <v>111428.57142857143</v>
          </cell>
          <cell r="G1247">
            <v>0.96923076923076923</v>
          </cell>
          <cell r="H1247" t="str">
            <v>ON THE FORWARDING  LETTER WE ARE INSTRUCTED TO PUT 10,000 PER MONTH FOR THE TELEPHONE</v>
          </cell>
        </row>
        <row r="1248">
          <cell r="A1248" t="str">
            <v>155-10-044</v>
          </cell>
          <cell r="B1248">
            <v>110</v>
          </cell>
          <cell r="C1248" t="str">
            <v>PROFFESSIONAL TRAINING</v>
          </cell>
          <cell r="D1248">
            <v>0</v>
          </cell>
          <cell r="E1248">
            <v>0</v>
          </cell>
          <cell r="F1248">
            <v>0</v>
          </cell>
          <cell r="G1248">
            <v>0</v>
          </cell>
        </row>
        <row r="1249">
          <cell r="A1249" t="str">
            <v>155-10-046</v>
          </cell>
          <cell r="B1249">
            <v>110</v>
          </cell>
          <cell r="C1249" t="str">
            <v xml:space="preserve">SUBSCRIPTION- STAFF CLUB MEMBERSHIP </v>
          </cell>
          <cell r="D1249">
            <v>0</v>
          </cell>
          <cell r="E1249">
            <v>0</v>
          </cell>
          <cell r="F1249">
            <v>0</v>
          </cell>
          <cell r="G1249">
            <v>0</v>
          </cell>
        </row>
        <row r="1250">
          <cell r="A1250" t="str">
            <v>155-10-054</v>
          </cell>
          <cell r="B1250">
            <v>110</v>
          </cell>
          <cell r="C1250" t="str">
            <v>LEASED LINES-INTERNET SERVICES</v>
          </cell>
          <cell r="D1250">
            <v>0</v>
          </cell>
          <cell r="E1250">
            <v>0</v>
          </cell>
          <cell r="F1250">
            <v>0</v>
          </cell>
          <cell r="G1250">
            <v>0</v>
          </cell>
        </row>
        <row r="1251">
          <cell r="A1251" t="str">
            <v>155-10-057</v>
          </cell>
          <cell r="B1251">
            <v>110</v>
          </cell>
          <cell r="C1251" t="str">
            <v>SOFTWARE LICENCES</v>
          </cell>
          <cell r="D1251">
            <v>0</v>
          </cell>
          <cell r="E1251">
            <v>0</v>
          </cell>
          <cell r="F1251">
            <v>0</v>
          </cell>
          <cell r="G1251">
            <v>0</v>
          </cell>
        </row>
        <row r="1252">
          <cell r="A1252" t="str">
            <v>155-10-059</v>
          </cell>
          <cell r="B1252">
            <v>110</v>
          </cell>
          <cell r="E1252">
            <v>0</v>
          </cell>
          <cell r="G1252">
            <v>0</v>
          </cell>
        </row>
        <row r="1253">
          <cell r="A1253" t="str">
            <v>155-10-060</v>
          </cell>
          <cell r="B1253">
            <v>110</v>
          </cell>
          <cell r="E1253">
            <v>0</v>
          </cell>
          <cell r="G1253">
            <v>0</v>
          </cell>
        </row>
        <row r="1254">
          <cell r="A1254" t="str">
            <v>155-10-062</v>
          </cell>
          <cell r="B1254">
            <v>110</v>
          </cell>
          <cell r="C1254" t="str">
            <v>EDUCATION EXPENSES</v>
          </cell>
          <cell r="D1254">
            <v>0</v>
          </cell>
          <cell r="E1254">
            <v>0</v>
          </cell>
          <cell r="F1254">
            <v>0</v>
          </cell>
          <cell r="G1254">
            <v>0</v>
          </cell>
          <cell r="H1254">
            <v>0</v>
          </cell>
        </row>
        <row r="1255">
          <cell r="A1255" t="str">
            <v>160-10-010</v>
          </cell>
          <cell r="B1255">
            <v>110</v>
          </cell>
          <cell r="E1255">
            <v>0</v>
          </cell>
          <cell r="G1255">
            <v>0</v>
          </cell>
        </row>
        <row r="1256">
          <cell r="A1256" t="str">
            <v>105-10-010</v>
          </cell>
          <cell r="B1256">
            <v>120</v>
          </cell>
          <cell r="C1256" t="str">
            <v>BASIC SALARY</v>
          </cell>
          <cell r="D1256">
            <v>403792</v>
          </cell>
          <cell r="E1256">
            <v>143000</v>
          </cell>
          <cell r="F1256">
            <v>289500</v>
          </cell>
          <cell r="G1256">
            <v>1.3947910189982728</v>
          </cell>
          <cell r="H1256" t="str">
            <v>Necessited by the change in the salary of the Customer service support staff.</v>
          </cell>
        </row>
        <row r="1257">
          <cell r="A1257" t="str">
            <v>105-10-012</v>
          </cell>
          <cell r="B1257">
            <v>120</v>
          </cell>
          <cell r="C1257" t="str">
            <v>PROVISION FOR MORT. RATE ADJUSTMENTS</v>
          </cell>
          <cell r="D1257">
            <v>0</v>
          </cell>
          <cell r="E1257">
            <v>0</v>
          </cell>
          <cell r="F1257">
            <v>0</v>
          </cell>
          <cell r="G1257">
            <v>0</v>
          </cell>
        </row>
        <row r="1258">
          <cell r="A1258" t="str">
            <v>105-10-020</v>
          </cell>
          <cell r="B1258">
            <v>120</v>
          </cell>
          <cell r="C1258" t="str">
            <v>HOUSE ALLOWANCE</v>
          </cell>
          <cell r="D1258">
            <v>31200</v>
          </cell>
          <cell r="E1258">
            <v>18000</v>
          </cell>
          <cell r="F1258">
            <v>31000</v>
          </cell>
          <cell r="G1258">
            <v>1.0064516129032257</v>
          </cell>
        </row>
        <row r="1259">
          <cell r="A1259" t="str">
            <v>105-10-030</v>
          </cell>
          <cell r="B1259">
            <v>120</v>
          </cell>
          <cell r="C1259" t="str">
            <v>TELEPHONE ALLOWANCE</v>
          </cell>
          <cell r="D1259">
            <v>0</v>
          </cell>
          <cell r="E1259">
            <v>0</v>
          </cell>
          <cell r="F1259">
            <v>0</v>
          </cell>
          <cell r="G1259">
            <v>0</v>
          </cell>
        </row>
        <row r="1260">
          <cell r="A1260" t="str">
            <v>105-10-040</v>
          </cell>
          <cell r="B1260">
            <v>120</v>
          </cell>
          <cell r="C1260" t="str">
            <v>SECURITY ALLOWANCE</v>
          </cell>
          <cell r="D1260">
            <v>0</v>
          </cell>
          <cell r="E1260">
            <v>0</v>
          </cell>
          <cell r="F1260">
            <v>0</v>
          </cell>
          <cell r="G1260">
            <v>0</v>
          </cell>
        </row>
        <row r="1261">
          <cell r="A1261" t="str">
            <v>105-10-050</v>
          </cell>
          <cell r="B1261">
            <v>120</v>
          </cell>
          <cell r="C1261" t="str">
            <v>EDUCATION ALLOWANCE</v>
          </cell>
          <cell r="D1261">
            <v>0</v>
          </cell>
          <cell r="E1261">
            <v>0</v>
          </cell>
          <cell r="F1261">
            <v>0</v>
          </cell>
          <cell r="G1261">
            <v>0</v>
          </cell>
        </row>
        <row r="1262">
          <cell r="A1262" t="str">
            <v>105-10-060</v>
          </cell>
          <cell r="B1262">
            <v>120</v>
          </cell>
          <cell r="C1262" t="str">
            <v>TRAVEL ALLOWANCE</v>
          </cell>
          <cell r="D1262">
            <v>0</v>
          </cell>
          <cell r="E1262">
            <v>0</v>
          </cell>
          <cell r="F1262">
            <v>0</v>
          </cell>
          <cell r="G1262">
            <v>0</v>
          </cell>
        </row>
        <row r="1263">
          <cell r="A1263" t="str">
            <v>105-20-010</v>
          </cell>
          <cell r="B1263">
            <v>120</v>
          </cell>
          <cell r="C1263" t="str">
            <v>NSSF</v>
          </cell>
          <cell r="D1263">
            <v>2400</v>
          </cell>
          <cell r="E1263">
            <v>1000</v>
          </cell>
          <cell r="F1263">
            <v>2000</v>
          </cell>
          <cell r="G1263">
            <v>1.2</v>
          </cell>
        </row>
        <row r="1264">
          <cell r="A1264" t="str">
            <v>105-20-020</v>
          </cell>
          <cell r="B1264">
            <v>120</v>
          </cell>
          <cell r="C1264" t="str">
            <v>NHIF</v>
          </cell>
          <cell r="D1264">
            <v>2880</v>
          </cell>
          <cell r="E1264">
            <v>2000</v>
          </cell>
          <cell r="F1264">
            <v>3200</v>
          </cell>
          <cell r="G1264">
            <v>0.9</v>
          </cell>
        </row>
        <row r="1265">
          <cell r="A1265" t="str">
            <v>105-30-010</v>
          </cell>
          <cell r="B1265">
            <v>120</v>
          </cell>
          <cell r="C1265" t="str">
            <v xml:space="preserve">PENSION </v>
          </cell>
          <cell r="D1265">
            <v>49224</v>
          </cell>
          <cell r="E1265">
            <v>16000</v>
          </cell>
          <cell r="F1265">
            <v>36510</v>
          </cell>
          <cell r="G1265">
            <v>1.3482333607230896</v>
          </cell>
        </row>
        <row r="1266">
          <cell r="A1266" t="str">
            <v>105-30-020</v>
          </cell>
          <cell r="B1266">
            <v>120</v>
          </cell>
          <cell r="C1266" t="str">
            <v>LAST EXPENSE</v>
          </cell>
          <cell r="D1266">
            <v>0</v>
          </cell>
          <cell r="E1266">
            <v>1000</v>
          </cell>
          <cell r="F1266">
            <v>1714.2857142857142</v>
          </cell>
          <cell r="G1266">
            <v>0</v>
          </cell>
        </row>
        <row r="1267">
          <cell r="A1267" t="str">
            <v>105-30-030</v>
          </cell>
          <cell r="B1267">
            <v>120</v>
          </cell>
          <cell r="C1267" t="str">
            <v>GROUP LIFE ASSURANCE</v>
          </cell>
          <cell r="D1267">
            <v>0</v>
          </cell>
          <cell r="E1267">
            <v>3000</v>
          </cell>
          <cell r="F1267">
            <v>5142.8571428571431</v>
          </cell>
          <cell r="G1267">
            <v>0</v>
          </cell>
        </row>
        <row r="1268">
          <cell r="A1268" t="str">
            <v>105-30-040</v>
          </cell>
          <cell r="B1268">
            <v>120</v>
          </cell>
          <cell r="C1268" t="str">
            <v>STAFF MEDICAL</v>
          </cell>
          <cell r="D1268">
            <v>0</v>
          </cell>
          <cell r="E1268">
            <v>0</v>
          </cell>
          <cell r="F1268">
            <v>0</v>
          </cell>
          <cell r="G1268">
            <v>0</v>
          </cell>
        </row>
        <row r="1269">
          <cell r="A1269" t="str">
            <v>105-30-050</v>
          </cell>
          <cell r="B1269">
            <v>120</v>
          </cell>
          <cell r="C1269" t="str">
            <v>CASH IN LIEU OF LEAVE</v>
          </cell>
          <cell r="D1269">
            <v>9844.7999999999993</v>
          </cell>
          <cell r="E1269">
            <v>8000</v>
          </cell>
          <cell r="F1269">
            <v>13714.285714285714</v>
          </cell>
          <cell r="G1269">
            <v>0.71784999999999999</v>
          </cell>
        </row>
        <row r="1270">
          <cell r="A1270" t="str">
            <v>105-30-060</v>
          </cell>
          <cell r="B1270">
            <v>120</v>
          </cell>
          <cell r="C1270" t="str">
            <v>GRATUITY</v>
          </cell>
          <cell r="E1270">
            <v>0</v>
          </cell>
          <cell r="F1270">
            <v>0</v>
          </cell>
          <cell r="G1270">
            <v>0</v>
          </cell>
        </row>
        <row r="1271">
          <cell r="A1271" t="str">
            <v>105-30-070</v>
          </cell>
          <cell r="B1271">
            <v>120</v>
          </cell>
          <cell r="C1271" t="str">
            <v>LONG SERVICE AWARDS</v>
          </cell>
          <cell r="D1271">
            <v>0</v>
          </cell>
          <cell r="E1271">
            <v>0</v>
          </cell>
          <cell r="F1271">
            <v>0</v>
          </cell>
          <cell r="G1271">
            <v>0</v>
          </cell>
        </row>
        <row r="1272">
          <cell r="A1272" t="str">
            <v>105-30-080</v>
          </cell>
          <cell r="B1272">
            <v>120</v>
          </cell>
          <cell r="C1272" t="str">
            <v>STAFF RECRUITMENT &amp; REMOVALS</v>
          </cell>
          <cell r="D1272">
            <v>0</v>
          </cell>
          <cell r="E1272">
            <v>0</v>
          </cell>
          <cell r="F1272">
            <v>0</v>
          </cell>
          <cell r="G1272">
            <v>0</v>
          </cell>
        </row>
        <row r="1273">
          <cell r="A1273" t="str">
            <v>115-10-010</v>
          </cell>
          <cell r="B1273">
            <v>120</v>
          </cell>
          <cell r="D1273">
            <v>0</v>
          </cell>
          <cell r="E1273">
            <v>0</v>
          </cell>
          <cell r="F1273">
            <v>0</v>
          </cell>
          <cell r="G1273">
            <v>0</v>
          </cell>
        </row>
        <row r="1274">
          <cell r="A1274" t="str">
            <v>115-10-010</v>
          </cell>
          <cell r="B1274">
            <v>120</v>
          </cell>
          <cell r="D1274">
            <v>0</v>
          </cell>
          <cell r="F1274">
            <v>0</v>
          </cell>
          <cell r="G1274">
            <v>0</v>
          </cell>
        </row>
        <row r="1275">
          <cell r="A1275" t="str">
            <v>115-10-020</v>
          </cell>
          <cell r="B1275">
            <v>120</v>
          </cell>
          <cell r="D1275">
            <v>0</v>
          </cell>
          <cell r="E1275">
            <v>0</v>
          </cell>
          <cell r="F1275">
            <v>0</v>
          </cell>
          <cell r="G1275">
            <v>0</v>
          </cell>
        </row>
        <row r="1276">
          <cell r="A1276" t="str">
            <v>115-10-020</v>
          </cell>
          <cell r="B1276">
            <v>120</v>
          </cell>
          <cell r="D1276">
            <v>0</v>
          </cell>
          <cell r="G1276">
            <v>0</v>
          </cell>
        </row>
        <row r="1277">
          <cell r="A1277" t="str">
            <v>115-10-030</v>
          </cell>
          <cell r="B1277">
            <v>120</v>
          </cell>
          <cell r="D1277">
            <v>0</v>
          </cell>
          <cell r="E1277">
            <v>0</v>
          </cell>
          <cell r="F1277">
            <v>0</v>
          </cell>
          <cell r="G1277">
            <v>0</v>
          </cell>
        </row>
        <row r="1278">
          <cell r="A1278" t="str">
            <v>115-10-030</v>
          </cell>
          <cell r="B1278">
            <v>120</v>
          </cell>
          <cell r="D1278">
            <v>0</v>
          </cell>
          <cell r="F1278">
            <v>0</v>
          </cell>
          <cell r="G1278">
            <v>0</v>
          </cell>
        </row>
        <row r="1279">
          <cell r="A1279" t="str">
            <v>115-10-040</v>
          </cell>
          <cell r="B1279">
            <v>120</v>
          </cell>
          <cell r="D1279">
            <v>384000</v>
          </cell>
          <cell r="E1279">
            <v>112000</v>
          </cell>
          <cell r="F1279">
            <v>192000</v>
          </cell>
          <cell r="G1279">
            <v>2</v>
          </cell>
          <cell r="H1279" t="str">
            <v>Cost of new premises significantly higher than current premises.</v>
          </cell>
        </row>
        <row r="1280">
          <cell r="A1280" t="str">
            <v>115-10-040</v>
          </cell>
          <cell r="B1280">
            <v>120</v>
          </cell>
          <cell r="D1280">
            <v>0</v>
          </cell>
          <cell r="F1280">
            <v>0</v>
          </cell>
          <cell r="G1280">
            <v>0</v>
          </cell>
        </row>
        <row r="1281">
          <cell r="A1281" t="str">
            <v>115-10-050</v>
          </cell>
          <cell r="B1281">
            <v>120</v>
          </cell>
          <cell r="C1281" t="str">
            <v>OFFICE CATERING &amp; STAFF WELFARE</v>
          </cell>
          <cell r="D1281">
            <v>74240</v>
          </cell>
          <cell r="E1281">
            <v>51250</v>
          </cell>
          <cell r="F1281">
            <v>87857.142857142855</v>
          </cell>
          <cell r="G1281">
            <v>0.84500813008130082</v>
          </cell>
          <cell r="H1281" t="str">
            <v>Have taken into account refreshments in agents training twice a year.</v>
          </cell>
        </row>
        <row r="1282">
          <cell r="A1282" t="str">
            <v>115-10-051</v>
          </cell>
          <cell r="B1282">
            <v>120</v>
          </cell>
          <cell r="C1282" t="str">
            <v>OFFICE CLEANING</v>
          </cell>
          <cell r="D1282">
            <v>48000</v>
          </cell>
          <cell r="E1282">
            <v>45000</v>
          </cell>
          <cell r="F1282">
            <v>45000</v>
          </cell>
          <cell r="G1282">
            <v>1.0666666666666667</v>
          </cell>
        </row>
        <row r="1283">
          <cell r="A1283" t="str">
            <v>115-10-060</v>
          </cell>
          <cell r="B1283">
            <v>120</v>
          </cell>
          <cell r="C1283" t="str">
            <v>OFFICE WATER</v>
          </cell>
          <cell r="D1283">
            <v>0</v>
          </cell>
          <cell r="G1283">
            <v>0</v>
          </cell>
        </row>
        <row r="1284">
          <cell r="A1284" t="str">
            <v>115-10-070</v>
          </cell>
          <cell r="B1284">
            <v>120</v>
          </cell>
          <cell r="C1284" t="str">
            <v>OFFICE ELECTRICITY</v>
          </cell>
          <cell r="D1284">
            <v>10800</v>
          </cell>
          <cell r="E1284">
            <v>4000</v>
          </cell>
          <cell r="F1284">
            <v>6857.1428571428569</v>
          </cell>
          <cell r="G1284">
            <v>1.575</v>
          </cell>
        </row>
        <row r="1285">
          <cell r="A1285" t="str">
            <v>115-10-080</v>
          </cell>
          <cell r="B1285">
            <v>120</v>
          </cell>
          <cell r="C1285" t="str">
            <v>OFFICE SECURITY</v>
          </cell>
          <cell r="D1285">
            <v>0</v>
          </cell>
          <cell r="E1285">
            <v>0</v>
          </cell>
          <cell r="F1285">
            <v>0</v>
          </cell>
          <cell r="G1285">
            <v>0</v>
          </cell>
        </row>
        <row r="1286">
          <cell r="A1286" t="str">
            <v>125-10-010</v>
          </cell>
          <cell r="B1286">
            <v>120</v>
          </cell>
          <cell r="C1286" t="str">
            <v>BANK CHARGES</v>
          </cell>
          <cell r="D1286">
            <v>24000</v>
          </cell>
          <cell r="E1286">
            <v>12833</v>
          </cell>
          <cell r="F1286">
            <v>22000</v>
          </cell>
          <cell r="G1286">
            <v>1.0909090909090908</v>
          </cell>
        </row>
        <row r="1287">
          <cell r="A1287" t="str">
            <v>125-10-020</v>
          </cell>
          <cell r="B1287">
            <v>120</v>
          </cell>
          <cell r="C1287" t="str">
            <v>BANK OVERDRART CHARGES</v>
          </cell>
          <cell r="E1287">
            <v>0</v>
          </cell>
          <cell r="F1287">
            <v>0</v>
          </cell>
          <cell r="G1287">
            <v>0</v>
          </cell>
        </row>
        <row r="1288">
          <cell r="A1288" t="str">
            <v>135-60-030</v>
          </cell>
          <cell r="B1288">
            <v>120</v>
          </cell>
          <cell r="C1288" t="str">
            <v>SALES PROMOTIONS &amp; COMPETITION</v>
          </cell>
          <cell r="D1288">
            <v>0</v>
          </cell>
          <cell r="E1288">
            <v>0</v>
          </cell>
          <cell r="F1288">
            <v>0</v>
          </cell>
          <cell r="G1288">
            <v>0</v>
          </cell>
        </row>
        <row r="1289">
          <cell r="A1289" t="str">
            <v>135-70-010</v>
          </cell>
          <cell r="B1289">
            <v>120</v>
          </cell>
          <cell r="C1289" t="str">
            <v>AGENCY PENSION</v>
          </cell>
          <cell r="D1289">
            <v>0</v>
          </cell>
          <cell r="E1289">
            <v>0</v>
          </cell>
          <cell r="F1289">
            <v>0</v>
          </cell>
          <cell r="G1289">
            <v>0</v>
          </cell>
        </row>
        <row r="1290">
          <cell r="A1290" t="str">
            <v>135-70-020</v>
          </cell>
          <cell r="B1290">
            <v>120</v>
          </cell>
          <cell r="C1290" t="str">
            <v>AGENCY GLA</v>
          </cell>
          <cell r="D1290">
            <v>0</v>
          </cell>
          <cell r="E1290">
            <v>0</v>
          </cell>
          <cell r="F1290">
            <v>0</v>
          </cell>
          <cell r="G1290">
            <v>0</v>
          </cell>
        </row>
        <row r="1291">
          <cell r="A1291" t="str">
            <v>135-70-030</v>
          </cell>
          <cell r="B1291">
            <v>120</v>
          </cell>
          <cell r="C1291" t="str">
            <v>AGENCY MEDICAL</v>
          </cell>
          <cell r="D1291">
            <v>0</v>
          </cell>
          <cell r="E1291">
            <v>0</v>
          </cell>
          <cell r="F1291">
            <v>0</v>
          </cell>
          <cell r="G1291">
            <v>0</v>
          </cell>
        </row>
        <row r="1292">
          <cell r="A1292" t="str">
            <v>135-70-040</v>
          </cell>
          <cell r="B1292">
            <v>120</v>
          </cell>
          <cell r="C1292" t="str">
            <v>AGENCY LAST EXPENSE</v>
          </cell>
          <cell r="D1292">
            <v>0</v>
          </cell>
          <cell r="E1292">
            <v>0</v>
          </cell>
          <cell r="F1292">
            <v>0</v>
          </cell>
          <cell r="G1292">
            <v>0</v>
          </cell>
        </row>
        <row r="1293">
          <cell r="A1293" t="str">
            <v>145-10-030</v>
          </cell>
          <cell r="B1293">
            <v>120</v>
          </cell>
          <cell r="C1293" t="str">
            <v>Audit fee -individual life</v>
          </cell>
          <cell r="D1293">
            <v>0</v>
          </cell>
          <cell r="E1293">
            <v>0</v>
          </cell>
          <cell r="F1293">
            <v>0</v>
          </cell>
          <cell r="G1293">
            <v>0</v>
          </cell>
        </row>
        <row r="1294">
          <cell r="A1294" t="str">
            <v>145-10-031</v>
          </cell>
          <cell r="B1294">
            <v>120</v>
          </cell>
          <cell r="C1294" t="str">
            <v>Tax filing returns</v>
          </cell>
          <cell r="D1294">
            <v>0</v>
          </cell>
          <cell r="E1294">
            <v>0</v>
          </cell>
          <cell r="F1294">
            <v>0</v>
          </cell>
          <cell r="G1294">
            <v>0</v>
          </cell>
        </row>
        <row r="1295">
          <cell r="A1295" t="str">
            <v>145-10-060</v>
          </cell>
          <cell r="B1295">
            <v>120</v>
          </cell>
          <cell r="C1295" t="str">
            <v>Intra company charges- individual life</v>
          </cell>
          <cell r="G1295">
            <v>0</v>
          </cell>
        </row>
        <row r="1296">
          <cell r="A1296" t="str">
            <v>145-10-060</v>
          </cell>
          <cell r="B1296">
            <v>120</v>
          </cell>
          <cell r="E1296">
            <v>0</v>
          </cell>
          <cell r="G1296">
            <v>0</v>
          </cell>
        </row>
        <row r="1297">
          <cell r="A1297" t="str">
            <v>145-10-080</v>
          </cell>
          <cell r="B1297">
            <v>120</v>
          </cell>
          <cell r="C1297" t="str">
            <v>40% Excutive recharge</v>
          </cell>
          <cell r="F1297">
            <v>0</v>
          </cell>
          <cell r="G1297">
            <v>0</v>
          </cell>
        </row>
        <row r="1298">
          <cell r="A1298" t="str">
            <v>145-10-080</v>
          </cell>
          <cell r="B1298">
            <v>120</v>
          </cell>
          <cell r="C1298" t="str">
            <v xml:space="preserve">Recharges: 10% recharge to Corporate </v>
          </cell>
          <cell r="E1298">
            <v>0</v>
          </cell>
          <cell r="G1298">
            <v>0</v>
          </cell>
        </row>
        <row r="1299">
          <cell r="A1299" t="str">
            <v>145-10-100</v>
          </cell>
          <cell r="B1299">
            <v>120</v>
          </cell>
          <cell r="E1299">
            <v>0</v>
          </cell>
          <cell r="G1299">
            <v>0</v>
          </cell>
        </row>
        <row r="1300">
          <cell r="A1300" t="str">
            <v>155-10-007</v>
          </cell>
          <cell r="B1300">
            <v>120</v>
          </cell>
          <cell r="C1300" t="str">
            <v>NEWSPAPERS &amp; JOURNALS</v>
          </cell>
          <cell r="D1300">
            <v>10560</v>
          </cell>
          <cell r="E1300">
            <v>6000</v>
          </cell>
          <cell r="F1300">
            <v>10285.714285714286</v>
          </cell>
          <cell r="G1300">
            <v>1.0266666666666666</v>
          </cell>
          <cell r="H1300" t="str">
            <v>AT 22 working days, the amount is correct, please check the assumption.</v>
          </cell>
        </row>
        <row r="1301">
          <cell r="A1301" t="str">
            <v>155-10-008</v>
          </cell>
          <cell r="B1301">
            <v>120</v>
          </cell>
          <cell r="C1301" t="str">
            <v>ENTERTAINMENT &amp; DONATIONS</v>
          </cell>
          <cell r="D1301">
            <v>10000</v>
          </cell>
          <cell r="E1301">
            <v>3000</v>
          </cell>
          <cell r="F1301">
            <v>5142.8571428571431</v>
          </cell>
          <cell r="G1301">
            <v>1.9444444444444444</v>
          </cell>
          <cell r="H1301" t="str">
            <v>Will participate in the TSC eastern zone activities to promote sales, and handle LCO's.</v>
          </cell>
        </row>
        <row r="1302">
          <cell r="A1302" t="str">
            <v>155-10-009</v>
          </cell>
          <cell r="B1302">
            <v>120</v>
          </cell>
          <cell r="C1302" t="str">
            <v>COURIER &amp; FREIGHT CHARGES</v>
          </cell>
          <cell r="D1302">
            <v>36960</v>
          </cell>
          <cell r="E1302">
            <v>14000</v>
          </cell>
          <cell r="F1302">
            <v>24000</v>
          </cell>
          <cell r="G1302">
            <v>1.54</v>
          </cell>
          <cell r="H1302" t="str">
            <v>Based on sending mail twice a week.  Please confirm year end assumptions.</v>
          </cell>
        </row>
        <row r="1303">
          <cell r="A1303" t="str">
            <v>155-10-010</v>
          </cell>
          <cell r="B1303">
            <v>120</v>
          </cell>
          <cell r="C1303" t="str">
            <v>ADVERTISING &amp; PUBLICITY</v>
          </cell>
          <cell r="D1303">
            <v>0</v>
          </cell>
          <cell r="E1303">
            <v>0</v>
          </cell>
          <cell r="F1303">
            <v>0</v>
          </cell>
          <cell r="G1303">
            <v>0</v>
          </cell>
        </row>
        <row r="1304">
          <cell r="A1304" t="str">
            <v>155-10-012</v>
          </cell>
          <cell r="B1304">
            <v>120</v>
          </cell>
          <cell r="C1304" t="str">
            <v>TRADE LICENCES</v>
          </cell>
          <cell r="D1304">
            <v>27950</v>
          </cell>
          <cell r="E1304">
            <v>16304.166666666668</v>
          </cell>
          <cell r="F1304">
            <v>27950</v>
          </cell>
          <cell r="G1304">
            <v>1</v>
          </cell>
          <cell r="H1304">
            <v>1</v>
          </cell>
        </row>
        <row r="1305">
          <cell r="A1305" t="str">
            <v>155-10-013</v>
          </cell>
          <cell r="B1305">
            <v>120</v>
          </cell>
          <cell r="C1305" t="str">
            <v>INSURANCES</v>
          </cell>
          <cell r="D1305">
            <v>0</v>
          </cell>
          <cell r="E1305">
            <v>0</v>
          </cell>
          <cell r="F1305">
            <v>0</v>
          </cell>
          <cell r="G1305">
            <v>0</v>
          </cell>
        </row>
        <row r="1306">
          <cell r="A1306" t="str">
            <v>155-10-014</v>
          </cell>
          <cell r="B1306">
            <v>120</v>
          </cell>
          <cell r="C1306" t="str">
            <v>PHOTOCOPY</v>
          </cell>
          <cell r="D1306">
            <v>0</v>
          </cell>
          <cell r="E1306">
            <v>0</v>
          </cell>
          <cell r="F1306">
            <v>0</v>
          </cell>
          <cell r="G1306">
            <v>0</v>
          </cell>
        </row>
        <row r="1307">
          <cell r="A1307" t="str">
            <v>155-10-015</v>
          </cell>
          <cell r="B1307">
            <v>120</v>
          </cell>
          <cell r="C1307" t="str">
            <v>COMPUTER MAINTAINANCE</v>
          </cell>
          <cell r="D1307">
            <v>10000</v>
          </cell>
          <cell r="E1307">
            <v>0</v>
          </cell>
          <cell r="F1307">
            <v>0</v>
          </cell>
          <cell r="G1307">
            <v>0</v>
          </cell>
        </row>
        <row r="1308">
          <cell r="A1308" t="str">
            <v>155-10-016</v>
          </cell>
          <cell r="B1308">
            <v>120</v>
          </cell>
          <cell r="C1308" t="str">
            <v>EQUIPMENT&amp; FURNITURE REPAIRS &amp; MAINTENANCE</v>
          </cell>
          <cell r="D1308">
            <v>6000</v>
          </cell>
          <cell r="E1308">
            <v>2500</v>
          </cell>
          <cell r="F1308">
            <v>4285.7142857142862</v>
          </cell>
          <cell r="G1308">
            <v>1.4</v>
          </cell>
        </row>
        <row r="1309">
          <cell r="A1309" t="str">
            <v>155-10-017</v>
          </cell>
          <cell r="B1309">
            <v>120</v>
          </cell>
          <cell r="C1309" t="str">
            <v>SEMINARS &amp; SHORT TERM COURSES</v>
          </cell>
          <cell r="D1309">
            <v>0</v>
          </cell>
          <cell r="E1309">
            <v>6000</v>
          </cell>
          <cell r="F1309">
            <v>10285.714285714286</v>
          </cell>
          <cell r="G1309">
            <v>0</v>
          </cell>
        </row>
        <row r="1310">
          <cell r="A1310" t="str">
            <v>155-10-022</v>
          </cell>
          <cell r="B1310">
            <v>120</v>
          </cell>
          <cell r="C1310" t="str">
            <v>PRINTING &amp; STATIONERY</v>
          </cell>
          <cell r="D1310">
            <v>107983</v>
          </cell>
          <cell r="E1310">
            <v>33000</v>
          </cell>
          <cell r="F1310">
            <v>56571.42857142858</v>
          </cell>
          <cell r="G1310">
            <v>1.9087904040404038</v>
          </cell>
          <cell r="H1310" t="str">
            <v>The branch had orders left over from last year, thus the assuption fro Ytgo may be wrong.</v>
          </cell>
        </row>
        <row r="1311">
          <cell r="A1311" t="str">
            <v>155-10-025</v>
          </cell>
          <cell r="B1311">
            <v>120</v>
          </cell>
          <cell r="C1311" t="str">
            <v>STRATEGIC PLANNING</v>
          </cell>
          <cell r="D1311">
            <v>0</v>
          </cell>
          <cell r="E1311">
            <v>0</v>
          </cell>
          <cell r="F1311">
            <v>0</v>
          </cell>
          <cell r="G1311">
            <v>0</v>
          </cell>
        </row>
        <row r="1312">
          <cell r="A1312" t="str">
            <v>155-10-027</v>
          </cell>
          <cell r="B1312">
            <v>120</v>
          </cell>
          <cell r="C1312" t="str">
            <v>PROFESSIONAL SUBSCRIPTIONS</v>
          </cell>
          <cell r="D1312">
            <v>0</v>
          </cell>
          <cell r="E1312">
            <v>0</v>
          </cell>
          <cell r="F1312">
            <v>0</v>
          </cell>
          <cell r="G1312">
            <v>0</v>
          </cell>
        </row>
        <row r="1313">
          <cell r="A1313" t="str">
            <v>155-10-028</v>
          </cell>
          <cell r="B1313">
            <v>120</v>
          </cell>
          <cell r="C1313" t="str">
            <v xml:space="preserve"> SUBSCRIPTIONS -COMPANY MEMBERSHIP</v>
          </cell>
          <cell r="D1313">
            <v>0</v>
          </cell>
          <cell r="E1313">
            <v>0</v>
          </cell>
          <cell r="F1313">
            <v>0</v>
          </cell>
          <cell r="G1313">
            <v>0</v>
          </cell>
        </row>
        <row r="1314">
          <cell r="A1314" t="str">
            <v>155-10-030</v>
          </cell>
          <cell r="B1314">
            <v>120</v>
          </cell>
          <cell r="C1314" t="str">
            <v>TRAVELLING &amp; ACCOMMODATION</v>
          </cell>
          <cell r="D1314">
            <v>46968</v>
          </cell>
          <cell r="E1314">
            <v>16000</v>
          </cell>
          <cell r="F1314">
            <v>27428.571428571428</v>
          </cell>
          <cell r="G1314">
            <v>1.712375</v>
          </cell>
          <cell r="H1314" t="str">
            <v>Budgeted for unit managers/ SM's training and zone meetings.</v>
          </cell>
        </row>
        <row r="1315">
          <cell r="A1315" t="str">
            <v>155-10-032</v>
          </cell>
          <cell r="B1315">
            <v>120</v>
          </cell>
          <cell r="C1315" t="str">
            <v xml:space="preserve">MOTOR CAR EXPENSES </v>
          </cell>
          <cell r="D1315">
            <v>0</v>
          </cell>
          <cell r="E1315">
            <v>0</v>
          </cell>
          <cell r="F1315">
            <v>0</v>
          </cell>
          <cell r="G1315">
            <v>0</v>
          </cell>
        </row>
        <row r="1316">
          <cell r="A1316" t="str">
            <v>155-10-040</v>
          </cell>
          <cell r="B1316">
            <v>120</v>
          </cell>
          <cell r="C1316" t="str">
            <v>POSTAGE</v>
          </cell>
          <cell r="D1316">
            <v>5292</v>
          </cell>
          <cell r="E1316">
            <v>4000</v>
          </cell>
          <cell r="F1316">
            <v>6857.1428571428569</v>
          </cell>
          <cell r="G1316">
            <v>0.77175000000000005</v>
          </cell>
        </row>
        <row r="1317">
          <cell r="A1317" t="str">
            <v>155-10-041</v>
          </cell>
          <cell r="B1317">
            <v>120</v>
          </cell>
          <cell r="C1317" t="str">
            <v>TELEPHONE &amp; FAX</v>
          </cell>
          <cell r="D1317">
            <v>96000</v>
          </cell>
          <cell r="E1317">
            <v>127000</v>
          </cell>
          <cell r="F1317">
            <v>217714.28571428568</v>
          </cell>
          <cell r="G1317">
            <v>0.44094488188976383</v>
          </cell>
        </row>
        <row r="1318">
          <cell r="A1318" t="str">
            <v>155-10-044</v>
          </cell>
          <cell r="B1318">
            <v>120</v>
          </cell>
          <cell r="C1318" t="str">
            <v>PROFFESSIONAL TRAINING</v>
          </cell>
          <cell r="D1318">
            <v>0</v>
          </cell>
          <cell r="E1318">
            <v>0</v>
          </cell>
          <cell r="F1318">
            <v>0</v>
          </cell>
          <cell r="G1318">
            <v>0</v>
          </cell>
        </row>
        <row r="1319">
          <cell r="A1319" t="str">
            <v>155-10-046</v>
          </cell>
          <cell r="B1319">
            <v>120</v>
          </cell>
          <cell r="C1319" t="str">
            <v xml:space="preserve">SUBSCRIPTION- STAFF CLUB MEMBERSHIP </v>
          </cell>
          <cell r="D1319">
            <v>10000</v>
          </cell>
          <cell r="E1319">
            <v>0</v>
          </cell>
          <cell r="F1319">
            <v>0</v>
          </cell>
          <cell r="G1319">
            <v>0</v>
          </cell>
        </row>
        <row r="1320">
          <cell r="A1320" t="str">
            <v>155-10-054</v>
          </cell>
          <cell r="B1320">
            <v>120</v>
          </cell>
          <cell r="C1320" t="str">
            <v>LEASED LINES-INTERNET SERVICES</v>
          </cell>
          <cell r="D1320">
            <v>0</v>
          </cell>
          <cell r="E1320">
            <v>0</v>
          </cell>
          <cell r="F1320">
            <v>0</v>
          </cell>
          <cell r="G1320">
            <v>0</v>
          </cell>
        </row>
        <row r="1321">
          <cell r="A1321" t="str">
            <v>155-10-057</v>
          </cell>
          <cell r="B1321">
            <v>120</v>
          </cell>
          <cell r="C1321" t="str">
            <v>SOFTWARE LICENCES</v>
          </cell>
          <cell r="D1321">
            <v>0</v>
          </cell>
          <cell r="E1321">
            <v>0</v>
          </cell>
          <cell r="F1321">
            <v>0</v>
          </cell>
          <cell r="G1321">
            <v>0</v>
          </cell>
        </row>
        <row r="1322">
          <cell r="A1322" t="str">
            <v>155-10-059</v>
          </cell>
          <cell r="B1322">
            <v>120</v>
          </cell>
          <cell r="E1322">
            <v>0</v>
          </cell>
          <cell r="G1322">
            <v>0</v>
          </cell>
        </row>
        <row r="1323">
          <cell r="A1323" t="str">
            <v>155-10-060</v>
          </cell>
          <cell r="B1323">
            <v>120</v>
          </cell>
          <cell r="E1323">
            <v>0</v>
          </cell>
          <cell r="G1323">
            <v>0</v>
          </cell>
        </row>
        <row r="1324">
          <cell r="A1324" t="str">
            <v>155-10-062</v>
          </cell>
          <cell r="B1324">
            <v>120</v>
          </cell>
          <cell r="C1324" t="str">
            <v>EDUCATION EXPENSES</v>
          </cell>
          <cell r="D1324">
            <v>0</v>
          </cell>
          <cell r="E1324">
            <v>0</v>
          </cell>
          <cell r="F1324">
            <v>0</v>
          </cell>
          <cell r="G1324">
            <v>0</v>
          </cell>
        </row>
        <row r="1325">
          <cell r="A1325" t="str">
            <v>160-10-010</v>
          </cell>
          <cell r="B1325">
            <v>120</v>
          </cell>
          <cell r="E1325">
            <v>0</v>
          </cell>
          <cell r="G1325">
            <v>0</v>
          </cell>
        </row>
        <row r="1326">
          <cell r="A1326" t="str">
            <v>105-10-010</v>
          </cell>
          <cell r="B1326">
            <v>140</v>
          </cell>
          <cell r="C1326" t="str">
            <v>BASIC SALARY</v>
          </cell>
          <cell r="D1326">
            <v>251919.96</v>
          </cell>
          <cell r="E1326">
            <v>136000</v>
          </cell>
          <cell r="F1326">
            <v>226000</v>
          </cell>
          <cell r="G1326">
            <v>1.1146900884955755</v>
          </cell>
        </row>
        <row r="1327">
          <cell r="A1327" t="str">
            <v>105-10-012</v>
          </cell>
          <cell r="B1327">
            <v>140</v>
          </cell>
          <cell r="C1327" t="str">
            <v>PROVISION FOR MORT. RATE ADJUSTMENTS</v>
          </cell>
          <cell r="D1327">
            <v>0</v>
          </cell>
          <cell r="E1327">
            <v>0</v>
          </cell>
          <cell r="F1327">
            <v>0</v>
          </cell>
          <cell r="G1327">
            <v>0</v>
          </cell>
        </row>
        <row r="1328">
          <cell r="A1328" t="str">
            <v>105-10-020</v>
          </cell>
          <cell r="B1328">
            <v>140</v>
          </cell>
          <cell r="C1328" t="str">
            <v>HOUSE ALLOWANCE</v>
          </cell>
          <cell r="D1328">
            <v>31200</v>
          </cell>
          <cell r="E1328">
            <v>18000</v>
          </cell>
          <cell r="F1328">
            <v>31000</v>
          </cell>
          <cell r="G1328">
            <v>1.0064516129032257</v>
          </cell>
        </row>
        <row r="1329">
          <cell r="A1329" t="str">
            <v>105-10-030</v>
          </cell>
          <cell r="B1329">
            <v>140</v>
          </cell>
          <cell r="C1329" t="str">
            <v>TELEPHONE ALLOWANCE</v>
          </cell>
          <cell r="D1329">
            <v>0</v>
          </cell>
          <cell r="E1329">
            <v>0</v>
          </cell>
          <cell r="F1329">
            <v>0</v>
          </cell>
          <cell r="G1329">
            <v>0</v>
          </cell>
        </row>
        <row r="1330">
          <cell r="A1330" t="str">
            <v>105-10-040</v>
          </cell>
          <cell r="B1330">
            <v>140</v>
          </cell>
          <cell r="C1330" t="str">
            <v>SECURITY ALLOWANCE</v>
          </cell>
          <cell r="D1330">
            <v>0</v>
          </cell>
          <cell r="E1330">
            <v>0</v>
          </cell>
          <cell r="F1330">
            <v>0</v>
          </cell>
          <cell r="G1330">
            <v>0</v>
          </cell>
        </row>
        <row r="1331">
          <cell r="A1331" t="str">
            <v>105-10-050</v>
          </cell>
          <cell r="B1331">
            <v>140</v>
          </cell>
          <cell r="C1331" t="str">
            <v>EDUCATION ALLOWANCE</v>
          </cell>
          <cell r="D1331">
            <v>0</v>
          </cell>
          <cell r="E1331">
            <v>0</v>
          </cell>
          <cell r="F1331">
            <v>0</v>
          </cell>
          <cell r="G1331">
            <v>0</v>
          </cell>
        </row>
        <row r="1332">
          <cell r="A1332" t="str">
            <v>105-10-060</v>
          </cell>
          <cell r="B1332">
            <v>140</v>
          </cell>
          <cell r="C1332" t="str">
            <v>TRAVEL ALLOWANCE</v>
          </cell>
          <cell r="D1332">
            <v>0</v>
          </cell>
          <cell r="E1332">
            <v>0</v>
          </cell>
          <cell r="F1332">
            <v>0</v>
          </cell>
          <cell r="G1332">
            <v>0</v>
          </cell>
        </row>
        <row r="1333">
          <cell r="A1333" t="str">
            <v>105-20-010</v>
          </cell>
          <cell r="B1333">
            <v>140</v>
          </cell>
          <cell r="C1333" t="str">
            <v>NSSF</v>
          </cell>
          <cell r="D1333">
            <v>2400</v>
          </cell>
          <cell r="E1333">
            <v>1000</v>
          </cell>
          <cell r="F1333">
            <v>2000</v>
          </cell>
          <cell r="G1333">
            <v>1.2</v>
          </cell>
        </row>
        <row r="1334">
          <cell r="A1334" t="str">
            <v>105-20-020</v>
          </cell>
          <cell r="B1334">
            <v>140</v>
          </cell>
          <cell r="C1334" t="str">
            <v>NHIF</v>
          </cell>
          <cell r="D1334">
            <v>2880</v>
          </cell>
          <cell r="E1334">
            <v>2000</v>
          </cell>
          <cell r="F1334">
            <v>3200</v>
          </cell>
          <cell r="G1334">
            <v>0.9</v>
          </cell>
        </row>
        <row r="1335">
          <cell r="A1335" t="str">
            <v>105-30-010</v>
          </cell>
          <cell r="B1335">
            <v>140</v>
          </cell>
          <cell r="C1335" t="str">
            <v xml:space="preserve">PENSION </v>
          </cell>
          <cell r="D1335">
            <v>30240</v>
          </cell>
          <cell r="E1335">
            <v>16000</v>
          </cell>
          <cell r="F1335">
            <v>28600</v>
          </cell>
          <cell r="G1335">
            <v>1.0573426573426576</v>
          </cell>
        </row>
        <row r="1336">
          <cell r="A1336" t="str">
            <v>105-30-020</v>
          </cell>
          <cell r="B1336">
            <v>140</v>
          </cell>
          <cell r="C1336" t="str">
            <v>LAST EXPENSE</v>
          </cell>
          <cell r="D1336">
            <v>500</v>
          </cell>
          <cell r="E1336">
            <v>1000</v>
          </cell>
          <cell r="F1336">
            <v>1714.2857142857142</v>
          </cell>
          <cell r="G1336">
            <v>0.29166666666666669</v>
          </cell>
        </row>
        <row r="1337">
          <cell r="A1337" t="str">
            <v>105-30-030</v>
          </cell>
          <cell r="B1337">
            <v>140</v>
          </cell>
          <cell r="C1337" t="str">
            <v>GROUP LIFE ASSURANCE</v>
          </cell>
          <cell r="D1337">
            <v>2765.66</v>
          </cell>
          <cell r="E1337">
            <v>2000</v>
          </cell>
          <cell r="F1337">
            <v>3428.5714285714284</v>
          </cell>
          <cell r="G1337">
            <v>0.80665083333333332</v>
          </cell>
        </row>
        <row r="1338">
          <cell r="A1338" t="str">
            <v>105-30-040</v>
          </cell>
          <cell r="B1338">
            <v>140</v>
          </cell>
          <cell r="C1338" t="str">
            <v>STAFF MEDICAL</v>
          </cell>
          <cell r="D1338">
            <v>0</v>
          </cell>
          <cell r="E1338">
            <v>0</v>
          </cell>
          <cell r="F1338">
            <v>0</v>
          </cell>
          <cell r="G1338">
            <v>0</v>
          </cell>
        </row>
        <row r="1339">
          <cell r="A1339" t="str">
            <v>105-30-050</v>
          </cell>
          <cell r="B1339">
            <v>140</v>
          </cell>
          <cell r="D1339">
            <v>6048</v>
          </cell>
          <cell r="E1339">
            <v>-5000</v>
          </cell>
          <cell r="F1339">
            <v>-8571.4285714285725</v>
          </cell>
          <cell r="G1339">
            <v>-0.7056</v>
          </cell>
        </row>
        <row r="1340">
          <cell r="A1340" t="str">
            <v>105-30-060</v>
          </cell>
          <cell r="B1340">
            <v>140</v>
          </cell>
          <cell r="C1340" t="str">
            <v>GRATUITY</v>
          </cell>
          <cell r="E1340">
            <v>0</v>
          </cell>
          <cell r="F1340">
            <v>0</v>
          </cell>
          <cell r="G1340">
            <v>0</v>
          </cell>
        </row>
        <row r="1341">
          <cell r="A1341" t="str">
            <v>105-30-070</v>
          </cell>
          <cell r="B1341">
            <v>140</v>
          </cell>
          <cell r="C1341" t="str">
            <v>LONG SERVICE AWARDS</v>
          </cell>
          <cell r="D1341">
            <v>0</v>
          </cell>
          <cell r="E1341">
            <v>0</v>
          </cell>
          <cell r="F1341">
            <v>0</v>
          </cell>
          <cell r="G1341">
            <v>0</v>
          </cell>
        </row>
        <row r="1342">
          <cell r="A1342" t="str">
            <v>105-30-080</v>
          </cell>
          <cell r="B1342">
            <v>140</v>
          </cell>
          <cell r="C1342" t="str">
            <v>STAFF RECRUITMENT &amp; REMOVALS</v>
          </cell>
          <cell r="D1342">
            <v>0</v>
          </cell>
          <cell r="E1342">
            <v>0</v>
          </cell>
          <cell r="F1342">
            <v>0</v>
          </cell>
          <cell r="G1342">
            <v>0</v>
          </cell>
        </row>
        <row r="1343">
          <cell r="A1343" t="str">
            <v>115-10-010</v>
          </cell>
          <cell r="B1343">
            <v>140</v>
          </cell>
          <cell r="D1343">
            <v>0</v>
          </cell>
          <cell r="E1343">
            <v>0</v>
          </cell>
          <cell r="F1343">
            <v>0</v>
          </cell>
          <cell r="G1343">
            <v>0</v>
          </cell>
        </row>
        <row r="1344">
          <cell r="A1344" t="str">
            <v>115-10-010</v>
          </cell>
          <cell r="B1344">
            <v>140</v>
          </cell>
          <cell r="D1344">
            <v>0</v>
          </cell>
          <cell r="F1344">
            <v>0</v>
          </cell>
          <cell r="G1344">
            <v>0</v>
          </cell>
        </row>
        <row r="1345">
          <cell r="A1345" t="str">
            <v>115-10-020</v>
          </cell>
          <cell r="B1345">
            <v>140</v>
          </cell>
          <cell r="D1345">
            <v>0</v>
          </cell>
          <cell r="E1345">
            <v>0</v>
          </cell>
          <cell r="F1345">
            <v>0</v>
          </cell>
          <cell r="G1345">
            <v>0</v>
          </cell>
        </row>
        <row r="1346">
          <cell r="A1346" t="str">
            <v>115-10-020</v>
          </cell>
          <cell r="B1346">
            <v>140</v>
          </cell>
          <cell r="D1346">
            <v>0</v>
          </cell>
          <cell r="G1346">
            <v>0</v>
          </cell>
        </row>
        <row r="1347">
          <cell r="A1347" t="str">
            <v>115-10-030</v>
          </cell>
          <cell r="B1347">
            <v>140</v>
          </cell>
          <cell r="D1347">
            <v>0</v>
          </cell>
          <cell r="E1347">
            <v>0</v>
          </cell>
          <cell r="F1347">
            <v>0</v>
          </cell>
          <cell r="G1347">
            <v>0</v>
          </cell>
        </row>
        <row r="1348">
          <cell r="A1348" t="str">
            <v>115-10-030</v>
          </cell>
          <cell r="B1348">
            <v>140</v>
          </cell>
          <cell r="D1348">
            <v>0</v>
          </cell>
          <cell r="F1348">
            <v>0</v>
          </cell>
          <cell r="G1348">
            <v>0</v>
          </cell>
        </row>
        <row r="1349">
          <cell r="A1349" t="str">
            <v>115-10-040</v>
          </cell>
          <cell r="B1349">
            <v>140</v>
          </cell>
          <cell r="D1349">
            <v>369000</v>
          </cell>
          <cell r="E1349">
            <v>196000</v>
          </cell>
          <cell r="F1349">
            <v>336000</v>
          </cell>
          <cell r="G1349">
            <v>1.0982142857142858</v>
          </cell>
        </row>
        <row r="1350">
          <cell r="A1350" t="str">
            <v>115-10-040</v>
          </cell>
          <cell r="B1350">
            <v>140</v>
          </cell>
          <cell r="D1350">
            <v>0</v>
          </cell>
          <cell r="F1350">
            <v>0</v>
          </cell>
          <cell r="G1350">
            <v>0</v>
          </cell>
        </row>
        <row r="1351">
          <cell r="A1351" t="str">
            <v>115-10-050</v>
          </cell>
          <cell r="B1351">
            <v>140</v>
          </cell>
          <cell r="C1351" t="str">
            <v>OFFICE CATERING &amp; STAFF WELFARE</v>
          </cell>
          <cell r="D1351">
            <v>102200</v>
          </cell>
          <cell r="E1351">
            <v>55500</v>
          </cell>
          <cell r="F1351">
            <v>95142.857142857145</v>
          </cell>
          <cell r="G1351">
            <v>1.0741741741741742</v>
          </cell>
          <cell r="H1351" t="str">
            <v>This is the actual when I use the rate provided by the total number of staff as 65</v>
          </cell>
        </row>
        <row r="1352">
          <cell r="A1352" t="str">
            <v>115-10-051</v>
          </cell>
          <cell r="B1352">
            <v>140</v>
          </cell>
          <cell r="C1352" t="str">
            <v>OFFICE CLEANING</v>
          </cell>
          <cell r="D1352">
            <v>30000</v>
          </cell>
          <cell r="E1352">
            <v>0</v>
          </cell>
          <cell r="F1352">
            <v>0</v>
          </cell>
          <cell r="G1352">
            <v>0</v>
          </cell>
        </row>
        <row r="1353">
          <cell r="A1353" t="str">
            <v>115-10-060</v>
          </cell>
          <cell r="B1353">
            <v>140</v>
          </cell>
          <cell r="C1353" t="str">
            <v>OFFICE WATER</v>
          </cell>
          <cell r="D1353">
            <v>0</v>
          </cell>
          <cell r="E1353">
            <v>2000</v>
          </cell>
          <cell r="F1353">
            <v>3428.5714285714284</v>
          </cell>
          <cell r="G1353">
            <v>0</v>
          </cell>
        </row>
        <row r="1354">
          <cell r="A1354" t="str">
            <v>115-10-070</v>
          </cell>
          <cell r="B1354">
            <v>140</v>
          </cell>
          <cell r="C1354" t="str">
            <v>OFFICE ELECTRICITY</v>
          </cell>
          <cell r="D1354">
            <v>0</v>
          </cell>
          <cell r="E1354">
            <v>1000</v>
          </cell>
          <cell r="F1354">
            <v>1714.2857142857142</v>
          </cell>
          <cell r="G1354">
            <v>0</v>
          </cell>
        </row>
        <row r="1355">
          <cell r="A1355" t="str">
            <v>115-10-080</v>
          </cell>
          <cell r="B1355">
            <v>140</v>
          </cell>
          <cell r="C1355" t="str">
            <v>OFFICE SECURITY</v>
          </cell>
          <cell r="D1355">
            <v>12000</v>
          </cell>
          <cell r="E1355">
            <v>0</v>
          </cell>
          <cell r="F1355">
            <v>0</v>
          </cell>
          <cell r="G1355">
            <v>0</v>
          </cell>
        </row>
        <row r="1356">
          <cell r="A1356" t="str">
            <v>125-10-010</v>
          </cell>
          <cell r="B1356">
            <v>140</v>
          </cell>
          <cell r="C1356" t="str">
            <v>BANK CHARGES</v>
          </cell>
          <cell r="D1356">
            <v>30000</v>
          </cell>
          <cell r="E1356">
            <v>-1000</v>
          </cell>
          <cell r="F1356">
            <v>-1714.2857142857142</v>
          </cell>
          <cell r="G1356">
            <v>-17.5</v>
          </cell>
        </row>
        <row r="1357">
          <cell r="A1357" t="str">
            <v>125-10-020</v>
          </cell>
          <cell r="B1357">
            <v>140</v>
          </cell>
          <cell r="C1357" t="str">
            <v>BANK OVERDRART CHARGES</v>
          </cell>
          <cell r="E1357">
            <v>0</v>
          </cell>
          <cell r="F1357">
            <v>0</v>
          </cell>
          <cell r="G1357">
            <v>0</v>
          </cell>
        </row>
        <row r="1358">
          <cell r="A1358" t="str">
            <v>135-60-030</v>
          </cell>
          <cell r="B1358">
            <v>140</v>
          </cell>
          <cell r="C1358" t="str">
            <v>SALES PROMOTIONS &amp; COMPETITION</v>
          </cell>
          <cell r="D1358">
            <v>0</v>
          </cell>
          <cell r="E1358">
            <v>0</v>
          </cell>
          <cell r="F1358">
            <v>0</v>
          </cell>
          <cell r="G1358">
            <v>0</v>
          </cell>
        </row>
        <row r="1359">
          <cell r="A1359" t="str">
            <v>135-70-010</v>
          </cell>
          <cell r="B1359">
            <v>140</v>
          </cell>
          <cell r="C1359" t="str">
            <v>AGENCY PENSION</v>
          </cell>
          <cell r="D1359">
            <v>0</v>
          </cell>
          <cell r="E1359">
            <v>0</v>
          </cell>
          <cell r="F1359">
            <v>0</v>
          </cell>
          <cell r="G1359">
            <v>0</v>
          </cell>
        </row>
        <row r="1360">
          <cell r="A1360" t="str">
            <v>135-70-020</v>
          </cell>
          <cell r="B1360">
            <v>140</v>
          </cell>
          <cell r="C1360" t="str">
            <v>AGENCY GLA</v>
          </cell>
          <cell r="D1360">
            <v>0</v>
          </cell>
          <cell r="E1360">
            <v>0</v>
          </cell>
          <cell r="F1360">
            <v>0</v>
          </cell>
          <cell r="G1360">
            <v>0</v>
          </cell>
        </row>
        <row r="1361">
          <cell r="A1361" t="str">
            <v>135-70-030</v>
          </cell>
          <cell r="B1361">
            <v>140</v>
          </cell>
          <cell r="C1361" t="str">
            <v>AGENCY MEDICAL</v>
          </cell>
          <cell r="D1361">
            <v>0</v>
          </cell>
          <cell r="E1361">
            <v>0</v>
          </cell>
          <cell r="F1361">
            <v>0</v>
          </cell>
          <cell r="G1361">
            <v>0</v>
          </cell>
        </row>
        <row r="1362">
          <cell r="A1362" t="str">
            <v>135-70-040</v>
          </cell>
          <cell r="B1362">
            <v>140</v>
          </cell>
          <cell r="C1362" t="str">
            <v>AGENCY LAST EXPENSE</v>
          </cell>
          <cell r="D1362">
            <v>0</v>
          </cell>
          <cell r="E1362">
            <v>0</v>
          </cell>
          <cell r="F1362">
            <v>0</v>
          </cell>
          <cell r="G1362">
            <v>0</v>
          </cell>
        </row>
        <row r="1363">
          <cell r="A1363" t="str">
            <v>145-10-030</v>
          </cell>
          <cell r="B1363">
            <v>140</v>
          </cell>
          <cell r="C1363" t="str">
            <v>Audit fee -individual life</v>
          </cell>
          <cell r="D1363">
            <v>0</v>
          </cell>
          <cell r="E1363">
            <v>0</v>
          </cell>
          <cell r="F1363">
            <v>0</v>
          </cell>
          <cell r="G1363">
            <v>0</v>
          </cell>
        </row>
        <row r="1364">
          <cell r="A1364" t="str">
            <v>145-10-031</v>
          </cell>
          <cell r="B1364">
            <v>140</v>
          </cell>
          <cell r="C1364" t="str">
            <v>Tax filing returns</v>
          </cell>
          <cell r="D1364">
            <v>0</v>
          </cell>
          <cell r="E1364">
            <v>0</v>
          </cell>
          <cell r="F1364">
            <v>0</v>
          </cell>
          <cell r="G1364">
            <v>0</v>
          </cell>
        </row>
        <row r="1365">
          <cell r="A1365" t="str">
            <v>145-10-060</v>
          </cell>
          <cell r="B1365">
            <v>140</v>
          </cell>
          <cell r="C1365" t="str">
            <v>Intra company charges- individual life</v>
          </cell>
          <cell r="G1365">
            <v>0</v>
          </cell>
        </row>
        <row r="1366">
          <cell r="A1366" t="str">
            <v>145-10-060</v>
          </cell>
          <cell r="B1366">
            <v>140</v>
          </cell>
          <cell r="E1366">
            <v>0</v>
          </cell>
          <cell r="G1366">
            <v>0</v>
          </cell>
        </row>
        <row r="1367">
          <cell r="A1367" t="str">
            <v>145-10-080</v>
          </cell>
          <cell r="B1367">
            <v>140</v>
          </cell>
          <cell r="C1367" t="str">
            <v>40% Excutive recharge</v>
          </cell>
          <cell r="F1367">
            <v>0</v>
          </cell>
          <cell r="G1367">
            <v>0</v>
          </cell>
        </row>
        <row r="1368">
          <cell r="A1368" t="str">
            <v>145-10-080</v>
          </cell>
          <cell r="B1368">
            <v>140</v>
          </cell>
          <cell r="C1368" t="str">
            <v xml:space="preserve">Recharges: 10% recharge to Corporate </v>
          </cell>
          <cell r="E1368">
            <v>0</v>
          </cell>
          <cell r="G1368">
            <v>0</v>
          </cell>
        </row>
        <row r="1369">
          <cell r="A1369" t="str">
            <v>145-10-100</v>
          </cell>
          <cell r="B1369">
            <v>140</v>
          </cell>
          <cell r="E1369">
            <v>0</v>
          </cell>
          <cell r="G1369">
            <v>0</v>
          </cell>
        </row>
        <row r="1370">
          <cell r="A1370" t="str">
            <v>155-10-007</v>
          </cell>
          <cell r="B1370">
            <v>140</v>
          </cell>
          <cell r="C1370" t="str">
            <v>NEWSPAPERS &amp; JOURNALS</v>
          </cell>
          <cell r="D1370">
            <v>10560</v>
          </cell>
          <cell r="E1370">
            <v>6000</v>
          </cell>
          <cell r="F1370">
            <v>10285.714285714286</v>
          </cell>
          <cell r="G1370">
            <v>1.0266666666666666</v>
          </cell>
          <cell r="H1370" t="str">
            <v>An addition of the starndard newspapers</v>
          </cell>
        </row>
        <row r="1371">
          <cell r="A1371" t="str">
            <v>155-10-008</v>
          </cell>
          <cell r="B1371">
            <v>140</v>
          </cell>
          <cell r="C1371" t="str">
            <v>ENTERTAINMENT &amp; DONATIONS</v>
          </cell>
          <cell r="D1371">
            <v>20000</v>
          </cell>
          <cell r="E1371">
            <v>6000</v>
          </cell>
          <cell r="F1371">
            <v>10285.714285714286</v>
          </cell>
          <cell r="G1371">
            <v>1.9444444444444444</v>
          </cell>
        </row>
        <row r="1372">
          <cell r="A1372" t="str">
            <v>155-10-009</v>
          </cell>
          <cell r="B1372">
            <v>140</v>
          </cell>
          <cell r="C1372" t="str">
            <v>COURIER &amp; FREIGHT CHARGES</v>
          </cell>
          <cell r="E1372">
            <v>45000</v>
          </cell>
          <cell r="F1372">
            <v>77142.857142857145</v>
          </cell>
          <cell r="G1372">
            <v>0.46666666666666667</v>
          </cell>
        </row>
        <row r="1373">
          <cell r="A1373" t="str">
            <v>155-10-010</v>
          </cell>
          <cell r="B1373">
            <v>140</v>
          </cell>
          <cell r="C1373" t="str">
            <v>ADVERTISING &amp; PUBLICITY</v>
          </cell>
          <cell r="D1373">
            <v>0</v>
          </cell>
          <cell r="E1373">
            <v>0</v>
          </cell>
          <cell r="F1373">
            <v>0</v>
          </cell>
          <cell r="G1373">
            <v>0</v>
          </cell>
        </row>
        <row r="1374">
          <cell r="A1374" t="str">
            <v>155-10-012</v>
          </cell>
          <cell r="B1374">
            <v>140</v>
          </cell>
          <cell r="C1374" t="str">
            <v>TRADE LICENCES</v>
          </cell>
          <cell r="D1374">
            <v>30000</v>
          </cell>
          <cell r="E1374">
            <v>17000</v>
          </cell>
          <cell r="F1374">
            <v>17000</v>
          </cell>
          <cell r="G1374">
            <v>1.7647058823529411</v>
          </cell>
        </row>
        <row r="1375">
          <cell r="A1375" t="str">
            <v>155-10-013</v>
          </cell>
          <cell r="B1375">
            <v>140</v>
          </cell>
          <cell r="C1375" t="str">
            <v>INSURANCES</v>
          </cell>
          <cell r="D1375">
            <v>0</v>
          </cell>
          <cell r="E1375">
            <v>0</v>
          </cell>
          <cell r="F1375">
            <v>0</v>
          </cell>
          <cell r="G1375">
            <v>0</v>
          </cell>
        </row>
        <row r="1376">
          <cell r="A1376" t="str">
            <v>155-10-014</v>
          </cell>
          <cell r="B1376">
            <v>140</v>
          </cell>
          <cell r="C1376" t="str">
            <v>PHOTOCOPY</v>
          </cell>
          <cell r="D1376">
            <v>0</v>
          </cell>
          <cell r="E1376">
            <v>0</v>
          </cell>
          <cell r="F1376">
            <v>0</v>
          </cell>
          <cell r="G1376">
            <v>0</v>
          </cell>
        </row>
        <row r="1377">
          <cell r="A1377" t="str">
            <v>155-10-015</v>
          </cell>
          <cell r="B1377">
            <v>140</v>
          </cell>
          <cell r="C1377" t="str">
            <v>COMPUTER MAINTAINANCE</v>
          </cell>
          <cell r="D1377">
            <v>12500</v>
          </cell>
          <cell r="E1377">
            <v>4000</v>
          </cell>
          <cell r="F1377">
            <v>6857.1428571428569</v>
          </cell>
          <cell r="G1377">
            <v>1.8229166666666667</v>
          </cell>
        </row>
        <row r="1378">
          <cell r="A1378" t="str">
            <v>155-10-016</v>
          </cell>
          <cell r="B1378">
            <v>140</v>
          </cell>
          <cell r="C1378" t="str">
            <v>EQUIPMENT&amp; FURNITURE REPAIRS &amp; MAINTENANCE</v>
          </cell>
          <cell r="D1378">
            <v>9600</v>
          </cell>
          <cell r="E1378">
            <v>3000</v>
          </cell>
          <cell r="F1378">
            <v>5142.8571428571431</v>
          </cell>
          <cell r="G1378">
            <v>1.8666666666666665</v>
          </cell>
          <cell r="H1378" t="str">
            <v>Photocopier and Glass wall partioning anticipated repair incase of breakage has incrased this cost.</v>
          </cell>
        </row>
        <row r="1379">
          <cell r="A1379" t="str">
            <v>155-10-017</v>
          </cell>
          <cell r="B1379">
            <v>140</v>
          </cell>
          <cell r="C1379" t="str">
            <v>SEMINARS &amp; SHORT TERM COURSES</v>
          </cell>
          <cell r="D1379">
            <v>17500</v>
          </cell>
          <cell r="E1379">
            <v>6000</v>
          </cell>
          <cell r="F1379">
            <v>10285.714285714286</v>
          </cell>
          <cell r="G1379">
            <v>1.7013888888888888</v>
          </cell>
          <cell r="H1379" t="str">
            <v>Both me and Josinta need the computer courses .I have budgeted oft agents motivation and consultant trainer I.e D.Mogere</v>
          </cell>
        </row>
        <row r="1380">
          <cell r="A1380" t="str">
            <v>155-10-022</v>
          </cell>
          <cell r="B1380">
            <v>140</v>
          </cell>
          <cell r="C1380" t="str">
            <v>PRINTING &amp; STATIONERY</v>
          </cell>
          <cell r="D1380">
            <v>186317</v>
          </cell>
          <cell r="E1380">
            <v>73000</v>
          </cell>
          <cell r="F1380">
            <v>125142.85714285716</v>
          </cell>
          <cell r="G1380">
            <v>1.4888344748858446</v>
          </cell>
          <cell r="H1380" t="str">
            <v>Incrased number of sales and office has budgeted for items that were not in last years budget but needed.</v>
          </cell>
        </row>
        <row r="1381">
          <cell r="A1381" t="str">
            <v>155-10-025</v>
          </cell>
          <cell r="B1381">
            <v>140</v>
          </cell>
          <cell r="C1381" t="str">
            <v>STRATEGIC PLANNING</v>
          </cell>
          <cell r="D1381">
            <v>0</v>
          </cell>
          <cell r="E1381">
            <v>0</v>
          </cell>
          <cell r="F1381">
            <v>0</v>
          </cell>
          <cell r="G1381">
            <v>0</v>
          </cell>
        </row>
        <row r="1382">
          <cell r="A1382" t="str">
            <v>155-10-027</v>
          </cell>
          <cell r="B1382">
            <v>140</v>
          </cell>
          <cell r="C1382" t="str">
            <v>PROFESSIONAL SUBSCRIPTIONS</v>
          </cell>
          <cell r="D1382">
            <v>0</v>
          </cell>
          <cell r="E1382">
            <v>0</v>
          </cell>
          <cell r="F1382">
            <v>0</v>
          </cell>
          <cell r="G1382">
            <v>0</v>
          </cell>
        </row>
        <row r="1383">
          <cell r="A1383" t="str">
            <v>155-10-028</v>
          </cell>
          <cell r="B1383">
            <v>140</v>
          </cell>
          <cell r="C1383" t="str">
            <v xml:space="preserve"> SUBSCRIPTIONS -COMPANY MEMBERSHIP</v>
          </cell>
          <cell r="D1383">
            <v>0</v>
          </cell>
          <cell r="E1383">
            <v>0</v>
          </cell>
          <cell r="F1383">
            <v>0</v>
          </cell>
          <cell r="G1383">
            <v>0</v>
          </cell>
        </row>
        <row r="1384">
          <cell r="A1384" t="str">
            <v>155-10-030</v>
          </cell>
          <cell r="B1384">
            <v>140</v>
          </cell>
          <cell r="C1384" t="str">
            <v>TRAVELLING &amp; ACCOMMODATION</v>
          </cell>
          <cell r="D1384">
            <v>90114.4</v>
          </cell>
          <cell r="E1384">
            <v>29000</v>
          </cell>
          <cell r="F1384">
            <v>49714.285714285717</v>
          </cell>
          <cell r="G1384">
            <v>1.812645977011494</v>
          </cell>
          <cell r="H1384" t="str">
            <v>Budgeted as per the number of trainings provided for for 2005</v>
          </cell>
        </row>
        <row r="1385">
          <cell r="A1385" t="str">
            <v>155-10-032</v>
          </cell>
          <cell r="B1385">
            <v>140</v>
          </cell>
          <cell r="C1385" t="str">
            <v xml:space="preserve">MOTOR CAR EXPENSES </v>
          </cell>
          <cell r="D1385">
            <v>0</v>
          </cell>
          <cell r="E1385">
            <v>0</v>
          </cell>
          <cell r="F1385">
            <v>0</v>
          </cell>
          <cell r="G1385">
            <v>0</v>
          </cell>
        </row>
        <row r="1386">
          <cell r="A1386" t="str">
            <v>155-10-040</v>
          </cell>
          <cell r="B1386">
            <v>140</v>
          </cell>
          <cell r="C1386" t="str">
            <v>POSTAGE</v>
          </cell>
          <cell r="D1386">
            <v>10080</v>
          </cell>
          <cell r="E1386">
            <v>6000</v>
          </cell>
          <cell r="F1386">
            <v>10285.714285714286</v>
          </cell>
          <cell r="G1386">
            <v>0.98</v>
          </cell>
        </row>
        <row r="1387">
          <cell r="A1387" t="str">
            <v>155-10-041</v>
          </cell>
          <cell r="B1387">
            <v>140</v>
          </cell>
          <cell r="C1387" t="str">
            <v>TELEPHONE &amp; FAX</v>
          </cell>
          <cell r="D1387">
            <v>110000</v>
          </cell>
          <cell r="E1387">
            <v>80000</v>
          </cell>
          <cell r="F1387">
            <v>137142.85714285716</v>
          </cell>
          <cell r="G1387">
            <v>0.80208333333333326</v>
          </cell>
          <cell r="H1387" t="str">
            <v>Incrased number of sales and office has budgeted for items that were not in last years budget but needed.</v>
          </cell>
        </row>
        <row r="1388">
          <cell r="A1388" t="str">
            <v>155-10-044</v>
          </cell>
          <cell r="B1388">
            <v>140</v>
          </cell>
          <cell r="C1388" t="str">
            <v>PROFFESSIONAL TRAINING</v>
          </cell>
          <cell r="D1388">
            <v>16625</v>
          </cell>
          <cell r="E1388">
            <v>5000</v>
          </cell>
          <cell r="F1388">
            <v>8571.4285714285725</v>
          </cell>
          <cell r="G1388">
            <v>1.939583333333333</v>
          </cell>
          <cell r="H1388" t="str">
            <v>We did not subscribe last year so % is up due to new entry</v>
          </cell>
        </row>
        <row r="1389">
          <cell r="A1389" t="str">
            <v>155-10-046</v>
          </cell>
          <cell r="B1389">
            <v>140</v>
          </cell>
          <cell r="C1389" t="str">
            <v xml:space="preserve">SUBSCRIPTION- STAFF CLUB MEMBERSHIP </v>
          </cell>
          <cell r="D1389">
            <v>5000</v>
          </cell>
          <cell r="E1389">
            <v>57000</v>
          </cell>
          <cell r="F1389">
            <v>97714.28571428571</v>
          </cell>
          <cell r="G1389">
            <v>5.1169590643274858E-2</v>
          </cell>
        </row>
        <row r="1390">
          <cell r="A1390" t="str">
            <v>155-10-054</v>
          </cell>
          <cell r="B1390">
            <v>140</v>
          </cell>
          <cell r="C1390" t="str">
            <v>LEASED LINES-INTERNET SERVICES</v>
          </cell>
          <cell r="D1390">
            <v>0</v>
          </cell>
          <cell r="E1390">
            <v>0</v>
          </cell>
          <cell r="F1390">
            <v>0</v>
          </cell>
          <cell r="G1390">
            <v>0</v>
          </cell>
        </row>
        <row r="1391">
          <cell r="A1391" t="str">
            <v>155-10-057</v>
          </cell>
          <cell r="B1391">
            <v>140</v>
          </cell>
          <cell r="C1391" t="str">
            <v>SOFTWARE LICENCES</v>
          </cell>
          <cell r="D1391">
            <v>0</v>
          </cell>
          <cell r="E1391">
            <v>0</v>
          </cell>
          <cell r="F1391">
            <v>0</v>
          </cell>
          <cell r="G1391">
            <v>0</v>
          </cell>
        </row>
        <row r="1392">
          <cell r="A1392" t="str">
            <v>155-10-059</v>
          </cell>
          <cell r="B1392">
            <v>140</v>
          </cell>
          <cell r="E1392">
            <v>0</v>
          </cell>
          <cell r="G1392">
            <v>0</v>
          </cell>
        </row>
        <row r="1393">
          <cell r="A1393" t="str">
            <v>155-10-060</v>
          </cell>
          <cell r="B1393">
            <v>140</v>
          </cell>
          <cell r="E1393">
            <v>0</v>
          </cell>
          <cell r="G1393">
            <v>0</v>
          </cell>
        </row>
        <row r="1394">
          <cell r="A1394" t="str">
            <v>155-10-062</v>
          </cell>
          <cell r="B1394">
            <v>140</v>
          </cell>
          <cell r="C1394" t="str">
            <v>EDUCATION EXPENSES</v>
          </cell>
          <cell r="D1394">
            <v>0</v>
          </cell>
          <cell r="E1394">
            <v>0</v>
          </cell>
          <cell r="F1394">
            <v>0</v>
          </cell>
          <cell r="G1394">
            <v>0</v>
          </cell>
        </row>
        <row r="1395">
          <cell r="A1395" t="str">
            <v>160-10-010</v>
          </cell>
          <cell r="B1395">
            <v>140</v>
          </cell>
          <cell r="E1395">
            <v>0</v>
          </cell>
          <cell r="G1395">
            <v>0</v>
          </cell>
        </row>
        <row r="1396">
          <cell r="A1396" t="str">
            <v>105-10-010</v>
          </cell>
          <cell r="B1396">
            <v>150</v>
          </cell>
          <cell r="C1396" t="str">
            <v>BASIC SALARY</v>
          </cell>
          <cell r="D1396">
            <v>609423.96</v>
          </cell>
          <cell r="E1396">
            <v>312000</v>
          </cell>
          <cell r="F1396">
            <v>535000</v>
          </cell>
          <cell r="G1396">
            <v>1.1391102056074769</v>
          </cell>
          <cell r="H1396" t="str">
            <v>Anticipated 10% pay increase.</v>
          </cell>
        </row>
        <row r="1397">
          <cell r="A1397" t="str">
            <v>105-10-012</v>
          </cell>
          <cell r="B1397">
            <v>150</v>
          </cell>
          <cell r="C1397" t="str">
            <v>PROVISION FOR MORT. RATE ADJUSTMENTS</v>
          </cell>
          <cell r="D1397">
            <v>0</v>
          </cell>
          <cell r="E1397">
            <v>0</v>
          </cell>
          <cell r="F1397">
            <v>0</v>
          </cell>
          <cell r="G1397">
            <v>0</v>
          </cell>
        </row>
        <row r="1398">
          <cell r="A1398" t="str">
            <v>105-10-020</v>
          </cell>
          <cell r="B1398">
            <v>150</v>
          </cell>
          <cell r="C1398" t="str">
            <v>HOUSE ALLOWANCE</v>
          </cell>
          <cell r="D1398">
            <v>78000</v>
          </cell>
          <cell r="E1398">
            <v>46000</v>
          </cell>
          <cell r="F1398">
            <v>78500</v>
          </cell>
          <cell r="G1398">
            <v>0.99363057324840764</v>
          </cell>
        </row>
        <row r="1399">
          <cell r="A1399" t="str">
            <v>105-10-030</v>
          </cell>
          <cell r="B1399">
            <v>150</v>
          </cell>
          <cell r="C1399" t="str">
            <v>TELEPHONE ALLOWANCE</v>
          </cell>
          <cell r="D1399">
            <v>0</v>
          </cell>
          <cell r="E1399">
            <v>0</v>
          </cell>
          <cell r="F1399">
            <v>0</v>
          </cell>
          <cell r="G1399">
            <v>0</v>
          </cell>
        </row>
        <row r="1400">
          <cell r="A1400" t="str">
            <v>105-10-040</v>
          </cell>
          <cell r="B1400">
            <v>150</v>
          </cell>
          <cell r="C1400" t="str">
            <v>SECURITY ALLOWANCE</v>
          </cell>
          <cell r="D1400">
            <v>0</v>
          </cell>
          <cell r="E1400">
            <v>0</v>
          </cell>
          <cell r="F1400">
            <v>0</v>
          </cell>
          <cell r="G1400">
            <v>0</v>
          </cell>
        </row>
        <row r="1401">
          <cell r="A1401" t="str">
            <v>105-10-050</v>
          </cell>
          <cell r="B1401">
            <v>150</v>
          </cell>
          <cell r="C1401" t="str">
            <v>EDUCATION ALLOWANCE</v>
          </cell>
          <cell r="D1401">
            <v>0</v>
          </cell>
          <cell r="E1401">
            <v>0</v>
          </cell>
          <cell r="F1401">
            <v>0</v>
          </cell>
          <cell r="G1401">
            <v>0</v>
          </cell>
        </row>
        <row r="1402">
          <cell r="A1402" t="str">
            <v>105-10-060</v>
          </cell>
          <cell r="B1402">
            <v>150</v>
          </cell>
          <cell r="C1402" t="str">
            <v>TRAVEL ALLOWANCE</v>
          </cell>
          <cell r="D1402">
            <v>0</v>
          </cell>
          <cell r="E1402">
            <v>0</v>
          </cell>
          <cell r="F1402">
            <v>0</v>
          </cell>
          <cell r="G1402">
            <v>0</v>
          </cell>
        </row>
        <row r="1403">
          <cell r="A1403" t="str">
            <v>105-20-010</v>
          </cell>
          <cell r="B1403">
            <v>150</v>
          </cell>
          <cell r="C1403" t="str">
            <v>NSSF</v>
          </cell>
          <cell r="D1403">
            <v>2400</v>
          </cell>
          <cell r="E1403">
            <v>1000</v>
          </cell>
          <cell r="F1403">
            <v>2000</v>
          </cell>
          <cell r="G1403">
            <v>1.2</v>
          </cell>
        </row>
        <row r="1404">
          <cell r="A1404" t="str">
            <v>105-20-020</v>
          </cell>
          <cell r="B1404">
            <v>150</v>
          </cell>
          <cell r="C1404" t="str">
            <v>NHIF</v>
          </cell>
          <cell r="D1404">
            <v>2880</v>
          </cell>
          <cell r="E1404">
            <v>1000</v>
          </cell>
          <cell r="F1404">
            <v>2200</v>
          </cell>
          <cell r="G1404">
            <v>1.3090909090909091</v>
          </cell>
        </row>
        <row r="1405">
          <cell r="A1405" t="str">
            <v>105-30-010</v>
          </cell>
          <cell r="B1405">
            <v>150</v>
          </cell>
          <cell r="C1405" t="str">
            <v xml:space="preserve">PENSION </v>
          </cell>
          <cell r="D1405">
            <v>74928</v>
          </cell>
          <cell r="E1405">
            <v>39000</v>
          </cell>
          <cell r="F1405">
            <v>70220</v>
          </cell>
          <cell r="G1405">
            <v>1.0670464255197951</v>
          </cell>
        </row>
        <row r="1406">
          <cell r="A1406" t="str">
            <v>105-30-020</v>
          </cell>
          <cell r="B1406">
            <v>150</v>
          </cell>
          <cell r="C1406" t="str">
            <v>LAST EXPENSE</v>
          </cell>
          <cell r="D1406">
            <v>0</v>
          </cell>
          <cell r="E1406">
            <v>0</v>
          </cell>
          <cell r="F1406">
            <v>0</v>
          </cell>
          <cell r="G1406">
            <v>0</v>
          </cell>
        </row>
        <row r="1407">
          <cell r="A1407" t="str">
            <v>105-30-030</v>
          </cell>
          <cell r="B1407">
            <v>150</v>
          </cell>
          <cell r="C1407" t="str">
            <v>GROUP LIFE ASSURANCE</v>
          </cell>
          <cell r="D1407">
            <v>3600</v>
          </cell>
          <cell r="E1407">
            <v>2041</v>
          </cell>
          <cell r="F1407">
            <v>3498.8571428571427</v>
          </cell>
          <cell r="G1407">
            <v>1.0289073983341499</v>
          </cell>
        </row>
        <row r="1408">
          <cell r="A1408" t="str">
            <v>105-30-040</v>
          </cell>
          <cell r="B1408">
            <v>150</v>
          </cell>
          <cell r="C1408" t="str">
            <v>STAFF MEDICAL</v>
          </cell>
          <cell r="D1408">
            <v>0</v>
          </cell>
          <cell r="E1408">
            <v>0</v>
          </cell>
          <cell r="F1408">
            <v>0</v>
          </cell>
          <cell r="G1408">
            <v>0</v>
          </cell>
        </row>
        <row r="1409">
          <cell r="A1409" t="str">
            <v>105-30-050</v>
          </cell>
          <cell r="B1409">
            <v>150</v>
          </cell>
          <cell r="C1409" t="str">
            <v>CASH IN LIEU OF LEAVE</v>
          </cell>
          <cell r="D1409">
            <v>14985.6</v>
          </cell>
          <cell r="E1409">
            <v>37000</v>
          </cell>
          <cell r="F1409">
            <v>63428.57142857142</v>
          </cell>
          <cell r="G1409">
            <v>0.23625945945945953</v>
          </cell>
        </row>
        <row r="1410">
          <cell r="A1410" t="str">
            <v>105-30-060</v>
          </cell>
          <cell r="B1410">
            <v>150</v>
          </cell>
          <cell r="C1410" t="str">
            <v>GRATUITY</v>
          </cell>
          <cell r="E1410">
            <v>0</v>
          </cell>
          <cell r="F1410">
            <v>0</v>
          </cell>
          <cell r="G1410">
            <v>0</v>
          </cell>
        </row>
        <row r="1411">
          <cell r="A1411" t="str">
            <v>105-30-070</v>
          </cell>
          <cell r="B1411">
            <v>150</v>
          </cell>
          <cell r="C1411" t="str">
            <v>LONG SERVICE AWARDS</v>
          </cell>
          <cell r="D1411">
            <v>0</v>
          </cell>
          <cell r="E1411">
            <v>0</v>
          </cell>
          <cell r="F1411">
            <v>0</v>
          </cell>
          <cell r="G1411">
            <v>0</v>
          </cell>
        </row>
        <row r="1412">
          <cell r="A1412" t="str">
            <v>105-30-080</v>
          </cell>
          <cell r="B1412">
            <v>150</v>
          </cell>
          <cell r="C1412" t="str">
            <v>STAFF RECRUITMENT &amp; REMOVALS</v>
          </cell>
          <cell r="D1412">
            <v>0</v>
          </cell>
          <cell r="E1412">
            <v>0</v>
          </cell>
          <cell r="F1412">
            <v>0</v>
          </cell>
          <cell r="G1412">
            <v>0</v>
          </cell>
        </row>
        <row r="1413">
          <cell r="A1413" t="str">
            <v>115-10-010</v>
          </cell>
          <cell r="B1413">
            <v>150</v>
          </cell>
          <cell r="D1413">
            <v>0</v>
          </cell>
          <cell r="E1413">
            <v>0</v>
          </cell>
          <cell r="F1413">
            <v>0</v>
          </cell>
          <cell r="G1413">
            <v>0</v>
          </cell>
        </row>
        <row r="1414">
          <cell r="A1414" t="str">
            <v>115-10-010</v>
          </cell>
          <cell r="B1414">
            <v>150</v>
          </cell>
          <cell r="D1414">
            <v>0</v>
          </cell>
          <cell r="F1414">
            <v>0</v>
          </cell>
          <cell r="G1414">
            <v>0</v>
          </cell>
        </row>
        <row r="1415">
          <cell r="A1415" t="str">
            <v>115-10-020</v>
          </cell>
          <cell r="B1415">
            <v>150</v>
          </cell>
          <cell r="D1415">
            <v>0</v>
          </cell>
          <cell r="E1415">
            <v>0</v>
          </cell>
          <cell r="F1415">
            <v>0</v>
          </cell>
          <cell r="G1415">
            <v>0</v>
          </cell>
        </row>
        <row r="1416">
          <cell r="A1416" t="str">
            <v>115-10-020</v>
          </cell>
          <cell r="B1416">
            <v>150</v>
          </cell>
          <cell r="D1416">
            <v>0</v>
          </cell>
          <cell r="G1416">
            <v>0</v>
          </cell>
        </row>
        <row r="1417">
          <cell r="A1417" t="str">
            <v>115-10-030</v>
          </cell>
          <cell r="B1417">
            <v>150</v>
          </cell>
          <cell r="D1417">
            <v>0</v>
          </cell>
          <cell r="E1417">
            <v>0</v>
          </cell>
          <cell r="F1417">
            <v>0</v>
          </cell>
          <cell r="G1417">
            <v>0</v>
          </cell>
        </row>
        <row r="1418">
          <cell r="A1418" t="str">
            <v>115-10-030</v>
          </cell>
          <cell r="B1418">
            <v>150</v>
          </cell>
          <cell r="D1418">
            <v>0</v>
          </cell>
          <cell r="F1418">
            <v>0</v>
          </cell>
          <cell r="G1418">
            <v>0</v>
          </cell>
        </row>
        <row r="1419">
          <cell r="A1419" t="str">
            <v>115-10-040</v>
          </cell>
          <cell r="B1419">
            <v>150</v>
          </cell>
          <cell r="D1419">
            <v>1287936</v>
          </cell>
          <cell r="E1419">
            <v>261000</v>
          </cell>
          <cell r="F1419">
            <v>447428.57142857136</v>
          </cell>
          <cell r="G1419">
            <v>2.8785287356321843</v>
          </cell>
          <cell r="H1419" t="str">
            <v>For actual space occupied</v>
          </cell>
        </row>
        <row r="1420">
          <cell r="A1420" t="str">
            <v>115-10-040</v>
          </cell>
          <cell r="B1420">
            <v>150</v>
          </cell>
          <cell r="D1420">
            <v>0</v>
          </cell>
          <cell r="F1420">
            <v>0</v>
          </cell>
          <cell r="G1420">
            <v>0</v>
          </cell>
        </row>
        <row r="1421">
          <cell r="A1421" t="str">
            <v>115-10-050</v>
          </cell>
          <cell r="B1421">
            <v>150</v>
          </cell>
          <cell r="C1421" t="str">
            <v>OFFICE CATERING &amp; STAFF WELFARE</v>
          </cell>
          <cell r="D1421">
            <v>62400</v>
          </cell>
          <cell r="E1421">
            <v>28250</v>
          </cell>
          <cell r="F1421">
            <v>48428.571428571428</v>
          </cell>
          <cell r="G1421">
            <v>1.288495575221239</v>
          </cell>
        </row>
        <row r="1422">
          <cell r="A1422" t="str">
            <v>115-10-051</v>
          </cell>
          <cell r="B1422">
            <v>150</v>
          </cell>
          <cell r="C1422" t="str">
            <v>OFFICE CLEANING</v>
          </cell>
          <cell r="D1422">
            <v>0</v>
          </cell>
          <cell r="E1422">
            <v>0</v>
          </cell>
          <cell r="F1422">
            <v>0</v>
          </cell>
          <cell r="G1422">
            <v>0</v>
          </cell>
        </row>
        <row r="1423">
          <cell r="A1423" t="str">
            <v>115-10-060</v>
          </cell>
          <cell r="B1423">
            <v>150</v>
          </cell>
          <cell r="C1423" t="str">
            <v>OFFICE WATER</v>
          </cell>
          <cell r="D1423">
            <v>0</v>
          </cell>
          <cell r="E1423">
            <v>0</v>
          </cell>
          <cell r="F1423">
            <v>0</v>
          </cell>
          <cell r="G1423">
            <v>0</v>
          </cell>
        </row>
        <row r="1424">
          <cell r="A1424" t="str">
            <v>115-10-070</v>
          </cell>
          <cell r="B1424">
            <v>150</v>
          </cell>
          <cell r="C1424" t="str">
            <v>OFFICE ELECTRICITY</v>
          </cell>
          <cell r="D1424">
            <v>0</v>
          </cell>
          <cell r="E1424">
            <v>0</v>
          </cell>
          <cell r="F1424">
            <v>0</v>
          </cell>
          <cell r="G1424">
            <v>0</v>
          </cell>
        </row>
        <row r="1425">
          <cell r="A1425" t="str">
            <v>115-10-080</v>
          </cell>
          <cell r="B1425">
            <v>150</v>
          </cell>
          <cell r="C1425" t="str">
            <v>OFFICE SECURITY</v>
          </cell>
          <cell r="D1425">
            <v>0</v>
          </cell>
          <cell r="E1425">
            <v>0</v>
          </cell>
          <cell r="F1425">
            <v>0</v>
          </cell>
          <cell r="G1425">
            <v>0</v>
          </cell>
        </row>
        <row r="1426">
          <cell r="A1426" t="str">
            <v>125-10-010</v>
          </cell>
          <cell r="B1426">
            <v>150</v>
          </cell>
          <cell r="C1426" t="str">
            <v>BANK CHARGES</v>
          </cell>
          <cell r="D1426">
            <v>12000</v>
          </cell>
          <cell r="E1426">
            <v>1200</v>
          </cell>
          <cell r="F1426">
            <v>2057.1428571428569</v>
          </cell>
          <cell r="G1426">
            <v>5.8333333333333339</v>
          </cell>
        </row>
        <row r="1427">
          <cell r="A1427" t="str">
            <v>125-10-020</v>
          </cell>
          <cell r="B1427">
            <v>150</v>
          </cell>
          <cell r="C1427" t="str">
            <v>BANK OVERDRART CHARGES</v>
          </cell>
          <cell r="E1427">
            <v>0</v>
          </cell>
          <cell r="F1427">
            <v>0</v>
          </cell>
          <cell r="G1427">
            <v>0</v>
          </cell>
        </row>
        <row r="1428">
          <cell r="A1428" t="str">
            <v>135-60-030</v>
          </cell>
          <cell r="B1428">
            <v>150</v>
          </cell>
          <cell r="C1428" t="str">
            <v>SALES PROMOTIONS &amp; COMPETITION</v>
          </cell>
          <cell r="D1428">
            <v>0</v>
          </cell>
          <cell r="E1428">
            <v>0</v>
          </cell>
          <cell r="F1428">
            <v>0</v>
          </cell>
          <cell r="G1428">
            <v>0</v>
          </cell>
        </row>
        <row r="1429">
          <cell r="A1429" t="str">
            <v>135-70-010</v>
          </cell>
          <cell r="B1429">
            <v>150</v>
          </cell>
          <cell r="C1429" t="str">
            <v>AGENCY PENSION</v>
          </cell>
          <cell r="D1429">
            <v>0</v>
          </cell>
          <cell r="E1429">
            <v>0</v>
          </cell>
          <cell r="F1429">
            <v>0</v>
          </cell>
          <cell r="G1429">
            <v>0</v>
          </cell>
        </row>
        <row r="1430">
          <cell r="A1430" t="str">
            <v>135-70-020</v>
          </cell>
          <cell r="B1430">
            <v>150</v>
          </cell>
          <cell r="C1430" t="str">
            <v>AGENCY GLA</v>
          </cell>
          <cell r="D1430">
            <v>0</v>
          </cell>
          <cell r="E1430">
            <v>0</v>
          </cell>
          <cell r="F1430">
            <v>0</v>
          </cell>
          <cell r="G1430">
            <v>0</v>
          </cell>
        </row>
        <row r="1431">
          <cell r="A1431" t="str">
            <v>135-70-030</v>
          </cell>
          <cell r="B1431">
            <v>150</v>
          </cell>
          <cell r="C1431" t="str">
            <v>AGENCY MEDICAL</v>
          </cell>
          <cell r="D1431">
            <v>0</v>
          </cell>
          <cell r="E1431">
            <v>0</v>
          </cell>
          <cell r="F1431">
            <v>0</v>
          </cell>
          <cell r="G1431">
            <v>0</v>
          </cell>
        </row>
        <row r="1432">
          <cell r="A1432" t="str">
            <v>135-70-040</v>
          </cell>
          <cell r="B1432">
            <v>150</v>
          </cell>
          <cell r="C1432" t="str">
            <v>AGENCY LAST EXPENSE</v>
          </cell>
          <cell r="D1432">
            <v>0</v>
          </cell>
          <cell r="E1432">
            <v>0</v>
          </cell>
          <cell r="F1432">
            <v>0</v>
          </cell>
          <cell r="G1432">
            <v>0</v>
          </cell>
        </row>
        <row r="1433">
          <cell r="A1433" t="str">
            <v>145-10-030</v>
          </cell>
          <cell r="B1433">
            <v>150</v>
          </cell>
          <cell r="C1433" t="str">
            <v>Audit fee -individual life</v>
          </cell>
          <cell r="D1433">
            <v>0</v>
          </cell>
          <cell r="E1433">
            <v>0</v>
          </cell>
          <cell r="F1433">
            <v>0</v>
          </cell>
          <cell r="G1433">
            <v>0</v>
          </cell>
        </row>
        <row r="1434">
          <cell r="A1434" t="str">
            <v>145-10-031</v>
          </cell>
          <cell r="B1434">
            <v>150</v>
          </cell>
          <cell r="C1434" t="str">
            <v>Tax filing returns</v>
          </cell>
          <cell r="D1434">
            <v>0</v>
          </cell>
          <cell r="E1434">
            <v>0</v>
          </cell>
          <cell r="F1434">
            <v>0</v>
          </cell>
          <cell r="G1434">
            <v>0</v>
          </cell>
        </row>
        <row r="1435">
          <cell r="A1435" t="str">
            <v>145-10-060</v>
          </cell>
          <cell r="B1435">
            <v>150</v>
          </cell>
          <cell r="C1435" t="str">
            <v>Intra company charges- individual life</v>
          </cell>
          <cell r="G1435">
            <v>0</v>
          </cell>
        </row>
        <row r="1436">
          <cell r="A1436" t="str">
            <v>145-10-060</v>
          </cell>
          <cell r="B1436">
            <v>150</v>
          </cell>
          <cell r="E1436">
            <v>0</v>
          </cell>
          <cell r="G1436">
            <v>0</v>
          </cell>
        </row>
        <row r="1437">
          <cell r="A1437" t="str">
            <v>145-10-080</v>
          </cell>
          <cell r="B1437">
            <v>150</v>
          </cell>
          <cell r="C1437" t="str">
            <v>40% Excutive recharge</v>
          </cell>
          <cell r="F1437">
            <v>0</v>
          </cell>
          <cell r="G1437">
            <v>0</v>
          </cell>
        </row>
        <row r="1438">
          <cell r="A1438" t="str">
            <v>145-10-080</v>
          </cell>
          <cell r="B1438">
            <v>150</v>
          </cell>
          <cell r="C1438" t="str">
            <v xml:space="preserve">Recharges: 10% recharge to Corporate </v>
          </cell>
          <cell r="E1438">
            <v>0</v>
          </cell>
          <cell r="G1438">
            <v>0</v>
          </cell>
        </row>
        <row r="1439">
          <cell r="A1439" t="str">
            <v>145-10-100</v>
          </cell>
          <cell r="B1439">
            <v>150</v>
          </cell>
          <cell r="E1439">
            <v>0</v>
          </cell>
          <cell r="G1439">
            <v>0</v>
          </cell>
        </row>
        <row r="1440">
          <cell r="A1440" t="str">
            <v>155-10-007</v>
          </cell>
          <cell r="B1440">
            <v>150</v>
          </cell>
          <cell r="C1440" t="str">
            <v>NEWSPAPERS &amp; JOURNALS</v>
          </cell>
          <cell r="D1440">
            <v>10560</v>
          </cell>
          <cell r="E1440">
            <v>6000</v>
          </cell>
          <cell r="F1440">
            <v>10285.714285714286</v>
          </cell>
          <cell r="G1440">
            <v>1.0266666666666666</v>
          </cell>
          <cell r="H1440" t="str">
            <v>This will be the cost of one newspaper for the branch in the entire year.</v>
          </cell>
        </row>
        <row r="1441">
          <cell r="A1441" t="str">
            <v>155-10-008</v>
          </cell>
          <cell r="B1441">
            <v>150</v>
          </cell>
          <cell r="C1441" t="str">
            <v>ENTERTAINMENT &amp; DONATIONS</v>
          </cell>
          <cell r="D1441">
            <v>12000</v>
          </cell>
          <cell r="E1441">
            <v>7000</v>
          </cell>
          <cell r="F1441">
            <v>12000</v>
          </cell>
          <cell r="G1441">
            <v>1</v>
          </cell>
          <cell r="H1441" t="str">
            <v>because I want to maximize public relations with our main check offs, in order to cash in on more sales.</v>
          </cell>
        </row>
        <row r="1442">
          <cell r="A1442" t="str">
            <v>155-10-009</v>
          </cell>
          <cell r="B1442">
            <v>150</v>
          </cell>
          <cell r="C1442" t="str">
            <v>COURIER &amp; FREIGHT CHARGES</v>
          </cell>
          <cell r="D1442">
            <v>0</v>
          </cell>
          <cell r="F1442">
            <v>0</v>
          </cell>
          <cell r="G1442">
            <v>0</v>
          </cell>
        </row>
        <row r="1443">
          <cell r="A1443" t="str">
            <v>155-10-010</v>
          </cell>
          <cell r="B1443">
            <v>150</v>
          </cell>
          <cell r="C1443" t="str">
            <v>ADVERTISING &amp; PUBLICITY</v>
          </cell>
          <cell r="D1443">
            <v>0</v>
          </cell>
          <cell r="E1443">
            <v>0</v>
          </cell>
          <cell r="F1443">
            <v>0</v>
          </cell>
          <cell r="G1443">
            <v>0</v>
          </cell>
        </row>
        <row r="1444">
          <cell r="A1444" t="str">
            <v>155-10-012</v>
          </cell>
          <cell r="B1444">
            <v>150</v>
          </cell>
          <cell r="C1444" t="str">
            <v>TRADE LICENCES</v>
          </cell>
          <cell r="D1444">
            <v>0</v>
          </cell>
          <cell r="E1444">
            <v>0</v>
          </cell>
          <cell r="F1444">
            <v>0</v>
          </cell>
          <cell r="G1444">
            <v>0</v>
          </cell>
        </row>
        <row r="1445">
          <cell r="A1445" t="str">
            <v>155-10-013</v>
          </cell>
          <cell r="B1445">
            <v>150</v>
          </cell>
          <cell r="C1445" t="str">
            <v>INSURANCES</v>
          </cell>
          <cell r="D1445">
            <v>0</v>
          </cell>
          <cell r="E1445">
            <v>0</v>
          </cell>
          <cell r="F1445">
            <v>0</v>
          </cell>
          <cell r="G1445">
            <v>0</v>
          </cell>
        </row>
        <row r="1446">
          <cell r="A1446" t="str">
            <v>155-10-014</v>
          </cell>
          <cell r="B1446">
            <v>150</v>
          </cell>
          <cell r="C1446" t="str">
            <v>PHOTOCOPY</v>
          </cell>
          <cell r="D1446">
            <v>0</v>
          </cell>
          <cell r="E1446">
            <v>0</v>
          </cell>
          <cell r="F1446">
            <v>0</v>
          </cell>
          <cell r="G1446">
            <v>0</v>
          </cell>
        </row>
        <row r="1447">
          <cell r="A1447" t="str">
            <v>155-10-015</v>
          </cell>
          <cell r="B1447">
            <v>150</v>
          </cell>
          <cell r="C1447" t="str">
            <v>COMPUTER MAINTAINANCE</v>
          </cell>
          <cell r="D1447">
            <v>10500</v>
          </cell>
          <cell r="E1447">
            <v>5000</v>
          </cell>
          <cell r="F1447">
            <v>8571.4285714285725</v>
          </cell>
          <cell r="G1447">
            <v>1.2250000000000001</v>
          </cell>
        </row>
        <row r="1448">
          <cell r="A1448" t="str">
            <v>155-10-016</v>
          </cell>
          <cell r="B1448">
            <v>150</v>
          </cell>
          <cell r="C1448" t="str">
            <v>EQUIPMENT&amp; FURNITURE REPAIRS &amp; MAINTENANCE</v>
          </cell>
          <cell r="D1448">
            <v>4800</v>
          </cell>
          <cell r="E1448">
            <v>4000</v>
          </cell>
          <cell r="F1448">
            <v>6857.1428571428569</v>
          </cell>
          <cell r="G1448">
            <v>0.7</v>
          </cell>
        </row>
        <row r="1449">
          <cell r="A1449" t="str">
            <v>155-10-017</v>
          </cell>
          <cell r="B1449">
            <v>150</v>
          </cell>
          <cell r="C1449" t="str">
            <v>SEMINARS &amp; SHORT TERM COURSES</v>
          </cell>
          <cell r="D1449">
            <v>0</v>
          </cell>
          <cell r="E1449">
            <v>0</v>
          </cell>
          <cell r="F1449">
            <v>0</v>
          </cell>
          <cell r="G1449">
            <v>0</v>
          </cell>
        </row>
        <row r="1450">
          <cell r="A1450" t="str">
            <v>155-10-022</v>
          </cell>
          <cell r="B1450">
            <v>150</v>
          </cell>
          <cell r="C1450" t="str">
            <v>PRINTING &amp; STATIONERY</v>
          </cell>
          <cell r="D1450">
            <v>129593</v>
          </cell>
          <cell r="E1450">
            <v>36000</v>
          </cell>
          <cell r="F1450">
            <v>61714.285714285717</v>
          </cell>
          <cell r="G1450">
            <v>2.0998865740740738</v>
          </cell>
          <cell r="H1450" t="str">
            <v>The branch initially used stationery that was existing and thus the YTgo estimate may not be accurate</v>
          </cell>
        </row>
        <row r="1451">
          <cell r="A1451" t="str">
            <v>155-10-025</v>
          </cell>
          <cell r="B1451">
            <v>150</v>
          </cell>
          <cell r="C1451" t="str">
            <v>STRATEGIC PLANNING</v>
          </cell>
          <cell r="D1451">
            <v>0</v>
          </cell>
          <cell r="E1451">
            <v>0</v>
          </cell>
          <cell r="F1451">
            <v>0</v>
          </cell>
          <cell r="G1451">
            <v>0</v>
          </cell>
        </row>
        <row r="1452">
          <cell r="A1452" t="str">
            <v>155-10-027</v>
          </cell>
          <cell r="B1452">
            <v>150</v>
          </cell>
          <cell r="C1452" t="str">
            <v>PROFESSIONAL SUBSCRIPTIONS</v>
          </cell>
          <cell r="D1452">
            <v>0</v>
          </cell>
          <cell r="E1452">
            <v>0</v>
          </cell>
          <cell r="F1452">
            <v>0</v>
          </cell>
          <cell r="G1452">
            <v>0</v>
          </cell>
        </row>
        <row r="1453">
          <cell r="A1453" t="str">
            <v>155-10-028</v>
          </cell>
          <cell r="B1453">
            <v>150</v>
          </cell>
          <cell r="C1453" t="str">
            <v xml:space="preserve"> SUBSCRIPTIONS -COMPANY MEMBERSHIP</v>
          </cell>
          <cell r="D1453">
            <v>0</v>
          </cell>
          <cell r="E1453">
            <v>0</v>
          </cell>
          <cell r="F1453">
            <v>0</v>
          </cell>
          <cell r="G1453">
            <v>0</v>
          </cell>
        </row>
        <row r="1454">
          <cell r="A1454" t="str">
            <v>155-10-030</v>
          </cell>
          <cell r="B1454">
            <v>150</v>
          </cell>
          <cell r="C1454" t="str">
            <v>TRAVELLING &amp; ACCOMMODATION</v>
          </cell>
          <cell r="D1454">
            <v>35800</v>
          </cell>
          <cell r="E1454">
            <v>13000</v>
          </cell>
          <cell r="F1454">
            <v>26000</v>
          </cell>
          <cell r="G1454">
            <v>1.3769230769230769</v>
          </cell>
          <cell r="H1454" t="str">
            <v>budgeted for accomodation on 3 branch visits.</v>
          </cell>
        </row>
        <row r="1455">
          <cell r="A1455" t="str">
            <v>155-10-032</v>
          </cell>
          <cell r="B1455">
            <v>150</v>
          </cell>
          <cell r="C1455" t="str">
            <v xml:space="preserve">MOTOR CAR EXPENSES </v>
          </cell>
          <cell r="D1455">
            <v>0</v>
          </cell>
          <cell r="E1455">
            <v>0</v>
          </cell>
          <cell r="F1455">
            <v>0</v>
          </cell>
          <cell r="G1455">
            <v>0</v>
          </cell>
        </row>
        <row r="1456">
          <cell r="A1456" t="str">
            <v>155-10-040</v>
          </cell>
          <cell r="B1456">
            <v>150</v>
          </cell>
          <cell r="C1456" t="str">
            <v>POSTAGE</v>
          </cell>
          <cell r="D1456">
            <v>1200</v>
          </cell>
          <cell r="E1456">
            <v>1000</v>
          </cell>
          <cell r="F1456">
            <v>1714.2857142857142</v>
          </cell>
          <cell r="G1456">
            <v>0.7</v>
          </cell>
        </row>
        <row r="1457">
          <cell r="A1457" t="str">
            <v>155-10-041</v>
          </cell>
          <cell r="B1457">
            <v>150</v>
          </cell>
          <cell r="C1457" t="str">
            <v>TELEPHONE &amp; FAX</v>
          </cell>
          <cell r="D1457">
            <v>96000</v>
          </cell>
          <cell r="E1457">
            <v>47000</v>
          </cell>
          <cell r="F1457">
            <v>80000</v>
          </cell>
          <cell r="G1457">
            <v>1.2</v>
          </cell>
          <cell r="H1457" t="str">
            <v>Intend to facilitate the branch to reach more local check offs and enhance communication</v>
          </cell>
        </row>
        <row r="1458">
          <cell r="A1458" t="str">
            <v>155-10-044</v>
          </cell>
          <cell r="B1458">
            <v>150</v>
          </cell>
          <cell r="C1458" t="str">
            <v>PROFFESSIONAL TRAINING</v>
          </cell>
          <cell r="D1458">
            <v>0</v>
          </cell>
          <cell r="E1458">
            <v>0</v>
          </cell>
          <cell r="F1458">
            <v>0</v>
          </cell>
          <cell r="G1458">
            <v>0</v>
          </cell>
        </row>
        <row r="1459">
          <cell r="A1459" t="str">
            <v>155-10-046</v>
          </cell>
          <cell r="B1459">
            <v>150</v>
          </cell>
          <cell r="C1459" t="str">
            <v xml:space="preserve">SUBSCRIPTION- STAFF CLUB MEMBERSHIP </v>
          </cell>
          <cell r="D1459">
            <v>0</v>
          </cell>
          <cell r="E1459">
            <v>0</v>
          </cell>
          <cell r="F1459">
            <v>0</v>
          </cell>
          <cell r="G1459">
            <v>0</v>
          </cell>
        </row>
        <row r="1460">
          <cell r="A1460" t="str">
            <v>155-10-054</v>
          </cell>
          <cell r="B1460">
            <v>150</v>
          </cell>
          <cell r="C1460" t="str">
            <v>LEASED LINES-INTERNET SERVICES</v>
          </cell>
          <cell r="D1460">
            <v>0</v>
          </cell>
          <cell r="E1460">
            <v>0</v>
          </cell>
          <cell r="F1460">
            <v>0</v>
          </cell>
          <cell r="G1460">
            <v>0</v>
          </cell>
        </row>
        <row r="1461">
          <cell r="A1461" t="str">
            <v>155-10-057</v>
          </cell>
          <cell r="B1461">
            <v>150</v>
          </cell>
          <cell r="C1461" t="str">
            <v>SOFTWARE LICENCES</v>
          </cell>
          <cell r="D1461">
            <v>0</v>
          </cell>
          <cell r="E1461">
            <v>0</v>
          </cell>
          <cell r="F1461">
            <v>0</v>
          </cell>
          <cell r="G1461">
            <v>0</v>
          </cell>
        </row>
        <row r="1462">
          <cell r="A1462" t="str">
            <v>155-10-059</v>
          </cell>
          <cell r="B1462">
            <v>150</v>
          </cell>
          <cell r="E1462">
            <v>0</v>
          </cell>
          <cell r="G1462">
            <v>0</v>
          </cell>
        </row>
        <row r="1463">
          <cell r="A1463" t="str">
            <v>155-10-060</v>
          </cell>
          <cell r="B1463">
            <v>150</v>
          </cell>
          <cell r="E1463">
            <v>0</v>
          </cell>
          <cell r="G1463">
            <v>0</v>
          </cell>
        </row>
        <row r="1464">
          <cell r="A1464" t="str">
            <v>155-10-062</v>
          </cell>
          <cell r="B1464">
            <v>150</v>
          </cell>
          <cell r="C1464" t="str">
            <v>EDUCATION EXPENSES</v>
          </cell>
          <cell r="D1464">
            <v>0</v>
          </cell>
          <cell r="E1464">
            <v>0</v>
          </cell>
          <cell r="F1464">
            <v>0</v>
          </cell>
          <cell r="G1464">
            <v>0</v>
          </cell>
        </row>
        <row r="1465">
          <cell r="A1465" t="str">
            <v>160-10-010</v>
          </cell>
          <cell r="B1465">
            <v>150</v>
          </cell>
          <cell r="E1465">
            <v>0</v>
          </cell>
          <cell r="G1465">
            <v>0</v>
          </cell>
        </row>
        <row r="1466">
          <cell r="A1466" t="str">
            <v>105-10-010</v>
          </cell>
          <cell r="B1466">
            <v>160</v>
          </cell>
          <cell r="C1466" t="str">
            <v>BASIC SALARY</v>
          </cell>
          <cell r="D1466">
            <v>401103.96</v>
          </cell>
          <cell r="E1466">
            <v>204000</v>
          </cell>
          <cell r="F1466">
            <v>349500</v>
          </cell>
          <cell r="G1466">
            <v>1.147650815450644</v>
          </cell>
        </row>
        <row r="1467">
          <cell r="A1467" t="str">
            <v>105-10-012</v>
          </cell>
          <cell r="B1467">
            <v>160</v>
          </cell>
          <cell r="C1467" t="str">
            <v>PROVISION FOR MORT. RATE ADJUSTMENTS</v>
          </cell>
          <cell r="D1467">
            <v>0</v>
          </cell>
          <cell r="E1467">
            <v>0</v>
          </cell>
          <cell r="F1467">
            <v>0</v>
          </cell>
          <cell r="G1467">
            <v>0</v>
          </cell>
        </row>
        <row r="1468">
          <cell r="A1468" t="str">
            <v>105-10-020</v>
          </cell>
          <cell r="B1468">
            <v>160</v>
          </cell>
          <cell r="C1468" t="str">
            <v>HOUSE ALLOWANCE</v>
          </cell>
          <cell r="D1468">
            <v>62400</v>
          </cell>
          <cell r="E1468">
            <v>36000</v>
          </cell>
          <cell r="F1468">
            <v>62000</v>
          </cell>
          <cell r="G1468">
            <v>1.0064516129032257</v>
          </cell>
        </row>
        <row r="1469">
          <cell r="A1469" t="str">
            <v>105-10-030</v>
          </cell>
          <cell r="B1469">
            <v>160</v>
          </cell>
          <cell r="C1469" t="str">
            <v>TELEPHONE ALLOWANCE</v>
          </cell>
          <cell r="D1469">
            <v>0</v>
          </cell>
          <cell r="E1469">
            <v>0</v>
          </cell>
          <cell r="F1469">
            <v>0</v>
          </cell>
          <cell r="G1469">
            <v>0</v>
          </cell>
        </row>
        <row r="1470">
          <cell r="A1470" t="str">
            <v>105-10-040</v>
          </cell>
          <cell r="B1470">
            <v>160</v>
          </cell>
          <cell r="C1470" t="str">
            <v>SECURITY ALLOWANCE</v>
          </cell>
          <cell r="D1470">
            <v>0</v>
          </cell>
          <cell r="E1470">
            <v>0</v>
          </cell>
          <cell r="F1470">
            <v>0</v>
          </cell>
          <cell r="G1470">
            <v>0</v>
          </cell>
        </row>
        <row r="1471">
          <cell r="A1471" t="str">
            <v>105-10-050</v>
          </cell>
          <cell r="B1471">
            <v>160</v>
          </cell>
          <cell r="C1471" t="str">
            <v>EDUCATION ALLOWANCE</v>
          </cell>
          <cell r="D1471">
            <v>0</v>
          </cell>
          <cell r="E1471">
            <v>0</v>
          </cell>
          <cell r="F1471">
            <v>0</v>
          </cell>
          <cell r="G1471">
            <v>0</v>
          </cell>
        </row>
        <row r="1472">
          <cell r="A1472" t="str">
            <v>105-10-060</v>
          </cell>
          <cell r="B1472">
            <v>160</v>
          </cell>
          <cell r="C1472" t="str">
            <v>TRAVEL ALLOWANCE</v>
          </cell>
          <cell r="D1472">
            <v>0</v>
          </cell>
          <cell r="E1472">
            <v>0</v>
          </cell>
          <cell r="F1472">
            <v>0</v>
          </cell>
          <cell r="G1472">
            <v>0</v>
          </cell>
        </row>
        <row r="1473">
          <cell r="A1473" t="str">
            <v>105-20-010</v>
          </cell>
          <cell r="B1473">
            <v>160</v>
          </cell>
          <cell r="C1473" t="str">
            <v>NSSF</v>
          </cell>
          <cell r="D1473">
            <v>2400</v>
          </cell>
          <cell r="E1473">
            <v>1000</v>
          </cell>
          <cell r="F1473">
            <v>2000</v>
          </cell>
          <cell r="G1473">
            <v>1.2</v>
          </cell>
        </row>
        <row r="1474">
          <cell r="A1474" t="str">
            <v>105-20-020</v>
          </cell>
          <cell r="B1474">
            <v>160</v>
          </cell>
          <cell r="C1474" t="str">
            <v>NHIF</v>
          </cell>
          <cell r="D1474">
            <v>2880</v>
          </cell>
          <cell r="E1474">
            <v>2000</v>
          </cell>
          <cell r="F1474">
            <v>3200</v>
          </cell>
          <cell r="G1474">
            <v>0.9</v>
          </cell>
        </row>
        <row r="1475">
          <cell r="A1475" t="str">
            <v>105-30-010</v>
          </cell>
          <cell r="B1475">
            <v>160</v>
          </cell>
          <cell r="C1475" t="str">
            <v xml:space="preserve">PENSION </v>
          </cell>
          <cell r="D1475">
            <v>48888</v>
          </cell>
          <cell r="E1475">
            <v>25000</v>
          </cell>
          <cell r="F1475">
            <v>45370</v>
          </cell>
          <cell r="G1475">
            <v>1.077540224818162</v>
          </cell>
        </row>
        <row r="1476">
          <cell r="A1476" t="str">
            <v>105-30-020</v>
          </cell>
          <cell r="B1476">
            <v>160</v>
          </cell>
          <cell r="C1476" t="str">
            <v>LAST EXPENSE</v>
          </cell>
          <cell r="D1476">
            <v>2400</v>
          </cell>
          <cell r="E1476">
            <v>2400</v>
          </cell>
          <cell r="F1476">
            <v>2400</v>
          </cell>
          <cell r="G1476">
            <v>1</v>
          </cell>
        </row>
        <row r="1477">
          <cell r="A1477" t="str">
            <v>105-30-030</v>
          </cell>
          <cell r="B1477">
            <v>160</v>
          </cell>
          <cell r="C1477" t="str">
            <v>GROUP LIFE ASSURANCE</v>
          </cell>
          <cell r="D1477">
            <v>9000</v>
          </cell>
          <cell r="E1477">
            <v>5000</v>
          </cell>
          <cell r="F1477">
            <v>8571.4285714285725</v>
          </cell>
          <cell r="G1477">
            <v>1.05</v>
          </cell>
        </row>
        <row r="1478">
          <cell r="A1478" t="str">
            <v>105-30-040</v>
          </cell>
          <cell r="B1478">
            <v>160</v>
          </cell>
          <cell r="C1478" t="str">
            <v>STAFF MEDICAL</v>
          </cell>
          <cell r="D1478">
            <v>3000</v>
          </cell>
          <cell r="E1478">
            <v>3000</v>
          </cell>
          <cell r="F1478">
            <v>3000</v>
          </cell>
          <cell r="G1478">
            <v>1</v>
          </cell>
        </row>
        <row r="1479">
          <cell r="A1479" t="str">
            <v>105-30-050</v>
          </cell>
          <cell r="B1479">
            <v>160</v>
          </cell>
          <cell r="C1479" t="str">
            <v>CASH IN LIEU OF LEAVE</v>
          </cell>
          <cell r="D1479">
            <v>9777.6</v>
          </cell>
          <cell r="E1479">
            <v>30000</v>
          </cell>
          <cell r="F1479">
            <v>51428.57142857142</v>
          </cell>
          <cell r="G1479">
            <v>0.19012000000000004</v>
          </cell>
        </row>
        <row r="1480">
          <cell r="A1480" t="str">
            <v>105-30-060</v>
          </cell>
          <cell r="B1480">
            <v>160</v>
          </cell>
          <cell r="C1480" t="str">
            <v>GRATUITY</v>
          </cell>
          <cell r="E1480">
            <v>0</v>
          </cell>
          <cell r="F1480">
            <v>0</v>
          </cell>
          <cell r="G1480">
            <v>0</v>
          </cell>
        </row>
        <row r="1481">
          <cell r="A1481" t="str">
            <v>105-30-070</v>
          </cell>
          <cell r="B1481">
            <v>160</v>
          </cell>
          <cell r="C1481" t="str">
            <v>LONG SERVICE AWARDS</v>
          </cell>
          <cell r="D1481">
            <v>0</v>
          </cell>
          <cell r="E1481">
            <v>0</v>
          </cell>
          <cell r="F1481">
            <v>0</v>
          </cell>
          <cell r="G1481">
            <v>0</v>
          </cell>
        </row>
        <row r="1482">
          <cell r="A1482" t="str">
            <v>105-30-080</v>
          </cell>
          <cell r="B1482">
            <v>160</v>
          </cell>
          <cell r="C1482" t="str">
            <v>STAFF RECRUITMENT &amp; REMOVALS</v>
          </cell>
          <cell r="D1482">
            <v>0</v>
          </cell>
          <cell r="E1482">
            <v>0</v>
          </cell>
          <cell r="F1482">
            <v>0</v>
          </cell>
          <cell r="G1482">
            <v>0</v>
          </cell>
        </row>
        <row r="1483">
          <cell r="A1483" t="str">
            <v>115-10-010</v>
          </cell>
          <cell r="B1483">
            <v>160</v>
          </cell>
          <cell r="D1483">
            <v>0</v>
          </cell>
          <cell r="E1483">
            <v>0</v>
          </cell>
          <cell r="F1483">
            <v>0</v>
          </cell>
          <cell r="G1483">
            <v>0</v>
          </cell>
        </row>
        <row r="1484">
          <cell r="A1484" t="str">
            <v>115-10-010</v>
          </cell>
          <cell r="B1484">
            <v>160</v>
          </cell>
          <cell r="D1484">
            <v>0</v>
          </cell>
          <cell r="F1484">
            <v>0</v>
          </cell>
          <cell r="G1484">
            <v>0</v>
          </cell>
        </row>
        <row r="1485">
          <cell r="A1485" t="str">
            <v>115-10-020</v>
          </cell>
          <cell r="B1485">
            <v>160</v>
          </cell>
          <cell r="D1485">
            <v>0</v>
          </cell>
          <cell r="E1485">
            <v>0</v>
          </cell>
          <cell r="F1485">
            <v>0</v>
          </cell>
          <cell r="G1485">
            <v>0</v>
          </cell>
        </row>
        <row r="1486">
          <cell r="A1486" t="str">
            <v>115-10-020</v>
          </cell>
          <cell r="B1486">
            <v>160</v>
          </cell>
          <cell r="D1486">
            <v>0</v>
          </cell>
          <cell r="G1486">
            <v>0</v>
          </cell>
        </row>
        <row r="1487">
          <cell r="A1487" t="str">
            <v>115-10-030</v>
          </cell>
          <cell r="B1487">
            <v>160</v>
          </cell>
          <cell r="D1487">
            <v>0</v>
          </cell>
          <cell r="E1487">
            <v>0</v>
          </cell>
          <cell r="F1487">
            <v>0</v>
          </cell>
          <cell r="G1487">
            <v>0</v>
          </cell>
        </row>
        <row r="1488">
          <cell r="A1488" t="str">
            <v>115-10-030</v>
          </cell>
          <cell r="B1488">
            <v>160</v>
          </cell>
          <cell r="D1488">
            <v>0</v>
          </cell>
          <cell r="F1488">
            <v>0</v>
          </cell>
          <cell r="G1488">
            <v>0</v>
          </cell>
        </row>
        <row r="1489">
          <cell r="A1489" t="str">
            <v>115-10-040</v>
          </cell>
          <cell r="B1489">
            <v>160</v>
          </cell>
          <cell r="D1489">
            <v>864000</v>
          </cell>
          <cell r="E1489">
            <v>261000</v>
          </cell>
          <cell r="F1489">
            <v>447428.57142857136</v>
          </cell>
          <cell r="G1489">
            <v>1.931034482758621</v>
          </cell>
        </row>
        <row r="1490">
          <cell r="A1490" t="str">
            <v>115-10-040</v>
          </cell>
          <cell r="B1490">
            <v>160</v>
          </cell>
          <cell r="D1490">
            <v>0</v>
          </cell>
          <cell r="F1490">
            <v>0</v>
          </cell>
          <cell r="G1490">
            <v>0</v>
          </cell>
        </row>
        <row r="1491">
          <cell r="A1491" t="str">
            <v>115-10-050</v>
          </cell>
          <cell r="B1491">
            <v>160</v>
          </cell>
          <cell r="C1491" t="str">
            <v>OFFICE CATERING &amp; STAFF WELFARE</v>
          </cell>
          <cell r="D1491">
            <v>48800</v>
          </cell>
          <cell r="E1491">
            <v>23250</v>
          </cell>
          <cell r="F1491">
            <v>39857.142857142855</v>
          </cell>
          <cell r="G1491">
            <v>1.224372759856631</v>
          </cell>
          <cell r="H1491" t="str">
            <v>CURRENT YEAR ANNUAL PARTY NOT CONSIDERED, AND EXTRA COST FOR NEXT YEAR  2 DAYS TRAINING (SIMPLE LUNCH) FACTERED IN.</v>
          </cell>
        </row>
        <row r="1492">
          <cell r="A1492" t="str">
            <v>115-10-051</v>
          </cell>
          <cell r="B1492">
            <v>160</v>
          </cell>
          <cell r="C1492" t="str">
            <v>OFFICE CLEANING</v>
          </cell>
          <cell r="D1492">
            <v>0</v>
          </cell>
          <cell r="E1492">
            <v>0</v>
          </cell>
          <cell r="F1492">
            <v>0</v>
          </cell>
          <cell r="G1492">
            <v>0</v>
          </cell>
        </row>
        <row r="1493">
          <cell r="A1493" t="str">
            <v>115-10-060</v>
          </cell>
          <cell r="B1493">
            <v>160</v>
          </cell>
          <cell r="C1493" t="str">
            <v>OFFICE WATER</v>
          </cell>
          <cell r="D1493">
            <v>0</v>
          </cell>
          <cell r="E1493">
            <v>0</v>
          </cell>
          <cell r="F1493">
            <v>0</v>
          </cell>
          <cell r="G1493">
            <v>0</v>
          </cell>
        </row>
        <row r="1494">
          <cell r="A1494" t="str">
            <v>115-10-070</v>
          </cell>
          <cell r="B1494">
            <v>160</v>
          </cell>
          <cell r="C1494" t="str">
            <v>OFFICE ELECTRICITY</v>
          </cell>
          <cell r="D1494">
            <v>0</v>
          </cell>
          <cell r="E1494">
            <v>0</v>
          </cell>
          <cell r="F1494">
            <v>0</v>
          </cell>
          <cell r="G1494">
            <v>0</v>
          </cell>
        </row>
        <row r="1495">
          <cell r="A1495" t="str">
            <v>115-10-080</v>
          </cell>
          <cell r="B1495">
            <v>160</v>
          </cell>
          <cell r="C1495" t="str">
            <v>OFFICE SECURITY</v>
          </cell>
          <cell r="D1495">
            <v>0</v>
          </cell>
          <cell r="E1495">
            <v>0</v>
          </cell>
          <cell r="F1495">
            <v>0</v>
          </cell>
          <cell r="G1495">
            <v>0</v>
          </cell>
        </row>
        <row r="1496">
          <cell r="A1496" t="str">
            <v>125-10-010</v>
          </cell>
          <cell r="B1496">
            <v>160</v>
          </cell>
          <cell r="C1496" t="str">
            <v>BANK CHARGES</v>
          </cell>
          <cell r="D1496">
            <v>0</v>
          </cell>
          <cell r="E1496">
            <v>0</v>
          </cell>
          <cell r="F1496">
            <v>0</v>
          </cell>
          <cell r="G1496">
            <v>0</v>
          </cell>
        </row>
        <row r="1497">
          <cell r="A1497" t="str">
            <v>125-10-020</v>
          </cell>
          <cell r="B1497">
            <v>160</v>
          </cell>
          <cell r="C1497" t="str">
            <v>BANK OVERDRART CHARGES</v>
          </cell>
          <cell r="E1497">
            <v>0</v>
          </cell>
          <cell r="F1497">
            <v>0</v>
          </cell>
          <cell r="G1497">
            <v>0</v>
          </cell>
        </row>
        <row r="1498">
          <cell r="A1498" t="str">
            <v>135-60-030</v>
          </cell>
          <cell r="B1498">
            <v>160</v>
          </cell>
          <cell r="C1498" t="str">
            <v>SALES PROMOTIONS &amp; COMPETITION</v>
          </cell>
          <cell r="D1498">
            <v>0</v>
          </cell>
          <cell r="E1498">
            <v>0</v>
          </cell>
          <cell r="F1498">
            <v>0</v>
          </cell>
          <cell r="G1498">
            <v>0</v>
          </cell>
        </row>
        <row r="1499">
          <cell r="A1499" t="str">
            <v>135-70-010</v>
          </cell>
          <cell r="B1499">
            <v>160</v>
          </cell>
          <cell r="C1499" t="str">
            <v>AGENCY PENSION</v>
          </cell>
          <cell r="D1499">
            <v>0</v>
          </cell>
          <cell r="E1499">
            <v>0</v>
          </cell>
          <cell r="F1499">
            <v>0</v>
          </cell>
          <cell r="G1499">
            <v>0</v>
          </cell>
        </row>
        <row r="1500">
          <cell r="A1500" t="str">
            <v>135-70-020</v>
          </cell>
          <cell r="B1500">
            <v>160</v>
          </cell>
          <cell r="C1500" t="str">
            <v>AGENCY GLA</v>
          </cell>
          <cell r="D1500">
            <v>0</v>
          </cell>
          <cell r="E1500">
            <v>0</v>
          </cell>
          <cell r="F1500">
            <v>0</v>
          </cell>
          <cell r="G1500">
            <v>0</v>
          </cell>
        </row>
        <row r="1501">
          <cell r="A1501" t="str">
            <v>135-70-030</v>
          </cell>
          <cell r="B1501">
            <v>160</v>
          </cell>
          <cell r="C1501" t="str">
            <v>AGENCY MEDICAL</v>
          </cell>
          <cell r="D1501">
            <v>0</v>
          </cell>
          <cell r="E1501">
            <v>0</v>
          </cell>
          <cell r="F1501">
            <v>0</v>
          </cell>
          <cell r="G1501">
            <v>0</v>
          </cell>
        </row>
        <row r="1502">
          <cell r="A1502" t="str">
            <v>135-70-040</v>
          </cell>
          <cell r="B1502">
            <v>160</v>
          </cell>
          <cell r="C1502" t="str">
            <v>AGENCY LAST EXPENSE</v>
          </cell>
          <cell r="D1502">
            <v>0</v>
          </cell>
          <cell r="E1502">
            <v>0</v>
          </cell>
          <cell r="F1502">
            <v>0</v>
          </cell>
          <cell r="G1502">
            <v>0</v>
          </cell>
        </row>
        <row r="1503">
          <cell r="A1503" t="str">
            <v>145-10-030</v>
          </cell>
          <cell r="B1503">
            <v>160</v>
          </cell>
          <cell r="C1503" t="str">
            <v>Audit fee -individual life</v>
          </cell>
          <cell r="D1503">
            <v>0</v>
          </cell>
          <cell r="E1503">
            <v>0</v>
          </cell>
          <cell r="F1503">
            <v>0</v>
          </cell>
          <cell r="G1503">
            <v>0</v>
          </cell>
        </row>
        <row r="1504">
          <cell r="A1504" t="str">
            <v>145-10-031</v>
          </cell>
          <cell r="B1504">
            <v>160</v>
          </cell>
          <cell r="C1504" t="str">
            <v>Tax filing returns</v>
          </cell>
          <cell r="D1504">
            <v>0</v>
          </cell>
          <cell r="E1504">
            <v>0</v>
          </cell>
          <cell r="F1504">
            <v>0</v>
          </cell>
          <cell r="G1504">
            <v>0</v>
          </cell>
        </row>
        <row r="1505">
          <cell r="A1505" t="str">
            <v>145-10-060</v>
          </cell>
          <cell r="B1505">
            <v>160</v>
          </cell>
          <cell r="C1505" t="str">
            <v>Intra company charges- individual life</v>
          </cell>
          <cell r="G1505">
            <v>0</v>
          </cell>
        </row>
        <row r="1506">
          <cell r="A1506" t="str">
            <v>145-10-060</v>
          </cell>
          <cell r="B1506">
            <v>160</v>
          </cell>
          <cell r="E1506">
            <v>0</v>
          </cell>
          <cell r="G1506">
            <v>0</v>
          </cell>
        </row>
        <row r="1507">
          <cell r="A1507" t="str">
            <v>145-10-080</v>
          </cell>
          <cell r="B1507">
            <v>160</v>
          </cell>
          <cell r="C1507" t="str">
            <v>40% Excutive recharge</v>
          </cell>
          <cell r="F1507">
            <v>0</v>
          </cell>
          <cell r="G1507">
            <v>0</v>
          </cell>
        </row>
        <row r="1508">
          <cell r="A1508" t="str">
            <v>145-10-080</v>
          </cell>
          <cell r="B1508">
            <v>160</v>
          </cell>
          <cell r="C1508" t="str">
            <v xml:space="preserve">Recharges: 10% recharge to Corporate </v>
          </cell>
          <cell r="E1508">
            <v>0</v>
          </cell>
          <cell r="G1508">
            <v>0</v>
          </cell>
        </row>
        <row r="1509">
          <cell r="A1509" t="str">
            <v>145-10-100</v>
          </cell>
          <cell r="B1509">
            <v>160</v>
          </cell>
          <cell r="E1509">
            <v>0</v>
          </cell>
          <cell r="G1509">
            <v>0</v>
          </cell>
        </row>
        <row r="1510">
          <cell r="A1510" t="str">
            <v>155-10-007</v>
          </cell>
          <cell r="B1510">
            <v>160</v>
          </cell>
          <cell r="C1510" t="str">
            <v>NEWSPAPERS &amp; JOURNALS</v>
          </cell>
          <cell r="D1510">
            <v>10560</v>
          </cell>
          <cell r="E1510">
            <v>6000</v>
          </cell>
          <cell r="F1510">
            <v>10285.714285714286</v>
          </cell>
          <cell r="G1510">
            <v>1.0266666666666666</v>
          </cell>
          <cell r="H1510" t="str">
            <v>CURRENT YEAR EXPENDITURE NOT UPDATED,(SALES MANAGER TO SORT OUT WITH ACCOUNTS DEPARTMENT)</v>
          </cell>
        </row>
        <row r="1511">
          <cell r="A1511" t="str">
            <v>155-10-008</v>
          </cell>
          <cell r="B1511">
            <v>160</v>
          </cell>
          <cell r="C1511" t="str">
            <v>ENTERTAINMENT &amp; DONATIONS</v>
          </cell>
          <cell r="D1511">
            <v>13500</v>
          </cell>
          <cell r="E1511">
            <v>3000</v>
          </cell>
          <cell r="F1511">
            <v>5142.8571428571431</v>
          </cell>
          <cell r="G1511">
            <v>2.625</v>
          </cell>
          <cell r="H1511" t="str">
            <v>Does not pick new cost from Exp. Details sheet.</v>
          </cell>
        </row>
        <row r="1512">
          <cell r="A1512" t="str">
            <v>155-10-009</v>
          </cell>
          <cell r="B1512">
            <v>160</v>
          </cell>
          <cell r="C1512" t="str">
            <v>COURIER &amp; FREIGHT CHARGES</v>
          </cell>
          <cell r="D1512">
            <v>0</v>
          </cell>
          <cell r="E1512">
            <v>0</v>
          </cell>
          <cell r="F1512">
            <v>0</v>
          </cell>
          <cell r="G1512">
            <v>0</v>
          </cell>
        </row>
        <row r="1513">
          <cell r="A1513" t="str">
            <v>155-10-010</v>
          </cell>
          <cell r="B1513">
            <v>160</v>
          </cell>
          <cell r="C1513" t="str">
            <v>ADVERTISING &amp; PUBLICITY</v>
          </cell>
          <cell r="D1513">
            <v>0</v>
          </cell>
          <cell r="E1513">
            <v>0</v>
          </cell>
          <cell r="F1513">
            <v>0</v>
          </cell>
          <cell r="G1513">
            <v>0</v>
          </cell>
        </row>
        <row r="1514">
          <cell r="A1514" t="str">
            <v>155-10-012</v>
          </cell>
          <cell r="B1514">
            <v>160</v>
          </cell>
          <cell r="C1514" t="str">
            <v>TRADE LICENCES</v>
          </cell>
          <cell r="D1514">
            <v>95000</v>
          </cell>
          <cell r="E1514">
            <v>0</v>
          </cell>
          <cell r="F1514">
            <v>0</v>
          </cell>
          <cell r="G1514">
            <v>0</v>
          </cell>
        </row>
        <row r="1515">
          <cell r="A1515" t="str">
            <v>155-10-013</v>
          </cell>
          <cell r="B1515">
            <v>160</v>
          </cell>
          <cell r="C1515" t="str">
            <v>INSURANCES</v>
          </cell>
          <cell r="D1515">
            <v>0</v>
          </cell>
          <cell r="E1515">
            <v>0</v>
          </cell>
          <cell r="F1515">
            <v>0</v>
          </cell>
          <cell r="G1515">
            <v>0</v>
          </cell>
        </row>
        <row r="1516">
          <cell r="A1516" t="str">
            <v>155-10-014</v>
          </cell>
          <cell r="B1516">
            <v>160</v>
          </cell>
          <cell r="C1516" t="str">
            <v>PHOTOCOPY</v>
          </cell>
          <cell r="D1516">
            <v>0</v>
          </cell>
          <cell r="E1516">
            <v>0</v>
          </cell>
          <cell r="F1516">
            <v>0</v>
          </cell>
          <cell r="G1516">
            <v>0</v>
          </cell>
        </row>
        <row r="1517">
          <cell r="A1517" t="str">
            <v>155-10-015</v>
          </cell>
          <cell r="B1517">
            <v>160</v>
          </cell>
          <cell r="C1517" t="str">
            <v>COMPUTER MAINTAINANCE</v>
          </cell>
          <cell r="D1517">
            <v>7000</v>
          </cell>
          <cell r="E1517">
            <v>4500</v>
          </cell>
          <cell r="F1517">
            <v>5500</v>
          </cell>
          <cell r="G1517">
            <v>1.2727272727272727</v>
          </cell>
        </row>
        <row r="1518">
          <cell r="A1518" t="str">
            <v>155-10-016</v>
          </cell>
          <cell r="B1518">
            <v>160</v>
          </cell>
          <cell r="C1518" t="str">
            <v>EQUIPMENT&amp; FURNITURE REPAIRS &amp; MAINTENANCE</v>
          </cell>
          <cell r="D1518">
            <v>3120</v>
          </cell>
          <cell r="E1518">
            <v>3000</v>
          </cell>
          <cell r="F1518">
            <v>5142.8571428571431</v>
          </cell>
          <cell r="G1518">
            <v>0.60666666666666669</v>
          </cell>
        </row>
        <row r="1519">
          <cell r="A1519" t="str">
            <v>155-10-017</v>
          </cell>
          <cell r="B1519">
            <v>160</v>
          </cell>
          <cell r="C1519" t="str">
            <v>SEMINARS &amp; SHORT TERM COURSES</v>
          </cell>
          <cell r="D1519">
            <v>50000</v>
          </cell>
          <cell r="E1519">
            <v>2000</v>
          </cell>
          <cell r="F1519">
            <v>3428.5714285714284</v>
          </cell>
          <cell r="G1519">
            <v>14.583333333333334</v>
          </cell>
          <cell r="H1519" t="str">
            <v>G.KARANJA TO PERSUE A DIPLOMA, AFTER COMPLETING THE CERTIFICATE COURSE</v>
          </cell>
        </row>
        <row r="1520">
          <cell r="A1520" t="str">
            <v>155-10-022</v>
          </cell>
          <cell r="B1520">
            <v>160</v>
          </cell>
          <cell r="C1520" t="str">
            <v>PRINTING &amp; STATIONERY</v>
          </cell>
          <cell r="D1520">
            <v>92914</v>
          </cell>
          <cell r="E1520">
            <v>18000</v>
          </cell>
          <cell r="F1520">
            <v>30857.142857142859</v>
          </cell>
          <cell r="G1520">
            <v>3.0111018518518518</v>
          </cell>
          <cell r="H1520" t="str">
            <v>FLIP CHARTS,BUSINESS CARDS AND FULLSCAPS WERE NOT BUDGETED FOR IN CURRENT YEAR BUDGET.</v>
          </cell>
        </row>
        <row r="1521">
          <cell r="A1521" t="str">
            <v>155-10-025</v>
          </cell>
          <cell r="B1521">
            <v>160</v>
          </cell>
          <cell r="C1521" t="str">
            <v>STRATEGIC PLANNING</v>
          </cell>
          <cell r="D1521">
            <v>0</v>
          </cell>
          <cell r="E1521">
            <v>0</v>
          </cell>
          <cell r="F1521">
            <v>0</v>
          </cell>
          <cell r="G1521">
            <v>0</v>
          </cell>
        </row>
        <row r="1522">
          <cell r="A1522" t="str">
            <v>155-10-027</v>
          </cell>
          <cell r="B1522">
            <v>160</v>
          </cell>
          <cell r="C1522" t="str">
            <v>PROFESSIONAL SUBSCRIPTIONS</v>
          </cell>
          <cell r="D1522">
            <v>0</v>
          </cell>
          <cell r="E1522">
            <v>0</v>
          </cell>
          <cell r="F1522">
            <v>0</v>
          </cell>
          <cell r="G1522">
            <v>0</v>
          </cell>
        </row>
        <row r="1523">
          <cell r="A1523" t="str">
            <v>155-10-028</v>
          </cell>
          <cell r="B1523">
            <v>160</v>
          </cell>
          <cell r="C1523" t="str">
            <v xml:space="preserve"> SUBSCRIPTIONS -COMPANY MEMBERSHIP</v>
          </cell>
          <cell r="D1523">
            <v>0</v>
          </cell>
          <cell r="E1523">
            <v>0</v>
          </cell>
          <cell r="F1523">
            <v>0</v>
          </cell>
          <cell r="G1523">
            <v>0</v>
          </cell>
        </row>
        <row r="1524">
          <cell r="A1524" t="str">
            <v>155-10-030</v>
          </cell>
          <cell r="B1524">
            <v>160</v>
          </cell>
          <cell r="C1524" t="str">
            <v>TRAVELLING &amp; ACCOMMODATION</v>
          </cell>
          <cell r="D1524">
            <v>18762.5</v>
          </cell>
          <cell r="E1524">
            <v>7500</v>
          </cell>
          <cell r="F1524">
            <v>15500</v>
          </cell>
          <cell r="G1524">
            <v>1.2104838709677419</v>
          </cell>
          <cell r="H1524" t="str">
            <v>BUDGETED FOR THE 4 ZONAL MEETING S IN THE YEAR WHICH WERE NOT IN CURRENT YEAR BUDGET.</v>
          </cell>
        </row>
        <row r="1525">
          <cell r="A1525" t="str">
            <v>155-10-032</v>
          </cell>
          <cell r="B1525">
            <v>160</v>
          </cell>
          <cell r="C1525" t="str">
            <v xml:space="preserve">MOTOR CAR EXPENSES </v>
          </cell>
          <cell r="D1525">
            <v>0</v>
          </cell>
          <cell r="E1525">
            <v>0</v>
          </cell>
          <cell r="F1525">
            <v>0</v>
          </cell>
          <cell r="G1525">
            <v>0</v>
          </cell>
        </row>
        <row r="1526">
          <cell r="A1526" t="str">
            <v>155-10-040</v>
          </cell>
          <cell r="B1526">
            <v>160</v>
          </cell>
          <cell r="C1526" t="str">
            <v>POSTAGE</v>
          </cell>
          <cell r="D1526">
            <v>0</v>
          </cell>
          <cell r="E1526">
            <v>1000</v>
          </cell>
          <cell r="F1526">
            <v>1714.2857142857142</v>
          </cell>
          <cell r="G1526">
            <v>0</v>
          </cell>
        </row>
        <row r="1527">
          <cell r="A1527" t="str">
            <v>155-10-041</v>
          </cell>
          <cell r="B1527">
            <v>160</v>
          </cell>
          <cell r="C1527" t="str">
            <v>TELEPHONE &amp; FAX</v>
          </cell>
          <cell r="D1527">
            <v>60000</v>
          </cell>
          <cell r="E1527">
            <v>41000</v>
          </cell>
          <cell r="F1527">
            <v>70285.71428571429</v>
          </cell>
          <cell r="G1527">
            <v>0.85365853658536583</v>
          </cell>
        </row>
        <row r="1528">
          <cell r="A1528" t="str">
            <v>155-10-044</v>
          </cell>
          <cell r="B1528">
            <v>160</v>
          </cell>
          <cell r="C1528" t="str">
            <v>PROFFESSIONAL TRAINING</v>
          </cell>
          <cell r="D1528">
            <v>10625</v>
          </cell>
          <cell r="E1528">
            <v>19000</v>
          </cell>
          <cell r="F1528">
            <v>32571.428571428572</v>
          </cell>
          <cell r="G1528">
            <v>0.32620614035087719</v>
          </cell>
        </row>
        <row r="1529">
          <cell r="A1529" t="str">
            <v>155-10-046</v>
          </cell>
          <cell r="B1529">
            <v>160</v>
          </cell>
          <cell r="C1529" t="str">
            <v xml:space="preserve">SUBSCRIPTION- STAFF CLUB MEMBERSHIP </v>
          </cell>
          <cell r="D1529">
            <v>0</v>
          </cell>
          <cell r="E1529">
            <v>15000</v>
          </cell>
          <cell r="F1529">
            <v>25714.28571428571</v>
          </cell>
          <cell r="G1529">
            <v>0</v>
          </cell>
          <cell r="H1529" t="str">
            <v>Assumes that the cost already paid will double in the year which is false.</v>
          </cell>
        </row>
        <row r="1530">
          <cell r="A1530" t="str">
            <v>155-10-054</v>
          </cell>
          <cell r="B1530">
            <v>160</v>
          </cell>
          <cell r="C1530" t="str">
            <v>LEASED LINES-INTERNET SERVICES</v>
          </cell>
          <cell r="D1530">
            <v>0</v>
          </cell>
          <cell r="E1530">
            <v>0</v>
          </cell>
          <cell r="F1530">
            <v>0</v>
          </cell>
          <cell r="G1530">
            <v>0</v>
          </cell>
        </row>
        <row r="1531">
          <cell r="A1531" t="str">
            <v>155-10-057</v>
          </cell>
          <cell r="B1531">
            <v>160</v>
          </cell>
          <cell r="C1531" t="str">
            <v>SOFTWARE LICENCES</v>
          </cell>
          <cell r="D1531">
            <v>0</v>
          </cell>
          <cell r="E1531">
            <v>0</v>
          </cell>
          <cell r="F1531">
            <v>0</v>
          </cell>
          <cell r="G1531">
            <v>0</v>
          </cell>
          <cell r="H1531" t="str">
            <v>Total cost for the course above not posted.</v>
          </cell>
        </row>
        <row r="1532">
          <cell r="A1532" t="str">
            <v>155-10-059</v>
          </cell>
          <cell r="B1532">
            <v>160</v>
          </cell>
          <cell r="E1532">
            <v>0</v>
          </cell>
          <cell r="G1532">
            <v>0</v>
          </cell>
        </row>
        <row r="1533">
          <cell r="A1533" t="str">
            <v>155-10-060</v>
          </cell>
          <cell r="B1533">
            <v>160</v>
          </cell>
          <cell r="E1533">
            <v>0</v>
          </cell>
          <cell r="G1533">
            <v>0</v>
          </cell>
        </row>
        <row r="1534">
          <cell r="A1534" t="str">
            <v>155-10-062</v>
          </cell>
          <cell r="B1534">
            <v>160</v>
          </cell>
          <cell r="C1534" t="str">
            <v>EDUCATION EXPENSES</v>
          </cell>
          <cell r="D1534">
            <v>0</v>
          </cell>
          <cell r="E1534">
            <v>0</v>
          </cell>
          <cell r="F1534">
            <v>0</v>
          </cell>
          <cell r="G1534">
            <v>0</v>
          </cell>
        </row>
        <row r="1535">
          <cell r="A1535" t="str">
            <v>160-10-010</v>
          </cell>
          <cell r="B1535">
            <v>160</v>
          </cell>
          <cell r="E1535">
            <v>0</v>
          </cell>
          <cell r="G1535">
            <v>0</v>
          </cell>
        </row>
        <row r="1536">
          <cell r="A1536" t="str">
            <v>105-10-010</v>
          </cell>
          <cell r="B1536">
            <v>170</v>
          </cell>
          <cell r="C1536" t="str">
            <v>BASIC SALARY</v>
          </cell>
          <cell r="D1536">
            <v>15185203.200000003</v>
          </cell>
          <cell r="E1536">
            <v>7381000</v>
          </cell>
          <cell r="F1536">
            <v>12653025</v>
          </cell>
          <cell r="G1536">
            <v>1.2001243339043433</v>
          </cell>
        </row>
        <row r="1537">
          <cell r="A1537" t="str">
            <v>105-10-012</v>
          </cell>
          <cell r="B1537">
            <v>170</v>
          </cell>
          <cell r="C1537" t="str">
            <v>PROVISION FOR MORT. RATE ADJUSTMENTS</v>
          </cell>
          <cell r="D1537">
            <v>245940</v>
          </cell>
          <cell r="E1537">
            <v>143000</v>
          </cell>
          <cell r="F1537">
            <v>245475</v>
          </cell>
          <cell r="G1537">
            <v>1.0018942865872289</v>
          </cell>
        </row>
        <row r="1538">
          <cell r="A1538" t="str">
            <v>105-10-020</v>
          </cell>
          <cell r="B1538">
            <v>170</v>
          </cell>
          <cell r="C1538" t="str">
            <v>HOUSE ALLOWANCE</v>
          </cell>
          <cell r="D1538">
            <v>2527200</v>
          </cell>
          <cell r="E1538">
            <v>988000</v>
          </cell>
          <cell r="F1538">
            <v>1993500</v>
          </cell>
          <cell r="G1538">
            <v>1.2677200902934538</v>
          </cell>
        </row>
        <row r="1539">
          <cell r="A1539" t="str">
            <v>105-10-030</v>
          </cell>
          <cell r="B1539">
            <v>170</v>
          </cell>
          <cell r="C1539" t="str">
            <v>TELEPHONE ALLOWANCE</v>
          </cell>
          <cell r="D1539">
            <v>270000</v>
          </cell>
          <cell r="E1539">
            <v>18000</v>
          </cell>
          <cell r="F1539">
            <v>130500</v>
          </cell>
          <cell r="G1539">
            <v>2.0689655172413794</v>
          </cell>
        </row>
        <row r="1540">
          <cell r="A1540" t="str">
            <v>105-10-040</v>
          </cell>
          <cell r="B1540">
            <v>170</v>
          </cell>
          <cell r="C1540" t="str">
            <v>SECURITY ALLOWANCE</v>
          </cell>
          <cell r="D1540">
            <v>300000</v>
          </cell>
          <cell r="E1540">
            <v>0</v>
          </cell>
          <cell r="F1540">
            <v>125000</v>
          </cell>
          <cell r="G1540">
            <v>2.4</v>
          </cell>
        </row>
        <row r="1541">
          <cell r="A1541" t="str">
            <v>105-10-050</v>
          </cell>
          <cell r="B1541">
            <v>170</v>
          </cell>
          <cell r="C1541" t="str">
            <v>EDUCATION ALLOWANCE</v>
          </cell>
          <cell r="D1541">
            <v>0</v>
          </cell>
          <cell r="E1541">
            <v>0</v>
          </cell>
          <cell r="F1541">
            <v>0</v>
          </cell>
          <cell r="G1541">
            <v>0</v>
          </cell>
        </row>
        <row r="1542">
          <cell r="A1542" t="str">
            <v>105-10-060</v>
          </cell>
          <cell r="B1542">
            <v>170</v>
          </cell>
          <cell r="C1542" t="str">
            <v>TRAVEL ALLOWANCE</v>
          </cell>
          <cell r="D1542">
            <v>2506560</v>
          </cell>
          <cell r="E1542">
            <v>880000</v>
          </cell>
          <cell r="F1542">
            <v>1894400</v>
          </cell>
          <cell r="G1542">
            <v>1.3231418918918918</v>
          </cell>
        </row>
        <row r="1543">
          <cell r="A1543" t="str">
            <v>105-20-010</v>
          </cell>
          <cell r="B1543">
            <v>170</v>
          </cell>
          <cell r="C1543" t="str">
            <v>NSSF</v>
          </cell>
          <cell r="D1543">
            <v>16800</v>
          </cell>
          <cell r="E1543">
            <v>7000</v>
          </cell>
          <cell r="F1543">
            <v>13000</v>
          </cell>
          <cell r="G1543">
            <v>1.2923076923076924</v>
          </cell>
        </row>
        <row r="1544">
          <cell r="A1544" t="str">
            <v>105-20-020</v>
          </cell>
          <cell r="B1544">
            <v>170</v>
          </cell>
          <cell r="C1544" t="str">
            <v>NHIF</v>
          </cell>
          <cell r="D1544">
            <v>20160</v>
          </cell>
          <cell r="E1544">
            <v>8000</v>
          </cell>
          <cell r="F1544">
            <v>15200</v>
          </cell>
          <cell r="G1544">
            <v>1.3263157894736841</v>
          </cell>
        </row>
        <row r="1545">
          <cell r="A1545" t="str">
            <v>105-30-010</v>
          </cell>
          <cell r="B1545">
            <v>170</v>
          </cell>
          <cell r="C1545" t="str">
            <v xml:space="preserve">PENSION </v>
          </cell>
          <cell r="D1545">
            <v>836390.40000000002</v>
          </cell>
          <cell r="E1545">
            <v>369000</v>
          </cell>
          <cell r="F1545">
            <v>664683.5</v>
          </cell>
          <cell r="G1545">
            <v>1.258328813638371</v>
          </cell>
        </row>
        <row r="1546">
          <cell r="A1546" t="str">
            <v>105-30-020</v>
          </cell>
          <cell r="B1546">
            <v>170</v>
          </cell>
          <cell r="C1546" t="str">
            <v>LAST EXPENSE</v>
          </cell>
          <cell r="D1546">
            <v>15000</v>
          </cell>
          <cell r="E1546">
            <v>8000</v>
          </cell>
          <cell r="F1546">
            <v>13714.285714285714</v>
          </cell>
          <cell r="G1546">
            <v>1.09375</v>
          </cell>
        </row>
        <row r="1547">
          <cell r="A1547" t="str">
            <v>105-30-030</v>
          </cell>
          <cell r="B1547">
            <v>170</v>
          </cell>
          <cell r="C1547" t="str">
            <v>GROUP LIFE ASSURANCE</v>
          </cell>
          <cell r="D1547">
            <v>79000.12</v>
          </cell>
          <cell r="E1547">
            <v>155000</v>
          </cell>
          <cell r="F1547">
            <v>265714.28571428568</v>
          </cell>
          <cell r="G1547">
            <v>0.29731227956989248</v>
          </cell>
        </row>
        <row r="1548">
          <cell r="A1548" t="str">
            <v>105-30-040</v>
          </cell>
          <cell r="B1548">
            <v>170</v>
          </cell>
          <cell r="C1548" t="str">
            <v>STAFF MEDICAL</v>
          </cell>
          <cell r="D1548">
            <v>0</v>
          </cell>
          <cell r="E1548">
            <v>0</v>
          </cell>
          <cell r="F1548">
            <v>0</v>
          </cell>
          <cell r="G1548">
            <v>0</v>
          </cell>
        </row>
        <row r="1549">
          <cell r="A1549" t="str">
            <v>105-30-050</v>
          </cell>
          <cell r="B1549">
            <v>170</v>
          </cell>
          <cell r="C1549" t="str">
            <v>CASH IN LIEU OF LEAVE</v>
          </cell>
          <cell r="D1549">
            <v>379630.08000000002</v>
          </cell>
          <cell r="E1549">
            <v>193000</v>
          </cell>
          <cell r="F1549">
            <v>330857.14285714284</v>
          </cell>
          <cell r="G1549">
            <v>1.1474138860103629</v>
          </cell>
        </row>
        <row r="1550">
          <cell r="A1550" t="str">
            <v>105-30-060</v>
          </cell>
          <cell r="B1550">
            <v>170</v>
          </cell>
          <cell r="C1550" t="str">
            <v>GRATUITY</v>
          </cell>
          <cell r="D1550">
            <v>2123520</v>
          </cell>
          <cell r="E1550">
            <v>1434000</v>
          </cell>
          <cell r="F1550">
            <v>2458285.7142857146</v>
          </cell>
          <cell r="G1550">
            <v>0.86382147838214796</v>
          </cell>
        </row>
        <row r="1551">
          <cell r="A1551" t="str">
            <v>105-30-070</v>
          </cell>
          <cell r="B1551">
            <v>170</v>
          </cell>
          <cell r="C1551" t="str">
            <v>LONG SERVICE AWARDS</v>
          </cell>
          <cell r="D1551">
            <v>0</v>
          </cell>
          <cell r="E1551">
            <v>0</v>
          </cell>
          <cell r="F1551">
            <v>0</v>
          </cell>
          <cell r="G1551">
            <v>0</v>
          </cell>
        </row>
        <row r="1552">
          <cell r="A1552" t="str">
            <v>105-30-080</v>
          </cell>
          <cell r="B1552">
            <v>170</v>
          </cell>
          <cell r="C1552" t="str">
            <v>STAFF RECRUITMENT &amp; REMOVALS</v>
          </cell>
          <cell r="D1552">
            <v>0</v>
          </cell>
          <cell r="E1552">
            <v>30000</v>
          </cell>
          <cell r="F1552">
            <v>400000</v>
          </cell>
          <cell r="G1552">
            <v>0</v>
          </cell>
        </row>
        <row r="1553">
          <cell r="A1553" t="str">
            <v>115-10-010</v>
          </cell>
          <cell r="B1553">
            <v>170</v>
          </cell>
          <cell r="D1553">
            <v>0</v>
          </cell>
          <cell r="E1553">
            <v>0</v>
          </cell>
          <cell r="F1553">
            <v>0</v>
          </cell>
          <cell r="G1553">
            <v>0</v>
          </cell>
        </row>
        <row r="1554">
          <cell r="A1554" t="str">
            <v>115-10-010</v>
          </cell>
          <cell r="B1554">
            <v>170</v>
          </cell>
          <cell r="D1554">
            <v>0</v>
          </cell>
          <cell r="F1554">
            <v>0</v>
          </cell>
          <cell r="G1554">
            <v>0</v>
          </cell>
        </row>
        <row r="1555">
          <cell r="A1555" t="str">
            <v>115-10-020</v>
          </cell>
          <cell r="B1555">
            <v>170</v>
          </cell>
          <cell r="D1555">
            <v>0</v>
          </cell>
          <cell r="E1555">
            <v>0</v>
          </cell>
          <cell r="F1555">
            <v>0</v>
          </cell>
          <cell r="G1555">
            <v>0</v>
          </cell>
        </row>
        <row r="1556">
          <cell r="A1556" t="str">
            <v>115-10-020</v>
          </cell>
          <cell r="B1556">
            <v>170</v>
          </cell>
          <cell r="D1556">
            <v>0</v>
          </cell>
          <cell r="G1556">
            <v>0</v>
          </cell>
        </row>
        <row r="1557">
          <cell r="A1557" t="str">
            <v>115-10-030</v>
          </cell>
          <cell r="B1557">
            <v>170</v>
          </cell>
          <cell r="D1557">
            <v>0</v>
          </cell>
          <cell r="E1557">
            <v>0</v>
          </cell>
          <cell r="F1557">
            <v>0</v>
          </cell>
          <cell r="G1557">
            <v>0</v>
          </cell>
        </row>
        <row r="1558">
          <cell r="A1558" t="str">
            <v>115-10-030</v>
          </cell>
          <cell r="B1558">
            <v>170</v>
          </cell>
          <cell r="D1558">
            <v>0</v>
          </cell>
          <cell r="F1558">
            <v>0</v>
          </cell>
          <cell r="G1558">
            <v>0</v>
          </cell>
        </row>
        <row r="1559">
          <cell r="A1559" t="str">
            <v>115-10-040</v>
          </cell>
          <cell r="B1559">
            <v>170</v>
          </cell>
          <cell r="D1559">
            <v>581184</v>
          </cell>
          <cell r="E1559">
            <v>361000</v>
          </cell>
          <cell r="F1559">
            <v>618857.14285714284</v>
          </cell>
          <cell r="G1559">
            <v>0.93912465373961218</v>
          </cell>
        </row>
        <row r="1560">
          <cell r="A1560" t="str">
            <v>115-10-040</v>
          </cell>
          <cell r="B1560">
            <v>170</v>
          </cell>
          <cell r="D1560">
            <v>300000</v>
          </cell>
          <cell r="E1560">
            <v>175000</v>
          </cell>
          <cell r="F1560">
            <v>300000</v>
          </cell>
          <cell r="G1560">
            <v>1</v>
          </cell>
        </row>
        <row r="1561">
          <cell r="A1561" t="str">
            <v>115-10-050</v>
          </cell>
          <cell r="B1561">
            <v>170</v>
          </cell>
          <cell r="C1561" t="str">
            <v>OFFICE CATERING &amp; STAFF WELFARE</v>
          </cell>
          <cell r="D1561">
            <v>0</v>
          </cell>
          <cell r="F1561">
            <v>0</v>
          </cell>
          <cell r="G1561">
            <v>0</v>
          </cell>
        </row>
        <row r="1562">
          <cell r="A1562" t="str">
            <v>115-10-051</v>
          </cell>
          <cell r="B1562">
            <v>170</v>
          </cell>
          <cell r="C1562" t="str">
            <v>OFFICE CLEANING</v>
          </cell>
          <cell r="D1562">
            <v>0</v>
          </cell>
          <cell r="E1562">
            <v>0</v>
          </cell>
          <cell r="F1562">
            <v>0</v>
          </cell>
          <cell r="G1562">
            <v>0</v>
          </cell>
        </row>
        <row r="1563">
          <cell r="A1563" t="str">
            <v>115-10-060</v>
          </cell>
          <cell r="B1563">
            <v>170</v>
          </cell>
          <cell r="C1563" t="str">
            <v>OFFICE WATER</v>
          </cell>
          <cell r="D1563">
            <v>0</v>
          </cell>
          <cell r="E1563">
            <v>0</v>
          </cell>
          <cell r="F1563">
            <v>0</v>
          </cell>
          <cell r="G1563">
            <v>0</v>
          </cell>
        </row>
        <row r="1564">
          <cell r="A1564" t="str">
            <v>115-10-070</v>
          </cell>
          <cell r="B1564">
            <v>170</v>
          </cell>
          <cell r="C1564" t="str">
            <v>OFFICE ELECTRICITY</v>
          </cell>
          <cell r="D1564">
            <v>0</v>
          </cell>
          <cell r="E1564">
            <v>0</v>
          </cell>
          <cell r="F1564">
            <v>0</v>
          </cell>
          <cell r="G1564">
            <v>0</v>
          </cell>
        </row>
        <row r="1565">
          <cell r="A1565" t="str">
            <v>115-10-080</v>
          </cell>
          <cell r="B1565">
            <v>170</v>
          </cell>
          <cell r="C1565" t="str">
            <v>OFFICE SECURITY</v>
          </cell>
          <cell r="D1565">
            <v>0</v>
          </cell>
          <cell r="E1565">
            <v>0</v>
          </cell>
          <cell r="F1565">
            <v>0</v>
          </cell>
          <cell r="G1565">
            <v>0</v>
          </cell>
        </row>
        <row r="1566">
          <cell r="A1566" t="str">
            <v>125-10-010</v>
          </cell>
          <cell r="B1566">
            <v>170</v>
          </cell>
          <cell r="C1566" t="str">
            <v>BANK CHARGES</v>
          </cell>
          <cell r="D1566">
            <v>954000</v>
          </cell>
          <cell r="E1566">
            <v>420000</v>
          </cell>
          <cell r="F1566">
            <v>720000</v>
          </cell>
          <cell r="G1566">
            <v>1.325</v>
          </cell>
        </row>
        <row r="1567">
          <cell r="A1567" t="str">
            <v>135-38-040</v>
          </cell>
          <cell r="B1567">
            <v>170</v>
          </cell>
          <cell r="C1567" t="str">
            <v>Staff Bonus</v>
          </cell>
          <cell r="D1567">
            <v>24000000</v>
          </cell>
          <cell r="E1567">
            <v>13416666.666666668</v>
          </cell>
          <cell r="F1567">
            <v>23000000</v>
          </cell>
          <cell r="G1567">
            <v>1.0434782608695652</v>
          </cell>
        </row>
        <row r="1568">
          <cell r="A1568" t="str">
            <v>135-40-010</v>
          </cell>
          <cell r="B1568">
            <v>170</v>
          </cell>
          <cell r="C1568" t="str">
            <v>Agency subsidy</v>
          </cell>
          <cell r="D1568">
            <v>6000000</v>
          </cell>
          <cell r="E1568">
            <v>3483000</v>
          </cell>
          <cell r="F1568">
            <v>5970857.1428571427</v>
          </cell>
          <cell r="G1568">
            <v>1.0048808498420903</v>
          </cell>
        </row>
        <row r="1569">
          <cell r="A1569" t="str">
            <v>135-60-030</v>
          </cell>
          <cell r="B1569">
            <v>170</v>
          </cell>
          <cell r="C1569" t="str">
            <v>SALES PROMOTIONS &amp; COMPETITION</v>
          </cell>
          <cell r="D1569">
            <v>3500000</v>
          </cell>
          <cell r="E1569">
            <v>1850500</v>
          </cell>
          <cell r="F1569">
            <v>3172285.7142857141</v>
          </cell>
          <cell r="G1569">
            <v>1.1033054129514546</v>
          </cell>
        </row>
        <row r="1570">
          <cell r="A1570" t="str">
            <v>135-70-010</v>
          </cell>
          <cell r="B1570">
            <v>170</v>
          </cell>
          <cell r="C1570" t="str">
            <v>AGENCY PENSION</v>
          </cell>
          <cell r="D1570">
            <v>5400000</v>
          </cell>
          <cell r="E1570">
            <v>1748190</v>
          </cell>
          <cell r="F1570">
            <v>3496380</v>
          </cell>
          <cell r="G1570">
            <v>1.5444545501347107</v>
          </cell>
        </row>
        <row r="1571">
          <cell r="A1571" t="str">
            <v>135-70-020</v>
          </cell>
          <cell r="B1571">
            <v>170</v>
          </cell>
          <cell r="C1571" t="str">
            <v>AGENCY GLA</v>
          </cell>
          <cell r="D1571">
            <v>1150685.02</v>
          </cell>
          <cell r="E1571">
            <v>220000</v>
          </cell>
          <cell r="F1571">
            <v>377142.85714285716</v>
          </cell>
          <cell r="G1571">
            <v>3.0510587651515149</v>
          </cell>
        </row>
        <row r="1572">
          <cell r="A1572" t="str">
            <v>135-70-030</v>
          </cell>
          <cell r="B1572">
            <v>170</v>
          </cell>
          <cell r="C1572" t="str">
            <v>AGENCY MEDICAL</v>
          </cell>
          <cell r="D1572">
            <v>650000</v>
          </cell>
          <cell r="E1572">
            <v>214000</v>
          </cell>
          <cell r="F1572">
            <v>366857.14285714284</v>
          </cell>
          <cell r="G1572">
            <v>1.7718068535825546</v>
          </cell>
        </row>
        <row r="1573">
          <cell r="A1573" t="str">
            <v>135-70-040</v>
          </cell>
          <cell r="B1573">
            <v>170</v>
          </cell>
          <cell r="C1573" t="str">
            <v>AGENCY LAST EXPENSE</v>
          </cell>
          <cell r="D1573">
            <v>107900</v>
          </cell>
          <cell r="E1573">
            <v>655000</v>
          </cell>
          <cell r="F1573">
            <v>1310000</v>
          </cell>
          <cell r="G1573">
            <v>8.2366412213740456E-2</v>
          </cell>
        </row>
        <row r="1574">
          <cell r="A1574" t="str">
            <v>145-10-030</v>
          </cell>
          <cell r="B1574">
            <v>170</v>
          </cell>
          <cell r="C1574" t="str">
            <v>Audit fee -individual life</v>
          </cell>
          <cell r="D1574">
            <v>0</v>
          </cell>
          <cell r="E1574">
            <v>0</v>
          </cell>
          <cell r="F1574">
            <v>0</v>
          </cell>
          <cell r="G1574">
            <v>0</v>
          </cell>
        </row>
        <row r="1575">
          <cell r="A1575" t="str">
            <v>145-10-031</v>
          </cell>
          <cell r="B1575">
            <v>170</v>
          </cell>
          <cell r="C1575" t="str">
            <v>Tax filing returns</v>
          </cell>
          <cell r="D1575">
            <v>0</v>
          </cell>
          <cell r="E1575">
            <v>0</v>
          </cell>
          <cell r="F1575">
            <v>0</v>
          </cell>
          <cell r="G1575">
            <v>0</v>
          </cell>
        </row>
        <row r="1576">
          <cell r="A1576" t="str">
            <v>145-10-060</v>
          </cell>
          <cell r="B1576">
            <v>170</v>
          </cell>
          <cell r="E1576">
            <v>0</v>
          </cell>
          <cell r="G1576">
            <v>0</v>
          </cell>
        </row>
        <row r="1577">
          <cell r="A1577" t="str">
            <v>145-10-080</v>
          </cell>
          <cell r="B1577">
            <v>170</v>
          </cell>
          <cell r="C1577" t="str">
            <v xml:space="preserve">Recharges: 10% recharge to Corporate </v>
          </cell>
          <cell r="E1577">
            <v>0</v>
          </cell>
          <cell r="G1577">
            <v>0</v>
          </cell>
        </row>
        <row r="1578">
          <cell r="A1578" t="str">
            <v>145-10-100</v>
          </cell>
          <cell r="B1578">
            <v>170</v>
          </cell>
          <cell r="E1578">
            <v>0</v>
          </cell>
          <cell r="G1578">
            <v>0</v>
          </cell>
        </row>
        <row r="1579">
          <cell r="A1579" t="str">
            <v>145-10-200</v>
          </cell>
          <cell r="B1579">
            <v>170</v>
          </cell>
          <cell r="C1579" t="str">
            <v>Recharge to ALA</v>
          </cell>
          <cell r="D1579">
            <v>-707834.96250000014</v>
          </cell>
          <cell r="F1579">
            <v>0</v>
          </cell>
          <cell r="G1579">
            <v>0</v>
          </cell>
          <cell r="H1579" t="str">
            <v>Recharge to ALA</v>
          </cell>
        </row>
        <row r="1580">
          <cell r="A1580" t="str">
            <v>155-10-007</v>
          </cell>
          <cell r="B1580">
            <v>170</v>
          </cell>
          <cell r="C1580" t="str">
            <v>NEWSPAPERS &amp; JOURNALS</v>
          </cell>
          <cell r="D1580">
            <v>61440</v>
          </cell>
          <cell r="E1580">
            <v>28000</v>
          </cell>
          <cell r="F1580">
            <v>48000</v>
          </cell>
          <cell r="G1580">
            <v>1.28</v>
          </cell>
        </row>
        <row r="1581">
          <cell r="A1581" t="str">
            <v>155-10-008</v>
          </cell>
          <cell r="B1581">
            <v>170</v>
          </cell>
          <cell r="C1581" t="str">
            <v>ENTERTAINMENT &amp; DONATIONS</v>
          </cell>
          <cell r="D1581">
            <v>284000</v>
          </cell>
          <cell r="E1581">
            <v>52000</v>
          </cell>
          <cell r="F1581">
            <v>189142.85714285716</v>
          </cell>
          <cell r="G1581">
            <v>1.5015105740181267</v>
          </cell>
        </row>
        <row r="1582">
          <cell r="A1582" t="str">
            <v>155-10-009</v>
          </cell>
          <cell r="B1582">
            <v>170</v>
          </cell>
          <cell r="C1582" t="str">
            <v>COURIER &amp; FREIGHT CHARGES</v>
          </cell>
          <cell r="D1582">
            <v>53205</v>
          </cell>
          <cell r="E1582">
            <v>0</v>
          </cell>
          <cell r="F1582">
            <v>45000</v>
          </cell>
          <cell r="G1582">
            <v>1.1823333333333332</v>
          </cell>
        </row>
        <row r="1583">
          <cell r="A1583" t="str">
            <v>155-10-010</v>
          </cell>
          <cell r="B1583">
            <v>170</v>
          </cell>
          <cell r="C1583" t="str">
            <v>ADVERTISING &amp; PUBLICITY</v>
          </cell>
          <cell r="D1583">
            <v>1494648</v>
          </cell>
          <cell r="E1583">
            <v>1897000</v>
          </cell>
          <cell r="F1583">
            <v>1950000</v>
          </cell>
          <cell r="G1583">
            <v>0.76648615384615382</v>
          </cell>
        </row>
        <row r="1584">
          <cell r="A1584" t="str">
            <v>155-10-012</v>
          </cell>
          <cell r="B1584">
            <v>170</v>
          </cell>
          <cell r="C1584" t="str">
            <v>TRADE LICENCES</v>
          </cell>
          <cell r="D1584">
            <v>0</v>
          </cell>
          <cell r="E1584">
            <v>0</v>
          </cell>
          <cell r="F1584">
            <v>0</v>
          </cell>
          <cell r="G1584">
            <v>0</v>
          </cell>
        </row>
        <row r="1585">
          <cell r="A1585" t="str">
            <v>155-10-013</v>
          </cell>
          <cell r="B1585">
            <v>170</v>
          </cell>
          <cell r="C1585" t="str">
            <v>INSURANCES</v>
          </cell>
          <cell r="D1585">
            <v>0</v>
          </cell>
          <cell r="E1585">
            <v>0</v>
          </cell>
          <cell r="F1585">
            <v>0</v>
          </cell>
          <cell r="G1585">
            <v>0</v>
          </cell>
        </row>
        <row r="1586">
          <cell r="A1586" t="str">
            <v>155-10-014</v>
          </cell>
          <cell r="B1586">
            <v>170</v>
          </cell>
          <cell r="C1586" t="str">
            <v>PHOTOCOPY</v>
          </cell>
          <cell r="D1586">
            <v>0</v>
          </cell>
          <cell r="E1586">
            <v>0</v>
          </cell>
          <cell r="F1586">
            <v>0</v>
          </cell>
          <cell r="G1586">
            <v>0</v>
          </cell>
        </row>
        <row r="1587">
          <cell r="A1587" t="str">
            <v>155-10-016</v>
          </cell>
          <cell r="B1587">
            <v>170</v>
          </cell>
          <cell r="C1587" t="str">
            <v>EQUIPMENT&amp; FURNITURE REPAIRS &amp; MAINTENANCE</v>
          </cell>
          <cell r="D1587">
            <v>36000</v>
          </cell>
          <cell r="E1587">
            <v>24000</v>
          </cell>
          <cell r="F1587">
            <v>41142.857142857145</v>
          </cell>
          <cell r="G1587">
            <v>0.875</v>
          </cell>
        </row>
        <row r="1588">
          <cell r="A1588" t="str">
            <v>155-10-017</v>
          </cell>
          <cell r="B1588">
            <v>170</v>
          </cell>
          <cell r="C1588" t="str">
            <v>SEMINARS &amp; SHORT TERM COURSES</v>
          </cell>
          <cell r="D1588">
            <v>60000</v>
          </cell>
          <cell r="E1588">
            <v>0</v>
          </cell>
          <cell r="F1588">
            <v>0</v>
          </cell>
          <cell r="G1588">
            <v>0</v>
          </cell>
        </row>
        <row r="1589">
          <cell r="A1589" t="str">
            <v>155-10-020</v>
          </cell>
          <cell r="B1589">
            <v>170</v>
          </cell>
          <cell r="C1589" t="str">
            <v>COMPUTER MAINTAINANCE</v>
          </cell>
          <cell r="D1589">
            <v>53500</v>
          </cell>
          <cell r="E1589">
            <v>18000</v>
          </cell>
          <cell r="F1589">
            <v>30857.142857142859</v>
          </cell>
          <cell r="G1589">
            <v>1.7337962962962963</v>
          </cell>
        </row>
        <row r="1590">
          <cell r="A1590" t="str">
            <v>155-10-022</v>
          </cell>
          <cell r="B1590">
            <v>170</v>
          </cell>
          <cell r="C1590" t="str">
            <v>PRINTING &amp; STATIONERY</v>
          </cell>
          <cell r="D1590">
            <v>153389</v>
          </cell>
          <cell r="E1590">
            <v>86916.666666666657</v>
          </cell>
          <cell r="F1590">
            <v>149000</v>
          </cell>
          <cell r="G1590">
            <v>1.0294563758389261</v>
          </cell>
        </row>
        <row r="1591">
          <cell r="A1591" t="str">
            <v>155-10-025</v>
          </cell>
          <cell r="B1591">
            <v>170</v>
          </cell>
          <cell r="C1591" t="str">
            <v>STRATEGIC PLANNING</v>
          </cell>
          <cell r="D1591">
            <v>0</v>
          </cell>
          <cell r="E1591">
            <v>0</v>
          </cell>
          <cell r="F1591">
            <v>0</v>
          </cell>
          <cell r="G1591">
            <v>0</v>
          </cell>
        </row>
        <row r="1592">
          <cell r="A1592" t="str">
            <v>155-10-027</v>
          </cell>
          <cell r="B1592">
            <v>170</v>
          </cell>
          <cell r="C1592" t="str">
            <v>PROFESSIONAL SUBSCRIPTIONS</v>
          </cell>
          <cell r="D1592">
            <v>37750</v>
          </cell>
          <cell r="E1592">
            <v>4000</v>
          </cell>
          <cell r="F1592">
            <v>6857.1428571428569</v>
          </cell>
          <cell r="G1592">
            <v>5.5052083333333339</v>
          </cell>
        </row>
        <row r="1593">
          <cell r="A1593" t="str">
            <v>155-10-028</v>
          </cell>
          <cell r="B1593">
            <v>170</v>
          </cell>
          <cell r="C1593" t="str">
            <v xml:space="preserve"> SUBSCRIPTIONS -COMPANY MEMBERSHIP</v>
          </cell>
          <cell r="D1593">
            <v>0</v>
          </cell>
          <cell r="E1593">
            <v>0</v>
          </cell>
          <cell r="F1593">
            <v>0</v>
          </cell>
          <cell r="G1593">
            <v>0</v>
          </cell>
        </row>
        <row r="1594">
          <cell r="A1594" t="str">
            <v>155-10-030</v>
          </cell>
          <cell r="B1594">
            <v>170</v>
          </cell>
          <cell r="C1594" t="str">
            <v>TRAVELLING &amp; ACCOMMODATION</v>
          </cell>
          <cell r="D1594">
            <v>1280805</v>
          </cell>
          <cell r="E1594">
            <v>308000</v>
          </cell>
          <cell r="F1594">
            <v>728000</v>
          </cell>
          <cell r="G1594">
            <v>1.7593475274725274</v>
          </cell>
        </row>
        <row r="1595">
          <cell r="A1595" t="str">
            <v>155-10-032</v>
          </cell>
          <cell r="B1595">
            <v>170</v>
          </cell>
          <cell r="C1595" t="str">
            <v xml:space="preserve">MOTOR CAR EXPENSES </v>
          </cell>
          <cell r="D1595">
            <v>471000</v>
          </cell>
          <cell r="E1595">
            <v>443000</v>
          </cell>
          <cell r="F1595">
            <v>759428.57142857136</v>
          </cell>
          <cell r="G1595">
            <v>0.6202031602708804</v>
          </cell>
        </row>
        <row r="1596">
          <cell r="A1596" t="str">
            <v>155-10-040</v>
          </cell>
          <cell r="B1596">
            <v>170</v>
          </cell>
          <cell r="C1596" t="str">
            <v>POSTAGE</v>
          </cell>
          <cell r="D1596">
            <v>4800</v>
          </cell>
          <cell r="E1596">
            <v>0</v>
          </cell>
          <cell r="F1596">
            <v>0</v>
          </cell>
          <cell r="G1596">
            <v>0</v>
          </cell>
        </row>
        <row r="1597">
          <cell r="A1597" t="str">
            <v>155-10-041</v>
          </cell>
          <cell r="B1597">
            <v>170</v>
          </cell>
          <cell r="C1597" t="str">
            <v>TELEPHONE &amp; FAX</v>
          </cell>
          <cell r="D1597">
            <v>437220</v>
          </cell>
          <cell r="E1597">
            <v>449000</v>
          </cell>
          <cell r="F1597">
            <v>550000</v>
          </cell>
          <cell r="G1597">
            <v>0.79494545454545451</v>
          </cell>
        </row>
        <row r="1598">
          <cell r="A1598" t="str">
            <v>155-10-044</v>
          </cell>
          <cell r="B1598">
            <v>170</v>
          </cell>
          <cell r="C1598" t="str">
            <v>PROFFESSIONAL TRAINING</v>
          </cell>
          <cell r="D1598">
            <v>43500</v>
          </cell>
          <cell r="E1598">
            <v>2000</v>
          </cell>
          <cell r="F1598">
            <v>25000</v>
          </cell>
          <cell r="G1598">
            <v>1.74</v>
          </cell>
        </row>
        <row r="1599">
          <cell r="A1599" t="str">
            <v>155-10-046</v>
          </cell>
          <cell r="B1599">
            <v>170</v>
          </cell>
          <cell r="C1599" t="str">
            <v xml:space="preserve">SUBSCRIPTION- STAFF CLUB MEMBERSHIP </v>
          </cell>
          <cell r="D1599">
            <v>468000</v>
          </cell>
          <cell r="E1599">
            <v>276000</v>
          </cell>
          <cell r="F1599">
            <v>473142.85714285716</v>
          </cell>
          <cell r="G1599">
            <v>0.98913043478260865</v>
          </cell>
        </row>
        <row r="1600">
          <cell r="A1600" t="str">
            <v>155-10-054</v>
          </cell>
          <cell r="B1600">
            <v>170</v>
          </cell>
          <cell r="C1600" t="str">
            <v>LEASED LINES-INTERNET SERVICES</v>
          </cell>
          <cell r="D1600">
            <v>0</v>
          </cell>
          <cell r="E1600">
            <v>0</v>
          </cell>
          <cell r="F1600">
            <v>0</v>
          </cell>
          <cell r="G1600">
            <v>0</v>
          </cell>
        </row>
        <row r="1601">
          <cell r="A1601" t="str">
            <v>155-10-057</v>
          </cell>
          <cell r="B1601">
            <v>170</v>
          </cell>
          <cell r="C1601" t="str">
            <v>SOFTWARE LICENCES</v>
          </cell>
          <cell r="D1601">
            <v>0</v>
          </cell>
          <cell r="E1601">
            <v>0</v>
          </cell>
          <cell r="F1601">
            <v>0</v>
          </cell>
          <cell r="G1601">
            <v>0</v>
          </cell>
        </row>
        <row r="1602">
          <cell r="A1602" t="str">
            <v>155-10-059</v>
          </cell>
          <cell r="B1602">
            <v>170</v>
          </cell>
          <cell r="E1602">
            <v>0</v>
          </cell>
          <cell r="G1602">
            <v>0</v>
          </cell>
        </row>
        <row r="1603">
          <cell r="A1603" t="str">
            <v>155-10-060</v>
          </cell>
          <cell r="B1603">
            <v>170</v>
          </cell>
          <cell r="E1603">
            <v>0</v>
          </cell>
          <cell r="G1603">
            <v>0</v>
          </cell>
        </row>
        <row r="1604">
          <cell r="A1604" t="str">
            <v>155-10-062</v>
          </cell>
          <cell r="B1604">
            <v>170</v>
          </cell>
          <cell r="C1604" t="str">
            <v>EDUCATION EXPENSES</v>
          </cell>
          <cell r="D1604">
            <v>615000</v>
          </cell>
          <cell r="E1604">
            <v>645000</v>
          </cell>
          <cell r="F1604">
            <v>1105714.2857142857</v>
          </cell>
          <cell r="G1604">
            <v>0.55620155038759689</v>
          </cell>
        </row>
        <row r="1605">
          <cell r="A1605" t="str">
            <v>160-10-010</v>
          </cell>
          <cell r="B1605">
            <v>170</v>
          </cell>
          <cell r="E1605">
            <v>17000</v>
          </cell>
          <cell r="G1605">
            <v>0</v>
          </cell>
        </row>
        <row r="1606">
          <cell r="A1606" t="str">
            <v>105-10-010</v>
          </cell>
          <cell r="B1606">
            <v>180</v>
          </cell>
          <cell r="C1606" t="str">
            <v>BASIC SALARY</v>
          </cell>
          <cell r="D1606">
            <v>262671.96000000002</v>
          </cell>
          <cell r="E1606">
            <v>138000</v>
          </cell>
          <cell r="F1606">
            <v>232000</v>
          </cell>
          <cell r="G1606">
            <v>1.1322067241379314</v>
          </cell>
          <cell r="H1606" t="str">
            <v>Relievers payment when sales surport on leave</v>
          </cell>
        </row>
        <row r="1607">
          <cell r="A1607" t="str">
            <v>105-10-012</v>
          </cell>
          <cell r="B1607">
            <v>180</v>
          </cell>
          <cell r="C1607" t="str">
            <v>PROVISION FOR MORT. RATE ADJUSTMENTS</v>
          </cell>
          <cell r="D1607">
            <v>0</v>
          </cell>
          <cell r="E1607">
            <v>0</v>
          </cell>
          <cell r="F1607">
            <v>0</v>
          </cell>
          <cell r="G1607">
            <v>0</v>
          </cell>
        </row>
        <row r="1608">
          <cell r="A1608" t="str">
            <v>105-10-020</v>
          </cell>
          <cell r="B1608">
            <v>180</v>
          </cell>
          <cell r="C1608" t="str">
            <v>HOUSE ALLOWANCE</v>
          </cell>
          <cell r="D1608">
            <v>31200</v>
          </cell>
          <cell r="E1608">
            <v>18000</v>
          </cell>
          <cell r="F1608">
            <v>31000</v>
          </cell>
          <cell r="G1608">
            <v>1.0064516129032257</v>
          </cell>
          <cell r="H1608" t="str">
            <v>Under budgeted</v>
          </cell>
        </row>
        <row r="1609">
          <cell r="A1609" t="str">
            <v>105-10-030</v>
          </cell>
          <cell r="B1609">
            <v>180</v>
          </cell>
          <cell r="C1609" t="str">
            <v>TELEPHONE ALLOWANCE</v>
          </cell>
          <cell r="D1609">
            <v>0</v>
          </cell>
          <cell r="E1609">
            <v>0</v>
          </cell>
          <cell r="F1609">
            <v>0</v>
          </cell>
          <cell r="G1609">
            <v>0</v>
          </cell>
        </row>
        <row r="1610">
          <cell r="A1610" t="str">
            <v>105-10-040</v>
          </cell>
          <cell r="B1610">
            <v>180</v>
          </cell>
          <cell r="C1610" t="str">
            <v>SECURITY ALLOWANCE</v>
          </cell>
          <cell r="D1610">
            <v>0</v>
          </cell>
          <cell r="E1610">
            <v>0</v>
          </cell>
          <cell r="F1610">
            <v>0</v>
          </cell>
          <cell r="G1610">
            <v>0</v>
          </cell>
        </row>
        <row r="1611">
          <cell r="A1611" t="str">
            <v>105-10-050</v>
          </cell>
          <cell r="B1611">
            <v>180</v>
          </cell>
          <cell r="C1611" t="str">
            <v>EDUCATION ALLOWANCE</v>
          </cell>
          <cell r="D1611">
            <v>0</v>
          </cell>
          <cell r="E1611">
            <v>0</v>
          </cell>
          <cell r="F1611">
            <v>0</v>
          </cell>
          <cell r="G1611">
            <v>0</v>
          </cell>
        </row>
        <row r="1612">
          <cell r="A1612" t="str">
            <v>105-10-060</v>
          </cell>
          <cell r="B1612">
            <v>180</v>
          </cell>
          <cell r="C1612" t="str">
            <v>TRAVEL ALLOWANCE</v>
          </cell>
          <cell r="D1612">
            <v>0</v>
          </cell>
          <cell r="E1612">
            <v>0</v>
          </cell>
          <cell r="F1612">
            <v>0</v>
          </cell>
          <cell r="G1612">
            <v>0</v>
          </cell>
        </row>
        <row r="1613">
          <cell r="A1613" t="str">
            <v>105-20-010</v>
          </cell>
          <cell r="B1613">
            <v>180</v>
          </cell>
          <cell r="C1613" t="str">
            <v>NSSF</v>
          </cell>
          <cell r="D1613">
            <v>2400</v>
          </cell>
          <cell r="E1613">
            <v>1000</v>
          </cell>
          <cell r="F1613">
            <v>2000</v>
          </cell>
          <cell r="G1613">
            <v>1.2</v>
          </cell>
        </row>
        <row r="1614">
          <cell r="A1614" t="str">
            <v>105-20-020</v>
          </cell>
          <cell r="B1614">
            <v>180</v>
          </cell>
          <cell r="C1614" t="str">
            <v>NHIF</v>
          </cell>
          <cell r="D1614">
            <v>2880</v>
          </cell>
          <cell r="E1614">
            <v>2000</v>
          </cell>
          <cell r="F1614">
            <v>3200</v>
          </cell>
          <cell r="G1614">
            <v>0.9</v>
          </cell>
        </row>
        <row r="1615">
          <cell r="A1615" t="str">
            <v>105-30-010</v>
          </cell>
          <cell r="B1615">
            <v>180</v>
          </cell>
          <cell r="C1615" t="str">
            <v xml:space="preserve">PENSION </v>
          </cell>
          <cell r="D1615">
            <v>31584</v>
          </cell>
          <cell r="E1615">
            <v>16000</v>
          </cell>
          <cell r="F1615">
            <v>29160</v>
          </cell>
          <cell r="G1615">
            <v>1.0831275720164613</v>
          </cell>
        </row>
        <row r="1616">
          <cell r="A1616" t="str">
            <v>105-30-020</v>
          </cell>
          <cell r="B1616">
            <v>180</v>
          </cell>
          <cell r="C1616" t="str">
            <v>LAST EXPENSE</v>
          </cell>
          <cell r="D1616">
            <v>0</v>
          </cell>
          <cell r="E1616">
            <v>0</v>
          </cell>
          <cell r="F1616">
            <v>0</v>
          </cell>
          <cell r="G1616">
            <v>0</v>
          </cell>
        </row>
        <row r="1617">
          <cell r="A1617" t="str">
            <v>105-30-030</v>
          </cell>
          <cell r="B1617">
            <v>180</v>
          </cell>
          <cell r="C1617" t="str">
            <v>GROUP LIFE ASSURANCE</v>
          </cell>
          <cell r="D1617">
            <v>0</v>
          </cell>
          <cell r="E1617">
            <v>2000</v>
          </cell>
          <cell r="F1617">
            <v>3428.5714285714284</v>
          </cell>
          <cell r="G1617">
            <v>0</v>
          </cell>
        </row>
        <row r="1618">
          <cell r="A1618" t="str">
            <v>105-30-040</v>
          </cell>
          <cell r="B1618">
            <v>180</v>
          </cell>
          <cell r="C1618" t="str">
            <v>STAFF MEDICAL</v>
          </cell>
          <cell r="D1618">
            <v>0</v>
          </cell>
          <cell r="E1618">
            <v>0</v>
          </cell>
          <cell r="F1618">
            <v>0</v>
          </cell>
          <cell r="G1618">
            <v>0</v>
          </cell>
        </row>
        <row r="1619">
          <cell r="A1619" t="str">
            <v>105-30-050</v>
          </cell>
          <cell r="B1619">
            <v>180</v>
          </cell>
          <cell r="C1619" t="str">
            <v>CASH IN LIEU OF LEAVE</v>
          </cell>
          <cell r="D1619">
            <v>6316.8</v>
          </cell>
          <cell r="E1619">
            <v>-1000</v>
          </cell>
          <cell r="F1619">
            <v>-1714.2857142857142</v>
          </cell>
          <cell r="G1619">
            <v>-3.684800000000001</v>
          </cell>
        </row>
        <row r="1620">
          <cell r="A1620" t="str">
            <v>105-30-060</v>
          </cell>
          <cell r="B1620">
            <v>180</v>
          </cell>
          <cell r="C1620" t="str">
            <v>GRATUITY</v>
          </cell>
          <cell r="E1620">
            <v>0</v>
          </cell>
          <cell r="F1620">
            <v>0</v>
          </cell>
          <cell r="G1620">
            <v>0</v>
          </cell>
        </row>
        <row r="1621">
          <cell r="A1621" t="str">
            <v>105-30-070</v>
          </cell>
          <cell r="B1621">
            <v>180</v>
          </cell>
          <cell r="C1621" t="str">
            <v>LONG SERVICE AWARDS</v>
          </cell>
          <cell r="D1621">
            <v>0</v>
          </cell>
          <cell r="E1621">
            <v>0</v>
          </cell>
          <cell r="F1621">
            <v>0</v>
          </cell>
          <cell r="G1621">
            <v>0</v>
          </cell>
        </row>
        <row r="1622">
          <cell r="A1622" t="str">
            <v>105-30-080</v>
          </cell>
          <cell r="B1622">
            <v>180</v>
          </cell>
          <cell r="C1622" t="str">
            <v>STAFF RECRUITMENT &amp; REMOVALS</v>
          </cell>
          <cell r="D1622">
            <v>0</v>
          </cell>
          <cell r="E1622">
            <v>0</v>
          </cell>
          <cell r="F1622">
            <v>0</v>
          </cell>
          <cell r="G1622">
            <v>0</v>
          </cell>
        </row>
        <row r="1623">
          <cell r="A1623" t="str">
            <v>115-10-010</v>
          </cell>
          <cell r="B1623">
            <v>180</v>
          </cell>
          <cell r="D1623">
            <v>0</v>
          </cell>
          <cell r="E1623">
            <v>0</v>
          </cell>
          <cell r="F1623">
            <v>0</v>
          </cell>
          <cell r="G1623">
            <v>0</v>
          </cell>
        </row>
        <row r="1624">
          <cell r="A1624" t="str">
            <v>115-10-010</v>
          </cell>
          <cell r="B1624">
            <v>180</v>
          </cell>
          <cell r="D1624">
            <v>0</v>
          </cell>
          <cell r="F1624">
            <v>0</v>
          </cell>
          <cell r="G1624">
            <v>0</v>
          </cell>
        </row>
        <row r="1625">
          <cell r="A1625" t="str">
            <v>115-10-020</v>
          </cell>
          <cell r="B1625">
            <v>180</v>
          </cell>
          <cell r="D1625">
            <v>0</v>
          </cell>
          <cell r="E1625">
            <v>0</v>
          </cell>
          <cell r="F1625">
            <v>0</v>
          </cell>
          <cell r="G1625">
            <v>0</v>
          </cell>
        </row>
        <row r="1626">
          <cell r="A1626" t="str">
            <v>115-10-020</v>
          </cell>
          <cell r="B1626">
            <v>180</v>
          </cell>
          <cell r="D1626">
            <v>0</v>
          </cell>
          <cell r="G1626">
            <v>0</v>
          </cell>
        </row>
        <row r="1627">
          <cell r="A1627" t="str">
            <v>115-10-030</v>
          </cell>
          <cell r="B1627">
            <v>180</v>
          </cell>
          <cell r="D1627">
            <v>0</v>
          </cell>
          <cell r="E1627">
            <v>0</v>
          </cell>
          <cell r="F1627">
            <v>0</v>
          </cell>
          <cell r="G1627">
            <v>0</v>
          </cell>
        </row>
        <row r="1628">
          <cell r="A1628" t="str">
            <v>115-10-030</v>
          </cell>
          <cell r="B1628">
            <v>180</v>
          </cell>
          <cell r="D1628">
            <v>0</v>
          </cell>
          <cell r="F1628">
            <v>0</v>
          </cell>
          <cell r="G1628">
            <v>0</v>
          </cell>
        </row>
        <row r="1629">
          <cell r="A1629" t="str">
            <v>115-10-040</v>
          </cell>
          <cell r="B1629">
            <v>180</v>
          </cell>
          <cell r="D1629">
            <v>372690</v>
          </cell>
          <cell r="E1629">
            <v>196000</v>
          </cell>
          <cell r="F1629">
            <v>336000</v>
          </cell>
          <cell r="G1629">
            <v>1.1091964285714286</v>
          </cell>
          <cell r="H1629" t="str">
            <v>Anticipated increase in rent according the lease.</v>
          </cell>
        </row>
        <row r="1630">
          <cell r="A1630" t="str">
            <v>115-10-040</v>
          </cell>
          <cell r="B1630">
            <v>180</v>
          </cell>
          <cell r="D1630">
            <v>0</v>
          </cell>
          <cell r="F1630">
            <v>0</v>
          </cell>
          <cell r="G1630">
            <v>0</v>
          </cell>
        </row>
        <row r="1631">
          <cell r="A1631" t="str">
            <v>115-10-050</v>
          </cell>
          <cell r="B1631">
            <v>180</v>
          </cell>
          <cell r="C1631" t="str">
            <v>OFFICE CATERING &amp; STAFF WELFARE</v>
          </cell>
          <cell r="D1631">
            <v>62100</v>
          </cell>
          <cell r="E1631">
            <v>64250</v>
          </cell>
          <cell r="F1631">
            <v>110142.85714285716</v>
          </cell>
          <cell r="G1631">
            <v>0.56381322957198432</v>
          </cell>
        </row>
        <row r="1632">
          <cell r="A1632" t="str">
            <v>115-10-051</v>
          </cell>
          <cell r="B1632">
            <v>180</v>
          </cell>
          <cell r="C1632" t="str">
            <v>OFFICE CLEANING</v>
          </cell>
          <cell r="D1632">
            <v>36000</v>
          </cell>
          <cell r="E1632">
            <v>0</v>
          </cell>
          <cell r="F1632">
            <v>0</v>
          </cell>
          <cell r="G1632">
            <v>0</v>
          </cell>
          <cell r="H1632" t="str">
            <v>Office cleaning currently not posted</v>
          </cell>
        </row>
        <row r="1633">
          <cell r="A1633" t="str">
            <v>115-10-060</v>
          </cell>
          <cell r="B1633">
            <v>180</v>
          </cell>
          <cell r="C1633" t="str">
            <v>OFFICE WATER</v>
          </cell>
          <cell r="D1633">
            <v>0</v>
          </cell>
          <cell r="E1633">
            <v>0</v>
          </cell>
          <cell r="F1633">
            <v>0</v>
          </cell>
          <cell r="G1633">
            <v>0</v>
          </cell>
        </row>
        <row r="1634">
          <cell r="A1634" t="str">
            <v>115-10-070</v>
          </cell>
          <cell r="B1634">
            <v>180</v>
          </cell>
          <cell r="C1634" t="str">
            <v>OFFICE ELECTRICITY</v>
          </cell>
          <cell r="D1634">
            <v>0</v>
          </cell>
          <cell r="E1634">
            <v>7000</v>
          </cell>
          <cell r="F1634">
            <v>12000</v>
          </cell>
          <cell r="G1634">
            <v>0</v>
          </cell>
        </row>
        <row r="1635">
          <cell r="A1635" t="str">
            <v>115-10-080</v>
          </cell>
          <cell r="B1635">
            <v>180</v>
          </cell>
          <cell r="C1635" t="str">
            <v>OFFICE SECURITY</v>
          </cell>
          <cell r="D1635">
            <v>0</v>
          </cell>
          <cell r="E1635">
            <v>0</v>
          </cell>
          <cell r="F1635">
            <v>0</v>
          </cell>
          <cell r="G1635">
            <v>0</v>
          </cell>
        </row>
        <row r="1636">
          <cell r="A1636" t="str">
            <v>125-10-010</v>
          </cell>
          <cell r="B1636">
            <v>180</v>
          </cell>
          <cell r="C1636" t="str">
            <v>BANK CHARGES</v>
          </cell>
          <cell r="D1636">
            <v>24000</v>
          </cell>
          <cell r="E1636">
            <v>0</v>
          </cell>
          <cell r="F1636">
            <v>0</v>
          </cell>
          <cell r="G1636">
            <v>0</v>
          </cell>
        </row>
        <row r="1637">
          <cell r="A1637" t="str">
            <v>125-10-020</v>
          </cell>
          <cell r="B1637">
            <v>180</v>
          </cell>
          <cell r="C1637" t="str">
            <v>BANK OVERDRART CHARGES</v>
          </cell>
          <cell r="E1637">
            <v>0</v>
          </cell>
          <cell r="F1637">
            <v>0</v>
          </cell>
          <cell r="G1637">
            <v>0</v>
          </cell>
        </row>
        <row r="1638">
          <cell r="A1638" t="str">
            <v>135-60-030</v>
          </cell>
          <cell r="B1638">
            <v>180</v>
          </cell>
          <cell r="C1638" t="str">
            <v>SALES PROMOTIONS &amp; COMPETITION</v>
          </cell>
          <cell r="D1638">
            <v>0</v>
          </cell>
          <cell r="E1638">
            <v>0</v>
          </cell>
          <cell r="F1638">
            <v>0</v>
          </cell>
          <cell r="G1638">
            <v>0</v>
          </cell>
        </row>
        <row r="1639">
          <cell r="A1639" t="str">
            <v>135-70-010</v>
          </cell>
          <cell r="B1639">
            <v>180</v>
          </cell>
          <cell r="C1639" t="str">
            <v>AGENCY PENSION</v>
          </cell>
          <cell r="D1639">
            <v>0</v>
          </cell>
          <cell r="E1639">
            <v>0</v>
          </cell>
          <cell r="F1639">
            <v>0</v>
          </cell>
          <cell r="G1639">
            <v>0</v>
          </cell>
        </row>
        <row r="1640">
          <cell r="A1640" t="str">
            <v>135-70-020</v>
          </cell>
          <cell r="B1640">
            <v>180</v>
          </cell>
          <cell r="C1640" t="str">
            <v>AGENCY GLA</v>
          </cell>
          <cell r="D1640">
            <v>0</v>
          </cell>
          <cell r="E1640">
            <v>0</v>
          </cell>
          <cell r="F1640">
            <v>0</v>
          </cell>
          <cell r="G1640">
            <v>0</v>
          </cell>
        </row>
        <row r="1641">
          <cell r="A1641" t="str">
            <v>135-70-030</v>
          </cell>
          <cell r="B1641">
            <v>180</v>
          </cell>
          <cell r="C1641" t="str">
            <v>AGENCY MEDICAL</v>
          </cell>
          <cell r="D1641">
            <v>0</v>
          </cell>
          <cell r="E1641">
            <v>0</v>
          </cell>
          <cell r="F1641">
            <v>0</v>
          </cell>
          <cell r="G1641">
            <v>0</v>
          </cell>
        </row>
        <row r="1642">
          <cell r="A1642" t="str">
            <v>135-70-040</v>
          </cell>
          <cell r="B1642">
            <v>180</v>
          </cell>
          <cell r="C1642" t="str">
            <v>AGENCY LAST EXPENSE</v>
          </cell>
          <cell r="D1642">
            <v>0</v>
          </cell>
          <cell r="E1642">
            <v>0</v>
          </cell>
          <cell r="F1642">
            <v>0</v>
          </cell>
          <cell r="G1642">
            <v>0</v>
          </cell>
        </row>
        <row r="1643">
          <cell r="A1643" t="str">
            <v>145-10-030</v>
          </cell>
          <cell r="B1643">
            <v>180</v>
          </cell>
          <cell r="C1643" t="str">
            <v>Audit fee -individual life</v>
          </cell>
          <cell r="D1643">
            <v>0</v>
          </cell>
          <cell r="E1643">
            <v>0</v>
          </cell>
          <cell r="F1643">
            <v>0</v>
          </cell>
          <cell r="G1643">
            <v>0</v>
          </cell>
        </row>
        <row r="1644">
          <cell r="A1644" t="str">
            <v>145-10-031</v>
          </cell>
          <cell r="B1644">
            <v>180</v>
          </cell>
          <cell r="C1644" t="str">
            <v>Tax filing returns</v>
          </cell>
          <cell r="D1644">
            <v>0</v>
          </cell>
          <cell r="E1644">
            <v>0</v>
          </cell>
          <cell r="F1644">
            <v>0</v>
          </cell>
          <cell r="G1644">
            <v>0</v>
          </cell>
        </row>
        <row r="1645">
          <cell r="A1645" t="str">
            <v>145-10-060</v>
          </cell>
          <cell r="B1645">
            <v>180</v>
          </cell>
          <cell r="C1645" t="str">
            <v>Intra company charges- individual life</v>
          </cell>
          <cell r="G1645">
            <v>0</v>
          </cell>
        </row>
        <row r="1646">
          <cell r="A1646" t="str">
            <v>145-10-060</v>
          </cell>
          <cell r="B1646">
            <v>180</v>
          </cell>
          <cell r="E1646">
            <v>0</v>
          </cell>
          <cell r="G1646">
            <v>0</v>
          </cell>
        </row>
        <row r="1647">
          <cell r="A1647" t="str">
            <v>145-10-080</v>
          </cell>
          <cell r="B1647">
            <v>180</v>
          </cell>
          <cell r="C1647" t="str">
            <v>40% Excutive recharge</v>
          </cell>
          <cell r="F1647">
            <v>0</v>
          </cell>
          <cell r="G1647">
            <v>0</v>
          </cell>
        </row>
        <row r="1648">
          <cell r="A1648" t="str">
            <v>145-10-080</v>
          </cell>
          <cell r="B1648">
            <v>180</v>
          </cell>
          <cell r="C1648" t="str">
            <v xml:space="preserve">Recharges: 10% recharge to Corporate </v>
          </cell>
          <cell r="E1648">
            <v>0</v>
          </cell>
          <cell r="G1648">
            <v>0</v>
          </cell>
        </row>
        <row r="1649">
          <cell r="A1649" t="str">
            <v>145-10-100</v>
          </cell>
          <cell r="B1649">
            <v>180</v>
          </cell>
          <cell r="E1649">
            <v>0</v>
          </cell>
          <cell r="G1649">
            <v>0</v>
          </cell>
        </row>
        <row r="1650">
          <cell r="A1650" t="str">
            <v>155-10-007</v>
          </cell>
          <cell r="B1650">
            <v>180</v>
          </cell>
          <cell r="C1650" t="str">
            <v>NEWSPAPERS &amp; JOURNALS</v>
          </cell>
          <cell r="D1650">
            <v>10560</v>
          </cell>
          <cell r="E1650">
            <v>6000</v>
          </cell>
          <cell r="F1650">
            <v>10285.714285714286</v>
          </cell>
          <cell r="G1650">
            <v>1.0266666666666666</v>
          </cell>
        </row>
        <row r="1651">
          <cell r="A1651" t="str">
            <v>155-10-008</v>
          </cell>
          <cell r="B1651">
            <v>180</v>
          </cell>
          <cell r="C1651" t="str">
            <v>ENTERTAINMENT &amp; DONATIONS</v>
          </cell>
          <cell r="D1651">
            <v>18000</v>
          </cell>
          <cell r="E1651">
            <v>3000</v>
          </cell>
          <cell r="F1651">
            <v>5142.8571428571431</v>
          </cell>
          <cell r="G1651">
            <v>3.5</v>
          </cell>
          <cell r="H1651" t="str">
            <v>Need to focus more on local check offs.</v>
          </cell>
        </row>
        <row r="1652">
          <cell r="A1652" t="str">
            <v>155-10-009</v>
          </cell>
          <cell r="B1652">
            <v>180</v>
          </cell>
          <cell r="C1652" t="str">
            <v>COURIER &amp; FREIGHT CHARGES</v>
          </cell>
          <cell r="D1652">
            <v>17332</v>
          </cell>
          <cell r="E1652">
            <v>11000</v>
          </cell>
          <cell r="F1652">
            <v>18857.142857142855</v>
          </cell>
          <cell r="G1652">
            <v>0.91912121212121223</v>
          </cell>
        </row>
        <row r="1653">
          <cell r="A1653" t="str">
            <v>155-10-010</v>
          </cell>
          <cell r="B1653">
            <v>180</v>
          </cell>
          <cell r="C1653" t="str">
            <v>ADVERTISING &amp; PUBLICITY</v>
          </cell>
          <cell r="D1653">
            <v>0</v>
          </cell>
          <cell r="E1653">
            <v>0</v>
          </cell>
          <cell r="F1653">
            <v>0</v>
          </cell>
          <cell r="G1653">
            <v>0</v>
          </cell>
        </row>
        <row r="1654">
          <cell r="A1654" t="str">
            <v>155-10-012</v>
          </cell>
          <cell r="B1654">
            <v>180</v>
          </cell>
          <cell r="C1654" t="str">
            <v>TRADE LICENCES</v>
          </cell>
          <cell r="D1654">
            <v>20000</v>
          </cell>
          <cell r="E1654">
            <v>14000</v>
          </cell>
          <cell r="F1654">
            <v>14000</v>
          </cell>
          <cell r="G1654">
            <v>1.4285714285714286</v>
          </cell>
        </row>
        <row r="1655">
          <cell r="A1655" t="str">
            <v>155-10-013</v>
          </cell>
          <cell r="B1655">
            <v>180</v>
          </cell>
          <cell r="C1655" t="str">
            <v>INSURANCES</v>
          </cell>
          <cell r="D1655">
            <v>0</v>
          </cell>
          <cell r="E1655">
            <v>0</v>
          </cell>
          <cell r="F1655">
            <v>0</v>
          </cell>
          <cell r="G1655">
            <v>0</v>
          </cell>
        </row>
        <row r="1656">
          <cell r="A1656" t="str">
            <v>155-10-014</v>
          </cell>
          <cell r="B1656">
            <v>180</v>
          </cell>
          <cell r="C1656" t="str">
            <v>PHOTOCOPY</v>
          </cell>
          <cell r="D1656">
            <v>14400</v>
          </cell>
          <cell r="E1656">
            <v>0</v>
          </cell>
          <cell r="F1656">
            <v>0</v>
          </cell>
          <cell r="G1656">
            <v>0</v>
          </cell>
        </row>
        <row r="1657">
          <cell r="A1657" t="str">
            <v>155-10-015</v>
          </cell>
          <cell r="B1657">
            <v>180</v>
          </cell>
          <cell r="C1657" t="str">
            <v>COMPUTER MAINTAINANCE</v>
          </cell>
          <cell r="D1657">
            <v>12500</v>
          </cell>
          <cell r="E1657">
            <v>0</v>
          </cell>
          <cell r="F1657">
            <v>0</v>
          </cell>
          <cell r="G1657">
            <v>0</v>
          </cell>
        </row>
        <row r="1658">
          <cell r="A1658" t="str">
            <v>155-10-016</v>
          </cell>
          <cell r="B1658">
            <v>180</v>
          </cell>
          <cell r="C1658" t="str">
            <v>EQUIPMENT&amp; FURNITURE REPAIRS &amp; MAINTENANCE</v>
          </cell>
          <cell r="D1658">
            <v>4200</v>
          </cell>
          <cell r="E1658">
            <v>2000</v>
          </cell>
          <cell r="F1658">
            <v>3428.5714285714284</v>
          </cell>
          <cell r="G1658">
            <v>1.2250000000000001</v>
          </cell>
        </row>
        <row r="1659">
          <cell r="A1659" t="str">
            <v>155-10-017</v>
          </cell>
          <cell r="B1659">
            <v>180</v>
          </cell>
          <cell r="C1659" t="str">
            <v>SEMINARS &amp; SHORT TERM COURSES</v>
          </cell>
          <cell r="D1659">
            <v>0</v>
          </cell>
          <cell r="E1659">
            <v>6000</v>
          </cell>
          <cell r="F1659">
            <v>10285.714285714286</v>
          </cell>
          <cell r="G1659">
            <v>0</v>
          </cell>
        </row>
        <row r="1660">
          <cell r="A1660" t="str">
            <v>155-10-022</v>
          </cell>
          <cell r="B1660">
            <v>180</v>
          </cell>
          <cell r="C1660" t="str">
            <v>PRINTING &amp; STATIONERY</v>
          </cell>
          <cell r="D1660">
            <v>120093</v>
          </cell>
          <cell r="E1660">
            <v>23000</v>
          </cell>
          <cell r="F1660">
            <v>39428.571428571428</v>
          </cell>
          <cell r="G1660">
            <v>3.0458369565217391</v>
          </cell>
          <cell r="H1660" t="str">
            <v>Initial stationery used by the branch was that which carried over into the year thus the lower amount spent in the year.</v>
          </cell>
        </row>
        <row r="1661">
          <cell r="A1661" t="str">
            <v>155-10-025</v>
          </cell>
          <cell r="B1661">
            <v>180</v>
          </cell>
          <cell r="C1661" t="str">
            <v>STRATEGIC PLANNING</v>
          </cell>
          <cell r="D1661">
            <v>0</v>
          </cell>
          <cell r="E1661">
            <v>0</v>
          </cell>
          <cell r="F1661">
            <v>0</v>
          </cell>
          <cell r="G1661">
            <v>0</v>
          </cell>
        </row>
        <row r="1662">
          <cell r="A1662" t="str">
            <v>155-10-027</v>
          </cell>
          <cell r="B1662">
            <v>180</v>
          </cell>
          <cell r="C1662" t="str">
            <v>PROFESSIONAL SUBSCRIPTIONS</v>
          </cell>
          <cell r="D1662">
            <v>0</v>
          </cell>
          <cell r="E1662">
            <v>0</v>
          </cell>
          <cell r="F1662">
            <v>0</v>
          </cell>
          <cell r="G1662">
            <v>0</v>
          </cell>
        </row>
        <row r="1663">
          <cell r="A1663" t="str">
            <v>155-10-028</v>
          </cell>
          <cell r="B1663">
            <v>180</v>
          </cell>
          <cell r="C1663" t="str">
            <v xml:space="preserve"> SUBSCRIPTIONS -COMPANY MEMBERSHIP</v>
          </cell>
          <cell r="D1663">
            <v>0</v>
          </cell>
          <cell r="E1663">
            <v>0</v>
          </cell>
          <cell r="F1663">
            <v>0</v>
          </cell>
          <cell r="G1663">
            <v>0</v>
          </cell>
        </row>
        <row r="1664">
          <cell r="A1664" t="str">
            <v>155-10-030</v>
          </cell>
          <cell r="B1664">
            <v>180</v>
          </cell>
          <cell r="C1664" t="str">
            <v>TRAVELLING &amp; ACCOMMODATION</v>
          </cell>
          <cell r="D1664">
            <v>30820</v>
          </cell>
          <cell r="E1664">
            <v>16000</v>
          </cell>
          <cell r="F1664">
            <v>27428.571428571428</v>
          </cell>
          <cell r="G1664">
            <v>1.1236458333333335</v>
          </cell>
          <cell r="H1664" t="str">
            <v>Budgeted for zone meetings and head office management training in the year.</v>
          </cell>
        </row>
        <row r="1665">
          <cell r="A1665" t="str">
            <v>155-10-032</v>
          </cell>
          <cell r="B1665">
            <v>180</v>
          </cell>
          <cell r="C1665" t="str">
            <v xml:space="preserve">MOTOR CAR EXPENSES </v>
          </cell>
          <cell r="D1665">
            <v>0</v>
          </cell>
          <cell r="E1665">
            <v>0</v>
          </cell>
          <cell r="F1665">
            <v>0</v>
          </cell>
          <cell r="G1665">
            <v>0</v>
          </cell>
        </row>
        <row r="1666">
          <cell r="A1666" t="str">
            <v>155-10-040</v>
          </cell>
          <cell r="B1666">
            <v>180</v>
          </cell>
          <cell r="C1666" t="str">
            <v>POSTAGE</v>
          </cell>
          <cell r="D1666">
            <v>3000</v>
          </cell>
          <cell r="E1666">
            <v>0</v>
          </cell>
          <cell r="F1666">
            <v>0</v>
          </cell>
          <cell r="G1666">
            <v>0</v>
          </cell>
          <cell r="H1666" t="str">
            <v>Current cost of postage not posted</v>
          </cell>
        </row>
        <row r="1667">
          <cell r="A1667" t="str">
            <v>155-10-041</v>
          </cell>
          <cell r="B1667">
            <v>180</v>
          </cell>
          <cell r="C1667" t="str">
            <v>TELEPHONE &amp; FAX</v>
          </cell>
          <cell r="D1667">
            <v>108000</v>
          </cell>
          <cell r="E1667">
            <v>65000</v>
          </cell>
          <cell r="F1667">
            <v>111428.57142857143</v>
          </cell>
          <cell r="G1667">
            <v>0.96923076923076923</v>
          </cell>
          <cell r="H1667" t="str">
            <v>Anticipates more communication with LCO's in the year</v>
          </cell>
        </row>
        <row r="1668">
          <cell r="A1668" t="str">
            <v>155-10-044</v>
          </cell>
          <cell r="B1668">
            <v>180</v>
          </cell>
          <cell r="C1668" t="str">
            <v>PROFFESSIONAL TRAINING</v>
          </cell>
          <cell r="D1668">
            <v>15625</v>
          </cell>
          <cell r="E1668">
            <v>0</v>
          </cell>
          <cell r="F1668">
            <v>0</v>
          </cell>
          <cell r="G1668">
            <v>0</v>
          </cell>
        </row>
        <row r="1669">
          <cell r="A1669" t="str">
            <v>155-10-046</v>
          </cell>
          <cell r="B1669">
            <v>180</v>
          </cell>
          <cell r="C1669" t="str">
            <v xml:space="preserve">SUBSCRIPTION- STAFF CLUB MEMBERSHIP </v>
          </cell>
          <cell r="D1669">
            <v>20000</v>
          </cell>
          <cell r="E1669">
            <v>0</v>
          </cell>
          <cell r="F1669">
            <v>0</v>
          </cell>
          <cell r="G1669">
            <v>0</v>
          </cell>
        </row>
        <row r="1670">
          <cell r="A1670" t="str">
            <v>155-10-054</v>
          </cell>
          <cell r="B1670">
            <v>180</v>
          </cell>
          <cell r="C1670" t="str">
            <v>LEASED LINES-INTERNET SERVICES</v>
          </cell>
          <cell r="D1670">
            <v>0</v>
          </cell>
          <cell r="E1670">
            <v>0</v>
          </cell>
          <cell r="F1670">
            <v>0</v>
          </cell>
          <cell r="G1670">
            <v>0</v>
          </cell>
        </row>
        <row r="1671">
          <cell r="A1671" t="str">
            <v>155-10-057</v>
          </cell>
          <cell r="B1671">
            <v>180</v>
          </cell>
          <cell r="C1671" t="str">
            <v>SOFTWARE LICENCES</v>
          </cell>
          <cell r="D1671">
            <v>0</v>
          </cell>
          <cell r="E1671">
            <v>0</v>
          </cell>
          <cell r="F1671">
            <v>0</v>
          </cell>
          <cell r="G1671">
            <v>0</v>
          </cell>
        </row>
        <row r="1672">
          <cell r="A1672" t="str">
            <v>155-10-059</v>
          </cell>
          <cell r="B1672">
            <v>180</v>
          </cell>
          <cell r="E1672">
            <v>0</v>
          </cell>
          <cell r="G1672">
            <v>0</v>
          </cell>
        </row>
        <row r="1673">
          <cell r="A1673" t="str">
            <v>155-10-060</v>
          </cell>
          <cell r="B1673">
            <v>180</v>
          </cell>
          <cell r="E1673">
            <v>0</v>
          </cell>
          <cell r="G1673">
            <v>0</v>
          </cell>
        </row>
        <row r="1674">
          <cell r="A1674" t="str">
            <v>155-10-062</v>
          </cell>
          <cell r="B1674">
            <v>180</v>
          </cell>
          <cell r="C1674" t="str">
            <v>EDUCATION EXPENSES</v>
          </cell>
          <cell r="D1674">
            <v>0</v>
          </cell>
          <cell r="E1674">
            <v>0</v>
          </cell>
          <cell r="F1674">
            <v>0</v>
          </cell>
          <cell r="G1674">
            <v>0</v>
          </cell>
        </row>
        <row r="1675">
          <cell r="A1675" t="str">
            <v>160-10-010</v>
          </cell>
          <cell r="B1675">
            <v>180</v>
          </cell>
          <cell r="E1675">
            <v>0</v>
          </cell>
          <cell r="G1675">
            <v>0</v>
          </cell>
        </row>
        <row r="1676">
          <cell r="A1676" t="str">
            <v>605-10-010</v>
          </cell>
          <cell r="B1676">
            <v>200</v>
          </cell>
          <cell r="C1676" t="str">
            <v>BASIC SALARY</v>
          </cell>
          <cell r="D1676">
            <v>5334240</v>
          </cell>
          <cell r="E1676">
            <v>2975917</v>
          </cell>
          <cell r="F1676">
            <v>4737167</v>
          </cell>
          <cell r="G1676">
            <v>1.1260400994940649</v>
          </cell>
        </row>
        <row r="1677">
          <cell r="A1677" t="str">
            <v>605-10-012</v>
          </cell>
          <cell r="B1677">
            <v>200</v>
          </cell>
          <cell r="C1677" t="str">
            <v>PROVISION FOR MORT. RATE ADJUSTMENTS</v>
          </cell>
          <cell r="D1677">
            <v>0</v>
          </cell>
          <cell r="E1677">
            <v>0</v>
          </cell>
          <cell r="F1677">
            <v>0</v>
          </cell>
          <cell r="G1677">
            <v>0</v>
          </cell>
        </row>
        <row r="1678">
          <cell r="A1678" t="str">
            <v>605-10-020</v>
          </cell>
          <cell r="B1678">
            <v>200</v>
          </cell>
          <cell r="C1678" t="str">
            <v>HOUSE ALLOWANCE</v>
          </cell>
          <cell r="D1678">
            <v>831000</v>
          </cell>
          <cell r="E1678">
            <v>200850</v>
          </cell>
          <cell r="F1678">
            <v>547100</v>
          </cell>
          <cell r="G1678">
            <v>1.5189179309084262</v>
          </cell>
        </row>
        <row r="1679">
          <cell r="A1679" t="str">
            <v>605-10-030</v>
          </cell>
          <cell r="B1679">
            <v>200</v>
          </cell>
          <cell r="C1679" t="str">
            <v>TELEPHONE ALLOWANCE</v>
          </cell>
          <cell r="D1679">
            <v>30000</v>
          </cell>
          <cell r="E1679">
            <v>17500</v>
          </cell>
          <cell r="F1679">
            <v>30000</v>
          </cell>
          <cell r="G1679">
            <v>1</v>
          </cell>
        </row>
        <row r="1680">
          <cell r="A1680" t="str">
            <v>605-10-040</v>
          </cell>
          <cell r="B1680">
            <v>200</v>
          </cell>
          <cell r="C1680" t="str">
            <v>SECURITY ALLOWANCE</v>
          </cell>
          <cell r="D1680">
            <v>0</v>
          </cell>
          <cell r="E1680">
            <v>0</v>
          </cell>
          <cell r="F1680">
            <v>0</v>
          </cell>
          <cell r="G1680">
            <v>0</v>
          </cell>
        </row>
        <row r="1681">
          <cell r="A1681" t="str">
            <v>605-10-050</v>
          </cell>
          <cell r="B1681">
            <v>200</v>
          </cell>
          <cell r="C1681" t="str">
            <v>EDUCATION ALLOWANCE</v>
          </cell>
          <cell r="D1681">
            <v>120000</v>
          </cell>
          <cell r="E1681">
            <v>70000</v>
          </cell>
          <cell r="F1681">
            <v>157500</v>
          </cell>
          <cell r="G1681">
            <v>0.76190476190476186</v>
          </cell>
        </row>
        <row r="1682">
          <cell r="A1682" t="str">
            <v>605-10-060</v>
          </cell>
          <cell r="B1682">
            <v>200</v>
          </cell>
          <cell r="C1682" t="str">
            <v>TRAVEL ALLOWANCE</v>
          </cell>
          <cell r="D1682">
            <v>210000</v>
          </cell>
          <cell r="E1682">
            <v>0</v>
          </cell>
          <cell r="F1682">
            <v>87500</v>
          </cell>
          <cell r="G1682">
            <v>2.4</v>
          </cell>
        </row>
        <row r="1683">
          <cell r="A1683" t="str">
            <v>605-20-010</v>
          </cell>
          <cell r="B1683">
            <v>200</v>
          </cell>
          <cell r="C1683" t="str">
            <v>NSSF</v>
          </cell>
          <cell r="D1683">
            <v>12000</v>
          </cell>
          <cell r="E1683">
            <v>6600</v>
          </cell>
          <cell r="F1683">
            <v>11600</v>
          </cell>
          <cell r="G1683">
            <v>1.0344827586206897</v>
          </cell>
        </row>
        <row r="1684">
          <cell r="A1684" t="str">
            <v>605-20-020</v>
          </cell>
          <cell r="B1684">
            <v>200</v>
          </cell>
          <cell r="C1684" t="str">
            <v>NHIF</v>
          </cell>
          <cell r="D1684">
            <v>14400</v>
          </cell>
          <cell r="E1684">
            <v>8160</v>
          </cell>
          <cell r="F1684">
            <v>14160</v>
          </cell>
          <cell r="G1684">
            <v>1.0169491525423728</v>
          </cell>
        </row>
        <row r="1685">
          <cell r="A1685" t="str">
            <v>605-30-010</v>
          </cell>
          <cell r="B1685">
            <v>200</v>
          </cell>
          <cell r="C1685" t="str">
            <v xml:space="preserve">PENSION </v>
          </cell>
          <cell r="D1685">
            <v>666780</v>
          </cell>
          <cell r="E1685">
            <v>217048.33</v>
          </cell>
          <cell r="F1685">
            <v>463623.33</v>
          </cell>
          <cell r="G1685">
            <v>1.4381933713301271</v>
          </cell>
        </row>
        <row r="1686">
          <cell r="A1686" t="str">
            <v>605-30-020</v>
          </cell>
          <cell r="B1686">
            <v>200</v>
          </cell>
          <cell r="C1686" t="str">
            <v>LAST EXPENSE</v>
          </cell>
          <cell r="D1686">
            <v>12600</v>
          </cell>
          <cell r="E1686">
            <v>1750</v>
          </cell>
          <cell r="F1686">
            <v>10500</v>
          </cell>
          <cell r="G1686">
            <v>1.2</v>
          </cell>
        </row>
        <row r="1687">
          <cell r="A1687" t="str">
            <v>605-30-030</v>
          </cell>
          <cell r="B1687">
            <v>200</v>
          </cell>
          <cell r="C1687" t="str">
            <v>GROUP LIFE ASSURANCE</v>
          </cell>
          <cell r="D1687">
            <v>82368</v>
          </cell>
          <cell r="E1687">
            <v>76144.070000000007</v>
          </cell>
          <cell r="F1687">
            <v>130532.69142857144</v>
          </cell>
          <cell r="G1687">
            <v>0.63101433900236736</v>
          </cell>
        </row>
        <row r="1688">
          <cell r="A1688" t="str">
            <v>605-30-040</v>
          </cell>
          <cell r="B1688">
            <v>200</v>
          </cell>
          <cell r="C1688" t="str">
            <v>STAFF MEDICAL</v>
          </cell>
          <cell r="D1688">
            <v>0</v>
          </cell>
          <cell r="E1688">
            <v>0</v>
          </cell>
          <cell r="F1688">
            <v>0</v>
          </cell>
          <cell r="G1688">
            <v>0</v>
          </cell>
        </row>
        <row r="1689">
          <cell r="A1689" t="str">
            <v>605-30-050</v>
          </cell>
          <cell r="B1689">
            <v>200</v>
          </cell>
          <cell r="C1689" t="str">
            <v>CASH IN LIEU OF LEAVE</v>
          </cell>
          <cell r="D1689">
            <v>130856</v>
          </cell>
          <cell r="E1689">
            <v>50000</v>
          </cell>
          <cell r="F1689">
            <v>70000</v>
          </cell>
          <cell r="G1689">
            <v>1.8693714285714285</v>
          </cell>
        </row>
        <row r="1690">
          <cell r="A1690" t="str">
            <v>605-30-060</v>
          </cell>
          <cell r="B1690">
            <v>200</v>
          </cell>
          <cell r="C1690" t="str">
            <v>GRATUITY</v>
          </cell>
          <cell r="E1690">
            <v>0</v>
          </cell>
          <cell r="F1690">
            <v>0</v>
          </cell>
          <cell r="G1690">
            <v>0</v>
          </cell>
        </row>
        <row r="1691">
          <cell r="A1691" t="str">
            <v>605-30-070</v>
          </cell>
          <cell r="B1691">
            <v>200</v>
          </cell>
          <cell r="C1691" t="str">
            <v>LONG SERVICE AWARDS</v>
          </cell>
          <cell r="D1691">
            <v>0</v>
          </cell>
          <cell r="E1691">
            <v>0</v>
          </cell>
          <cell r="F1691">
            <v>0</v>
          </cell>
          <cell r="G1691">
            <v>0</v>
          </cell>
        </row>
        <row r="1692">
          <cell r="A1692" t="str">
            <v>605-30-080</v>
          </cell>
          <cell r="B1692">
            <v>200</v>
          </cell>
          <cell r="C1692" t="str">
            <v>STAFF RECRUITMENT &amp; REMOVALS</v>
          </cell>
          <cell r="D1692">
            <v>0</v>
          </cell>
          <cell r="E1692">
            <v>3800</v>
          </cell>
          <cell r="F1692">
            <v>6514.2857142857147</v>
          </cell>
          <cell r="G1692">
            <v>0</v>
          </cell>
        </row>
        <row r="1693">
          <cell r="A1693" t="str">
            <v>615-10-010</v>
          </cell>
          <cell r="B1693">
            <v>200</v>
          </cell>
          <cell r="D1693">
            <v>0</v>
          </cell>
          <cell r="E1693">
            <v>0</v>
          </cell>
          <cell r="F1693">
            <v>0</v>
          </cell>
          <cell r="G1693">
            <v>0</v>
          </cell>
        </row>
        <row r="1694">
          <cell r="A1694" t="str">
            <v>615-10-010</v>
          </cell>
          <cell r="B1694">
            <v>200</v>
          </cell>
          <cell r="D1694">
            <v>0</v>
          </cell>
          <cell r="F1694">
            <v>0</v>
          </cell>
          <cell r="G1694">
            <v>0</v>
          </cell>
        </row>
        <row r="1695">
          <cell r="A1695" t="str">
            <v>615-10-020</v>
          </cell>
          <cell r="B1695">
            <v>200</v>
          </cell>
          <cell r="D1695">
            <v>0</v>
          </cell>
          <cell r="E1695">
            <v>0</v>
          </cell>
          <cell r="F1695">
            <v>0</v>
          </cell>
          <cell r="G1695">
            <v>0</v>
          </cell>
        </row>
        <row r="1696">
          <cell r="A1696" t="str">
            <v>615-10-020</v>
          </cell>
          <cell r="B1696">
            <v>200</v>
          </cell>
          <cell r="D1696">
            <v>0</v>
          </cell>
          <cell r="G1696">
            <v>0</v>
          </cell>
        </row>
        <row r="1697">
          <cell r="A1697" t="str">
            <v>615-10-030</v>
          </cell>
          <cell r="B1697">
            <v>200</v>
          </cell>
          <cell r="D1697">
            <v>0</v>
          </cell>
          <cell r="E1697">
            <v>0</v>
          </cell>
          <cell r="F1697">
            <v>0</v>
          </cell>
          <cell r="G1697">
            <v>0</v>
          </cell>
        </row>
        <row r="1698">
          <cell r="A1698" t="str">
            <v>615-10-030</v>
          </cell>
          <cell r="B1698">
            <v>200</v>
          </cell>
          <cell r="D1698">
            <v>0</v>
          </cell>
          <cell r="F1698">
            <v>0</v>
          </cell>
          <cell r="G1698">
            <v>0</v>
          </cell>
        </row>
        <row r="1699">
          <cell r="A1699" t="str">
            <v>615-10-040</v>
          </cell>
          <cell r="B1699">
            <v>200</v>
          </cell>
          <cell r="D1699">
            <v>479808</v>
          </cell>
          <cell r="E1699">
            <v>223301.92</v>
          </cell>
          <cell r="F1699">
            <v>442803.29142857145</v>
          </cell>
          <cell r="G1699">
            <v>1.083569181367293</v>
          </cell>
        </row>
        <row r="1700">
          <cell r="A1700" t="str">
            <v>615-10-040</v>
          </cell>
          <cell r="B1700">
            <v>200</v>
          </cell>
          <cell r="D1700">
            <v>60000</v>
          </cell>
          <cell r="G1700">
            <v>0</v>
          </cell>
        </row>
        <row r="1701">
          <cell r="A1701" t="str">
            <v>615-10-050</v>
          </cell>
          <cell r="B1701">
            <v>200</v>
          </cell>
          <cell r="C1701" t="str">
            <v>OFFICE CATERING &amp; STAFF WELFARE</v>
          </cell>
          <cell r="D1701">
            <v>0</v>
          </cell>
          <cell r="G1701">
            <v>0</v>
          </cell>
        </row>
        <row r="1702">
          <cell r="A1702" t="str">
            <v>615-10-051</v>
          </cell>
          <cell r="B1702">
            <v>200</v>
          </cell>
          <cell r="C1702" t="str">
            <v>OFFICE CLEANING</v>
          </cell>
          <cell r="D1702">
            <v>0</v>
          </cell>
          <cell r="E1702">
            <v>0</v>
          </cell>
          <cell r="F1702">
            <v>0</v>
          </cell>
          <cell r="G1702">
            <v>0</v>
          </cell>
        </row>
        <row r="1703">
          <cell r="A1703" t="str">
            <v>615-10-060</v>
          </cell>
          <cell r="B1703">
            <v>200</v>
          </cell>
          <cell r="C1703" t="str">
            <v>OFFICE WATER</v>
          </cell>
          <cell r="D1703">
            <v>0</v>
          </cell>
          <cell r="E1703">
            <v>0</v>
          </cell>
          <cell r="F1703">
            <v>0</v>
          </cell>
          <cell r="G1703">
            <v>0</v>
          </cell>
        </row>
        <row r="1704">
          <cell r="A1704" t="str">
            <v>615-10-070</v>
          </cell>
          <cell r="B1704">
            <v>200</v>
          </cell>
          <cell r="C1704" t="str">
            <v>OFFICE ELECTRICITY</v>
          </cell>
          <cell r="D1704">
            <v>0</v>
          </cell>
          <cell r="E1704">
            <v>0</v>
          </cell>
          <cell r="F1704">
            <v>0</v>
          </cell>
          <cell r="G1704">
            <v>0</v>
          </cell>
        </row>
        <row r="1705">
          <cell r="A1705" t="str">
            <v>615-10-080</v>
          </cell>
          <cell r="B1705">
            <v>200</v>
          </cell>
          <cell r="C1705" t="str">
            <v>OFFICE SECURITY</v>
          </cell>
          <cell r="D1705">
            <v>0</v>
          </cell>
          <cell r="E1705">
            <v>0</v>
          </cell>
          <cell r="F1705">
            <v>0</v>
          </cell>
          <cell r="G1705">
            <v>0</v>
          </cell>
        </row>
        <row r="1706">
          <cell r="A1706" t="str">
            <v>625-10-010</v>
          </cell>
          <cell r="B1706">
            <v>200</v>
          </cell>
          <cell r="C1706" t="str">
            <v>BANK CHARGES</v>
          </cell>
          <cell r="D1706">
            <v>200000</v>
          </cell>
          <cell r="E1706">
            <v>145000</v>
          </cell>
          <cell r="F1706">
            <v>185000</v>
          </cell>
          <cell r="G1706">
            <v>1.0810810810810811</v>
          </cell>
        </row>
        <row r="1707">
          <cell r="A1707" t="str">
            <v>635-10-011</v>
          </cell>
          <cell r="B1707">
            <v>200</v>
          </cell>
          <cell r="C1707" t="str">
            <v>Staff Bonus</v>
          </cell>
          <cell r="D1707">
            <v>3000000</v>
          </cell>
          <cell r="E1707">
            <v>1750000</v>
          </cell>
          <cell r="F1707">
            <v>3000000</v>
          </cell>
          <cell r="G1707">
            <v>1</v>
          </cell>
        </row>
        <row r="1708">
          <cell r="A1708" t="str">
            <v>645-10-010</v>
          </cell>
          <cell r="B1708">
            <v>200</v>
          </cell>
          <cell r="C1708" t="str">
            <v>ALA Group charges- Individual life</v>
          </cell>
          <cell r="F1708">
            <v>0</v>
          </cell>
          <cell r="G1708">
            <v>0</v>
          </cell>
        </row>
        <row r="1709">
          <cell r="A1709" t="str">
            <v>645-10-010</v>
          </cell>
          <cell r="B1709">
            <v>200</v>
          </cell>
          <cell r="C1709" t="str">
            <v>ALA Group charges- corporate Business</v>
          </cell>
          <cell r="D1709">
            <v>2050000</v>
          </cell>
          <cell r="E1709">
            <v>1070105</v>
          </cell>
          <cell r="F1709">
            <v>1834465.7142857146</v>
          </cell>
          <cell r="G1709">
            <v>1.1174915857166663</v>
          </cell>
        </row>
        <row r="1710">
          <cell r="A1710" t="str">
            <v>645-10-020</v>
          </cell>
          <cell r="B1710">
            <v>200</v>
          </cell>
          <cell r="D1710">
            <v>3235508.9853750002</v>
          </cell>
          <cell r="E1710">
            <v>1509760</v>
          </cell>
          <cell r="F1710">
            <v>2588160</v>
          </cell>
          <cell r="G1710">
            <v>1.2501193841860627</v>
          </cell>
        </row>
        <row r="1711">
          <cell r="A1711" t="str">
            <v>645-10-030</v>
          </cell>
          <cell r="B1711">
            <v>200</v>
          </cell>
          <cell r="C1711" t="str">
            <v>Audit fee -individual life</v>
          </cell>
          <cell r="D1711">
            <v>0</v>
          </cell>
          <cell r="E1711">
            <v>0</v>
          </cell>
          <cell r="F1711">
            <v>0</v>
          </cell>
          <cell r="G1711">
            <v>0</v>
          </cell>
        </row>
        <row r="1712">
          <cell r="A1712" t="str">
            <v>645-10-031</v>
          </cell>
          <cell r="B1712">
            <v>200</v>
          </cell>
          <cell r="C1712" t="str">
            <v>Tax filing returns</v>
          </cell>
          <cell r="D1712">
            <v>0</v>
          </cell>
          <cell r="E1712">
            <v>0</v>
          </cell>
          <cell r="F1712">
            <v>0</v>
          </cell>
          <cell r="G1712">
            <v>0</v>
          </cell>
        </row>
        <row r="1713">
          <cell r="A1713" t="str">
            <v>645-10-040</v>
          </cell>
          <cell r="B1713">
            <v>200</v>
          </cell>
          <cell r="C1713" t="str">
            <v>Recharges</v>
          </cell>
          <cell r="D1713">
            <v>6445782.2219458334</v>
          </cell>
          <cell r="E1713">
            <v>2596524.17</v>
          </cell>
          <cell r="F1713">
            <v>4451184.2914285716</v>
          </cell>
          <cell r="G1713">
            <v>1.4481049985636771</v>
          </cell>
        </row>
        <row r="1714">
          <cell r="A1714" t="str">
            <v>645-10-050</v>
          </cell>
          <cell r="B1714">
            <v>200</v>
          </cell>
          <cell r="C1714" t="str">
            <v>40% Excutive recharge</v>
          </cell>
          <cell r="G1714">
            <v>0</v>
          </cell>
        </row>
        <row r="1715">
          <cell r="A1715" t="str">
            <v>645-10-050</v>
          </cell>
          <cell r="B1715">
            <v>200</v>
          </cell>
          <cell r="D1715">
            <v>7453954.7800000012</v>
          </cell>
          <cell r="E1715">
            <v>4182276.42</v>
          </cell>
          <cell r="F1715">
            <v>7169616.7199999988</v>
          </cell>
          <cell r="G1715">
            <v>1.0396587531948294</v>
          </cell>
        </row>
        <row r="1716">
          <cell r="A1716" t="str">
            <v>645-10-055</v>
          </cell>
          <cell r="B1716">
            <v>200</v>
          </cell>
          <cell r="C1716" t="str">
            <v>Legal fees</v>
          </cell>
          <cell r="D1716">
            <v>0</v>
          </cell>
          <cell r="E1716">
            <v>0</v>
          </cell>
          <cell r="F1716">
            <v>0</v>
          </cell>
          <cell r="G1716">
            <v>0</v>
          </cell>
        </row>
        <row r="1717">
          <cell r="A1717" t="str">
            <v>645-10-060</v>
          </cell>
          <cell r="B1717">
            <v>200</v>
          </cell>
          <cell r="C1717" t="str">
            <v>Intra company charges- individual life</v>
          </cell>
          <cell r="E1717">
            <v>0</v>
          </cell>
          <cell r="G1717">
            <v>0</v>
          </cell>
        </row>
        <row r="1718">
          <cell r="A1718" t="str">
            <v>645-10-065</v>
          </cell>
          <cell r="B1718">
            <v>200</v>
          </cell>
          <cell r="C1718" t="str">
            <v>Actuarial fees- Individual life</v>
          </cell>
          <cell r="G1718">
            <v>0</v>
          </cell>
        </row>
        <row r="1719">
          <cell r="A1719" t="str">
            <v>645-10-065</v>
          </cell>
          <cell r="B1719">
            <v>200</v>
          </cell>
          <cell r="C1719" t="str">
            <v>Actuarial fees- Corporate Business</v>
          </cell>
          <cell r="D1719">
            <v>200000</v>
          </cell>
          <cell r="E1719">
            <v>1070105</v>
          </cell>
          <cell r="F1719">
            <v>1834465.7142857146</v>
          </cell>
          <cell r="G1719">
            <v>0.10902356933821135</v>
          </cell>
        </row>
        <row r="1720">
          <cell r="A1720" t="str">
            <v>645-10-090</v>
          </cell>
          <cell r="B1720">
            <v>200</v>
          </cell>
          <cell r="D1720">
            <v>936073.48842500011</v>
          </cell>
          <cell r="F1720">
            <v>848239.28585714288</v>
          </cell>
          <cell r="G1720">
            <v>1.1035488499911921</v>
          </cell>
        </row>
        <row r="1721">
          <cell r="A1721" t="str">
            <v>645-10-100</v>
          </cell>
          <cell r="B1721">
            <v>200</v>
          </cell>
          <cell r="D1721">
            <v>1617736.1634</v>
          </cell>
          <cell r="E1721">
            <v>0</v>
          </cell>
          <cell r="F1721">
            <v>1419122.08</v>
          </cell>
          <cell r="G1721">
            <v>1.1399556008599343</v>
          </cell>
        </row>
        <row r="1722">
          <cell r="A1722" t="str">
            <v>655-10-007</v>
          </cell>
          <cell r="B1722">
            <v>200</v>
          </cell>
          <cell r="C1722" t="str">
            <v>NEWSPAPERS &amp; JOURNALS</v>
          </cell>
          <cell r="D1722">
            <v>9360</v>
          </cell>
          <cell r="E1722">
            <v>8745</v>
          </cell>
          <cell r="F1722">
            <v>14991.428571428571</v>
          </cell>
          <cell r="G1722">
            <v>0.62435677530017153</v>
          </cell>
        </row>
        <row r="1723">
          <cell r="A1723" t="str">
            <v>655-10-008</v>
          </cell>
          <cell r="B1723">
            <v>200</v>
          </cell>
          <cell r="C1723" t="str">
            <v>ENTERTAINMENT &amp; DONATIONS</v>
          </cell>
          <cell r="D1723">
            <v>70000</v>
          </cell>
          <cell r="E1723">
            <v>7277.38</v>
          </cell>
          <cell r="F1723">
            <v>25000</v>
          </cell>
          <cell r="G1723">
            <v>2.8</v>
          </cell>
        </row>
        <row r="1724">
          <cell r="A1724" t="str">
            <v>655-10-009</v>
          </cell>
          <cell r="B1724">
            <v>200</v>
          </cell>
          <cell r="C1724" t="str">
            <v>COURIER &amp; FREIGHT CHARGES</v>
          </cell>
          <cell r="D1724">
            <v>0</v>
          </cell>
          <cell r="E1724">
            <v>0</v>
          </cell>
          <cell r="F1724">
            <v>0</v>
          </cell>
          <cell r="G1724">
            <v>0</v>
          </cell>
        </row>
        <row r="1725">
          <cell r="A1725" t="str">
            <v>655-10-010</v>
          </cell>
          <cell r="B1725">
            <v>200</v>
          </cell>
          <cell r="C1725" t="str">
            <v>ADVERTISING &amp; PUBLICITY</v>
          </cell>
          <cell r="D1725">
            <v>85000</v>
          </cell>
          <cell r="E1725">
            <v>33367.199999999997</v>
          </cell>
          <cell r="F1725">
            <v>50000</v>
          </cell>
          <cell r="G1725">
            <v>1.7</v>
          </cell>
        </row>
        <row r="1726">
          <cell r="A1726" t="str">
            <v>655-10-012</v>
          </cell>
          <cell r="B1726">
            <v>200</v>
          </cell>
          <cell r="C1726" t="str">
            <v>TRADE LICENCES</v>
          </cell>
          <cell r="D1726">
            <v>0</v>
          </cell>
          <cell r="E1726">
            <v>0</v>
          </cell>
          <cell r="F1726">
            <v>0</v>
          </cell>
          <cell r="G1726">
            <v>0</v>
          </cell>
        </row>
        <row r="1727">
          <cell r="A1727" t="str">
            <v>655-10-013</v>
          </cell>
          <cell r="B1727">
            <v>200</v>
          </cell>
          <cell r="C1727" t="str">
            <v>INSURANCES</v>
          </cell>
          <cell r="D1727">
            <v>0</v>
          </cell>
          <cell r="E1727">
            <v>0</v>
          </cell>
          <cell r="F1727">
            <v>0</v>
          </cell>
          <cell r="G1727">
            <v>0</v>
          </cell>
        </row>
        <row r="1728">
          <cell r="A1728" t="str">
            <v>655-10-014</v>
          </cell>
          <cell r="B1728">
            <v>200</v>
          </cell>
          <cell r="C1728" t="str">
            <v>PHOTOCOPY</v>
          </cell>
          <cell r="D1728">
            <v>0</v>
          </cell>
          <cell r="E1728">
            <v>0</v>
          </cell>
          <cell r="F1728">
            <v>0</v>
          </cell>
          <cell r="G1728">
            <v>0</v>
          </cell>
        </row>
        <row r="1729">
          <cell r="A1729" t="str">
            <v>655-10-015</v>
          </cell>
          <cell r="B1729">
            <v>200</v>
          </cell>
          <cell r="C1729" t="str">
            <v>COMPUTER MAINTAINANCE</v>
          </cell>
          <cell r="D1729">
            <v>0</v>
          </cell>
          <cell r="E1729">
            <v>0</v>
          </cell>
          <cell r="F1729">
            <v>0</v>
          </cell>
          <cell r="G1729">
            <v>0</v>
          </cell>
        </row>
        <row r="1730">
          <cell r="A1730" t="str">
            <v>655-10-016</v>
          </cell>
          <cell r="B1730">
            <v>200</v>
          </cell>
          <cell r="C1730" t="str">
            <v>EQUIPMENT&amp; FURNITURE REPAIRS &amp; MAINTENANCE</v>
          </cell>
          <cell r="D1730">
            <v>0</v>
          </cell>
          <cell r="E1730">
            <v>356</v>
          </cell>
          <cell r="F1730">
            <v>610.28571428571422</v>
          </cell>
          <cell r="G1730">
            <v>0</v>
          </cell>
        </row>
        <row r="1731">
          <cell r="A1731" t="str">
            <v>655-10-017</v>
          </cell>
          <cell r="B1731">
            <v>200</v>
          </cell>
          <cell r="C1731" t="str">
            <v>SEMINARS &amp; SHORT TERM COURSES</v>
          </cell>
          <cell r="D1731">
            <v>45000</v>
          </cell>
          <cell r="E1731">
            <v>82500</v>
          </cell>
          <cell r="F1731">
            <v>141428.57142857142</v>
          </cell>
          <cell r="G1731">
            <v>0.31818181818181818</v>
          </cell>
        </row>
        <row r="1732">
          <cell r="A1732" t="str">
            <v>655-10-022</v>
          </cell>
          <cell r="B1732">
            <v>200</v>
          </cell>
          <cell r="C1732" t="str">
            <v>PRINTING &amp; STATIONERY</v>
          </cell>
          <cell r="D1732">
            <v>263490.5</v>
          </cell>
          <cell r="E1732">
            <v>86385.5</v>
          </cell>
          <cell r="F1732">
            <v>148089.42857142858</v>
          </cell>
          <cell r="G1732">
            <v>1.7792660998277101</v>
          </cell>
        </row>
        <row r="1733">
          <cell r="A1733" t="str">
            <v>655-10-025</v>
          </cell>
          <cell r="B1733">
            <v>200</v>
          </cell>
          <cell r="C1733" t="str">
            <v>STRATEGIC PLANNING</v>
          </cell>
          <cell r="D1733">
            <v>0</v>
          </cell>
          <cell r="E1733">
            <v>0</v>
          </cell>
          <cell r="F1733">
            <v>0</v>
          </cell>
          <cell r="G1733">
            <v>0</v>
          </cell>
        </row>
        <row r="1734">
          <cell r="A1734" t="str">
            <v>655-10-027</v>
          </cell>
          <cell r="B1734">
            <v>200</v>
          </cell>
          <cell r="C1734" t="str">
            <v>PROFESSIONAL SUBSCRIPTIONS</v>
          </cell>
          <cell r="D1734">
            <v>30500</v>
          </cell>
          <cell r="E1734">
            <v>32787.300000000003</v>
          </cell>
          <cell r="F1734">
            <v>56206.8</v>
          </cell>
          <cell r="G1734">
            <v>0.54263896895037611</v>
          </cell>
        </row>
        <row r="1735">
          <cell r="A1735" t="str">
            <v>655-10-028</v>
          </cell>
          <cell r="B1735">
            <v>200</v>
          </cell>
          <cell r="C1735" t="str">
            <v xml:space="preserve"> SUBSCRIPTIONS -COMPANY MEMBERSHIP</v>
          </cell>
          <cell r="D1735">
            <v>0</v>
          </cell>
          <cell r="E1735">
            <v>0</v>
          </cell>
          <cell r="F1735">
            <v>0</v>
          </cell>
          <cell r="G1735">
            <v>0</v>
          </cell>
        </row>
        <row r="1736">
          <cell r="A1736" t="str">
            <v>655-10-030</v>
          </cell>
          <cell r="B1736">
            <v>200</v>
          </cell>
          <cell r="C1736" t="str">
            <v>TRAVELLING &amp; ACCOMMODATION</v>
          </cell>
          <cell r="D1736">
            <v>185475</v>
          </cell>
          <cell r="E1736">
            <v>600</v>
          </cell>
          <cell r="F1736">
            <v>150000</v>
          </cell>
          <cell r="G1736">
            <v>1.2364999999999999</v>
          </cell>
        </row>
        <row r="1737">
          <cell r="A1737" t="str">
            <v>655-10-032</v>
          </cell>
          <cell r="B1737">
            <v>200</v>
          </cell>
          <cell r="C1737" t="str">
            <v xml:space="preserve">MOTOR CAR EXPENSES </v>
          </cell>
          <cell r="D1737">
            <v>0</v>
          </cell>
          <cell r="E1737">
            <v>7500</v>
          </cell>
          <cell r="F1737">
            <v>12500</v>
          </cell>
          <cell r="G1737">
            <v>0</v>
          </cell>
        </row>
        <row r="1738">
          <cell r="A1738" t="str">
            <v>655-10-040</v>
          </cell>
          <cell r="B1738">
            <v>200</v>
          </cell>
          <cell r="C1738" t="str">
            <v>POSTAGE</v>
          </cell>
          <cell r="D1738">
            <v>5155</v>
          </cell>
          <cell r="E1738">
            <v>14700</v>
          </cell>
          <cell r="F1738">
            <v>25200</v>
          </cell>
          <cell r="G1738">
            <v>0.20456349206349206</v>
          </cell>
        </row>
        <row r="1739">
          <cell r="A1739" t="str">
            <v>655-10-041</v>
          </cell>
          <cell r="B1739">
            <v>200</v>
          </cell>
          <cell r="C1739" t="str">
            <v>TELEPHONE &amp; FAX</v>
          </cell>
          <cell r="D1739">
            <v>148800</v>
          </cell>
          <cell r="E1739">
            <v>66697.02</v>
          </cell>
          <cell r="F1739">
            <v>114337.74857142857</v>
          </cell>
          <cell r="G1739">
            <v>1.3014074691792827</v>
          </cell>
        </row>
        <row r="1740">
          <cell r="A1740" t="str">
            <v>655-10-044</v>
          </cell>
          <cell r="B1740">
            <v>200</v>
          </cell>
          <cell r="C1740" t="str">
            <v>PROFFESSIONAL TRAINING</v>
          </cell>
          <cell r="D1740">
            <v>180400</v>
          </cell>
          <cell r="E1740">
            <v>12108.25</v>
          </cell>
          <cell r="F1740">
            <v>88757</v>
          </cell>
          <cell r="G1740">
            <v>2.0325157452369953</v>
          </cell>
        </row>
        <row r="1741">
          <cell r="A1741" t="str">
            <v>655-10-046</v>
          </cell>
          <cell r="B1741">
            <v>200</v>
          </cell>
          <cell r="C1741" t="str">
            <v xml:space="preserve">SUBSCRIPTION- STAFF CLUB MEMBERSHIP </v>
          </cell>
          <cell r="D1741">
            <v>40000</v>
          </cell>
          <cell r="E1741">
            <v>99250</v>
          </cell>
          <cell r="F1741">
            <v>170142.85714285716</v>
          </cell>
          <cell r="G1741">
            <v>0.23509655751469352</v>
          </cell>
        </row>
        <row r="1742">
          <cell r="A1742" t="str">
            <v>655-10-054</v>
          </cell>
          <cell r="B1742">
            <v>200</v>
          </cell>
          <cell r="C1742" t="str">
            <v>LEASED LINES-INTERNET SERVICES</v>
          </cell>
          <cell r="D1742">
            <v>0</v>
          </cell>
          <cell r="E1742">
            <v>0</v>
          </cell>
          <cell r="F1742">
            <v>0</v>
          </cell>
          <cell r="G1742">
            <v>0</v>
          </cell>
        </row>
        <row r="1743">
          <cell r="A1743" t="str">
            <v>655-10-057</v>
          </cell>
          <cell r="B1743">
            <v>200</v>
          </cell>
          <cell r="C1743" t="str">
            <v>SOFTWARE LICENCES</v>
          </cell>
          <cell r="D1743">
            <v>0</v>
          </cell>
          <cell r="E1743">
            <v>0</v>
          </cell>
          <cell r="F1743">
            <v>0</v>
          </cell>
          <cell r="G1743">
            <v>0</v>
          </cell>
        </row>
        <row r="1744">
          <cell r="A1744" t="str">
            <v>655-10-059</v>
          </cell>
          <cell r="B1744">
            <v>200</v>
          </cell>
          <cell r="E1744">
            <v>0</v>
          </cell>
          <cell r="G1744">
            <v>0</v>
          </cell>
        </row>
        <row r="1745">
          <cell r="A1745" t="str">
            <v>655-10-060</v>
          </cell>
          <cell r="B1745">
            <v>200</v>
          </cell>
          <cell r="E1745">
            <v>0</v>
          </cell>
          <cell r="G1745">
            <v>0</v>
          </cell>
        </row>
        <row r="1746">
          <cell r="A1746" t="str">
            <v>655-10-062</v>
          </cell>
          <cell r="B1746">
            <v>200</v>
          </cell>
          <cell r="C1746" t="str">
            <v>EDUCATION EXPENSES</v>
          </cell>
          <cell r="D1746">
            <v>0</v>
          </cell>
          <cell r="E1746">
            <v>0</v>
          </cell>
          <cell r="F1746">
            <v>0</v>
          </cell>
          <cell r="G1746">
            <v>0</v>
          </cell>
        </row>
        <row r="1747">
          <cell r="A1747" t="str">
            <v>665-10-070</v>
          </cell>
          <cell r="B1747">
            <v>200</v>
          </cell>
          <cell r="C1747" t="str">
            <v>STAFF BONUS</v>
          </cell>
          <cell r="D1747">
            <v>0</v>
          </cell>
          <cell r="E1747">
            <v>0</v>
          </cell>
          <cell r="F1747">
            <v>0</v>
          </cell>
          <cell r="G1747">
            <v>0</v>
          </cell>
        </row>
        <row r="1748">
          <cell r="B1748" t="str">
            <v/>
          </cell>
          <cell r="G1748">
            <v>0</v>
          </cell>
        </row>
        <row r="1749">
          <cell r="B1749" t="str">
            <v/>
          </cell>
          <cell r="D1749">
            <v>24240998.400000002</v>
          </cell>
          <cell r="E1749">
            <v>13360000</v>
          </cell>
          <cell r="F1749">
            <v>22412550</v>
          </cell>
          <cell r="G1749">
            <v>1.0815814532482917</v>
          </cell>
        </row>
        <row r="1750">
          <cell r="B1750" t="str">
            <v/>
          </cell>
          <cell r="G1750">
            <v>0</v>
          </cell>
        </row>
        <row r="1751">
          <cell r="B1751" t="str">
            <v/>
          </cell>
          <cell r="G1751">
            <v>0</v>
          </cell>
        </row>
        <row r="1752">
          <cell r="B1752" t="str">
            <v/>
          </cell>
          <cell r="G1752">
            <v>0</v>
          </cell>
        </row>
        <row r="1753">
          <cell r="A1753" t="str">
            <v>GL code</v>
          </cell>
          <cell r="B1753" t="str">
            <v>Uint Code</v>
          </cell>
          <cell r="E1753">
            <v>38168</v>
          </cell>
          <cell r="F1753">
            <v>38352</v>
          </cell>
          <cell r="H1753" t="str">
            <v>Explain Variance</v>
          </cell>
        </row>
        <row r="1754">
          <cell r="A1754" t="str">
            <v>GL code</v>
          </cell>
          <cell r="B1754" t="str">
            <v>Uint Code</v>
          </cell>
          <cell r="E1754">
            <v>38168</v>
          </cell>
          <cell r="F1754">
            <v>38352</v>
          </cell>
          <cell r="H1754" t="str">
            <v>Explain Variance</v>
          </cell>
        </row>
        <row r="1755">
          <cell r="A1755" t="str">
            <v>GL code</v>
          </cell>
          <cell r="B1755" t="str">
            <v>Uint Code</v>
          </cell>
          <cell r="E1755">
            <v>38168</v>
          </cell>
          <cell r="F1755">
            <v>38352</v>
          </cell>
          <cell r="H1755" t="str">
            <v>Explain Variance</v>
          </cell>
        </row>
        <row r="1756">
          <cell r="A1756" t="str">
            <v>GL code</v>
          </cell>
          <cell r="B1756" t="str">
            <v>Uint Code</v>
          </cell>
          <cell r="E1756">
            <v>38168</v>
          </cell>
          <cell r="F1756">
            <v>38352</v>
          </cell>
          <cell r="H1756" t="str">
            <v>Explain Variance</v>
          </cell>
        </row>
        <row r="1757">
          <cell r="A1757" t="str">
            <v>GL code</v>
          </cell>
          <cell r="B1757" t="str">
            <v>Uint Code</v>
          </cell>
          <cell r="E1757">
            <v>38168</v>
          </cell>
          <cell r="F1757">
            <v>38352</v>
          </cell>
          <cell r="H1757" t="str">
            <v>Explain Variance</v>
          </cell>
        </row>
        <row r="1758">
          <cell r="A1758" t="str">
            <v>GL code</v>
          </cell>
          <cell r="B1758" t="str">
            <v>Uint Code</v>
          </cell>
          <cell r="E1758">
            <v>38168</v>
          </cell>
          <cell r="F1758">
            <v>38352</v>
          </cell>
          <cell r="H1758" t="str">
            <v>Explain Variance</v>
          </cell>
        </row>
        <row r="1759">
          <cell r="A1759" t="str">
            <v>GL code</v>
          </cell>
          <cell r="B1759" t="str">
            <v>Uint Code</v>
          </cell>
          <cell r="E1759">
            <v>38168</v>
          </cell>
          <cell r="F1759">
            <v>38352</v>
          </cell>
          <cell r="H1759" t="str">
            <v>Explain Variance</v>
          </cell>
        </row>
        <row r="1760">
          <cell r="A1760" t="str">
            <v>GL code</v>
          </cell>
          <cell r="B1760" t="str">
            <v>Uint Code</v>
          </cell>
          <cell r="E1760">
            <v>38168</v>
          </cell>
          <cell r="F1760">
            <v>38352</v>
          </cell>
          <cell r="H1760" t="str">
            <v>Explain Variance</v>
          </cell>
        </row>
        <row r="1761">
          <cell r="A1761" t="str">
            <v>GL code</v>
          </cell>
          <cell r="B1761" t="str">
            <v>Uint Code</v>
          </cell>
          <cell r="E1761">
            <v>38168</v>
          </cell>
          <cell r="F1761">
            <v>38352</v>
          </cell>
          <cell r="H1761" t="str">
            <v>Explain Variance</v>
          </cell>
        </row>
        <row r="1762">
          <cell r="A1762" t="str">
            <v>GL code</v>
          </cell>
          <cell r="B1762" t="str">
            <v>Uint Code</v>
          </cell>
          <cell r="E1762">
            <v>38168</v>
          </cell>
          <cell r="F1762">
            <v>38352</v>
          </cell>
          <cell r="H1762" t="str">
            <v>Explain Variance</v>
          </cell>
        </row>
        <row r="1763">
          <cell r="A1763" t="str">
            <v>GL code</v>
          </cell>
          <cell r="B1763" t="str">
            <v>Uint Code</v>
          </cell>
          <cell r="E1763">
            <v>38168</v>
          </cell>
          <cell r="F1763">
            <v>38352</v>
          </cell>
          <cell r="H1763" t="str">
            <v>Explain Variance</v>
          </cell>
        </row>
        <row r="1764">
          <cell r="A1764" t="str">
            <v>GL code</v>
          </cell>
          <cell r="B1764" t="str">
            <v>Uint Code</v>
          </cell>
          <cell r="E1764">
            <v>38168</v>
          </cell>
          <cell r="F1764">
            <v>38352</v>
          </cell>
          <cell r="H1764" t="str">
            <v>Explain Variance</v>
          </cell>
        </row>
        <row r="1765">
          <cell r="A1765" t="str">
            <v>GL code</v>
          </cell>
          <cell r="B1765" t="str">
            <v>Uint Code</v>
          </cell>
          <cell r="E1765">
            <v>38168</v>
          </cell>
          <cell r="F1765">
            <v>38352</v>
          </cell>
          <cell r="H1765" t="str">
            <v>Explain Variance</v>
          </cell>
        </row>
        <row r="1766">
          <cell r="A1766" t="str">
            <v>GL code</v>
          </cell>
          <cell r="B1766" t="str">
            <v>Uint Code</v>
          </cell>
          <cell r="E1766">
            <v>38168</v>
          </cell>
          <cell r="F1766">
            <v>38352</v>
          </cell>
          <cell r="H1766" t="str">
            <v>Explain Variance</v>
          </cell>
        </row>
        <row r="1767">
          <cell r="A1767" t="str">
            <v>GL code</v>
          </cell>
          <cell r="B1767" t="str">
            <v>Uint Code</v>
          </cell>
          <cell r="E1767">
            <v>38168</v>
          </cell>
          <cell r="F1767">
            <v>38352</v>
          </cell>
          <cell r="H1767" t="str">
            <v>Explain Variance</v>
          </cell>
        </row>
        <row r="1768">
          <cell r="A1768" t="str">
            <v>GL code</v>
          </cell>
          <cell r="B1768" t="str">
            <v>Uint Code</v>
          </cell>
          <cell r="E1768">
            <v>38168</v>
          </cell>
          <cell r="F1768">
            <v>38352</v>
          </cell>
          <cell r="H1768" t="str">
            <v>Explain Variance</v>
          </cell>
        </row>
        <row r="1769">
          <cell r="A1769" t="str">
            <v>GL code</v>
          </cell>
          <cell r="B1769" t="str">
            <v>Uint Code</v>
          </cell>
          <cell r="E1769">
            <v>38168</v>
          </cell>
          <cell r="F1769">
            <v>38352</v>
          </cell>
          <cell r="H1769" t="str">
            <v>Explain Variance</v>
          </cell>
        </row>
        <row r="1770">
          <cell r="A1770" t="str">
            <v>GL code</v>
          </cell>
          <cell r="B1770" t="str">
            <v>Uint Code</v>
          </cell>
          <cell r="E1770">
            <v>38168</v>
          </cell>
          <cell r="F1770">
            <v>38352</v>
          </cell>
          <cell r="H1770" t="str">
            <v>Explain Variance</v>
          </cell>
        </row>
        <row r="1771">
          <cell r="A1771" t="str">
            <v>GL code</v>
          </cell>
          <cell r="B1771" t="str">
            <v>Uint Code</v>
          </cell>
          <cell r="E1771">
            <v>38168</v>
          </cell>
          <cell r="F1771">
            <v>38352</v>
          </cell>
          <cell r="H1771" t="str">
            <v>Explain Variance</v>
          </cell>
        </row>
        <row r="1772">
          <cell r="A1772" t="str">
            <v>GL code</v>
          </cell>
          <cell r="B1772" t="str">
            <v>Uint Code</v>
          </cell>
          <cell r="E1772">
            <v>38168</v>
          </cell>
          <cell r="F1772">
            <v>38352</v>
          </cell>
          <cell r="H1772" t="str">
            <v>Explain Variance</v>
          </cell>
        </row>
        <row r="1773">
          <cell r="A1773" t="str">
            <v>GL code</v>
          </cell>
          <cell r="B1773" t="str">
            <v>Uint Code</v>
          </cell>
          <cell r="E1773">
            <v>38168</v>
          </cell>
          <cell r="F1773">
            <v>38352</v>
          </cell>
          <cell r="H1773" t="str">
            <v>Explain Variance</v>
          </cell>
        </row>
        <row r="1774">
          <cell r="A1774" t="str">
            <v>GL code</v>
          </cell>
          <cell r="B1774" t="str">
            <v>Uint Code</v>
          </cell>
          <cell r="E1774">
            <v>38168</v>
          </cell>
          <cell r="F1774">
            <v>38352</v>
          </cell>
          <cell r="H1774" t="str">
            <v>Explain Variance</v>
          </cell>
        </row>
        <row r="1775">
          <cell r="A1775" t="str">
            <v>GL code</v>
          </cell>
          <cell r="B1775" t="str">
            <v>Uint Code</v>
          </cell>
          <cell r="E1775">
            <v>38168</v>
          </cell>
          <cell r="F1775">
            <v>38352</v>
          </cell>
          <cell r="H1775" t="str">
            <v>Explain Variance</v>
          </cell>
        </row>
        <row r="1776">
          <cell r="A1776" t="str">
            <v>GL code</v>
          </cell>
          <cell r="B1776" t="str">
            <v>Uint Code</v>
          </cell>
          <cell r="E1776">
            <v>38168</v>
          </cell>
          <cell r="F1776">
            <v>38352</v>
          </cell>
          <cell r="H1776" t="str">
            <v>Explain Variance</v>
          </cell>
        </row>
        <row r="1777">
          <cell r="A1777" t="str">
            <v>Additions</v>
          </cell>
          <cell r="D1777">
            <v>305520.83333333256</v>
          </cell>
          <cell r="F1777">
            <v>0</v>
          </cell>
          <cell r="G1777">
            <v>0</v>
          </cell>
          <cell r="H1777" t="str">
            <v>Additions</v>
          </cell>
        </row>
        <row r="1778">
          <cell r="A1778" t="str">
            <v>Additions</v>
          </cell>
          <cell r="D1778">
            <v>3800078.35</v>
          </cell>
          <cell r="G1778">
            <v>0</v>
          </cell>
        </row>
        <row r="1779">
          <cell r="A1779" t="str">
            <v>Additions</v>
          </cell>
          <cell r="D1779">
            <v>1000000</v>
          </cell>
          <cell r="F1779">
            <v>0</v>
          </cell>
          <cell r="G1779">
            <v>0</v>
          </cell>
        </row>
        <row r="1781">
          <cell r="B1781" t="str">
            <v/>
          </cell>
          <cell r="D1781">
            <v>21120</v>
          </cell>
          <cell r="E1781">
            <v>9000</v>
          </cell>
          <cell r="F1781">
            <v>17800</v>
          </cell>
          <cell r="G1781">
            <v>1.1865168539325843</v>
          </cell>
        </row>
        <row r="1782">
          <cell r="B1782" t="str">
            <v/>
          </cell>
          <cell r="G1782">
            <v>0</v>
          </cell>
        </row>
        <row r="1783">
          <cell r="B1783" t="str">
            <v/>
          </cell>
          <cell r="G1783">
            <v>0</v>
          </cell>
        </row>
        <row r="1784">
          <cell r="B1784" t="str">
            <v/>
          </cell>
          <cell r="D1784">
            <v>6073989</v>
          </cell>
          <cell r="E1784">
            <v>3420000</v>
          </cell>
          <cell r="F1784">
            <v>5888294.2857142854</v>
          </cell>
          <cell r="G1784">
            <v>1.0315362489161306</v>
          </cell>
        </row>
        <row r="1785">
          <cell r="B1785" t="str">
            <v/>
          </cell>
          <cell r="G1785">
            <v>0</v>
          </cell>
        </row>
        <row r="1786">
          <cell r="B1786" t="str">
            <v/>
          </cell>
          <cell r="C1786" t="str">
            <v>TOTAL EMPLOYMENT COSTS</v>
          </cell>
          <cell r="D1786">
            <v>30336107.400000002</v>
          </cell>
          <cell r="E1786">
            <v>16789000</v>
          </cell>
          <cell r="F1786">
            <v>28318644.285714284</v>
          </cell>
          <cell r="G1786">
            <v>1.0712415147395828</v>
          </cell>
        </row>
        <row r="1787">
          <cell r="B1787" t="str">
            <v/>
          </cell>
          <cell r="G1787">
            <v>0</v>
          </cell>
        </row>
        <row r="1788">
          <cell r="B1788" t="str">
            <v/>
          </cell>
          <cell r="C1788" t="str">
            <v>DEPRECIATION- FURNITURE &amp; FITTIGS</v>
          </cell>
          <cell r="G1788">
            <v>0</v>
          </cell>
        </row>
        <row r="1789">
          <cell r="B1789" t="str">
            <v/>
          </cell>
          <cell r="G1789">
            <v>0</v>
          </cell>
        </row>
        <row r="1790">
          <cell r="B1790" t="str">
            <v/>
          </cell>
          <cell r="D1790">
            <v>0</v>
          </cell>
          <cell r="E1790">
            <v>0</v>
          </cell>
          <cell r="F1790">
            <v>0</v>
          </cell>
          <cell r="G1790">
            <v>0</v>
          </cell>
        </row>
        <row r="1791">
          <cell r="B1791" t="str">
            <v/>
          </cell>
          <cell r="C1791" t="str">
            <v>DEPRECIATION- COMPUTER &amp; OTHER EQUIPMENT</v>
          </cell>
          <cell r="G1791">
            <v>0</v>
          </cell>
        </row>
        <row r="1792">
          <cell r="B1792" t="str">
            <v/>
          </cell>
          <cell r="G1792">
            <v>0</v>
          </cell>
        </row>
        <row r="1793">
          <cell r="B1793" t="str">
            <v/>
          </cell>
          <cell r="D1793">
            <v>0</v>
          </cell>
          <cell r="E1793">
            <v>0</v>
          </cell>
          <cell r="F1793">
            <v>0</v>
          </cell>
          <cell r="G1793">
            <v>0</v>
          </cell>
        </row>
        <row r="1794">
          <cell r="B1794" t="str">
            <v/>
          </cell>
          <cell r="C1794" t="str">
            <v>DEPRECIATION- MOTOR VEHICLES</v>
          </cell>
          <cell r="G1794">
            <v>0</v>
          </cell>
        </row>
        <row r="1795">
          <cell r="B1795" t="str">
            <v/>
          </cell>
          <cell r="G1795">
            <v>0</v>
          </cell>
        </row>
        <row r="1796">
          <cell r="B1796" t="str">
            <v/>
          </cell>
          <cell r="D1796">
            <v>0</v>
          </cell>
          <cell r="E1796">
            <v>0</v>
          </cell>
          <cell r="F1796">
            <v>0</v>
          </cell>
          <cell r="G1796">
            <v>0</v>
          </cell>
        </row>
        <row r="1797">
          <cell r="B1797" t="str">
            <v/>
          </cell>
          <cell r="G1797">
            <v>0</v>
          </cell>
        </row>
        <row r="1798">
          <cell r="B1798" t="str">
            <v/>
          </cell>
          <cell r="C1798" t="str">
            <v>AMORTIZATION OF LEASEHOLD LAND</v>
          </cell>
          <cell r="G1798">
            <v>0</v>
          </cell>
        </row>
        <row r="1799">
          <cell r="B1799" t="str">
            <v/>
          </cell>
          <cell r="C1799" t="str">
            <v>AMORTIZATION OF LEASEHOLD BUILDING</v>
          </cell>
          <cell r="G1799">
            <v>0</v>
          </cell>
        </row>
        <row r="1800">
          <cell r="B1800" t="str">
            <v/>
          </cell>
          <cell r="C1800" t="str">
            <v>TOTAL DEPRECIATION</v>
          </cell>
          <cell r="D1800">
            <v>0</v>
          </cell>
          <cell r="E1800">
            <v>0</v>
          </cell>
          <cell r="F1800">
            <v>0</v>
          </cell>
          <cell r="G1800">
            <v>0</v>
          </cell>
        </row>
        <row r="1801">
          <cell r="B1801" t="str">
            <v/>
          </cell>
          <cell r="G1801">
            <v>0</v>
          </cell>
        </row>
        <row r="1802">
          <cell r="B1802" t="str">
            <v/>
          </cell>
          <cell r="C1802" t="str">
            <v>OFFICE RENT</v>
          </cell>
          <cell r="G1802">
            <v>0</v>
          </cell>
        </row>
        <row r="1803">
          <cell r="B1803" t="str">
            <v/>
          </cell>
          <cell r="G1803">
            <v>0</v>
          </cell>
        </row>
        <row r="1804">
          <cell r="B1804" t="str">
            <v/>
          </cell>
          <cell r="D1804">
            <v>0</v>
          </cell>
          <cell r="E1804">
            <v>0</v>
          </cell>
          <cell r="F1804">
            <v>0</v>
          </cell>
          <cell r="G1804">
            <v>0</v>
          </cell>
        </row>
        <row r="1805">
          <cell r="B1805" t="str">
            <v/>
          </cell>
          <cell r="G1805">
            <v>0</v>
          </cell>
        </row>
        <row r="1806">
          <cell r="B1806" t="str">
            <v/>
          </cell>
          <cell r="G1806">
            <v>0</v>
          </cell>
        </row>
        <row r="1807">
          <cell r="B1807" t="str">
            <v/>
          </cell>
          <cell r="D1807">
            <v>0</v>
          </cell>
          <cell r="E1807">
            <v>0</v>
          </cell>
          <cell r="F1807">
            <v>0</v>
          </cell>
          <cell r="G1807">
            <v>0</v>
          </cell>
        </row>
        <row r="1808">
          <cell r="B1808" t="str">
            <v/>
          </cell>
          <cell r="G1808">
            <v>0</v>
          </cell>
        </row>
        <row r="1809">
          <cell r="B1809" t="str">
            <v/>
          </cell>
          <cell r="D1809">
            <v>0</v>
          </cell>
          <cell r="E1809">
            <v>0</v>
          </cell>
          <cell r="F1809">
            <v>0</v>
          </cell>
          <cell r="G1809">
            <v>0</v>
          </cell>
        </row>
        <row r="1810">
          <cell r="B1810" t="str">
            <v/>
          </cell>
          <cell r="G1810">
            <v>0</v>
          </cell>
        </row>
        <row r="1811">
          <cell r="B1811" t="str">
            <v/>
          </cell>
          <cell r="C1811" t="str">
            <v>TOTAL OFFICE COSTS</v>
          </cell>
          <cell r="D1811">
            <v>0</v>
          </cell>
          <cell r="E1811">
            <v>0</v>
          </cell>
          <cell r="F1811">
            <v>0</v>
          </cell>
          <cell r="G1811">
            <v>0</v>
          </cell>
        </row>
        <row r="1812">
          <cell r="B1812" t="str">
            <v/>
          </cell>
          <cell r="G1812">
            <v>0</v>
          </cell>
        </row>
        <row r="1813">
          <cell r="B1813" t="str">
            <v/>
          </cell>
          <cell r="G1813">
            <v>0</v>
          </cell>
        </row>
        <row r="1814">
          <cell r="B1814" t="str">
            <v/>
          </cell>
          <cell r="G1814">
            <v>0</v>
          </cell>
        </row>
        <row r="1815">
          <cell r="B1815" t="str">
            <v/>
          </cell>
          <cell r="C1815" t="str">
            <v>TOTAL FINANCING COSTS</v>
          </cell>
          <cell r="D1815">
            <v>0</v>
          </cell>
          <cell r="E1815">
            <v>0</v>
          </cell>
          <cell r="F1815">
            <v>0</v>
          </cell>
          <cell r="G1815">
            <v>0</v>
          </cell>
        </row>
        <row r="1816">
          <cell r="B1816" t="str">
            <v/>
          </cell>
          <cell r="G1816">
            <v>0</v>
          </cell>
        </row>
        <row r="1817">
          <cell r="B1817" t="str">
            <v/>
          </cell>
          <cell r="G1817">
            <v>0</v>
          </cell>
        </row>
        <row r="1818">
          <cell r="B1818" t="str">
            <v/>
          </cell>
          <cell r="G1818">
            <v>0</v>
          </cell>
        </row>
        <row r="1819">
          <cell r="B1819" t="str">
            <v/>
          </cell>
          <cell r="C1819" t="str">
            <v>ALA GROUP CHARGES</v>
          </cell>
          <cell r="G1819">
            <v>0</v>
          </cell>
        </row>
        <row r="1820">
          <cell r="B1820" t="str">
            <v/>
          </cell>
          <cell r="C1820" t="str">
            <v>ALA Group charges- corporate Business</v>
          </cell>
          <cell r="D1820">
            <v>0</v>
          </cell>
          <cell r="F1820">
            <v>0</v>
          </cell>
          <cell r="G1820">
            <v>0</v>
          </cell>
        </row>
        <row r="1821">
          <cell r="B1821" t="str">
            <v/>
          </cell>
          <cell r="G1821">
            <v>0</v>
          </cell>
        </row>
        <row r="1822">
          <cell r="B1822" t="str">
            <v/>
          </cell>
          <cell r="C1822" t="str">
            <v>Total ALA Group charges</v>
          </cell>
          <cell r="D1822">
            <v>0</v>
          </cell>
          <cell r="E1822">
            <v>0</v>
          </cell>
          <cell r="F1822">
            <v>0</v>
          </cell>
          <cell r="G1822">
            <v>0</v>
          </cell>
        </row>
        <row r="1823">
          <cell r="B1823" t="str">
            <v/>
          </cell>
          <cell r="G1823">
            <v>0</v>
          </cell>
        </row>
        <row r="1824">
          <cell r="B1824" t="str">
            <v/>
          </cell>
          <cell r="C1824" t="str">
            <v>ACTUARIAL FEES</v>
          </cell>
          <cell r="G1824">
            <v>0</v>
          </cell>
        </row>
        <row r="1825">
          <cell r="B1825" t="str">
            <v/>
          </cell>
          <cell r="C1825" t="str">
            <v>Actuarial fees- Corporate Business</v>
          </cell>
          <cell r="D1825">
            <v>0</v>
          </cell>
          <cell r="F1825">
            <v>0</v>
          </cell>
          <cell r="G1825">
            <v>0</v>
          </cell>
        </row>
        <row r="1826">
          <cell r="B1826" t="str">
            <v/>
          </cell>
          <cell r="G1826">
            <v>0</v>
          </cell>
        </row>
        <row r="1827">
          <cell r="B1827" t="str">
            <v/>
          </cell>
          <cell r="C1827" t="str">
            <v>Total Actuarial fees</v>
          </cell>
          <cell r="D1827">
            <v>0</v>
          </cell>
          <cell r="E1827">
            <v>0</v>
          </cell>
          <cell r="F1827">
            <v>0</v>
          </cell>
          <cell r="G1827">
            <v>0</v>
          </cell>
        </row>
        <row r="1828">
          <cell r="B1828" t="str">
            <v/>
          </cell>
          <cell r="G1828">
            <v>0</v>
          </cell>
        </row>
        <row r="1829">
          <cell r="B1829" t="str">
            <v/>
          </cell>
          <cell r="G1829">
            <v>0</v>
          </cell>
        </row>
        <row r="1830">
          <cell r="B1830" t="str">
            <v/>
          </cell>
          <cell r="C1830" t="str">
            <v>INTRA COMPANY CHARGES</v>
          </cell>
          <cell r="G1830">
            <v>0</v>
          </cell>
        </row>
        <row r="1831">
          <cell r="B1831" t="str">
            <v/>
          </cell>
          <cell r="G1831">
            <v>0</v>
          </cell>
        </row>
        <row r="1832">
          <cell r="B1832" t="str">
            <v/>
          </cell>
          <cell r="G1832">
            <v>0</v>
          </cell>
        </row>
        <row r="1833">
          <cell r="B1833" t="str">
            <v/>
          </cell>
          <cell r="C1833" t="str">
            <v>Total intra company charges</v>
          </cell>
          <cell r="D1833">
            <v>0</v>
          </cell>
          <cell r="E1833">
            <v>0</v>
          </cell>
          <cell r="F1833">
            <v>0</v>
          </cell>
          <cell r="G1833">
            <v>0</v>
          </cell>
        </row>
        <row r="1834">
          <cell r="B1834" t="str">
            <v/>
          </cell>
          <cell r="G1834">
            <v>0</v>
          </cell>
        </row>
        <row r="1835">
          <cell r="B1835" t="str">
            <v/>
          </cell>
          <cell r="C1835" t="str">
            <v>AUDIT FEE &amp; TAX FILLING FEES</v>
          </cell>
          <cell r="G1835">
            <v>0</v>
          </cell>
        </row>
        <row r="1836">
          <cell r="B1836" t="str">
            <v/>
          </cell>
          <cell r="G1836">
            <v>0</v>
          </cell>
        </row>
        <row r="1837">
          <cell r="B1837" t="str">
            <v/>
          </cell>
          <cell r="D1837">
            <v>0</v>
          </cell>
          <cell r="E1837">
            <v>0</v>
          </cell>
          <cell r="F1837">
            <v>0</v>
          </cell>
          <cell r="G1837">
            <v>0</v>
          </cell>
        </row>
        <row r="1838">
          <cell r="B1838" t="str">
            <v/>
          </cell>
          <cell r="G1838">
            <v>0</v>
          </cell>
        </row>
        <row r="1839">
          <cell r="B1839" t="str">
            <v/>
          </cell>
          <cell r="C1839" t="str">
            <v>TOTAL PROFESSIONAL &amp; GROUP CHARGES</v>
          </cell>
          <cell r="D1839">
            <v>0</v>
          </cell>
          <cell r="E1839">
            <v>0</v>
          </cell>
          <cell r="F1839">
            <v>0</v>
          </cell>
          <cell r="G1839">
            <v>0</v>
          </cell>
        </row>
        <row r="1840">
          <cell r="B1840" t="str">
            <v/>
          </cell>
          <cell r="G1840">
            <v>0</v>
          </cell>
        </row>
        <row r="1841">
          <cell r="B1841" t="str">
            <v/>
          </cell>
          <cell r="G1841">
            <v>0</v>
          </cell>
        </row>
        <row r="1842">
          <cell r="B1842" t="str">
            <v/>
          </cell>
          <cell r="C1842" t="str">
            <v>TOTAL ADMINSTRATION EXPENSES</v>
          </cell>
          <cell r="D1842">
            <v>6933666.5</v>
          </cell>
          <cell r="E1842">
            <v>4966000</v>
          </cell>
          <cell r="F1842">
            <v>7487794.2857142854</v>
          </cell>
          <cell r="G1842">
            <v>0.92599585878427682</v>
          </cell>
        </row>
        <row r="1843">
          <cell r="B1843" t="str">
            <v/>
          </cell>
          <cell r="G1843">
            <v>0</v>
          </cell>
        </row>
        <row r="1844">
          <cell r="B1844" t="str">
            <v/>
          </cell>
          <cell r="G1844">
            <v>0</v>
          </cell>
        </row>
        <row r="1845">
          <cell r="B1845" t="str">
            <v/>
          </cell>
          <cell r="C1845" t="str">
            <v>TOTAL UNIT EXPENSES BERORE RECHARGES</v>
          </cell>
          <cell r="D1845">
            <v>37269773.900000006</v>
          </cell>
          <cell r="E1845">
            <v>21755000</v>
          </cell>
          <cell r="F1845">
            <v>35806438.571428567</v>
          </cell>
          <cell r="G1845">
            <v>1.0408679384757102</v>
          </cell>
        </row>
        <row r="1846">
          <cell r="B1846" t="str">
            <v/>
          </cell>
          <cell r="G1846">
            <v>0</v>
          </cell>
        </row>
        <row r="1847">
          <cell r="B1847" t="str">
            <v/>
          </cell>
          <cell r="G1847">
            <v>0</v>
          </cell>
        </row>
        <row r="1848">
          <cell r="C1848" t="str">
            <v>TOTAL UNIT EXPENSESAFTER RECHARGES</v>
          </cell>
          <cell r="D1848">
            <v>27952330.425000004</v>
          </cell>
          <cell r="E1848">
            <v>16306000</v>
          </cell>
          <cell r="F1848">
            <v>26465295.714285709</v>
          </cell>
          <cell r="G1848">
            <v>1.0561881010802991</v>
          </cell>
        </row>
        <row r="1850">
          <cell r="D1850" t="str">
            <v>greater than 10%</v>
          </cell>
        </row>
        <row r="1864">
          <cell r="C1864" t="str">
            <v>DESCRIPTION</v>
          </cell>
          <cell r="D1864" t="str">
            <v>Kshs.</v>
          </cell>
        </row>
        <row r="1866">
          <cell r="E1866" t="str">
            <v>Actuals as at</v>
          </cell>
          <cell r="F1866" t="str">
            <v>Projected</v>
          </cell>
        </row>
        <row r="1868">
          <cell r="B1868" t="str">
            <v/>
          </cell>
          <cell r="G1868">
            <v>0</v>
          </cell>
        </row>
        <row r="1869">
          <cell r="B1869" t="str">
            <v/>
          </cell>
          <cell r="D1869">
            <v>14703200.4</v>
          </cell>
          <cell r="E1869">
            <v>7393000</v>
          </cell>
          <cell r="F1869">
            <v>13002375</v>
          </cell>
          <cell r="G1869">
            <v>1.1308088253107607</v>
          </cell>
        </row>
        <row r="1870">
          <cell r="B1870" t="str">
            <v/>
          </cell>
          <cell r="G1870">
            <v>0</v>
          </cell>
        </row>
        <row r="1871">
          <cell r="B1871" t="str">
            <v/>
          </cell>
          <cell r="G1871">
            <v>0</v>
          </cell>
        </row>
        <row r="1872">
          <cell r="B1872" t="str">
            <v/>
          </cell>
          <cell r="G1872">
            <v>0</v>
          </cell>
        </row>
        <row r="1873">
          <cell r="B1873" t="str">
            <v/>
          </cell>
          <cell r="D1873">
            <v>52800</v>
          </cell>
          <cell r="E1873">
            <v>23000</v>
          </cell>
          <cell r="F1873">
            <v>45000</v>
          </cell>
          <cell r="G1873">
            <v>1.1733333333333333</v>
          </cell>
        </row>
        <row r="1874">
          <cell r="B1874" t="str">
            <v/>
          </cell>
          <cell r="G1874">
            <v>0</v>
          </cell>
        </row>
        <row r="1875">
          <cell r="B1875" t="str">
            <v/>
          </cell>
          <cell r="G1875">
            <v>0</v>
          </cell>
        </row>
        <row r="1876">
          <cell r="B1876" t="str">
            <v/>
          </cell>
          <cell r="D1876">
            <v>1913127.06</v>
          </cell>
          <cell r="E1876">
            <v>990000</v>
          </cell>
          <cell r="F1876">
            <v>1817117.1339285714</v>
          </cell>
          <cell r="G1876">
            <v>1.0528363990844427</v>
          </cell>
        </row>
        <row r="1877">
          <cell r="B1877" t="str">
            <v/>
          </cell>
          <cell r="G1877">
            <v>0</v>
          </cell>
        </row>
        <row r="1878">
          <cell r="B1878" t="str">
            <v/>
          </cell>
          <cell r="C1878" t="str">
            <v>TOTAL EMPLOYMENT COSTS</v>
          </cell>
          <cell r="D1878">
            <v>16669127.460000001</v>
          </cell>
          <cell r="E1878">
            <v>8406000</v>
          </cell>
          <cell r="F1878">
            <v>14864492.133928571</v>
          </cell>
          <cell r="G1878">
            <v>1.1214057843222445</v>
          </cell>
        </row>
        <row r="1879">
          <cell r="B1879" t="str">
            <v/>
          </cell>
          <cell r="G1879">
            <v>0</v>
          </cell>
        </row>
        <row r="1880">
          <cell r="B1880" t="str">
            <v/>
          </cell>
          <cell r="C1880" t="str">
            <v>DEPRECIATION- FURNITURE &amp; FITTIGS</v>
          </cell>
          <cell r="G1880">
            <v>0</v>
          </cell>
        </row>
        <row r="1881">
          <cell r="B1881" t="str">
            <v/>
          </cell>
          <cell r="G1881">
            <v>0</v>
          </cell>
        </row>
        <row r="1882">
          <cell r="B1882" t="str">
            <v/>
          </cell>
          <cell r="D1882">
            <v>4265404.5533333328</v>
          </cell>
          <cell r="E1882">
            <v>2519000</v>
          </cell>
          <cell r="F1882">
            <v>4318285.7142857146</v>
          </cell>
          <cell r="G1882">
            <v>0.98775413104847587</v>
          </cell>
        </row>
        <row r="1883">
          <cell r="B1883" t="str">
            <v/>
          </cell>
          <cell r="C1883" t="str">
            <v>DEPRECIATION- COMPUTER &amp; OTHER EQUIPMENT</v>
          </cell>
          <cell r="G1883">
            <v>0</v>
          </cell>
        </row>
        <row r="1884">
          <cell r="B1884" t="str">
            <v/>
          </cell>
          <cell r="G1884">
            <v>0</v>
          </cell>
        </row>
        <row r="1885">
          <cell r="B1885" t="str">
            <v/>
          </cell>
          <cell r="D1885">
            <v>8591430.6500000004</v>
          </cell>
          <cell r="E1885">
            <v>2894000</v>
          </cell>
          <cell r="F1885">
            <v>4961142.8571428573</v>
          </cell>
          <cell r="G1885">
            <v>1.7317442567956691</v>
          </cell>
        </row>
        <row r="1886">
          <cell r="B1886" t="str">
            <v/>
          </cell>
          <cell r="C1886" t="str">
            <v>DEPRECIATION- MOTOR VEHICLES</v>
          </cell>
          <cell r="G1886">
            <v>0</v>
          </cell>
        </row>
        <row r="1887">
          <cell r="B1887" t="str">
            <v/>
          </cell>
          <cell r="G1887">
            <v>0</v>
          </cell>
        </row>
        <row r="1888">
          <cell r="B1888" t="str">
            <v/>
          </cell>
          <cell r="D1888">
            <v>3855000</v>
          </cell>
          <cell r="E1888">
            <v>265000</v>
          </cell>
          <cell r="F1888">
            <v>4020951.7142857146</v>
          </cell>
          <cell r="G1888">
            <v>0.95872824990757333</v>
          </cell>
        </row>
        <row r="1889">
          <cell r="B1889" t="str">
            <v/>
          </cell>
          <cell r="G1889">
            <v>0</v>
          </cell>
        </row>
        <row r="1890">
          <cell r="B1890" t="str">
            <v/>
          </cell>
          <cell r="C1890" t="str">
            <v>AMORTIZATION OF LEASEHOLD LAND</v>
          </cell>
          <cell r="G1890">
            <v>0</v>
          </cell>
        </row>
        <row r="1891">
          <cell r="B1891" t="str">
            <v/>
          </cell>
          <cell r="C1891" t="str">
            <v>AMORTIZATION OF LEASEHOLD BUILDING</v>
          </cell>
          <cell r="G1891">
            <v>0</v>
          </cell>
        </row>
        <row r="1892">
          <cell r="B1892" t="str">
            <v/>
          </cell>
          <cell r="C1892" t="str">
            <v>TOTAL DEPRECIATION</v>
          </cell>
          <cell r="D1892">
            <v>16711835.203333333</v>
          </cell>
          <cell r="E1892">
            <v>5678000</v>
          </cell>
          <cell r="F1892">
            <v>13300380.285714285</v>
          </cell>
          <cell r="G1892">
            <v>1.2564930358632853</v>
          </cell>
        </row>
        <row r="1893">
          <cell r="B1893" t="str">
            <v/>
          </cell>
          <cell r="G1893">
            <v>0</v>
          </cell>
        </row>
        <row r="1894">
          <cell r="B1894" t="str">
            <v/>
          </cell>
          <cell r="C1894" t="str">
            <v>OFFICE RENT</v>
          </cell>
          <cell r="G1894">
            <v>0</v>
          </cell>
        </row>
        <row r="1895">
          <cell r="B1895" t="str">
            <v/>
          </cell>
          <cell r="G1895">
            <v>0</v>
          </cell>
        </row>
        <row r="1896">
          <cell r="B1896" t="str">
            <v/>
          </cell>
          <cell r="D1896">
            <v>4679808</v>
          </cell>
          <cell r="E1896">
            <v>2803500</v>
          </cell>
          <cell r="F1896">
            <v>4806000</v>
          </cell>
          <cell r="G1896">
            <v>0.9737428214731586</v>
          </cell>
        </row>
        <row r="1897">
          <cell r="B1897" t="str">
            <v/>
          </cell>
          <cell r="G1897">
            <v>0</v>
          </cell>
        </row>
        <row r="1898">
          <cell r="B1898" t="str">
            <v/>
          </cell>
          <cell r="G1898">
            <v>0</v>
          </cell>
        </row>
        <row r="1899">
          <cell r="B1899" t="str">
            <v/>
          </cell>
          <cell r="D1899">
            <v>0</v>
          </cell>
          <cell r="E1899">
            <v>0</v>
          </cell>
          <cell r="F1899">
            <v>0</v>
          </cell>
          <cell r="G1899">
            <v>0</v>
          </cell>
        </row>
        <row r="1900">
          <cell r="B1900" t="str">
            <v/>
          </cell>
          <cell r="G1900">
            <v>0</v>
          </cell>
        </row>
        <row r="1901">
          <cell r="B1901" t="str">
            <v/>
          </cell>
          <cell r="D1901">
            <v>4679808</v>
          </cell>
          <cell r="E1901">
            <v>2803500</v>
          </cell>
          <cell r="F1901">
            <v>4806000</v>
          </cell>
          <cell r="G1901">
            <v>0.9737428214731586</v>
          </cell>
        </row>
        <row r="1902">
          <cell r="B1902" t="str">
            <v/>
          </cell>
          <cell r="G1902">
            <v>0</v>
          </cell>
        </row>
        <row r="1903">
          <cell r="B1903" t="str">
            <v/>
          </cell>
          <cell r="C1903" t="str">
            <v>TOTAL OFFICE COSTS</v>
          </cell>
          <cell r="D1903">
            <v>21391643.203333333</v>
          </cell>
          <cell r="E1903">
            <v>8481500</v>
          </cell>
          <cell r="F1903">
            <v>18106380.285714284</v>
          </cell>
          <cell r="G1903">
            <v>1.1814422797808506</v>
          </cell>
        </row>
        <row r="1904">
          <cell r="B1904" t="str">
            <v/>
          </cell>
          <cell r="G1904">
            <v>0</v>
          </cell>
        </row>
        <row r="1905">
          <cell r="B1905" t="str">
            <v/>
          </cell>
          <cell r="G1905">
            <v>0</v>
          </cell>
        </row>
        <row r="1906">
          <cell r="B1906" t="str">
            <v/>
          </cell>
          <cell r="G1906">
            <v>0</v>
          </cell>
        </row>
        <row r="1907">
          <cell r="B1907" t="str">
            <v/>
          </cell>
          <cell r="C1907" t="str">
            <v>TOTAL FINANCING COSTS</v>
          </cell>
          <cell r="D1907">
            <v>2000000</v>
          </cell>
          <cell r="E1907">
            <v>1062000</v>
          </cell>
          <cell r="F1907">
            <v>1820571.4285714286</v>
          </cell>
          <cell r="G1907">
            <v>1.0985561833019459</v>
          </cell>
        </row>
        <row r="1908">
          <cell r="B1908" t="str">
            <v/>
          </cell>
          <cell r="G1908">
            <v>0</v>
          </cell>
        </row>
        <row r="1909">
          <cell r="B1909" t="str">
            <v/>
          </cell>
          <cell r="G1909">
            <v>0</v>
          </cell>
        </row>
        <row r="1910">
          <cell r="B1910" t="str">
            <v/>
          </cell>
          <cell r="G1910">
            <v>0</v>
          </cell>
        </row>
        <row r="1911">
          <cell r="B1911" t="str">
            <v/>
          </cell>
          <cell r="C1911" t="str">
            <v>ALA GROUP CHARGES</v>
          </cell>
          <cell r="G1911">
            <v>0</v>
          </cell>
        </row>
        <row r="1912">
          <cell r="B1912" t="str">
            <v/>
          </cell>
          <cell r="C1912" t="str">
            <v>ALA Group charges- corporate Business</v>
          </cell>
          <cell r="D1912">
            <v>0</v>
          </cell>
          <cell r="F1912">
            <v>0</v>
          </cell>
          <cell r="G1912">
            <v>0</v>
          </cell>
        </row>
        <row r="1913">
          <cell r="B1913" t="str">
            <v/>
          </cell>
          <cell r="G1913">
            <v>0</v>
          </cell>
        </row>
        <row r="1914">
          <cell r="B1914" t="str">
            <v/>
          </cell>
          <cell r="C1914" t="str">
            <v>Total ALA Group charges</v>
          </cell>
          <cell r="D1914">
            <v>4500000</v>
          </cell>
          <cell r="E1914">
            <v>2414000</v>
          </cell>
          <cell r="F1914">
            <v>4138285.7142857141</v>
          </cell>
          <cell r="G1914">
            <v>1.0874067937033969</v>
          </cell>
        </row>
        <row r="1915">
          <cell r="B1915" t="str">
            <v/>
          </cell>
          <cell r="G1915">
            <v>0</v>
          </cell>
        </row>
        <row r="1916">
          <cell r="B1916" t="str">
            <v/>
          </cell>
          <cell r="C1916" t="str">
            <v>ACTUARIAL FEES</v>
          </cell>
          <cell r="G1916">
            <v>0</v>
          </cell>
        </row>
        <row r="1917">
          <cell r="B1917" t="str">
            <v/>
          </cell>
          <cell r="C1917" t="str">
            <v>Actuarial fees- Corporate Business</v>
          </cell>
          <cell r="D1917">
            <v>0</v>
          </cell>
          <cell r="F1917">
            <v>0</v>
          </cell>
          <cell r="G1917">
            <v>0</v>
          </cell>
        </row>
        <row r="1918">
          <cell r="B1918" t="str">
            <v/>
          </cell>
          <cell r="G1918">
            <v>0</v>
          </cell>
        </row>
        <row r="1919">
          <cell r="B1919" t="str">
            <v/>
          </cell>
          <cell r="C1919" t="str">
            <v>Total Actuarial fees</v>
          </cell>
          <cell r="D1919">
            <v>3800000</v>
          </cell>
          <cell r="E1919">
            <v>4060000</v>
          </cell>
          <cell r="F1919">
            <v>9450894</v>
          </cell>
          <cell r="G1919">
            <v>0.40207836422670701</v>
          </cell>
        </row>
        <row r="1920">
          <cell r="B1920" t="str">
            <v/>
          </cell>
          <cell r="G1920">
            <v>0</v>
          </cell>
        </row>
        <row r="1921">
          <cell r="B1921" t="str">
            <v/>
          </cell>
          <cell r="G1921">
            <v>0</v>
          </cell>
        </row>
        <row r="1922">
          <cell r="B1922" t="str">
            <v/>
          </cell>
          <cell r="C1922" t="str">
            <v>INTRA COMPANY CHARGES</v>
          </cell>
          <cell r="G1922">
            <v>0</v>
          </cell>
        </row>
        <row r="1923">
          <cell r="B1923" t="str">
            <v/>
          </cell>
          <cell r="C1923" t="str">
            <v>Intra company charges- individual life</v>
          </cell>
          <cell r="F1923">
            <v>0</v>
          </cell>
          <cell r="G1923">
            <v>0</v>
          </cell>
        </row>
        <row r="1924">
          <cell r="B1924" t="str">
            <v/>
          </cell>
          <cell r="G1924">
            <v>0</v>
          </cell>
        </row>
        <row r="1925">
          <cell r="B1925" t="str">
            <v/>
          </cell>
          <cell r="G1925">
            <v>0</v>
          </cell>
        </row>
        <row r="1926">
          <cell r="B1926" t="str">
            <v/>
          </cell>
          <cell r="C1926" t="str">
            <v>Total intra company charges</v>
          </cell>
          <cell r="D1926">
            <v>0</v>
          </cell>
          <cell r="E1926">
            <v>0</v>
          </cell>
          <cell r="F1926">
            <v>0</v>
          </cell>
          <cell r="G1926">
            <v>0</v>
          </cell>
        </row>
        <row r="1927">
          <cell r="B1927" t="str">
            <v/>
          </cell>
          <cell r="G1927">
            <v>0</v>
          </cell>
        </row>
        <row r="1928">
          <cell r="B1928" t="str">
            <v/>
          </cell>
          <cell r="C1928" t="str">
            <v>AUDIT FEE &amp; TAX FILLING FEES</v>
          </cell>
          <cell r="G1928">
            <v>0</v>
          </cell>
        </row>
        <row r="1929">
          <cell r="B1929" t="str">
            <v/>
          </cell>
          <cell r="G1929">
            <v>0</v>
          </cell>
        </row>
        <row r="1930">
          <cell r="B1930" t="str">
            <v/>
          </cell>
          <cell r="D1930">
            <v>2217000</v>
          </cell>
          <cell r="E1930">
            <v>1048833.3333333333</v>
          </cell>
          <cell r="F1930">
            <v>2206000</v>
          </cell>
          <cell r="G1930">
            <v>1.0049864007252947</v>
          </cell>
        </row>
        <row r="1931">
          <cell r="B1931" t="str">
            <v/>
          </cell>
          <cell r="G1931">
            <v>0</v>
          </cell>
        </row>
        <row r="1932">
          <cell r="B1932" t="str">
            <v/>
          </cell>
          <cell r="C1932" t="str">
            <v>TOTAL PROFESSIONAL &amp; GROUP CHARGES</v>
          </cell>
          <cell r="D1932">
            <v>10517000</v>
          </cell>
          <cell r="E1932">
            <v>7522833.333333333</v>
          </cell>
          <cell r="F1932">
            <v>15795179.714285715</v>
          </cell>
          <cell r="G1932">
            <v>0.66583604556826004</v>
          </cell>
        </row>
        <row r="1933">
          <cell r="B1933" t="str">
            <v/>
          </cell>
          <cell r="G1933">
            <v>0</v>
          </cell>
        </row>
        <row r="1934">
          <cell r="B1934" t="str">
            <v/>
          </cell>
          <cell r="G1934">
            <v>0</v>
          </cell>
        </row>
        <row r="1935">
          <cell r="B1935" t="str">
            <v/>
          </cell>
          <cell r="G1935">
            <v>0</v>
          </cell>
        </row>
        <row r="1936">
          <cell r="B1936" t="str">
            <v/>
          </cell>
          <cell r="C1936" t="str">
            <v>TOTAL ADMINSTRATION EXPENSES</v>
          </cell>
          <cell r="D1936">
            <v>4173524.6</v>
          </cell>
          <cell r="E1936">
            <v>2095500</v>
          </cell>
          <cell r="F1936">
            <v>3445857.1428571427</v>
          </cell>
          <cell r="G1936">
            <v>1.2111716844243605</v>
          </cell>
        </row>
        <row r="1937">
          <cell r="B1937" t="str">
            <v/>
          </cell>
          <cell r="G1937">
            <v>0</v>
          </cell>
        </row>
        <row r="1938">
          <cell r="B1938" t="str">
            <v/>
          </cell>
          <cell r="G1938">
            <v>0</v>
          </cell>
        </row>
        <row r="1939">
          <cell r="B1939" t="str">
            <v/>
          </cell>
          <cell r="C1939" t="str">
            <v>TOTAL UNIT EXPENSES BERORE RECHARGES</v>
          </cell>
          <cell r="D1939">
            <v>54751295.263333336</v>
          </cell>
          <cell r="E1939">
            <v>27567833.333333332</v>
          </cell>
          <cell r="F1939">
            <v>54032480.705357142</v>
          </cell>
          <cell r="G1939">
            <v>1.0133033787935064</v>
          </cell>
        </row>
        <row r="1940">
          <cell r="B1940" t="str">
            <v/>
          </cell>
          <cell r="G1940">
            <v>0</v>
          </cell>
        </row>
        <row r="1941">
          <cell r="G1941">
            <v>0</v>
          </cell>
        </row>
        <row r="1942">
          <cell r="C1942" t="str">
            <v>TOTAL UNIT EXPENSESAFTER RECHARGES</v>
          </cell>
          <cell r="D1942">
            <v>53011301.759512499</v>
          </cell>
          <cell r="E1942">
            <v>27124833.333333332</v>
          </cell>
          <cell r="F1942">
            <v>55823299.273928568</v>
          </cell>
          <cell r="G1942">
            <v>0.94962681262142146</v>
          </cell>
        </row>
        <row r="1944">
          <cell r="D1944" t="str">
            <v>greater than 10%</v>
          </cell>
        </row>
        <row r="1945">
          <cell r="D1945">
            <v>-53011301.759512499</v>
          </cell>
        </row>
        <row r="1957">
          <cell r="B1957" t="str">
            <v/>
          </cell>
          <cell r="G1957">
            <v>0</v>
          </cell>
        </row>
        <row r="1958">
          <cell r="B1958" t="str">
            <v/>
          </cell>
          <cell r="D1958">
            <v>8899423.6800000016</v>
          </cell>
          <cell r="E1958">
            <v>4368792.2241666671</v>
          </cell>
          <cell r="F1958">
            <v>7495712.2241666671</v>
          </cell>
          <cell r="G1958">
            <v>1.187268589542122</v>
          </cell>
          <cell r="H1958" t="str">
            <v>THREE NEW STAFF FOR ENABLED BRANCHES(NAKURU,KISUMU AND NYERI)</v>
          </cell>
        </row>
        <row r="1959">
          <cell r="B1959" t="str">
            <v/>
          </cell>
          <cell r="G1959">
            <v>0</v>
          </cell>
        </row>
        <row r="1960">
          <cell r="B1960" t="str">
            <v/>
          </cell>
          <cell r="G1960">
            <v>0</v>
          </cell>
        </row>
        <row r="1961">
          <cell r="B1961" t="str">
            <v/>
          </cell>
          <cell r="G1961">
            <v>0</v>
          </cell>
        </row>
        <row r="1962">
          <cell r="B1962" t="str">
            <v/>
          </cell>
          <cell r="D1962">
            <v>79200</v>
          </cell>
          <cell r="E1962">
            <v>34960</v>
          </cell>
          <cell r="F1962">
            <v>67960</v>
          </cell>
          <cell r="G1962">
            <v>1.1653914067098292</v>
          </cell>
          <cell r="H1962" t="str">
            <v>THREE NEW STAFF FOR ENABLED BRANCHES(NAKURU,KISUMU AND NYERI)</v>
          </cell>
        </row>
        <row r="1963">
          <cell r="B1963" t="str">
            <v/>
          </cell>
          <cell r="G1963">
            <v>0</v>
          </cell>
        </row>
        <row r="1964">
          <cell r="B1964" t="str">
            <v/>
          </cell>
          <cell r="G1964">
            <v>0</v>
          </cell>
        </row>
        <row r="1965">
          <cell r="B1965" t="str">
            <v/>
          </cell>
          <cell r="D1965">
            <v>1347666.9820000003</v>
          </cell>
          <cell r="E1965">
            <v>507974.02802083339</v>
          </cell>
          <cell r="F1965">
            <v>956562.99944940477</v>
          </cell>
          <cell r="G1965">
            <v>1.4088637996407074</v>
          </cell>
          <cell r="H1965" t="str">
            <v>THREE NEW STAFF FOR ENABLED BRANCHES(NAKURU,KISUMU AND NYERI)</v>
          </cell>
        </row>
        <row r="1966">
          <cell r="B1966" t="str">
            <v/>
          </cell>
          <cell r="G1966">
            <v>0</v>
          </cell>
        </row>
        <row r="1967">
          <cell r="B1967" t="str">
            <v/>
          </cell>
          <cell r="C1967" t="str">
            <v>TOTAL EMPLOYMENT COSTS</v>
          </cell>
          <cell r="D1967">
            <v>10326290.662000002</v>
          </cell>
          <cell r="E1967">
            <v>4911726.2521875007</v>
          </cell>
          <cell r="F1967">
            <v>8520235.223616071</v>
          </cell>
          <cell r="G1967">
            <v>1.2119724856161218</v>
          </cell>
          <cell r="H1967" t="str">
            <v>THREE NEW STAFF FOR ENABLED BRANCHES(NAKURU,KISUMU AND NYERI)</v>
          </cell>
        </row>
        <row r="1968">
          <cell r="B1968" t="str">
            <v/>
          </cell>
          <cell r="G1968">
            <v>0</v>
          </cell>
        </row>
        <row r="1969">
          <cell r="B1969" t="str">
            <v/>
          </cell>
          <cell r="C1969" t="str">
            <v>DEPRECIATION- FURNITURE &amp; FITTIGS</v>
          </cell>
          <cell r="G1969">
            <v>0</v>
          </cell>
        </row>
        <row r="1970">
          <cell r="B1970" t="str">
            <v/>
          </cell>
          <cell r="G1970">
            <v>0</v>
          </cell>
        </row>
        <row r="1971">
          <cell r="B1971" t="str">
            <v/>
          </cell>
          <cell r="D1971">
            <v>0</v>
          </cell>
          <cell r="E1971">
            <v>0</v>
          </cell>
          <cell r="F1971">
            <v>0</v>
          </cell>
          <cell r="G1971">
            <v>0</v>
          </cell>
        </row>
        <row r="1972">
          <cell r="B1972" t="str">
            <v/>
          </cell>
          <cell r="C1972" t="str">
            <v>DEPRECIATION- COMPUTER &amp; OTHER EQUIPMENT</v>
          </cell>
          <cell r="G1972">
            <v>0</v>
          </cell>
        </row>
        <row r="1973">
          <cell r="B1973" t="str">
            <v/>
          </cell>
          <cell r="G1973">
            <v>0</v>
          </cell>
        </row>
        <row r="1974">
          <cell r="B1974" t="str">
            <v/>
          </cell>
          <cell r="D1974">
            <v>0</v>
          </cell>
          <cell r="E1974">
            <v>0</v>
          </cell>
          <cell r="F1974">
            <v>0</v>
          </cell>
          <cell r="G1974">
            <v>0</v>
          </cell>
        </row>
        <row r="1975">
          <cell r="B1975" t="str">
            <v/>
          </cell>
          <cell r="C1975" t="str">
            <v>DEPRECIATION- MOTOR VEHICLES</v>
          </cell>
          <cell r="G1975">
            <v>0</v>
          </cell>
        </row>
        <row r="1976">
          <cell r="B1976" t="str">
            <v/>
          </cell>
          <cell r="G1976">
            <v>0</v>
          </cell>
        </row>
        <row r="1977">
          <cell r="B1977" t="str">
            <v/>
          </cell>
          <cell r="D1977">
            <v>0</v>
          </cell>
          <cell r="E1977">
            <v>0</v>
          </cell>
          <cell r="F1977">
            <v>0</v>
          </cell>
          <cell r="G1977">
            <v>0</v>
          </cell>
        </row>
        <row r="1978">
          <cell r="B1978" t="str">
            <v/>
          </cell>
          <cell r="G1978">
            <v>0</v>
          </cell>
        </row>
        <row r="1979">
          <cell r="B1979" t="str">
            <v/>
          </cell>
          <cell r="C1979" t="str">
            <v>AMORTIZATION OF LEASEHOLD LAND</v>
          </cell>
          <cell r="G1979">
            <v>0</v>
          </cell>
        </row>
        <row r="1980">
          <cell r="B1980" t="str">
            <v/>
          </cell>
          <cell r="C1980" t="str">
            <v>AMORTIZATION OF LEASEHOLD BUILDING</v>
          </cell>
          <cell r="G1980">
            <v>0</v>
          </cell>
        </row>
        <row r="1981">
          <cell r="B1981" t="str">
            <v/>
          </cell>
          <cell r="C1981" t="str">
            <v>TOTAL DEPRECIATION</v>
          </cell>
          <cell r="D1981">
            <v>0</v>
          </cell>
          <cell r="E1981">
            <v>0</v>
          </cell>
          <cell r="F1981">
            <v>0</v>
          </cell>
          <cell r="G1981">
            <v>0</v>
          </cell>
        </row>
        <row r="1982">
          <cell r="B1982" t="str">
            <v/>
          </cell>
          <cell r="G1982">
            <v>0</v>
          </cell>
        </row>
        <row r="1983">
          <cell r="B1983" t="str">
            <v/>
          </cell>
          <cell r="C1983" t="str">
            <v>OFFICE RENT</v>
          </cell>
          <cell r="G1983">
            <v>0</v>
          </cell>
        </row>
        <row r="1984">
          <cell r="B1984" t="str">
            <v/>
          </cell>
          <cell r="G1984">
            <v>0</v>
          </cell>
        </row>
        <row r="1985">
          <cell r="B1985" t="str">
            <v/>
          </cell>
          <cell r="D1985">
            <v>0</v>
          </cell>
          <cell r="E1985">
            <v>0</v>
          </cell>
          <cell r="F1985">
            <v>0</v>
          </cell>
          <cell r="G1985">
            <v>0</v>
          </cell>
          <cell r="H1985" t="str">
            <v>CAR PARK CHARGES NOT INCLUDED IN THIS YEAR ACTUAL EXPENSES</v>
          </cell>
        </row>
        <row r="1986">
          <cell r="B1986" t="str">
            <v/>
          </cell>
          <cell r="G1986">
            <v>0</v>
          </cell>
        </row>
        <row r="1987">
          <cell r="B1987" t="str">
            <v/>
          </cell>
          <cell r="G1987">
            <v>0</v>
          </cell>
        </row>
        <row r="1988">
          <cell r="B1988" t="str">
            <v/>
          </cell>
          <cell r="D1988">
            <v>0</v>
          </cell>
          <cell r="E1988">
            <v>0</v>
          </cell>
          <cell r="F1988">
            <v>0</v>
          </cell>
          <cell r="G1988">
            <v>0</v>
          </cell>
        </row>
        <row r="1989">
          <cell r="B1989" t="str">
            <v/>
          </cell>
          <cell r="G1989">
            <v>0</v>
          </cell>
        </row>
        <row r="1990">
          <cell r="B1990" t="str">
            <v/>
          </cell>
          <cell r="D1990">
            <v>0</v>
          </cell>
          <cell r="E1990">
            <v>0</v>
          </cell>
          <cell r="F1990">
            <v>0</v>
          </cell>
          <cell r="G1990">
            <v>0</v>
          </cell>
          <cell r="H1990" t="str">
            <v>CAR PARK CHARGES NOT INCLUDED IN THIS YEAR ACTUAL EXPENSES</v>
          </cell>
        </row>
        <row r="1991">
          <cell r="B1991" t="str">
            <v/>
          </cell>
          <cell r="G1991">
            <v>0</v>
          </cell>
        </row>
        <row r="1992">
          <cell r="B1992" t="str">
            <v/>
          </cell>
          <cell r="C1992" t="str">
            <v>TOTAL OFFICE COSTS</v>
          </cell>
          <cell r="D1992">
            <v>0</v>
          </cell>
          <cell r="E1992">
            <v>0</v>
          </cell>
          <cell r="F1992">
            <v>0</v>
          </cell>
          <cell r="G1992">
            <v>0</v>
          </cell>
          <cell r="H1992" t="str">
            <v>CAR PARK CHARGES NOT INCLUDED IN THIS YEAR ACTUAL EXPENSES</v>
          </cell>
        </row>
        <row r="1993">
          <cell r="B1993" t="str">
            <v/>
          </cell>
          <cell r="G1993">
            <v>0</v>
          </cell>
        </row>
        <row r="1994">
          <cell r="B1994" t="str">
            <v/>
          </cell>
          <cell r="G1994">
            <v>0</v>
          </cell>
        </row>
        <row r="1995">
          <cell r="B1995" t="str">
            <v/>
          </cell>
          <cell r="G1995">
            <v>0</v>
          </cell>
        </row>
        <row r="1996">
          <cell r="B1996" t="str">
            <v/>
          </cell>
          <cell r="C1996" t="str">
            <v>TOTAL FINANCING COSTS</v>
          </cell>
          <cell r="D1996">
            <v>0</v>
          </cell>
          <cell r="E1996">
            <v>0</v>
          </cell>
          <cell r="F1996">
            <v>0</v>
          </cell>
          <cell r="G1996">
            <v>0</v>
          </cell>
        </row>
        <row r="1997">
          <cell r="B1997" t="str">
            <v/>
          </cell>
          <cell r="G1997">
            <v>0</v>
          </cell>
        </row>
        <row r="1998">
          <cell r="B1998" t="str">
            <v/>
          </cell>
          <cell r="G1998">
            <v>0</v>
          </cell>
        </row>
        <row r="1999">
          <cell r="B1999" t="str">
            <v/>
          </cell>
          <cell r="G1999">
            <v>0</v>
          </cell>
        </row>
        <row r="2000">
          <cell r="B2000" t="str">
            <v/>
          </cell>
          <cell r="C2000" t="str">
            <v>ALA GROUP CHARGES</v>
          </cell>
          <cell r="G2000">
            <v>0</v>
          </cell>
        </row>
        <row r="2001">
          <cell r="B2001" t="str">
            <v/>
          </cell>
          <cell r="C2001" t="str">
            <v>ALA Group charges- corporate Business</v>
          </cell>
          <cell r="D2001">
            <v>0</v>
          </cell>
          <cell r="F2001">
            <v>0</v>
          </cell>
          <cell r="G2001">
            <v>0</v>
          </cell>
        </row>
        <row r="2002">
          <cell r="B2002" t="str">
            <v/>
          </cell>
          <cell r="G2002">
            <v>0</v>
          </cell>
        </row>
        <row r="2003">
          <cell r="B2003" t="str">
            <v/>
          </cell>
          <cell r="C2003" t="str">
            <v>Total ALA Group charges</v>
          </cell>
          <cell r="D2003">
            <v>0</v>
          </cell>
          <cell r="E2003">
            <v>0</v>
          </cell>
          <cell r="F2003">
            <v>0</v>
          </cell>
          <cell r="G2003">
            <v>0</v>
          </cell>
        </row>
        <row r="2004">
          <cell r="B2004" t="str">
            <v/>
          </cell>
          <cell r="G2004">
            <v>0</v>
          </cell>
        </row>
        <row r="2005">
          <cell r="B2005" t="str">
            <v/>
          </cell>
          <cell r="C2005" t="str">
            <v>ACTUARIAL FEES</v>
          </cell>
          <cell r="G2005">
            <v>0</v>
          </cell>
        </row>
        <row r="2006">
          <cell r="B2006" t="str">
            <v/>
          </cell>
          <cell r="C2006" t="str">
            <v>Actuarial fees- Corporate Business</v>
          </cell>
          <cell r="D2006">
            <v>0</v>
          </cell>
          <cell r="F2006">
            <v>0</v>
          </cell>
          <cell r="G2006">
            <v>0</v>
          </cell>
        </row>
        <row r="2007">
          <cell r="B2007" t="str">
            <v/>
          </cell>
          <cell r="G2007">
            <v>0</v>
          </cell>
        </row>
        <row r="2008">
          <cell r="B2008" t="str">
            <v/>
          </cell>
          <cell r="C2008" t="str">
            <v>Total Actuarial fees</v>
          </cell>
          <cell r="D2008">
            <v>0</v>
          </cell>
          <cell r="E2008">
            <v>0</v>
          </cell>
          <cell r="F2008">
            <v>0</v>
          </cell>
          <cell r="G2008">
            <v>0</v>
          </cell>
        </row>
        <row r="2009">
          <cell r="B2009" t="str">
            <v/>
          </cell>
          <cell r="G2009">
            <v>0</v>
          </cell>
        </row>
        <row r="2010">
          <cell r="B2010" t="str">
            <v/>
          </cell>
          <cell r="G2010">
            <v>0</v>
          </cell>
        </row>
        <row r="2011">
          <cell r="B2011" t="str">
            <v/>
          </cell>
          <cell r="C2011" t="str">
            <v>INTRA COMPANY CHARGES</v>
          </cell>
          <cell r="G2011">
            <v>0</v>
          </cell>
        </row>
        <row r="2012">
          <cell r="B2012" t="str">
            <v/>
          </cell>
          <cell r="G2012">
            <v>0</v>
          </cell>
        </row>
        <row r="2013">
          <cell r="B2013" t="str">
            <v/>
          </cell>
          <cell r="G2013">
            <v>0</v>
          </cell>
        </row>
        <row r="2014">
          <cell r="B2014" t="str">
            <v/>
          </cell>
          <cell r="C2014" t="str">
            <v>Total intra company charges</v>
          </cell>
          <cell r="D2014">
            <v>0</v>
          </cell>
          <cell r="E2014">
            <v>0</v>
          </cell>
          <cell r="F2014">
            <v>0</v>
          </cell>
          <cell r="G2014">
            <v>0</v>
          </cell>
        </row>
        <row r="2015">
          <cell r="B2015" t="str">
            <v/>
          </cell>
          <cell r="G2015">
            <v>0</v>
          </cell>
        </row>
        <row r="2016">
          <cell r="B2016" t="str">
            <v/>
          </cell>
          <cell r="C2016" t="str">
            <v>AUDIT FEE &amp; TAX FILLING FEES</v>
          </cell>
          <cell r="G2016">
            <v>0</v>
          </cell>
        </row>
        <row r="2017">
          <cell r="B2017" t="str">
            <v/>
          </cell>
          <cell r="G2017">
            <v>0</v>
          </cell>
        </row>
        <row r="2018">
          <cell r="B2018" t="str">
            <v/>
          </cell>
          <cell r="D2018">
            <v>0</v>
          </cell>
          <cell r="E2018">
            <v>0</v>
          </cell>
          <cell r="F2018">
            <v>0</v>
          </cell>
          <cell r="G2018">
            <v>0</v>
          </cell>
        </row>
        <row r="2019">
          <cell r="B2019" t="str">
            <v/>
          </cell>
          <cell r="G2019">
            <v>0</v>
          </cell>
        </row>
        <row r="2020">
          <cell r="B2020" t="str">
            <v/>
          </cell>
          <cell r="C2020" t="str">
            <v>TOTAL PROFESSIONAL &amp; GROUP CHARGES</v>
          </cell>
          <cell r="D2020">
            <v>0</v>
          </cell>
          <cell r="E2020">
            <v>0</v>
          </cell>
          <cell r="F2020">
            <v>0</v>
          </cell>
          <cell r="G2020">
            <v>0</v>
          </cell>
        </row>
        <row r="2021">
          <cell r="B2021" t="str">
            <v/>
          </cell>
          <cell r="G2021">
            <v>0</v>
          </cell>
        </row>
        <row r="2022">
          <cell r="B2022" t="str">
            <v/>
          </cell>
          <cell r="G2022">
            <v>0</v>
          </cell>
        </row>
        <row r="2023">
          <cell r="B2023" t="str">
            <v/>
          </cell>
          <cell r="G2023">
            <v>0</v>
          </cell>
        </row>
        <row r="2024">
          <cell r="B2024" t="str">
            <v/>
          </cell>
          <cell r="C2024" t="str">
            <v>TOTAL ADMINSTRATION EXPENSES</v>
          </cell>
          <cell r="D2024">
            <v>3975798.5</v>
          </cell>
          <cell r="E2024">
            <v>2428541.6666666665</v>
          </cell>
          <cell r="F2024">
            <v>4157500</v>
          </cell>
          <cell r="G2024">
            <v>0.95629549007817172</v>
          </cell>
          <cell r="H2024" t="str">
            <v>AS EXPALINED ABOVE</v>
          </cell>
        </row>
        <row r="2025">
          <cell r="B2025" t="str">
            <v/>
          </cell>
          <cell r="G2025">
            <v>0</v>
          </cell>
        </row>
        <row r="2026">
          <cell r="B2026" t="str">
            <v/>
          </cell>
          <cell r="G2026">
            <v>0</v>
          </cell>
        </row>
        <row r="2027">
          <cell r="B2027" t="str">
            <v/>
          </cell>
          <cell r="C2027" t="str">
            <v>TOTAL UNIT EXPENSES BERORE RECHARGES</v>
          </cell>
          <cell r="D2027">
            <v>14302089.162000002</v>
          </cell>
          <cell r="E2027">
            <v>7340267.9188541677</v>
          </cell>
          <cell r="F2027">
            <v>12677735.223616071</v>
          </cell>
          <cell r="G2027">
            <v>1.1281265075924671</v>
          </cell>
          <cell r="H2027" t="str">
            <v>AS EXPLAINED ABOVE</v>
          </cell>
        </row>
        <row r="2028">
          <cell r="B2028" t="str">
            <v/>
          </cell>
          <cell r="G2028">
            <v>0</v>
          </cell>
        </row>
        <row r="2029">
          <cell r="G2029">
            <v>0</v>
          </cell>
        </row>
        <row r="2030">
          <cell r="C2030" t="str">
            <v>TOTAL UNIT EXPENSESAFTER RECHARGES</v>
          </cell>
          <cell r="D2030">
            <v>14302089.162000002</v>
          </cell>
          <cell r="E2030">
            <v>7340267.9188541677</v>
          </cell>
          <cell r="F2030">
            <v>12677735.223616071</v>
          </cell>
          <cell r="G2030">
            <v>1.1281265075924671</v>
          </cell>
        </row>
        <row r="2032">
          <cell r="D2032" t="str">
            <v>greater than 10%</v>
          </cell>
        </row>
        <row r="2046">
          <cell r="C2046" t="str">
            <v>DESCRIPTION</v>
          </cell>
          <cell r="D2046" t="str">
            <v>Kshs.</v>
          </cell>
        </row>
        <row r="2048">
          <cell r="E2048" t="str">
            <v>Actuals as at</v>
          </cell>
          <cell r="F2048" t="str">
            <v>Projected</v>
          </cell>
        </row>
        <row r="2050">
          <cell r="B2050" t="str">
            <v/>
          </cell>
          <cell r="G2050">
            <v>0</v>
          </cell>
        </row>
        <row r="2051">
          <cell r="B2051" t="str">
            <v/>
          </cell>
          <cell r="D2051">
            <v>9280190.3999999985</v>
          </cell>
          <cell r="E2051">
            <v>3342500</v>
          </cell>
          <cell r="F2051">
            <v>6943500</v>
          </cell>
          <cell r="G2051">
            <v>1.3365291855692372</v>
          </cell>
          <cell r="H2051" t="str">
            <v>Staff costs adjusted to cater for staff who joined in May and June</v>
          </cell>
        </row>
        <row r="2052">
          <cell r="B2052" t="str">
            <v/>
          </cell>
          <cell r="G2052">
            <v>0</v>
          </cell>
        </row>
        <row r="2053">
          <cell r="B2053" t="str">
            <v/>
          </cell>
          <cell r="G2053">
            <v>0</v>
          </cell>
        </row>
        <row r="2054">
          <cell r="B2054" t="str">
            <v/>
          </cell>
          <cell r="G2054">
            <v>0</v>
          </cell>
        </row>
        <row r="2055">
          <cell r="B2055" t="str">
            <v/>
          </cell>
          <cell r="D2055">
            <v>42240</v>
          </cell>
          <cell r="E2055">
            <v>16000</v>
          </cell>
          <cell r="F2055">
            <v>33600</v>
          </cell>
          <cell r="G2055">
            <v>1.2571428571428571</v>
          </cell>
          <cell r="H2055" t="str">
            <v>Staff costs adjusted to cater for staff who joined in May and June</v>
          </cell>
        </row>
        <row r="2056">
          <cell r="B2056" t="str">
            <v/>
          </cell>
          <cell r="G2056">
            <v>0</v>
          </cell>
        </row>
        <row r="2057">
          <cell r="B2057" t="str">
            <v/>
          </cell>
          <cell r="G2057">
            <v>0</v>
          </cell>
        </row>
        <row r="2058">
          <cell r="B2058" t="str">
            <v/>
          </cell>
          <cell r="D2058">
            <v>9339856.7200000007</v>
          </cell>
          <cell r="E2058">
            <v>5387000</v>
          </cell>
          <cell r="F2058">
            <v>9071286.9999999981</v>
          </cell>
          <cell r="G2058">
            <v>1.0296065729151775</v>
          </cell>
        </row>
        <row r="2059">
          <cell r="B2059" t="str">
            <v/>
          </cell>
          <cell r="G2059">
            <v>0</v>
          </cell>
        </row>
        <row r="2060">
          <cell r="B2060" t="str">
            <v/>
          </cell>
          <cell r="C2060" t="str">
            <v>TOTAL EMPLOYMENT COSTS</v>
          </cell>
          <cell r="D2060">
            <v>18662287.119999997</v>
          </cell>
          <cell r="E2060">
            <v>8745500</v>
          </cell>
          <cell r="F2060">
            <v>16048386.999999998</v>
          </cell>
          <cell r="G2060">
            <v>1.1628761893640776</v>
          </cell>
        </row>
        <row r="2061">
          <cell r="B2061" t="str">
            <v/>
          </cell>
          <cell r="G2061">
            <v>0</v>
          </cell>
        </row>
        <row r="2062">
          <cell r="B2062" t="str">
            <v/>
          </cell>
          <cell r="C2062" t="str">
            <v>DEPRECIATION- FURNITURE &amp; FITTIGS</v>
          </cell>
          <cell r="G2062">
            <v>0</v>
          </cell>
        </row>
        <row r="2063">
          <cell r="B2063" t="str">
            <v/>
          </cell>
          <cell r="G2063">
            <v>0</v>
          </cell>
        </row>
        <row r="2064">
          <cell r="B2064" t="str">
            <v/>
          </cell>
          <cell r="D2064">
            <v>0</v>
          </cell>
          <cell r="E2064">
            <v>0</v>
          </cell>
          <cell r="F2064">
            <v>0</v>
          </cell>
          <cell r="G2064">
            <v>0</v>
          </cell>
        </row>
        <row r="2065">
          <cell r="B2065" t="str">
            <v/>
          </cell>
          <cell r="C2065" t="str">
            <v>DEPRECIATION- COMPUTER &amp; OTHER EQUIPMENT</v>
          </cell>
          <cell r="G2065">
            <v>0</v>
          </cell>
        </row>
        <row r="2066">
          <cell r="B2066" t="str">
            <v/>
          </cell>
          <cell r="G2066">
            <v>0</v>
          </cell>
        </row>
        <row r="2067">
          <cell r="B2067" t="str">
            <v/>
          </cell>
          <cell r="D2067">
            <v>0</v>
          </cell>
          <cell r="E2067">
            <v>0</v>
          </cell>
          <cell r="F2067">
            <v>0</v>
          </cell>
          <cell r="G2067">
            <v>0</v>
          </cell>
        </row>
        <row r="2068">
          <cell r="B2068" t="str">
            <v/>
          </cell>
          <cell r="C2068" t="str">
            <v>DEPRECIATION- MOTOR VEHICLES</v>
          </cell>
          <cell r="G2068">
            <v>0</v>
          </cell>
        </row>
        <row r="2069">
          <cell r="B2069" t="str">
            <v/>
          </cell>
          <cell r="G2069">
            <v>0</v>
          </cell>
        </row>
        <row r="2070">
          <cell r="B2070" t="str">
            <v/>
          </cell>
          <cell r="D2070">
            <v>0</v>
          </cell>
          <cell r="E2070">
            <v>0</v>
          </cell>
          <cell r="F2070">
            <v>0</v>
          </cell>
          <cell r="G2070">
            <v>0</v>
          </cell>
        </row>
        <row r="2071">
          <cell r="B2071" t="str">
            <v/>
          </cell>
          <cell r="G2071">
            <v>0</v>
          </cell>
        </row>
        <row r="2072">
          <cell r="B2072" t="str">
            <v/>
          </cell>
          <cell r="C2072" t="str">
            <v>AMORTIZATION OF LEASEHOLD LAND</v>
          </cell>
          <cell r="G2072">
            <v>0</v>
          </cell>
        </row>
        <row r="2073">
          <cell r="B2073" t="str">
            <v/>
          </cell>
          <cell r="C2073" t="str">
            <v>AMORTIZATION OF LEASEHOLD BUILDING</v>
          </cell>
          <cell r="G2073">
            <v>0</v>
          </cell>
        </row>
        <row r="2074">
          <cell r="B2074" t="str">
            <v/>
          </cell>
          <cell r="C2074" t="str">
            <v>TOTAL DEPRECIATION</v>
          </cell>
          <cell r="D2074">
            <v>0</v>
          </cell>
          <cell r="E2074">
            <v>0</v>
          </cell>
          <cell r="F2074">
            <v>0</v>
          </cell>
          <cell r="G2074">
            <v>0</v>
          </cell>
        </row>
        <row r="2075">
          <cell r="B2075" t="str">
            <v/>
          </cell>
          <cell r="G2075">
            <v>0</v>
          </cell>
        </row>
        <row r="2076">
          <cell r="B2076" t="str">
            <v/>
          </cell>
          <cell r="C2076" t="str">
            <v>OFFICE RENT</v>
          </cell>
          <cell r="G2076">
            <v>0</v>
          </cell>
        </row>
        <row r="2077">
          <cell r="B2077" t="str">
            <v/>
          </cell>
          <cell r="G2077">
            <v>0</v>
          </cell>
        </row>
        <row r="2078">
          <cell r="B2078" t="str">
            <v/>
          </cell>
          <cell r="D2078">
            <v>0</v>
          </cell>
          <cell r="E2078">
            <v>0</v>
          </cell>
          <cell r="F2078">
            <v>0</v>
          </cell>
          <cell r="G2078">
            <v>0</v>
          </cell>
        </row>
        <row r="2079">
          <cell r="B2079" t="str">
            <v/>
          </cell>
          <cell r="G2079">
            <v>0</v>
          </cell>
        </row>
        <row r="2080">
          <cell r="B2080" t="str">
            <v/>
          </cell>
          <cell r="G2080">
            <v>0</v>
          </cell>
        </row>
        <row r="2081">
          <cell r="B2081" t="str">
            <v/>
          </cell>
          <cell r="D2081">
            <v>1663680</v>
          </cell>
          <cell r="E2081">
            <v>965000</v>
          </cell>
          <cell r="F2081">
            <v>1509000</v>
          </cell>
          <cell r="G2081">
            <v>1.1025049701789265</v>
          </cell>
        </row>
        <row r="2082">
          <cell r="B2082" t="str">
            <v/>
          </cell>
          <cell r="G2082">
            <v>0</v>
          </cell>
        </row>
        <row r="2083">
          <cell r="B2083" t="str">
            <v/>
          </cell>
          <cell r="D2083">
            <v>1663680</v>
          </cell>
          <cell r="E2083">
            <v>965000</v>
          </cell>
          <cell r="F2083">
            <v>1509000</v>
          </cell>
          <cell r="G2083">
            <v>1.1025049701789265</v>
          </cell>
        </row>
        <row r="2084">
          <cell r="B2084" t="str">
            <v/>
          </cell>
          <cell r="G2084">
            <v>0</v>
          </cell>
        </row>
        <row r="2085">
          <cell r="B2085" t="str">
            <v/>
          </cell>
          <cell r="C2085" t="str">
            <v>TOTAL OFFICE COSTS</v>
          </cell>
          <cell r="D2085">
            <v>1663680</v>
          </cell>
          <cell r="E2085">
            <v>965000</v>
          </cell>
          <cell r="F2085">
            <v>1509000</v>
          </cell>
          <cell r="G2085">
            <v>1.1025049701789265</v>
          </cell>
        </row>
        <row r="2086">
          <cell r="B2086" t="str">
            <v/>
          </cell>
          <cell r="G2086">
            <v>0</v>
          </cell>
        </row>
        <row r="2087">
          <cell r="B2087" t="str">
            <v/>
          </cell>
          <cell r="G2087">
            <v>0</v>
          </cell>
        </row>
        <row r="2088">
          <cell r="B2088" t="str">
            <v/>
          </cell>
          <cell r="G2088">
            <v>0</v>
          </cell>
        </row>
        <row r="2089">
          <cell r="B2089" t="str">
            <v/>
          </cell>
          <cell r="C2089" t="str">
            <v>TOTAL FINANCING COSTS</v>
          </cell>
          <cell r="D2089">
            <v>0</v>
          </cell>
          <cell r="E2089">
            <v>0</v>
          </cell>
          <cell r="F2089">
            <v>0</v>
          </cell>
          <cell r="G2089">
            <v>0</v>
          </cell>
        </row>
        <row r="2090">
          <cell r="B2090" t="str">
            <v/>
          </cell>
          <cell r="G2090">
            <v>0</v>
          </cell>
        </row>
        <row r="2091">
          <cell r="B2091" t="str">
            <v/>
          </cell>
          <cell r="G2091">
            <v>0</v>
          </cell>
        </row>
        <row r="2092">
          <cell r="B2092" t="str">
            <v/>
          </cell>
          <cell r="G2092">
            <v>0</v>
          </cell>
        </row>
        <row r="2093">
          <cell r="B2093" t="str">
            <v/>
          </cell>
          <cell r="C2093" t="str">
            <v>ALA GROUP CHARGES</v>
          </cell>
          <cell r="G2093">
            <v>0</v>
          </cell>
        </row>
        <row r="2094">
          <cell r="B2094" t="str">
            <v/>
          </cell>
          <cell r="C2094" t="str">
            <v>ALA Group charges- corporate Business</v>
          </cell>
          <cell r="D2094">
            <v>0</v>
          </cell>
          <cell r="F2094">
            <v>0</v>
          </cell>
          <cell r="G2094">
            <v>0</v>
          </cell>
        </row>
        <row r="2095">
          <cell r="B2095" t="str">
            <v/>
          </cell>
          <cell r="G2095">
            <v>0</v>
          </cell>
        </row>
        <row r="2096">
          <cell r="B2096" t="str">
            <v/>
          </cell>
          <cell r="C2096" t="str">
            <v>Total ALA Group charges</v>
          </cell>
          <cell r="D2096">
            <v>0</v>
          </cell>
          <cell r="E2096">
            <v>0</v>
          </cell>
          <cell r="F2096">
            <v>0</v>
          </cell>
          <cell r="G2096">
            <v>0</v>
          </cell>
        </row>
        <row r="2097">
          <cell r="B2097" t="str">
            <v/>
          </cell>
          <cell r="G2097">
            <v>0</v>
          </cell>
        </row>
        <row r="2098">
          <cell r="B2098" t="str">
            <v/>
          </cell>
          <cell r="C2098" t="str">
            <v>ACTUARIAL FEES</v>
          </cell>
          <cell r="G2098">
            <v>0</v>
          </cell>
        </row>
        <row r="2099">
          <cell r="B2099" t="str">
            <v/>
          </cell>
          <cell r="C2099" t="str">
            <v>Actuarial fees- Corporate Business</v>
          </cell>
          <cell r="D2099">
            <v>0</v>
          </cell>
          <cell r="F2099">
            <v>0</v>
          </cell>
          <cell r="G2099">
            <v>0</v>
          </cell>
        </row>
        <row r="2100">
          <cell r="B2100" t="str">
            <v/>
          </cell>
          <cell r="G2100">
            <v>0</v>
          </cell>
        </row>
        <row r="2101">
          <cell r="B2101" t="str">
            <v/>
          </cell>
          <cell r="C2101" t="str">
            <v>Total Actuarial fees</v>
          </cell>
          <cell r="D2101">
            <v>0</v>
          </cell>
          <cell r="E2101">
            <v>0</v>
          </cell>
          <cell r="F2101">
            <v>0</v>
          </cell>
          <cell r="G2101">
            <v>0</v>
          </cell>
        </row>
        <row r="2102">
          <cell r="B2102" t="str">
            <v/>
          </cell>
          <cell r="G2102">
            <v>0</v>
          </cell>
        </row>
        <row r="2103">
          <cell r="B2103" t="str">
            <v/>
          </cell>
          <cell r="G2103">
            <v>0</v>
          </cell>
        </row>
        <row r="2104">
          <cell r="B2104" t="str">
            <v/>
          </cell>
          <cell r="C2104" t="str">
            <v>INTRA COMPANY CHARGES</v>
          </cell>
          <cell r="G2104">
            <v>0</v>
          </cell>
        </row>
        <row r="2105">
          <cell r="B2105" t="str">
            <v/>
          </cell>
          <cell r="G2105">
            <v>0</v>
          </cell>
        </row>
        <row r="2106">
          <cell r="B2106" t="str">
            <v/>
          </cell>
          <cell r="G2106">
            <v>0</v>
          </cell>
        </row>
        <row r="2107">
          <cell r="B2107" t="str">
            <v/>
          </cell>
          <cell r="C2107" t="str">
            <v>Total intra company charges</v>
          </cell>
          <cell r="D2107">
            <v>0</v>
          </cell>
          <cell r="E2107">
            <v>0</v>
          </cell>
          <cell r="F2107">
            <v>0</v>
          </cell>
          <cell r="G2107">
            <v>0</v>
          </cell>
        </row>
        <row r="2108">
          <cell r="B2108" t="str">
            <v/>
          </cell>
          <cell r="G2108">
            <v>0</v>
          </cell>
        </row>
        <row r="2109">
          <cell r="B2109" t="str">
            <v/>
          </cell>
          <cell r="C2109" t="str">
            <v>AUDIT FEE &amp; TAX FILLING FEES</v>
          </cell>
          <cell r="G2109">
            <v>0</v>
          </cell>
          <cell r="H2109" t="str">
            <v>Consultancy</v>
          </cell>
        </row>
        <row r="2110">
          <cell r="B2110" t="str">
            <v/>
          </cell>
          <cell r="G2110">
            <v>0</v>
          </cell>
        </row>
        <row r="2111">
          <cell r="B2111" t="str">
            <v/>
          </cell>
          <cell r="D2111">
            <v>360000</v>
          </cell>
          <cell r="E2111">
            <v>0</v>
          </cell>
          <cell r="F2111">
            <v>150000</v>
          </cell>
          <cell r="G2111">
            <v>2.4</v>
          </cell>
        </row>
        <row r="2112">
          <cell r="B2112" t="str">
            <v/>
          </cell>
          <cell r="G2112">
            <v>0</v>
          </cell>
        </row>
        <row r="2113">
          <cell r="B2113" t="str">
            <v/>
          </cell>
          <cell r="C2113" t="str">
            <v>TOTAL PROFESSIONAL &amp; GROUP CHARGES</v>
          </cell>
          <cell r="D2113">
            <v>360000</v>
          </cell>
          <cell r="E2113">
            <v>0</v>
          </cell>
          <cell r="F2113">
            <v>150000</v>
          </cell>
          <cell r="G2113">
            <v>2.4</v>
          </cell>
        </row>
        <row r="2114">
          <cell r="B2114" t="str">
            <v/>
          </cell>
          <cell r="G2114">
            <v>0</v>
          </cell>
        </row>
        <row r="2115">
          <cell r="B2115" t="str">
            <v/>
          </cell>
          <cell r="G2115">
            <v>0</v>
          </cell>
        </row>
        <row r="2116">
          <cell r="B2116" t="str">
            <v/>
          </cell>
          <cell r="G2116">
            <v>0</v>
          </cell>
        </row>
        <row r="2117">
          <cell r="B2117" t="str">
            <v/>
          </cell>
          <cell r="C2117" t="str">
            <v>TOTAL ADMINSTRATION EXPENSES</v>
          </cell>
          <cell r="D2117">
            <v>2424549.5</v>
          </cell>
          <cell r="E2117">
            <v>1471041.6666666665</v>
          </cell>
          <cell r="F2117">
            <v>2565785.5714285714</v>
          </cell>
          <cell r="G2117">
            <v>0.94495406280192995</v>
          </cell>
        </row>
        <row r="2118">
          <cell r="B2118" t="str">
            <v/>
          </cell>
          <cell r="G2118">
            <v>0</v>
          </cell>
        </row>
        <row r="2119">
          <cell r="B2119" t="str">
            <v/>
          </cell>
          <cell r="G2119">
            <v>0</v>
          </cell>
        </row>
        <row r="2120">
          <cell r="B2120" t="str">
            <v/>
          </cell>
          <cell r="C2120" t="str">
            <v>TOTAL UNIT EXPENSES BERORE RECHARGES</v>
          </cell>
          <cell r="D2120">
            <v>23110516.619999997</v>
          </cell>
          <cell r="E2120">
            <v>11181541.666666666</v>
          </cell>
          <cell r="F2120">
            <v>20273172.571428571</v>
          </cell>
          <cell r="G2120">
            <v>1.1399556008599343</v>
          </cell>
        </row>
        <row r="2121">
          <cell r="B2121" t="str">
            <v/>
          </cell>
          <cell r="G2121">
            <v>0</v>
          </cell>
        </row>
        <row r="2122">
          <cell r="G2122">
            <v>0</v>
          </cell>
        </row>
        <row r="2123">
          <cell r="G2123">
            <v>0</v>
          </cell>
        </row>
        <row r="2124">
          <cell r="C2124" t="str">
            <v>TOTAL UNIT EXPENSESAFTER RECHARGES</v>
          </cell>
          <cell r="D2124">
            <v>20799464.957999997</v>
          </cell>
          <cell r="E2124">
            <v>11181541.666666666</v>
          </cell>
          <cell r="F2124">
            <v>18245855.31428571</v>
          </cell>
          <cell r="G2124">
            <v>1.1399556008599345</v>
          </cell>
        </row>
        <row r="2126">
          <cell r="D2126" t="str">
            <v>greater than 10%</v>
          </cell>
        </row>
        <row r="2137">
          <cell r="C2137" t="str">
            <v>DESCRIPTION</v>
          </cell>
          <cell r="D2137" t="str">
            <v>Kshs.</v>
          </cell>
        </row>
        <row r="2139">
          <cell r="E2139" t="str">
            <v>Actuals as at</v>
          </cell>
          <cell r="F2139" t="str">
            <v>Projected</v>
          </cell>
        </row>
        <row r="2141">
          <cell r="B2141" t="str">
            <v/>
          </cell>
          <cell r="G2141">
            <v>0</v>
          </cell>
        </row>
        <row r="2142">
          <cell r="B2142" t="str">
            <v/>
          </cell>
          <cell r="D2142">
            <v>7911091.2000000011</v>
          </cell>
          <cell r="E2142">
            <v>3828000</v>
          </cell>
          <cell r="F2142">
            <v>6830300</v>
          </cell>
          <cell r="G2142">
            <v>1.1582348066702781</v>
          </cell>
        </row>
        <row r="2143">
          <cell r="B2143" t="str">
            <v/>
          </cell>
          <cell r="G2143">
            <v>0</v>
          </cell>
        </row>
        <row r="2144">
          <cell r="B2144" t="str">
            <v/>
          </cell>
          <cell r="G2144">
            <v>0</v>
          </cell>
        </row>
        <row r="2145">
          <cell r="B2145" t="str">
            <v/>
          </cell>
          <cell r="G2145">
            <v>0</v>
          </cell>
        </row>
        <row r="2146">
          <cell r="B2146" t="str">
            <v/>
          </cell>
          <cell r="D2146">
            <v>26400</v>
          </cell>
          <cell r="E2146">
            <v>13000</v>
          </cell>
          <cell r="F2146">
            <v>24000</v>
          </cell>
          <cell r="G2146">
            <v>1.1000000000000001</v>
          </cell>
        </row>
        <row r="2147">
          <cell r="B2147" t="str">
            <v/>
          </cell>
          <cell r="G2147">
            <v>0</v>
          </cell>
        </row>
        <row r="2148">
          <cell r="B2148" t="str">
            <v/>
          </cell>
          <cell r="G2148">
            <v>0</v>
          </cell>
        </row>
        <row r="2149">
          <cell r="B2149" t="str">
            <v/>
          </cell>
          <cell r="D2149">
            <v>1099459.6499999999</v>
          </cell>
          <cell r="E2149">
            <v>524000</v>
          </cell>
          <cell r="F2149">
            <v>961800.28571428568</v>
          </cell>
          <cell r="G2149">
            <v>1.1431267658477364</v>
          </cell>
        </row>
        <row r="2150">
          <cell r="B2150" t="str">
            <v/>
          </cell>
          <cell r="G2150">
            <v>0</v>
          </cell>
        </row>
        <row r="2151">
          <cell r="B2151" t="str">
            <v/>
          </cell>
          <cell r="C2151" t="str">
            <v>TOTAL EMPLOYMENT COSTS</v>
          </cell>
          <cell r="D2151">
            <v>9036950.8500000015</v>
          </cell>
          <cell r="E2151">
            <v>4365000</v>
          </cell>
          <cell r="F2151">
            <v>7816100.2857142854</v>
          </cell>
          <cell r="G2151">
            <v>1.1561968909888605</v>
          </cell>
        </row>
        <row r="2152">
          <cell r="B2152" t="str">
            <v/>
          </cell>
          <cell r="G2152">
            <v>0</v>
          </cell>
        </row>
        <row r="2153">
          <cell r="B2153" t="str">
            <v/>
          </cell>
          <cell r="C2153" t="str">
            <v>DEPRECIATION- FURNITURE &amp; FITTIGS</v>
          </cell>
          <cell r="G2153">
            <v>0</v>
          </cell>
        </row>
        <row r="2154">
          <cell r="B2154" t="str">
            <v/>
          </cell>
          <cell r="G2154">
            <v>0</v>
          </cell>
        </row>
        <row r="2155">
          <cell r="B2155" t="str">
            <v/>
          </cell>
          <cell r="D2155">
            <v>0</v>
          </cell>
          <cell r="E2155">
            <v>0</v>
          </cell>
          <cell r="F2155">
            <v>0</v>
          </cell>
          <cell r="G2155">
            <v>0</v>
          </cell>
        </row>
        <row r="2156">
          <cell r="B2156" t="str">
            <v/>
          </cell>
          <cell r="C2156" t="str">
            <v>DEPRECIATION- COMPUTER &amp; OTHER EQUIPMENT</v>
          </cell>
          <cell r="G2156">
            <v>0</v>
          </cell>
        </row>
        <row r="2157">
          <cell r="B2157" t="str">
            <v/>
          </cell>
          <cell r="G2157">
            <v>0</v>
          </cell>
        </row>
        <row r="2158">
          <cell r="B2158" t="str">
            <v/>
          </cell>
          <cell r="D2158">
            <v>0</v>
          </cell>
          <cell r="E2158">
            <v>0</v>
          </cell>
          <cell r="F2158">
            <v>0</v>
          </cell>
          <cell r="G2158">
            <v>0</v>
          </cell>
        </row>
        <row r="2159">
          <cell r="B2159" t="str">
            <v/>
          </cell>
          <cell r="C2159" t="str">
            <v>DEPRECIATION- MOTOR VEHICLES</v>
          </cell>
          <cell r="G2159">
            <v>0</v>
          </cell>
        </row>
        <row r="2160">
          <cell r="B2160" t="str">
            <v/>
          </cell>
          <cell r="G2160">
            <v>0</v>
          </cell>
        </row>
        <row r="2161">
          <cell r="B2161" t="str">
            <v/>
          </cell>
          <cell r="D2161">
            <v>0</v>
          </cell>
          <cell r="E2161">
            <v>0</v>
          </cell>
          <cell r="F2161">
            <v>0</v>
          </cell>
          <cell r="G2161">
            <v>0</v>
          </cell>
        </row>
        <row r="2162">
          <cell r="B2162" t="str">
            <v/>
          </cell>
          <cell r="G2162">
            <v>0</v>
          </cell>
        </row>
        <row r="2163">
          <cell r="B2163" t="str">
            <v/>
          </cell>
          <cell r="C2163" t="str">
            <v>AMORTIZATION OF LEASEHOLD LAND</v>
          </cell>
          <cell r="G2163">
            <v>0</v>
          </cell>
        </row>
        <row r="2164">
          <cell r="B2164" t="str">
            <v/>
          </cell>
          <cell r="C2164" t="str">
            <v>AMORTIZATION OF LEASEHOLD BUILDING</v>
          </cell>
          <cell r="G2164">
            <v>0</v>
          </cell>
        </row>
        <row r="2165">
          <cell r="B2165" t="str">
            <v/>
          </cell>
          <cell r="C2165" t="str">
            <v>TOTAL DEPRECIATION</v>
          </cell>
          <cell r="D2165">
            <v>0</v>
          </cell>
          <cell r="E2165">
            <v>0</v>
          </cell>
          <cell r="F2165">
            <v>0</v>
          </cell>
          <cell r="G2165">
            <v>0</v>
          </cell>
        </row>
        <row r="2166">
          <cell r="B2166" t="str">
            <v/>
          </cell>
          <cell r="G2166">
            <v>0</v>
          </cell>
        </row>
        <row r="2167">
          <cell r="B2167" t="str">
            <v/>
          </cell>
          <cell r="C2167" t="str">
            <v>OFFICE RENT</v>
          </cell>
          <cell r="G2167">
            <v>0</v>
          </cell>
        </row>
        <row r="2168">
          <cell r="B2168" t="str">
            <v/>
          </cell>
          <cell r="G2168">
            <v>0</v>
          </cell>
        </row>
        <row r="2169">
          <cell r="B2169" t="str">
            <v/>
          </cell>
          <cell r="D2169">
            <v>0</v>
          </cell>
          <cell r="E2169">
            <v>0</v>
          </cell>
          <cell r="F2169">
            <v>0</v>
          </cell>
          <cell r="G2169">
            <v>0</v>
          </cell>
        </row>
        <row r="2170">
          <cell r="B2170" t="str">
            <v/>
          </cell>
          <cell r="G2170">
            <v>0</v>
          </cell>
        </row>
        <row r="2171">
          <cell r="B2171" t="str">
            <v/>
          </cell>
          <cell r="G2171">
            <v>0</v>
          </cell>
        </row>
        <row r="2172">
          <cell r="B2172" t="str">
            <v/>
          </cell>
          <cell r="D2172">
            <v>0</v>
          </cell>
          <cell r="E2172">
            <v>0</v>
          </cell>
          <cell r="F2172">
            <v>0</v>
          </cell>
          <cell r="G2172">
            <v>0</v>
          </cell>
        </row>
        <row r="2173">
          <cell r="B2173" t="str">
            <v/>
          </cell>
          <cell r="G2173">
            <v>0</v>
          </cell>
        </row>
        <row r="2174">
          <cell r="B2174" t="str">
            <v/>
          </cell>
          <cell r="D2174">
            <v>0</v>
          </cell>
          <cell r="E2174">
            <v>0</v>
          </cell>
          <cell r="F2174">
            <v>0</v>
          </cell>
          <cell r="G2174">
            <v>0</v>
          </cell>
        </row>
        <row r="2175">
          <cell r="B2175" t="str">
            <v/>
          </cell>
          <cell r="G2175">
            <v>0</v>
          </cell>
        </row>
        <row r="2176">
          <cell r="B2176" t="str">
            <v/>
          </cell>
          <cell r="C2176" t="str">
            <v>TOTAL OFFICE COSTS</v>
          </cell>
          <cell r="D2176">
            <v>0</v>
          </cell>
          <cell r="E2176">
            <v>0</v>
          </cell>
          <cell r="F2176">
            <v>0</v>
          </cell>
          <cell r="G2176">
            <v>0</v>
          </cell>
        </row>
        <row r="2177">
          <cell r="B2177" t="str">
            <v/>
          </cell>
          <cell r="G2177">
            <v>0</v>
          </cell>
        </row>
        <row r="2178">
          <cell r="B2178" t="str">
            <v/>
          </cell>
          <cell r="G2178">
            <v>0</v>
          </cell>
        </row>
        <row r="2179">
          <cell r="B2179" t="str">
            <v/>
          </cell>
          <cell r="G2179">
            <v>0</v>
          </cell>
        </row>
        <row r="2180">
          <cell r="B2180" t="str">
            <v/>
          </cell>
          <cell r="C2180" t="str">
            <v>TOTAL FINANCING COSTS</v>
          </cell>
          <cell r="D2180">
            <v>0</v>
          </cell>
          <cell r="E2180">
            <v>0</v>
          </cell>
          <cell r="F2180">
            <v>0</v>
          </cell>
          <cell r="G2180">
            <v>0</v>
          </cell>
        </row>
        <row r="2181">
          <cell r="B2181" t="str">
            <v/>
          </cell>
          <cell r="G2181">
            <v>0</v>
          </cell>
        </row>
        <row r="2182">
          <cell r="B2182" t="str">
            <v/>
          </cell>
          <cell r="G2182">
            <v>0</v>
          </cell>
        </row>
        <row r="2183">
          <cell r="B2183" t="str">
            <v/>
          </cell>
          <cell r="G2183">
            <v>0</v>
          </cell>
        </row>
        <row r="2184">
          <cell r="B2184" t="str">
            <v/>
          </cell>
          <cell r="C2184" t="str">
            <v>ALA GROUP CHARGES</v>
          </cell>
          <cell r="G2184">
            <v>0</v>
          </cell>
        </row>
        <row r="2185">
          <cell r="B2185" t="str">
            <v/>
          </cell>
          <cell r="C2185" t="str">
            <v>ALA Group charges- corporate Business</v>
          </cell>
          <cell r="D2185">
            <v>0</v>
          </cell>
          <cell r="F2185">
            <v>0</v>
          </cell>
          <cell r="G2185">
            <v>0</v>
          </cell>
        </row>
        <row r="2186">
          <cell r="B2186" t="str">
            <v/>
          </cell>
          <cell r="G2186">
            <v>0</v>
          </cell>
        </row>
        <row r="2187">
          <cell r="B2187" t="str">
            <v/>
          </cell>
          <cell r="C2187" t="str">
            <v>Total ALA Group charges</v>
          </cell>
          <cell r="D2187">
            <v>0</v>
          </cell>
          <cell r="E2187">
            <v>0</v>
          </cell>
          <cell r="F2187">
            <v>0</v>
          </cell>
          <cell r="G2187">
            <v>0</v>
          </cell>
        </row>
        <row r="2188">
          <cell r="B2188" t="str">
            <v/>
          </cell>
          <cell r="G2188">
            <v>0</v>
          </cell>
        </row>
        <row r="2189">
          <cell r="B2189" t="str">
            <v/>
          </cell>
          <cell r="C2189" t="str">
            <v>ACTUARIAL FEES</v>
          </cell>
          <cell r="G2189">
            <v>0</v>
          </cell>
        </row>
        <row r="2190">
          <cell r="B2190" t="str">
            <v/>
          </cell>
          <cell r="C2190" t="str">
            <v>Actuarial fees- Corporate Business</v>
          </cell>
          <cell r="D2190">
            <v>0</v>
          </cell>
          <cell r="F2190">
            <v>0</v>
          </cell>
          <cell r="G2190">
            <v>0</v>
          </cell>
        </row>
        <row r="2191">
          <cell r="B2191" t="str">
            <v/>
          </cell>
          <cell r="G2191">
            <v>0</v>
          </cell>
        </row>
        <row r="2192">
          <cell r="B2192" t="str">
            <v/>
          </cell>
          <cell r="C2192" t="str">
            <v>Total Actuarial fees</v>
          </cell>
          <cell r="D2192">
            <v>0</v>
          </cell>
          <cell r="E2192">
            <v>0</v>
          </cell>
          <cell r="F2192">
            <v>0</v>
          </cell>
          <cell r="G2192">
            <v>0</v>
          </cell>
        </row>
        <row r="2193">
          <cell r="B2193" t="str">
            <v/>
          </cell>
          <cell r="G2193">
            <v>0</v>
          </cell>
        </row>
        <row r="2194">
          <cell r="B2194" t="str">
            <v/>
          </cell>
          <cell r="G2194">
            <v>0</v>
          </cell>
        </row>
        <row r="2195">
          <cell r="B2195" t="str">
            <v/>
          </cell>
          <cell r="C2195" t="str">
            <v>INTRA COMPANY CHARGES</v>
          </cell>
          <cell r="G2195">
            <v>0</v>
          </cell>
        </row>
        <row r="2196">
          <cell r="B2196" t="str">
            <v/>
          </cell>
          <cell r="G2196">
            <v>0</v>
          </cell>
        </row>
        <row r="2197">
          <cell r="B2197" t="str">
            <v/>
          </cell>
          <cell r="G2197">
            <v>0</v>
          </cell>
        </row>
        <row r="2198">
          <cell r="B2198" t="str">
            <v/>
          </cell>
          <cell r="C2198" t="str">
            <v>Total intra company charges</v>
          </cell>
          <cell r="D2198">
            <v>0</v>
          </cell>
          <cell r="E2198">
            <v>0</v>
          </cell>
          <cell r="F2198">
            <v>0</v>
          </cell>
          <cell r="G2198">
            <v>0</v>
          </cell>
        </row>
        <row r="2199">
          <cell r="B2199" t="str">
            <v/>
          </cell>
          <cell r="G2199">
            <v>0</v>
          </cell>
        </row>
        <row r="2200">
          <cell r="B2200" t="str">
            <v/>
          </cell>
          <cell r="C2200" t="str">
            <v>AUDIT FEE &amp; TAX FILLING FEES</v>
          </cell>
          <cell r="G2200">
            <v>0</v>
          </cell>
        </row>
        <row r="2201">
          <cell r="B2201" t="str">
            <v/>
          </cell>
          <cell r="G2201">
            <v>0</v>
          </cell>
        </row>
        <row r="2202">
          <cell r="B2202" t="str">
            <v/>
          </cell>
          <cell r="D2202">
            <v>0</v>
          </cell>
          <cell r="E2202">
            <v>0</v>
          </cell>
          <cell r="F2202">
            <v>0</v>
          </cell>
          <cell r="G2202">
            <v>0</v>
          </cell>
        </row>
        <row r="2203">
          <cell r="B2203" t="str">
            <v/>
          </cell>
          <cell r="G2203">
            <v>0</v>
          </cell>
        </row>
        <row r="2204">
          <cell r="B2204" t="str">
            <v/>
          </cell>
          <cell r="C2204" t="str">
            <v>TOTAL PROFESSIONAL &amp; GROUP CHARGES</v>
          </cell>
          <cell r="D2204">
            <v>0</v>
          </cell>
          <cell r="E2204">
            <v>0</v>
          </cell>
          <cell r="F2204">
            <v>0</v>
          </cell>
          <cell r="G2204">
            <v>0</v>
          </cell>
        </row>
        <row r="2205">
          <cell r="B2205" t="str">
            <v/>
          </cell>
          <cell r="G2205">
            <v>0</v>
          </cell>
        </row>
        <row r="2206">
          <cell r="B2206" t="str">
            <v/>
          </cell>
          <cell r="F2206">
            <v>0</v>
          </cell>
          <cell r="G2206">
            <v>0</v>
          </cell>
        </row>
        <row r="2207">
          <cell r="B2207" t="str">
            <v/>
          </cell>
          <cell r="G2207">
            <v>0</v>
          </cell>
        </row>
        <row r="2208">
          <cell r="B2208" t="str">
            <v/>
          </cell>
          <cell r="C2208" t="str">
            <v>TOTAL ADMINSTRATION EXPENSES</v>
          </cell>
          <cell r="D2208">
            <v>3361373.5</v>
          </cell>
          <cell r="E2208">
            <v>1994333.3333333335</v>
          </cell>
          <cell r="F2208">
            <v>3418857.1428571432</v>
          </cell>
          <cell r="G2208">
            <v>0.98318629867959206</v>
          </cell>
        </row>
        <row r="2209">
          <cell r="B2209" t="str">
            <v/>
          </cell>
          <cell r="G2209">
            <v>0</v>
          </cell>
        </row>
        <row r="2210">
          <cell r="B2210" t="str">
            <v/>
          </cell>
          <cell r="G2210">
            <v>0</v>
          </cell>
        </row>
        <row r="2211">
          <cell r="B2211" t="str">
            <v/>
          </cell>
          <cell r="C2211" t="str">
            <v>TOTAL UNIT EXPENSES BERORE RECHARGES</v>
          </cell>
          <cell r="D2211">
            <v>12398324.350000001</v>
          </cell>
          <cell r="E2211">
            <v>6359333.333333334</v>
          </cell>
          <cell r="F2211">
            <v>11234957.428571429</v>
          </cell>
          <cell r="G2211">
            <v>1.1035488499911921</v>
          </cell>
        </row>
        <row r="2212">
          <cell r="B2212" t="str">
            <v/>
          </cell>
          <cell r="G2212">
            <v>0</v>
          </cell>
        </row>
        <row r="2213">
          <cell r="G2213">
            <v>0</v>
          </cell>
        </row>
        <row r="2214">
          <cell r="G2214">
            <v>0</v>
          </cell>
        </row>
        <row r="2215">
          <cell r="C2215" t="str">
            <v>TOTAL UNIT EXPENSESAFTER RECHARGES</v>
          </cell>
          <cell r="D2215">
            <v>10842334.644075003</v>
          </cell>
          <cell r="E2215">
            <v>6359333.333333334</v>
          </cell>
          <cell r="F2215">
            <v>9824970.2712857146</v>
          </cell>
          <cell r="G2215">
            <v>1.1035488499911923</v>
          </cell>
        </row>
        <row r="2217">
          <cell r="D2217" t="str">
            <v>greater than 10%</v>
          </cell>
        </row>
        <row r="2229">
          <cell r="B2229" t="str">
            <v/>
          </cell>
          <cell r="G2229">
            <v>0</v>
          </cell>
        </row>
        <row r="2230">
          <cell r="B2230" t="str">
            <v/>
          </cell>
          <cell r="D2230">
            <v>2471520</v>
          </cell>
          <cell r="E2230">
            <v>1338000</v>
          </cell>
          <cell r="F2230">
            <v>2270000</v>
          </cell>
          <cell r="G2230">
            <v>1.0887753303964758</v>
          </cell>
        </row>
        <row r="2231">
          <cell r="B2231" t="str">
            <v/>
          </cell>
          <cell r="G2231">
            <v>0</v>
          </cell>
        </row>
        <row r="2232">
          <cell r="B2232" t="str">
            <v/>
          </cell>
          <cell r="G2232">
            <v>0</v>
          </cell>
        </row>
        <row r="2233">
          <cell r="B2233" t="str">
            <v/>
          </cell>
          <cell r="G2233">
            <v>0</v>
          </cell>
        </row>
        <row r="2234">
          <cell r="B2234" t="str">
            <v/>
          </cell>
          <cell r="D2234">
            <v>26400</v>
          </cell>
          <cell r="E2234">
            <v>15000</v>
          </cell>
          <cell r="F2234">
            <v>26000</v>
          </cell>
          <cell r="G2234">
            <v>1.0153846153846153</v>
          </cell>
        </row>
        <row r="2235">
          <cell r="B2235" t="str">
            <v/>
          </cell>
          <cell r="G2235">
            <v>0</v>
          </cell>
        </row>
        <row r="2236">
          <cell r="B2236" t="str">
            <v/>
          </cell>
          <cell r="G2236">
            <v>0</v>
          </cell>
        </row>
        <row r="2237">
          <cell r="B2237" t="str">
            <v/>
          </cell>
          <cell r="D2237">
            <v>328608</v>
          </cell>
          <cell r="E2237">
            <v>194000</v>
          </cell>
          <cell r="F2237">
            <v>338100</v>
          </cell>
          <cell r="G2237">
            <v>0.97192546583850936</v>
          </cell>
        </row>
        <row r="2238">
          <cell r="B2238" t="str">
            <v/>
          </cell>
          <cell r="G2238">
            <v>0</v>
          </cell>
        </row>
        <row r="2239">
          <cell r="B2239" t="str">
            <v/>
          </cell>
          <cell r="C2239" t="str">
            <v>TOTAL EMPLOYMENT COSTS</v>
          </cell>
          <cell r="D2239">
            <v>2826528</v>
          </cell>
          <cell r="E2239">
            <v>1547000</v>
          </cell>
          <cell r="F2239">
            <v>2634100</v>
          </cell>
          <cell r="G2239">
            <v>1.0730526555559774</v>
          </cell>
        </row>
        <row r="2240">
          <cell r="B2240" t="str">
            <v/>
          </cell>
          <cell r="G2240">
            <v>0</v>
          </cell>
        </row>
        <row r="2241">
          <cell r="B2241" t="str">
            <v/>
          </cell>
          <cell r="C2241" t="str">
            <v>DEPRECIATION- FURNITURE &amp; FITTIGS</v>
          </cell>
          <cell r="G2241">
            <v>0</v>
          </cell>
        </row>
        <row r="2242">
          <cell r="B2242" t="str">
            <v/>
          </cell>
          <cell r="G2242">
            <v>0</v>
          </cell>
        </row>
        <row r="2243">
          <cell r="B2243" t="str">
            <v/>
          </cell>
          <cell r="D2243">
            <v>0</v>
          </cell>
          <cell r="E2243">
            <v>0</v>
          </cell>
          <cell r="F2243">
            <v>0</v>
          </cell>
          <cell r="G2243">
            <v>0</v>
          </cell>
        </row>
        <row r="2244">
          <cell r="B2244" t="str">
            <v/>
          </cell>
          <cell r="C2244" t="str">
            <v>DEPRECIATION- COMPUTER &amp; OTHER EQUIPMENT</v>
          </cell>
          <cell r="G2244">
            <v>0</v>
          </cell>
        </row>
        <row r="2245">
          <cell r="B2245" t="str">
            <v/>
          </cell>
          <cell r="G2245">
            <v>0</v>
          </cell>
        </row>
        <row r="2246">
          <cell r="B2246" t="str">
            <v/>
          </cell>
          <cell r="D2246">
            <v>0</v>
          </cell>
          <cell r="E2246">
            <v>0</v>
          </cell>
          <cell r="F2246">
            <v>0</v>
          </cell>
          <cell r="G2246">
            <v>0</v>
          </cell>
        </row>
        <row r="2247">
          <cell r="B2247" t="str">
            <v/>
          </cell>
          <cell r="C2247" t="str">
            <v>DEPRECIATION- MOTOR VEHICLES</v>
          </cell>
          <cell r="G2247">
            <v>0</v>
          </cell>
        </row>
        <row r="2248">
          <cell r="B2248" t="str">
            <v/>
          </cell>
          <cell r="G2248">
            <v>0</v>
          </cell>
        </row>
        <row r="2249">
          <cell r="B2249" t="str">
            <v/>
          </cell>
          <cell r="D2249">
            <v>0</v>
          </cell>
          <cell r="E2249">
            <v>0</v>
          </cell>
          <cell r="F2249">
            <v>0</v>
          </cell>
          <cell r="G2249">
            <v>0</v>
          </cell>
        </row>
        <row r="2250">
          <cell r="B2250" t="str">
            <v/>
          </cell>
          <cell r="G2250">
            <v>0</v>
          </cell>
        </row>
        <row r="2251">
          <cell r="B2251" t="str">
            <v/>
          </cell>
          <cell r="C2251" t="str">
            <v>AMORTIZATION OF LEASEHOLD LAND</v>
          </cell>
          <cell r="G2251">
            <v>0</v>
          </cell>
        </row>
        <row r="2252">
          <cell r="B2252" t="str">
            <v/>
          </cell>
          <cell r="C2252" t="str">
            <v>AMORTIZATION OF LEASEHOLD BUILDING</v>
          </cell>
          <cell r="G2252">
            <v>0</v>
          </cell>
        </row>
        <row r="2253">
          <cell r="B2253" t="str">
            <v/>
          </cell>
          <cell r="C2253" t="str">
            <v>TOTAL DEPRECIATION</v>
          </cell>
          <cell r="D2253">
            <v>0</v>
          </cell>
          <cell r="E2253">
            <v>0</v>
          </cell>
          <cell r="F2253">
            <v>0</v>
          </cell>
          <cell r="G2253">
            <v>0</v>
          </cell>
        </row>
        <row r="2254">
          <cell r="B2254" t="str">
            <v/>
          </cell>
          <cell r="G2254">
            <v>0</v>
          </cell>
        </row>
        <row r="2255">
          <cell r="B2255" t="str">
            <v/>
          </cell>
          <cell r="C2255" t="str">
            <v>OFFICE RENT</v>
          </cell>
          <cell r="G2255">
            <v>0</v>
          </cell>
        </row>
        <row r="2256">
          <cell r="B2256" t="str">
            <v/>
          </cell>
          <cell r="G2256">
            <v>0</v>
          </cell>
        </row>
        <row r="2257">
          <cell r="B2257" t="str">
            <v/>
          </cell>
          <cell r="D2257">
            <v>0</v>
          </cell>
          <cell r="E2257">
            <v>0</v>
          </cell>
          <cell r="F2257">
            <v>0</v>
          </cell>
          <cell r="G2257">
            <v>0</v>
          </cell>
        </row>
        <row r="2258">
          <cell r="B2258" t="str">
            <v/>
          </cell>
          <cell r="G2258">
            <v>0</v>
          </cell>
        </row>
        <row r="2259">
          <cell r="B2259" t="str">
            <v/>
          </cell>
          <cell r="G2259">
            <v>0</v>
          </cell>
        </row>
        <row r="2260">
          <cell r="B2260" t="str">
            <v/>
          </cell>
          <cell r="D2260">
            <v>0</v>
          </cell>
          <cell r="E2260">
            <v>0</v>
          </cell>
          <cell r="F2260">
            <v>0</v>
          </cell>
          <cell r="G2260">
            <v>0</v>
          </cell>
        </row>
        <row r="2261">
          <cell r="B2261" t="str">
            <v/>
          </cell>
          <cell r="G2261">
            <v>0</v>
          </cell>
        </row>
        <row r="2262">
          <cell r="B2262" t="str">
            <v/>
          </cell>
          <cell r="D2262">
            <v>0</v>
          </cell>
          <cell r="E2262">
            <v>0</v>
          </cell>
          <cell r="F2262">
            <v>0</v>
          </cell>
          <cell r="G2262">
            <v>0</v>
          </cell>
        </row>
        <row r="2263">
          <cell r="B2263" t="str">
            <v/>
          </cell>
          <cell r="G2263">
            <v>0</v>
          </cell>
        </row>
        <row r="2264">
          <cell r="B2264" t="str">
            <v/>
          </cell>
          <cell r="C2264" t="str">
            <v>TOTAL OFFICE COSTS</v>
          </cell>
          <cell r="D2264">
            <v>0</v>
          </cell>
          <cell r="E2264">
            <v>0</v>
          </cell>
          <cell r="F2264">
            <v>0</v>
          </cell>
          <cell r="G2264">
            <v>0</v>
          </cell>
        </row>
        <row r="2265">
          <cell r="B2265" t="str">
            <v/>
          </cell>
          <cell r="G2265">
            <v>0</v>
          </cell>
        </row>
        <row r="2266">
          <cell r="B2266" t="str">
            <v/>
          </cell>
          <cell r="G2266">
            <v>0</v>
          </cell>
        </row>
        <row r="2267">
          <cell r="B2267" t="str">
            <v/>
          </cell>
          <cell r="G2267">
            <v>0</v>
          </cell>
        </row>
        <row r="2268">
          <cell r="B2268" t="str">
            <v/>
          </cell>
          <cell r="C2268" t="str">
            <v>TOTAL FINANCING COSTS</v>
          </cell>
          <cell r="D2268">
            <v>0</v>
          </cell>
          <cell r="E2268">
            <v>0</v>
          </cell>
          <cell r="F2268">
            <v>0</v>
          </cell>
          <cell r="G2268">
            <v>0</v>
          </cell>
        </row>
        <row r="2269">
          <cell r="B2269" t="str">
            <v/>
          </cell>
          <cell r="G2269">
            <v>0</v>
          </cell>
        </row>
        <row r="2270">
          <cell r="B2270" t="str">
            <v/>
          </cell>
          <cell r="G2270">
            <v>0</v>
          </cell>
        </row>
        <row r="2271">
          <cell r="B2271" t="str">
            <v/>
          </cell>
          <cell r="G2271">
            <v>0</v>
          </cell>
        </row>
        <row r="2272">
          <cell r="B2272" t="str">
            <v/>
          </cell>
          <cell r="C2272" t="str">
            <v>ALA GROUP CHARGES</v>
          </cell>
          <cell r="G2272">
            <v>0</v>
          </cell>
        </row>
        <row r="2273">
          <cell r="B2273" t="str">
            <v/>
          </cell>
          <cell r="C2273" t="str">
            <v>ALA Group charges- corporate Business</v>
          </cell>
          <cell r="D2273">
            <v>0</v>
          </cell>
          <cell r="F2273">
            <v>0</v>
          </cell>
          <cell r="G2273">
            <v>0</v>
          </cell>
        </row>
        <row r="2274">
          <cell r="B2274" t="str">
            <v/>
          </cell>
          <cell r="G2274">
            <v>0</v>
          </cell>
        </row>
        <row r="2275">
          <cell r="B2275" t="str">
            <v/>
          </cell>
          <cell r="C2275" t="str">
            <v>Total ALA Group charges</v>
          </cell>
          <cell r="D2275">
            <v>0</v>
          </cell>
          <cell r="E2275">
            <v>0</v>
          </cell>
          <cell r="F2275">
            <v>0</v>
          </cell>
          <cell r="G2275">
            <v>0</v>
          </cell>
        </row>
        <row r="2276">
          <cell r="B2276" t="str">
            <v/>
          </cell>
          <cell r="G2276">
            <v>0</v>
          </cell>
        </row>
        <row r="2277">
          <cell r="B2277" t="str">
            <v/>
          </cell>
          <cell r="C2277" t="str">
            <v>ACTUARIAL FEES</v>
          </cell>
          <cell r="G2277">
            <v>0</v>
          </cell>
        </row>
        <row r="2278">
          <cell r="B2278" t="str">
            <v/>
          </cell>
          <cell r="C2278" t="str">
            <v>Actuarial fees- Corporate Business</v>
          </cell>
          <cell r="D2278">
            <v>0</v>
          </cell>
          <cell r="F2278">
            <v>0</v>
          </cell>
          <cell r="G2278">
            <v>0</v>
          </cell>
        </row>
        <row r="2279">
          <cell r="B2279" t="str">
            <v/>
          </cell>
          <cell r="G2279">
            <v>0</v>
          </cell>
        </row>
        <row r="2280">
          <cell r="B2280" t="str">
            <v/>
          </cell>
          <cell r="C2280" t="str">
            <v>Total Actuarial fees</v>
          </cell>
          <cell r="D2280">
            <v>0</v>
          </cell>
          <cell r="E2280">
            <v>0</v>
          </cell>
          <cell r="F2280">
            <v>0</v>
          </cell>
          <cell r="G2280">
            <v>0</v>
          </cell>
        </row>
        <row r="2281">
          <cell r="B2281" t="str">
            <v/>
          </cell>
          <cell r="G2281">
            <v>0</v>
          </cell>
        </row>
        <row r="2282">
          <cell r="B2282" t="str">
            <v/>
          </cell>
          <cell r="G2282">
            <v>0</v>
          </cell>
        </row>
        <row r="2283">
          <cell r="B2283" t="str">
            <v/>
          </cell>
          <cell r="C2283" t="str">
            <v>INTRA COMPANY CHARGES</v>
          </cell>
          <cell r="G2283">
            <v>0</v>
          </cell>
        </row>
        <row r="2284">
          <cell r="B2284" t="str">
            <v/>
          </cell>
          <cell r="G2284">
            <v>0</v>
          </cell>
        </row>
        <row r="2285">
          <cell r="B2285" t="str">
            <v/>
          </cell>
          <cell r="G2285">
            <v>0</v>
          </cell>
        </row>
        <row r="2286">
          <cell r="B2286" t="str">
            <v/>
          </cell>
          <cell r="C2286" t="str">
            <v>Total intra company charges</v>
          </cell>
          <cell r="D2286">
            <v>0</v>
          </cell>
          <cell r="E2286">
            <v>0</v>
          </cell>
          <cell r="F2286">
            <v>0</v>
          </cell>
          <cell r="G2286">
            <v>0</v>
          </cell>
        </row>
        <row r="2287">
          <cell r="B2287" t="str">
            <v/>
          </cell>
          <cell r="G2287">
            <v>0</v>
          </cell>
        </row>
        <row r="2288">
          <cell r="B2288" t="str">
            <v/>
          </cell>
          <cell r="C2288" t="str">
            <v>AUDIT FEE &amp; TAX FILLING FEES</v>
          </cell>
          <cell r="G2288">
            <v>0</v>
          </cell>
        </row>
        <row r="2289">
          <cell r="B2289" t="str">
            <v/>
          </cell>
          <cell r="G2289">
            <v>0</v>
          </cell>
        </row>
        <row r="2290">
          <cell r="B2290" t="str">
            <v/>
          </cell>
          <cell r="D2290">
            <v>0</v>
          </cell>
          <cell r="E2290">
            <v>0</v>
          </cell>
          <cell r="F2290">
            <v>0</v>
          </cell>
          <cell r="G2290">
            <v>0</v>
          </cell>
        </row>
        <row r="2291">
          <cell r="B2291" t="str">
            <v/>
          </cell>
          <cell r="G2291">
            <v>0</v>
          </cell>
        </row>
        <row r="2292">
          <cell r="B2292" t="str">
            <v/>
          </cell>
          <cell r="C2292" t="str">
            <v>TOTAL PROFESSIONAL &amp; GROUP CHARGES</v>
          </cell>
          <cell r="D2292">
            <v>0</v>
          </cell>
          <cell r="E2292">
            <v>0</v>
          </cell>
          <cell r="F2292">
            <v>0</v>
          </cell>
          <cell r="G2292">
            <v>0</v>
          </cell>
        </row>
        <row r="2293">
          <cell r="B2293" t="str">
            <v/>
          </cell>
          <cell r="G2293">
            <v>0</v>
          </cell>
        </row>
        <row r="2294">
          <cell r="B2294" t="str">
            <v/>
          </cell>
          <cell r="G2294">
            <v>0</v>
          </cell>
        </row>
        <row r="2295">
          <cell r="B2295" t="str">
            <v/>
          </cell>
          <cell r="G2295">
            <v>0</v>
          </cell>
        </row>
        <row r="2296">
          <cell r="B2296" t="str">
            <v/>
          </cell>
          <cell r="C2296" t="str">
            <v>TOTAL ADMINSTRATION EXPENSES</v>
          </cell>
          <cell r="D2296">
            <v>5519760</v>
          </cell>
          <cell r="E2296">
            <v>2697875</v>
          </cell>
          <cell r="F2296">
            <v>4626380</v>
          </cell>
          <cell r="G2296">
            <v>1.1931056247000893</v>
          </cell>
        </row>
        <row r="2297">
          <cell r="B2297" t="str">
            <v/>
          </cell>
          <cell r="G2297">
            <v>0</v>
          </cell>
        </row>
        <row r="2298">
          <cell r="B2298" t="str">
            <v/>
          </cell>
          <cell r="G2298">
            <v>0</v>
          </cell>
        </row>
        <row r="2299">
          <cell r="B2299" t="str">
            <v/>
          </cell>
          <cell r="C2299" t="str">
            <v>TOTAL UNIT EXPENSES BERORE RECHARGES</v>
          </cell>
          <cell r="D2299">
            <v>8346288</v>
          </cell>
          <cell r="E2299">
            <v>4244875</v>
          </cell>
          <cell r="F2299">
            <v>7260480.0000000009</v>
          </cell>
          <cell r="G2299">
            <v>1.1495504429459207</v>
          </cell>
        </row>
        <row r="2300">
          <cell r="B2300" t="str">
            <v/>
          </cell>
          <cell r="G2300">
            <v>0</v>
          </cell>
        </row>
        <row r="2301">
          <cell r="G2301">
            <v>0</v>
          </cell>
        </row>
        <row r="2302">
          <cell r="C2302" t="str">
            <v>TOTAL UNIT EXPENSESAFTER RECHARGES</v>
          </cell>
          <cell r="D2302">
            <v>8346288</v>
          </cell>
          <cell r="E2302">
            <v>4244875</v>
          </cell>
          <cell r="F2302">
            <v>7260480.0000000009</v>
          </cell>
          <cell r="G2302">
            <v>1.1495504429459207</v>
          </cell>
        </row>
        <row r="2304">
          <cell r="D2304" t="str">
            <v>greater than 10%</v>
          </cell>
        </row>
        <row r="2319">
          <cell r="B2319" t="str">
            <v/>
          </cell>
          <cell r="G2319">
            <v>0</v>
          </cell>
        </row>
        <row r="2320">
          <cell r="B2320" t="str">
            <v/>
          </cell>
          <cell r="D2320">
            <v>4845456</v>
          </cell>
          <cell r="E2320">
            <v>2390000</v>
          </cell>
          <cell r="F2320">
            <v>4217000</v>
          </cell>
          <cell r="G2320">
            <v>1.1490291676547308</v>
          </cell>
        </row>
        <row r="2321">
          <cell r="B2321" t="str">
            <v/>
          </cell>
          <cell r="G2321">
            <v>0</v>
          </cell>
        </row>
        <row r="2322">
          <cell r="B2322" t="str">
            <v/>
          </cell>
          <cell r="G2322">
            <v>0</v>
          </cell>
        </row>
        <row r="2323">
          <cell r="B2323" t="str">
            <v/>
          </cell>
          <cell r="G2323">
            <v>0</v>
          </cell>
        </row>
        <row r="2324">
          <cell r="B2324" t="str">
            <v/>
          </cell>
          <cell r="D2324">
            <v>42240</v>
          </cell>
          <cell r="E2324">
            <v>19000</v>
          </cell>
          <cell r="F2324">
            <v>36600</v>
          </cell>
          <cell r="G2324">
            <v>1.1540983606557378</v>
          </cell>
        </row>
        <row r="2325">
          <cell r="B2325" t="str">
            <v/>
          </cell>
          <cell r="G2325">
            <v>0</v>
          </cell>
        </row>
        <row r="2326">
          <cell r="B2326" t="str">
            <v/>
          </cell>
          <cell r="G2326">
            <v>0</v>
          </cell>
        </row>
        <row r="2327">
          <cell r="B2327" t="str">
            <v/>
          </cell>
          <cell r="D2327">
            <v>644918.4</v>
          </cell>
          <cell r="E2327">
            <v>291000</v>
          </cell>
          <cell r="F2327">
            <v>537787.14285714284</v>
          </cell>
          <cell r="G2327">
            <v>1.1992075462676419</v>
          </cell>
        </row>
        <row r="2328">
          <cell r="B2328" t="str">
            <v/>
          </cell>
          <cell r="G2328">
            <v>0</v>
          </cell>
        </row>
        <row r="2329">
          <cell r="B2329" t="str">
            <v/>
          </cell>
          <cell r="C2329" t="str">
            <v>TOTAL EMPLOYMENT COSTS</v>
          </cell>
          <cell r="D2329">
            <v>5532614.4000000004</v>
          </cell>
          <cell r="E2329">
            <v>2700000</v>
          </cell>
          <cell r="F2329">
            <v>4791387.1428571427</v>
          </cell>
          <cell r="G2329">
            <v>1.1546999303214012</v>
          </cell>
        </row>
        <row r="2330">
          <cell r="B2330" t="str">
            <v/>
          </cell>
          <cell r="G2330">
            <v>0</v>
          </cell>
        </row>
        <row r="2331">
          <cell r="B2331" t="str">
            <v/>
          </cell>
          <cell r="C2331" t="str">
            <v>DEPRECIATION- FURNITURE &amp; FITTIGS</v>
          </cell>
          <cell r="G2331">
            <v>0</v>
          </cell>
        </row>
        <row r="2332">
          <cell r="B2332" t="str">
            <v/>
          </cell>
          <cell r="G2332">
            <v>0</v>
          </cell>
        </row>
        <row r="2333">
          <cell r="B2333" t="str">
            <v/>
          </cell>
          <cell r="D2333">
            <v>0</v>
          </cell>
          <cell r="E2333">
            <v>0</v>
          </cell>
          <cell r="F2333">
            <v>0</v>
          </cell>
          <cell r="G2333">
            <v>0</v>
          </cell>
        </row>
        <row r="2334">
          <cell r="B2334" t="str">
            <v/>
          </cell>
          <cell r="C2334" t="str">
            <v>DEPRECIATION- COMPUTER &amp; OTHER EQUIPMENT</v>
          </cell>
          <cell r="G2334">
            <v>0</v>
          </cell>
        </row>
        <row r="2335">
          <cell r="B2335" t="str">
            <v/>
          </cell>
          <cell r="G2335">
            <v>0</v>
          </cell>
        </row>
        <row r="2336">
          <cell r="B2336" t="str">
            <v/>
          </cell>
          <cell r="D2336">
            <v>0</v>
          </cell>
          <cell r="E2336">
            <v>0</v>
          </cell>
          <cell r="F2336">
            <v>0</v>
          </cell>
          <cell r="G2336">
            <v>0</v>
          </cell>
        </row>
        <row r="2337">
          <cell r="B2337" t="str">
            <v/>
          </cell>
          <cell r="C2337" t="str">
            <v>DEPRECIATION- MOTOR VEHICLES</v>
          </cell>
          <cell r="G2337">
            <v>0</v>
          </cell>
        </row>
        <row r="2338">
          <cell r="B2338" t="str">
            <v/>
          </cell>
          <cell r="G2338">
            <v>0</v>
          </cell>
        </row>
        <row r="2339">
          <cell r="B2339" t="str">
            <v/>
          </cell>
          <cell r="D2339">
            <v>0</v>
          </cell>
          <cell r="E2339">
            <v>0</v>
          </cell>
          <cell r="F2339">
            <v>0</v>
          </cell>
          <cell r="G2339">
            <v>0</v>
          </cell>
        </row>
        <row r="2340">
          <cell r="B2340" t="str">
            <v/>
          </cell>
          <cell r="G2340">
            <v>0</v>
          </cell>
        </row>
        <row r="2341">
          <cell r="B2341" t="str">
            <v/>
          </cell>
          <cell r="C2341" t="str">
            <v>AMORTIZATION OF LEASEHOLD LAND</v>
          </cell>
          <cell r="G2341">
            <v>0</v>
          </cell>
        </row>
        <row r="2342">
          <cell r="B2342" t="str">
            <v/>
          </cell>
          <cell r="C2342" t="str">
            <v>AMORTIZATION OF LEASEHOLD BUILDING</v>
          </cell>
          <cell r="G2342">
            <v>0</v>
          </cell>
        </row>
        <row r="2343">
          <cell r="B2343" t="str">
            <v/>
          </cell>
          <cell r="C2343" t="str">
            <v>TOTAL DEPRECIATION</v>
          </cell>
          <cell r="D2343">
            <v>0</v>
          </cell>
          <cell r="E2343">
            <v>0</v>
          </cell>
          <cell r="F2343">
            <v>0</v>
          </cell>
          <cell r="G2343">
            <v>0</v>
          </cell>
        </row>
        <row r="2344">
          <cell r="B2344" t="str">
            <v/>
          </cell>
          <cell r="G2344">
            <v>0</v>
          </cell>
        </row>
        <row r="2345">
          <cell r="B2345" t="str">
            <v/>
          </cell>
          <cell r="C2345" t="str">
            <v>OFFICE RENT</v>
          </cell>
          <cell r="G2345">
            <v>0</v>
          </cell>
        </row>
        <row r="2346">
          <cell r="B2346" t="str">
            <v/>
          </cell>
          <cell r="G2346">
            <v>0</v>
          </cell>
        </row>
        <row r="2347">
          <cell r="B2347" t="str">
            <v/>
          </cell>
          <cell r="D2347">
            <v>0</v>
          </cell>
          <cell r="E2347">
            <v>0</v>
          </cell>
          <cell r="F2347">
            <v>0</v>
          </cell>
          <cell r="G2347">
            <v>0</v>
          </cell>
        </row>
        <row r="2348">
          <cell r="B2348" t="str">
            <v/>
          </cell>
          <cell r="G2348">
            <v>0</v>
          </cell>
        </row>
        <row r="2349">
          <cell r="B2349" t="str">
            <v/>
          </cell>
          <cell r="G2349">
            <v>0</v>
          </cell>
        </row>
        <row r="2350">
          <cell r="B2350" t="str">
            <v/>
          </cell>
          <cell r="D2350">
            <v>0</v>
          </cell>
          <cell r="E2350">
            <v>0</v>
          </cell>
          <cell r="F2350">
            <v>0</v>
          </cell>
          <cell r="G2350">
            <v>0</v>
          </cell>
        </row>
        <row r="2351">
          <cell r="B2351" t="str">
            <v/>
          </cell>
          <cell r="G2351">
            <v>0</v>
          </cell>
        </row>
        <row r="2352">
          <cell r="B2352" t="str">
            <v/>
          </cell>
          <cell r="D2352">
            <v>0</v>
          </cell>
          <cell r="E2352">
            <v>0</v>
          </cell>
          <cell r="F2352">
            <v>0</v>
          </cell>
          <cell r="G2352">
            <v>0</v>
          </cell>
        </row>
        <row r="2353">
          <cell r="B2353" t="str">
            <v/>
          </cell>
          <cell r="G2353">
            <v>0</v>
          </cell>
        </row>
        <row r="2354">
          <cell r="B2354" t="str">
            <v/>
          </cell>
          <cell r="C2354" t="str">
            <v>TOTAL OFFICE COSTS</v>
          </cell>
          <cell r="D2354">
            <v>0</v>
          </cell>
          <cell r="E2354">
            <v>0</v>
          </cell>
          <cell r="F2354">
            <v>0</v>
          </cell>
          <cell r="G2354">
            <v>0</v>
          </cell>
        </row>
        <row r="2355">
          <cell r="B2355" t="str">
            <v/>
          </cell>
          <cell r="G2355">
            <v>0</v>
          </cell>
        </row>
        <row r="2356">
          <cell r="B2356" t="str">
            <v/>
          </cell>
          <cell r="G2356">
            <v>0</v>
          </cell>
        </row>
        <row r="2357">
          <cell r="B2357" t="str">
            <v/>
          </cell>
          <cell r="G2357">
            <v>0</v>
          </cell>
        </row>
        <row r="2358">
          <cell r="B2358" t="str">
            <v/>
          </cell>
          <cell r="C2358" t="str">
            <v>TOTAL FINANCING COSTS</v>
          </cell>
          <cell r="D2358">
            <v>0</v>
          </cell>
          <cell r="E2358">
            <v>0</v>
          </cell>
          <cell r="F2358">
            <v>0</v>
          </cell>
          <cell r="G2358">
            <v>0</v>
          </cell>
        </row>
        <row r="2359">
          <cell r="B2359" t="str">
            <v/>
          </cell>
          <cell r="G2359">
            <v>0</v>
          </cell>
        </row>
        <row r="2360">
          <cell r="B2360" t="str">
            <v/>
          </cell>
          <cell r="G2360">
            <v>0</v>
          </cell>
        </row>
        <row r="2361">
          <cell r="B2361" t="str">
            <v/>
          </cell>
          <cell r="G2361">
            <v>0</v>
          </cell>
        </row>
        <row r="2362">
          <cell r="B2362" t="str">
            <v/>
          </cell>
          <cell r="C2362" t="str">
            <v>ALA GROUP CHARGES</v>
          </cell>
          <cell r="G2362">
            <v>0</v>
          </cell>
        </row>
        <row r="2363">
          <cell r="B2363" t="str">
            <v/>
          </cell>
          <cell r="C2363" t="str">
            <v>ALA Group charges- corporate Business</v>
          </cell>
          <cell r="D2363">
            <v>0</v>
          </cell>
          <cell r="F2363">
            <v>0</v>
          </cell>
          <cell r="G2363">
            <v>0</v>
          </cell>
        </row>
        <row r="2364">
          <cell r="B2364" t="str">
            <v/>
          </cell>
          <cell r="G2364">
            <v>0</v>
          </cell>
        </row>
        <row r="2365">
          <cell r="B2365" t="str">
            <v/>
          </cell>
          <cell r="C2365" t="str">
            <v>Total ALA Group charges</v>
          </cell>
          <cell r="D2365">
            <v>0</v>
          </cell>
          <cell r="E2365">
            <v>0</v>
          </cell>
          <cell r="F2365">
            <v>0</v>
          </cell>
          <cell r="G2365">
            <v>0</v>
          </cell>
        </row>
        <row r="2366">
          <cell r="B2366" t="str">
            <v/>
          </cell>
          <cell r="G2366">
            <v>0</v>
          </cell>
        </row>
        <row r="2367">
          <cell r="B2367" t="str">
            <v/>
          </cell>
          <cell r="C2367" t="str">
            <v>ACTUARIAL FEES</v>
          </cell>
          <cell r="G2367">
            <v>0</v>
          </cell>
        </row>
        <row r="2368">
          <cell r="B2368" t="str">
            <v/>
          </cell>
          <cell r="C2368" t="str">
            <v>Actuarial fees- Corporate Business</v>
          </cell>
          <cell r="D2368">
            <v>0</v>
          </cell>
          <cell r="F2368">
            <v>0</v>
          </cell>
          <cell r="G2368">
            <v>0</v>
          </cell>
        </row>
        <row r="2369">
          <cell r="B2369" t="str">
            <v/>
          </cell>
          <cell r="G2369">
            <v>0</v>
          </cell>
        </row>
        <row r="2370">
          <cell r="B2370" t="str">
            <v/>
          </cell>
          <cell r="C2370" t="str">
            <v>Total Actuarial fees</v>
          </cell>
          <cell r="D2370">
            <v>0</v>
          </cell>
          <cell r="E2370">
            <v>0</v>
          </cell>
          <cell r="F2370">
            <v>0</v>
          </cell>
          <cell r="G2370">
            <v>0</v>
          </cell>
        </row>
        <row r="2371">
          <cell r="B2371" t="str">
            <v/>
          </cell>
          <cell r="G2371">
            <v>0</v>
          </cell>
        </row>
        <row r="2372">
          <cell r="B2372" t="str">
            <v/>
          </cell>
          <cell r="G2372">
            <v>0</v>
          </cell>
        </row>
        <row r="2373">
          <cell r="B2373" t="str">
            <v/>
          </cell>
          <cell r="C2373" t="str">
            <v>INTRA COMPANY CHARGES</v>
          </cell>
          <cell r="G2373">
            <v>0</v>
          </cell>
        </row>
        <row r="2374">
          <cell r="B2374" t="str">
            <v/>
          </cell>
          <cell r="G2374">
            <v>0</v>
          </cell>
        </row>
        <row r="2375">
          <cell r="B2375" t="str">
            <v/>
          </cell>
          <cell r="G2375">
            <v>0</v>
          </cell>
        </row>
        <row r="2376">
          <cell r="B2376" t="str">
            <v/>
          </cell>
          <cell r="C2376" t="str">
            <v>Total intra company charges</v>
          </cell>
          <cell r="D2376">
            <v>0</v>
          </cell>
          <cell r="E2376">
            <v>0</v>
          </cell>
          <cell r="F2376">
            <v>0</v>
          </cell>
          <cell r="G2376">
            <v>0</v>
          </cell>
        </row>
        <row r="2377">
          <cell r="B2377" t="str">
            <v/>
          </cell>
          <cell r="G2377">
            <v>0</v>
          </cell>
        </row>
        <row r="2378">
          <cell r="B2378" t="str">
            <v/>
          </cell>
          <cell r="C2378" t="str">
            <v>AUDIT FEE &amp; TAX FILLING FEES</v>
          </cell>
          <cell r="G2378">
            <v>0</v>
          </cell>
        </row>
        <row r="2379">
          <cell r="B2379" t="str">
            <v/>
          </cell>
          <cell r="G2379">
            <v>0</v>
          </cell>
        </row>
        <row r="2380">
          <cell r="B2380" t="str">
            <v/>
          </cell>
          <cell r="D2380">
            <v>0</v>
          </cell>
          <cell r="E2380">
            <v>0</v>
          </cell>
          <cell r="F2380">
            <v>0</v>
          </cell>
          <cell r="G2380">
            <v>0</v>
          </cell>
        </row>
        <row r="2381">
          <cell r="B2381" t="str">
            <v/>
          </cell>
          <cell r="G2381">
            <v>0</v>
          </cell>
        </row>
        <row r="2382">
          <cell r="B2382" t="str">
            <v/>
          </cell>
          <cell r="C2382" t="str">
            <v>TOTAL PROFESSIONAL &amp; GROUP CHARGES</v>
          </cell>
          <cell r="D2382">
            <v>0</v>
          </cell>
          <cell r="E2382">
            <v>0</v>
          </cell>
          <cell r="F2382">
            <v>0</v>
          </cell>
          <cell r="G2382">
            <v>0</v>
          </cell>
        </row>
        <row r="2383">
          <cell r="B2383" t="str">
            <v/>
          </cell>
          <cell r="G2383">
            <v>0</v>
          </cell>
        </row>
        <row r="2384">
          <cell r="B2384" t="str">
            <v/>
          </cell>
          <cell r="G2384">
            <v>0</v>
          </cell>
        </row>
        <row r="2385">
          <cell r="B2385" t="str">
            <v/>
          </cell>
          <cell r="G2385">
            <v>0</v>
          </cell>
        </row>
        <row r="2386">
          <cell r="B2386" t="str">
            <v/>
          </cell>
          <cell r="C2386" t="str">
            <v>TOTAL ADMINSTRATION EXPENSES</v>
          </cell>
          <cell r="D2386">
            <v>1009353</v>
          </cell>
          <cell r="E2386">
            <v>569400</v>
          </cell>
          <cell r="F2386">
            <v>976114.28571428568</v>
          </cell>
          <cell r="G2386">
            <v>1.0340520723568669</v>
          </cell>
        </row>
        <row r="2387">
          <cell r="B2387" t="str">
            <v/>
          </cell>
          <cell r="G2387">
            <v>0</v>
          </cell>
        </row>
        <row r="2388">
          <cell r="B2388" t="str">
            <v/>
          </cell>
          <cell r="G2388">
            <v>0</v>
          </cell>
        </row>
        <row r="2389">
          <cell r="B2389" t="str">
            <v/>
          </cell>
          <cell r="C2389" t="str">
            <v>TOTAL UNIT EXPENSES BERORE RECHARGES</v>
          </cell>
          <cell r="D2389">
            <v>6541967.4000000004</v>
          </cell>
          <cell r="E2389">
            <v>3269400</v>
          </cell>
          <cell r="F2389">
            <v>5767501.4285714282</v>
          </cell>
          <cell r="G2389">
            <v>1.1342810194362452</v>
          </cell>
        </row>
        <row r="2390">
          <cell r="B2390" t="str">
            <v/>
          </cell>
          <cell r="G2390">
            <v>0</v>
          </cell>
        </row>
        <row r="2391">
          <cell r="G2391">
            <v>0</v>
          </cell>
        </row>
        <row r="2392">
          <cell r="C2392" t="str">
            <v>TOTAL UNIT EXPENSESAFTER RECHARGES</v>
          </cell>
          <cell r="D2392">
            <v>6541967.4000000004</v>
          </cell>
          <cell r="E2392">
            <v>3269400</v>
          </cell>
          <cell r="F2392">
            <v>5767501.4285714282</v>
          </cell>
          <cell r="G2392">
            <v>1.1342810194362452</v>
          </cell>
        </row>
        <row r="2394">
          <cell r="D2394" t="str">
            <v>greater than 10%</v>
          </cell>
        </row>
        <row r="2409">
          <cell r="B2409" t="str">
            <v/>
          </cell>
          <cell r="G2409">
            <v>0</v>
          </cell>
        </row>
        <row r="2410">
          <cell r="B2410" t="str">
            <v/>
          </cell>
          <cell r="D2410">
            <v>4505604</v>
          </cell>
          <cell r="E2410">
            <v>2417000</v>
          </cell>
          <cell r="F2410">
            <v>4119000</v>
          </cell>
          <cell r="G2410">
            <v>1.0938587035688276</v>
          </cell>
          <cell r="H2410" t="str">
            <v>Deployment of  S. Simwa from Customer Service and budget for new staff</v>
          </cell>
        </row>
        <row r="2411">
          <cell r="B2411" t="str">
            <v/>
          </cell>
          <cell r="G2411">
            <v>0</v>
          </cell>
        </row>
        <row r="2412">
          <cell r="B2412" t="str">
            <v/>
          </cell>
          <cell r="G2412">
            <v>0</v>
          </cell>
        </row>
        <row r="2413">
          <cell r="B2413" t="str">
            <v/>
          </cell>
          <cell r="G2413">
            <v>0</v>
          </cell>
        </row>
        <row r="2414">
          <cell r="B2414" t="str">
            <v/>
          </cell>
          <cell r="D2414">
            <v>31680</v>
          </cell>
          <cell r="E2414">
            <v>15000</v>
          </cell>
          <cell r="F2414">
            <v>28200</v>
          </cell>
          <cell r="G2414">
            <v>1.123404255319149</v>
          </cell>
          <cell r="H2414" t="str">
            <v>Deployment of  S. Simwa from Customer Service and budget for new staff</v>
          </cell>
        </row>
        <row r="2415">
          <cell r="B2415" t="str">
            <v/>
          </cell>
          <cell r="G2415">
            <v>0</v>
          </cell>
        </row>
        <row r="2416">
          <cell r="B2416" t="str">
            <v/>
          </cell>
          <cell r="G2416">
            <v>0</v>
          </cell>
        </row>
        <row r="2417">
          <cell r="B2417" t="str">
            <v/>
          </cell>
          <cell r="D2417">
            <v>668371.18000000005</v>
          </cell>
          <cell r="E2417">
            <v>364000</v>
          </cell>
          <cell r="F2417">
            <v>673557.5</v>
          </cell>
          <cell r="G2417">
            <v>0.99230010800859625</v>
          </cell>
        </row>
        <row r="2418">
          <cell r="B2418" t="str">
            <v/>
          </cell>
          <cell r="G2418">
            <v>0</v>
          </cell>
        </row>
        <row r="2419">
          <cell r="B2419" t="str">
            <v/>
          </cell>
          <cell r="C2419" t="str">
            <v>TOTAL EMPLOYMENT COSTS</v>
          </cell>
          <cell r="D2419">
            <v>5205655.18</v>
          </cell>
          <cell r="E2419">
            <v>2796000</v>
          </cell>
          <cell r="F2419">
            <v>4820757.5</v>
          </cell>
          <cell r="G2419">
            <v>1.0798417427136711</v>
          </cell>
          <cell r="H2419" t="str">
            <v>Deployment of  S. Simwa from Customer Service and budget for new staff</v>
          </cell>
        </row>
        <row r="2420">
          <cell r="B2420" t="str">
            <v/>
          </cell>
          <cell r="G2420">
            <v>0</v>
          </cell>
        </row>
        <row r="2421">
          <cell r="B2421" t="str">
            <v/>
          </cell>
          <cell r="C2421" t="str">
            <v>DEPRECIATION- FURNITURE &amp; FITTIGS</v>
          </cell>
          <cell r="G2421">
            <v>0</v>
          </cell>
        </row>
        <row r="2422">
          <cell r="B2422" t="str">
            <v/>
          </cell>
          <cell r="G2422">
            <v>0</v>
          </cell>
        </row>
        <row r="2423">
          <cell r="B2423" t="str">
            <v/>
          </cell>
          <cell r="D2423">
            <v>0</v>
          </cell>
          <cell r="E2423">
            <v>0</v>
          </cell>
          <cell r="F2423">
            <v>0</v>
          </cell>
          <cell r="G2423">
            <v>0</v>
          </cell>
        </row>
        <row r="2424">
          <cell r="B2424" t="str">
            <v/>
          </cell>
          <cell r="C2424" t="str">
            <v>DEPRECIATION- COMPUTER &amp; OTHER EQUIPMENT</v>
          </cell>
          <cell r="G2424">
            <v>0</v>
          </cell>
        </row>
        <row r="2425">
          <cell r="B2425" t="str">
            <v/>
          </cell>
          <cell r="G2425">
            <v>0</v>
          </cell>
        </row>
        <row r="2426">
          <cell r="B2426" t="str">
            <v/>
          </cell>
          <cell r="D2426">
            <v>0</v>
          </cell>
          <cell r="E2426">
            <v>0</v>
          </cell>
          <cell r="F2426">
            <v>0</v>
          </cell>
          <cell r="G2426">
            <v>0</v>
          </cell>
        </row>
        <row r="2427">
          <cell r="B2427" t="str">
            <v/>
          </cell>
          <cell r="C2427" t="str">
            <v>DEPRECIATION- MOTOR VEHICLES</v>
          </cell>
          <cell r="G2427">
            <v>0</v>
          </cell>
        </row>
        <row r="2428">
          <cell r="B2428" t="str">
            <v/>
          </cell>
          <cell r="G2428">
            <v>0</v>
          </cell>
        </row>
        <row r="2429">
          <cell r="B2429" t="str">
            <v/>
          </cell>
          <cell r="D2429">
            <v>0</v>
          </cell>
          <cell r="E2429">
            <v>0</v>
          </cell>
          <cell r="F2429">
            <v>0</v>
          </cell>
          <cell r="G2429">
            <v>0</v>
          </cell>
        </row>
        <row r="2430">
          <cell r="B2430" t="str">
            <v/>
          </cell>
          <cell r="G2430">
            <v>0</v>
          </cell>
        </row>
        <row r="2431">
          <cell r="B2431" t="str">
            <v/>
          </cell>
          <cell r="C2431" t="str">
            <v>AMORTIZATION OF LEASEHOLD LAND</v>
          </cell>
          <cell r="G2431">
            <v>0</v>
          </cell>
        </row>
        <row r="2432">
          <cell r="B2432" t="str">
            <v/>
          </cell>
          <cell r="C2432" t="str">
            <v>AMORTIZATION OF LEASEHOLD BUILDING</v>
          </cell>
          <cell r="G2432">
            <v>0</v>
          </cell>
        </row>
        <row r="2433">
          <cell r="B2433" t="str">
            <v/>
          </cell>
          <cell r="C2433" t="str">
            <v>TOTAL DEPRECIATION</v>
          </cell>
          <cell r="D2433">
            <v>0</v>
          </cell>
          <cell r="E2433">
            <v>0</v>
          </cell>
          <cell r="F2433">
            <v>0</v>
          </cell>
          <cell r="G2433">
            <v>0</v>
          </cell>
        </row>
        <row r="2434">
          <cell r="B2434" t="str">
            <v/>
          </cell>
          <cell r="G2434">
            <v>0</v>
          </cell>
        </row>
        <row r="2435">
          <cell r="B2435" t="str">
            <v/>
          </cell>
          <cell r="C2435" t="str">
            <v>OFFICE RENT</v>
          </cell>
          <cell r="G2435">
            <v>0</v>
          </cell>
        </row>
        <row r="2436">
          <cell r="B2436" t="str">
            <v/>
          </cell>
          <cell r="G2436">
            <v>0</v>
          </cell>
        </row>
        <row r="2437">
          <cell r="B2437" t="str">
            <v/>
          </cell>
          <cell r="D2437">
            <v>0</v>
          </cell>
          <cell r="E2437">
            <v>0</v>
          </cell>
          <cell r="F2437">
            <v>0</v>
          </cell>
          <cell r="G2437">
            <v>0</v>
          </cell>
        </row>
        <row r="2438">
          <cell r="B2438" t="str">
            <v/>
          </cell>
          <cell r="G2438">
            <v>0</v>
          </cell>
        </row>
        <row r="2439">
          <cell r="B2439" t="str">
            <v/>
          </cell>
          <cell r="G2439">
            <v>0</v>
          </cell>
        </row>
        <row r="2440">
          <cell r="B2440" t="str">
            <v/>
          </cell>
          <cell r="D2440">
            <v>0</v>
          </cell>
          <cell r="E2440">
            <v>0</v>
          </cell>
          <cell r="F2440">
            <v>0</v>
          </cell>
          <cell r="G2440">
            <v>0</v>
          </cell>
        </row>
        <row r="2441">
          <cell r="B2441" t="str">
            <v/>
          </cell>
          <cell r="G2441">
            <v>0</v>
          </cell>
        </row>
        <row r="2442">
          <cell r="B2442" t="str">
            <v/>
          </cell>
          <cell r="D2442">
            <v>0</v>
          </cell>
          <cell r="E2442">
            <v>0</v>
          </cell>
          <cell r="F2442">
            <v>0</v>
          </cell>
          <cell r="G2442">
            <v>0</v>
          </cell>
        </row>
        <row r="2443">
          <cell r="B2443" t="str">
            <v/>
          </cell>
          <cell r="G2443">
            <v>0</v>
          </cell>
        </row>
        <row r="2444">
          <cell r="B2444" t="str">
            <v/>
          </cell>
          <cell r="C2444" t="str">
            <v>TOTAL OFFICE COSTS</v>
          </cell>
          <cell r="D2444">
            <v>0</v>
          </cell>
          <cell r="E2444">
            <v>0</v>
          </cell>
          <cell r="F2444">
            <v>0</v>
          </cell>
          <cell r="G2444">
            <v>0</v>
          </cell>
        </row>
        <row r="2445">
          <cell r="B2445" t="str">
            <v/>
          </cell>
          <cell r="G2445">
            <v>0</v>
          </cell>
        </row>
        <row r="2446">
          <cell r="B2446" t="str">
            <v/>
          </cell>
          <cell r="G2446">
            <v>0</v>
          </cell>
        </row>
        <row r="2447">
          <cell r="B2447" t="str">
            <v/>
          </cell>
          <cell r="G2447">
            <v>0</v>
          </cell>
        </row>
        <row r="2448">
          <cell r="B2448" t="str">
            <v/>
          </cell>
          <cell r="C2448" t="str">
            <v>TOTAL FINANCING COSTS</v>
          </cell>
          <cell r="D2448">
            <v>0</v>
          </cell>
          <cell r="E2448">
            <v>0</v>
          </cell>
          <cell r="F2448">
            <v>0</v>
          </cell>
          <cell r="G2448">
            <v>0</v>
          </cell>
        </row>
        <row r="2449">
          <cell r="B2449" t="str">
            <v/>
          </cell>
          <cell r="G2449">
            <v>0</v>
          </cell>
        </row>
        <row r="2450">
          <cell r="B2450" t="str">
            <v/>
          </cell>
          <cell r="G2450">
            <v>0</v>
          </cell>
        </row>
        <row r="2451">
          <cell r="B2451" t="str">
            <v/>
          </cell>
          <cell r="G2451">
            <v>0</v>
          </cell>
        </row>
        <row r="2452">
          <cell r="B2452" t="str">
            <v/>
          </cell>
          <cell r="C2452" t="str">
            <v>ALA GROUP CHARGES</v>
          </cell>
          <cell r="F2452">
            <v>0</v>
          </cell>
          <cell r="G2452">
            <v>0</v>
          </cell>
        </row>
        <row r="2453">
          <cell r="B2453" t="str">
            <v/>
          </cell>
          <cell r="C2453" t="str">
            <v>ALA Group charges- corporate Business</v>
          </cell>
          <cell r="D2453">
            <v>0</v>
          </cell>
          <cell r="F2453">
            <v>0</v>
          </cell>
          <cell r="G2453">
            <v>0</v>
          </cell>
        </row>
        <row r="2454">
          <cell r="B2454" t="str">
            <v/>
          </cell>
          <cell r="G2454">
            <v>0</v>
          </cell>
        </row>
        <row r="2455">
          <cell r="B2455" t="str">
            <v/>
          </cell>
          <cell r="C2455" t="str">
            <v>Total ALA Group charges</v>
          </cell>
          <cell r="D2455">
            <v>0</v>
          </cell>
          <cell r="E2455">
            <v>0</v>
          </cell>
          <cell r="F2455">
            <v>0</v>
          </cell>
          <cell r="G2455">
            <v>0</v>
          </cell>
        </row>
        <row r="2456">
          <cell r="B2456" t="str">
            <v/>
          </cell>
          <cell r="G2456">
            <v>0</v>
          </cell>
        </row>
        <row r="2457">
          <cell r="B2457" t="str">
            <v/>
          </cell>
          <cell r="C2457" t="str">
            <v>ACTUARIAL FEES</v>
          </cell>
          <cell r="G2457">
            <v>0</v>
          </cell>
        </row>
        <row r="2458">
          <cell r="B2458" t="str">
            <v/>
          </cell>
          <cell r="C2458" t="str">
            <v>Actuarial fees- Corporate Business</v>
          </cell>
          <cell r="D2458">
            <v>0</v>
          </cell>
          <cell r="F2458">
            <v>0</v>
          </cell>
          <cell r="G2458">
            <v>0</v>
          </cell>
        </row>
        <row r="2459">
          <cell r="B2459" t="str">
            <v/>
          </cell>
          <cell r="G2459">
            <v>0</v>
          </cell>
        </row>
        <row r="2460">
          <cell r="B2460" t="str">
            <v/>
          </cell>
          <cell r="C2460" t="str">
            <v>Total Actuarial fees</v>
          </cell>
          <cell r="D2460">
            <v>0</v>
          </cell>
          <cell r="E2460">
            <v>0</v>
          </cell>
          <cell r="F2460">
            <v>0</v>
          </cell>
          <cell r="G2460">
            <v>0</v>
          </cell>
        </row>
        <row r="2461">
          <cell r="B2461" t="str">
            <v/>
          </cell>
          <cell r="G2461">
            <v>0</v>
          </cell>
        </row>
        <row r="2462">
          <cell r="B2462" t="str">
            <v/>
          </cell>
          <cell r="G2462">
            <v>0</v>
          </cell>
        </row>
        <row r="2463">
          <cell r="B2463" t="str">
            <v/>
          </cell>
          <cell r="C2463" t="str">
            <v>INTRA COMPANY CHARGES</v>
          </cell>
          <cell r="G2463">
            <v>0</v>
          </cell>
        </row>
        <row r="2464">
          <cell r="B2464" t="str">
            <v/>
          </cell>
          <cell r="G2464">
            <v>0</v>
          </cell>
        </row>
        <row r="2465">
          <cell r="B2465" t="str">
            <v/>
          </cell>
          <cell r="G2465">
            <v>0</v>
          </cell>
        </row>
        <row r="2466">
          <cell r="B2466" t="str">
            <v/>
          </cell>
          <cell r="C2466" t="str">
            <v>Total intra company charges</v>
          </cell>
          <cell r="D2466">
            <v>0</v>
          </cell>
          <cell r="E2466">
            <v>0</v>
          </cell>
          <cell r="F2466">
            <v>0</v>
          </cell>
          <cell r="G2466">
            <v>0</v>
          </cell>
        </row>
        <row r="2467">
          <cell r="B2467" t="str">
            <v/>
          </cell>
          <cell r="G2467">
            <v>0</v>
          </cell>
        </row>
        <row r="2468">
          <cell r="B2468" t="str">
            <v/>
          </cell>
          <cell r="C2468" t="str">
            <v>AUDIT FEE &amp; TAX FILLING FEES</v>
          </cell>
          <cell r="G2468">
            <v>0</v>
          </cell>
        </row>
        <row r="2469">
          <cell r="B2469" t="str">
            <v/>
          </cell>
          <cell r="G2469">
            <v>0</v>
          </cell>
        </row>
        <row r="2470">
          <cell r="B2470" t="str">
            <v/>
          </cell>
          <cell r="D2470">
            <v>0</v>
          </cell>
          <cell r="E2470">
            <v>0</v>
          </cell>
          <cell r="F2470">
            <v>0</v>
          </cell>
          <cell r="G2470">
            <v>0</v>
          </cell>
        </row>
        <row r="2471">
          <cell r="B2471" t="str">
            <v/>
          </cell>
          <cell r="G2471">
            <v>0</v>
          </cell>
        </row>
        <row r="2472">
          <cell r="B2472" t="str">
            <v/>
          </cell>
          <cell r="C2472" t="str">
            <v>TOTAL PROFESSIONAL &amp; GROUP CHARGES</v>
          </cell>
          <cell r="D2472">
            <v>0</v>
          </cell>
          <cell r="E2472">
            <v>0</v>
          </cell>
          <cell r="F2472">
            <v>0</v>
          </cell>
          <cell r="G2472">
            <v>0</v>
          </cell>
        </row>
        <row r="2473">
          <cell r="B2473" t="str">
            <v/>
          </cell>
          <cell r="G2473">
            <v>0</v>
          </cell>
        </row>
        <row r="2474">
          <cell r="B2474" t="str">
            <v/>
          </cell>
          <cell r="F2474">
            <v>0</v>
          </cell>
          <cell r="G2474">
            <v>0</v>
          </cell>
        </row>
        <row r="2475">
          <cell r="B2475" t="str">
            <v/>
          </cell>
          <cell r="G2475">
            <v>0</v>
          </cell>
        </row>
        <row r="2476">
          <cell r="B2476" t="str">
            <v/>
          </cell>
          <cell r="C2476" t="str">
            <v>TOTAL ADMINSTRATION EXPENSES</v>
          </cell>
          <cell r="D2476">
            <v>2405035.5</v>
          </cell>
          <cell r="E2476">
            <v>664085.41666666663</v>
          </cell>
          <cell r="F2476">
            <v>1602003.5714285714</v>
          </cell>
          <cell r="G2476">
            <v>1.5012672523915365</v>
          </cell>
          <cell r="H2476" t="str">
            <v>As explained above under Printing, Stationery and Postage</v>
          </cell>
        </row>
        <row r="2477">
          <cell r="B2477" t="str">
            <v/>
          </cell>
          <cell r="G2477">
            <v>0</v>
          </cell>
        </row>
        <row r="2478">
          <cell r="B2478" t="str">
            <v/>
          </cell>
          <cell r="G2478">
            <v>0</v>
          </cell>
        </row>
        <row r="2479">
          <cell r="B2479" t="str">
            <v/>
          </cell>
          <cell r="C2479" t="str">
            <v>TOTAL UNIT EXPENSES BERORE RECHARGES</v>
          </cell>
          <cell r="D2479">
            <v>7610690.6800000006</v>
          </cell>
          <cell r="E2479">
            <v>3460085.4166666665</v>
          </cell>
          <cell r="F2479">
            <v>6422761.0714285709</v>
          </cell>
          <cell r="G2479">
            <v>1.1849562198189021</v>
          </cell>
          <cell r="H2479" t="str">
            <v>As indicated in the fields above.</v>
          </cell>
        </row>
        <row r="2480">
          <cell r="B2480" t="str">
            <v/>
          </cell>
          <cell r="G2480">
            <v>0</v>
          </cell>
        </row>
        <row r="2481">
          <cell r="G2481">
            <v>0</v>
          </cell>
        </row>
        <row r="2482">
          <cell r="C2482" t="str">
            <v>TOTAL UNIT EXPENSESAFTER RECHARGES</v>
          </cell>
          <cell r="D2482">
            <v>7610690.6800000006</v>
          </cell>
          <cell r="E2482">
            <v>3460085.4166666665</v>
          </cell>
          <cell r="F2482">
            <v>6422761.0714285709</v>
          </cell>
          <cell r="G2482">
            <v>1.1849562198189021</v>
          </cell>
        </row>
        <row r="2484">
          <cell r="D2484" t="str">
            <v>greater than 10%</v>
          </cell>
        </row>
        <row r="2499">
          <cell r="B2499" t="str">
            <v/>
          </cell>
          <cell r="G2499">
            <v>0</v>
          </cell>
        </row>
        <row r="2500">
          <cell r="B2500" t="str">
            <v/>
          </cell>
          <cell r="D2500">
            <v>340384</v>
          </cell>
          <cell r="E2500">
            <v>85000</v>
          </cell>
          <cell r="F2500">
            <v>210000</v>
          </cell>
          <cell r="G2500">
            <v>1.6208761904761908</v>
          </cell>
          <cell r="H2500" t="str">
            <v>She joined in May so the totals are not reflective of 12 months assumptions.</v>
          </cell>
        </row>
        <row r="2501">
          <cell r="B2501" t="str">
            <v/>
          </cell>
          <cell r="G2501">
            <v>0</v>
          </cell>
        </row>
        <row r="2502">
          <cell r="B2502" t="str">
            <v/>
          </cell>
          <cell r="G2502">
            <v>0</v>
          </cell>
        </row>
        <row r="2503">
          <cell r="B2503" t="str">
            <v/>
          </cell>
          <cell r="G2503">
            <v>0</v>
          </cell>
        </row>
        <row r="2504">
          <cell r="B2504" t="str">
            <v/>
          </cell>
          <cell r="D2504">
            <v>5280</v>
          </cell>
          <cell r="E2504">
            <v>1000</v>
          </cell>
          <cell r="F2504">
            <v>3200</v>
          </cell>
          <cell r="G2504">
            <v>1.65</v>
          </cell>
          <cell r="H2504" t="str">
            <v>She joined in May so the totals are not reflective of 12 months assumptions.</v>
          </cell>
        </row>
        <row r="2505">
          <cell r="B2505" t="str">
            <v/>
          </cell>
          <cell r="G2505">
            <v>0</v>
          </cell>
        </row>
        <row r="2506">
          <cell r="B2506" t="str">
            <v/>
          </cell>
          <cell r="G2506">
            <v>0</v>
          </cell>
        </row>
        <row r="2507">
          <cell r="B2507" t="str">
            <v/>
          </cell>
          <cell r="D2507">
            <v>42537.599999999999</v>
          </cell>
          <cell r="E2507">
            <v>8000</v>
          </cell>
          <cell r="F2507">
            <v>24912.857142857145</v>
          </cell>
          <cell r="G2507">
            <v>1.7074557027352486</v>
          </cell>
          <cell r="H2507" t="str">
            <v>She joined in May so the totals are not reflective of 12 months assumptions.</v>
          </cell>
        </row>
        <row r="2508">
          <cell r="B2508" t="str">
            <v/>
          </cell>
          <cell r="G2508">
            <v>0</v>
          </cell>
        </row>
        <row r="2509">
          <cell r="B2509" t="str">
            <v/>
          </cell>
          <cell r="C2509" t="str">
            <v>TOTAL EMPLOYMENT COSTS</v>
          </cell>
          <cell r="D2509">
            <v>388201.6</v>
          </cell>
          <cell r="E2509">
            <v>94000</v>
          </cell>
          <cell r="F2509">
            <v>238112.85714285716</v>
          </cell>
          <cell r="G2509">
            <v>1.6303260758703859</v>
          </cell>
          <cell r="H2509" t="str">
            <v>She joined in May so the totals are not reflective of 12 months assumptions.</v>
          </cell>
        </row>
        <row r="2510">
          <cell r="B2510" t="str">
            <v/>
          </cell>
          <cell r="G2510">
            <v>0</v>
          </cell>
        </row>
        <row r="2511">
          <cell r="B2511" t="str">
            <v/>
          </cell>
          <cell r="C2511" t="str">
            <v>DEPRECIATION- FURNITURE &amp; FITTIGS</v>
          </cell>
          <cell r="G2511">
            <v>0</v>
          </cell>
        </row>
        <row r="2512">
          <cell r="B2512" t="str">
            <v/>
          </cell>
          <cell r="G2512">
            <v>0</v>
          </cell>
        </row>
        <row r="2513">
          <cell r="B2513" t="str">
            <v/>
          </cell>
          <cell r="D2513">
            <v>0</v>
          </cell>
          <cell r="E2513">
            <v>0</v>
          </cell>
          <cell r="F2513">
            <v>0</v>
          </cell>
          <cell r="G2513">
            <v>0</v>
          </cell>
        </row>
        <row r="2514">
          <cell r="B2514" t="str">
            <v/>
          </cell>
          <cell r="C2514" t="str">
            <v>DEPRECIATION- COMPUTER &amp; OTHER EQUIPMENT</v>
          </cell>
          <cell r="G2514">
            <v>0</v>
          </cell>
        </row>
        <row r="2515">
          <cell r="B2515" t="str">
            <v/>
          </cell>
          <cell r="G2515">
            <v>0</v>
          </cell>
        </row>
        <row r="2516">
          <cell r="B2516" t="str">
            <v/>
          </cell>
          <cell r="D2516">
            <v>0</v>
          </cell>
          <cell r="E2516">
            <v>0</v>
          </cell>
          <cell r="F2516">
            <v>0</v>
          </cell>
          <cell r="G2516">
            <v>0</v>
          </cell>
        </row>
        <row r="2517">
          <cell r="B2517" t="str">
            <v/>
          </cell>
          <cell r="C2517" t="str">
            <v>DEPRECIATION- MOTOR VEHICLES</v>
          </cell>
          <cell r="G2517">
            <v>0</v>
          </cell>
        </row>
        <row r="2518">
          <cell r="B2518" t="str">
            <v/>
          </cell>
          <cell r="G2518">
            <v>0</v>
          </cell>
        </row>
        <row r="2519">
          <cell r="B2519" t="str">
            <v/>
          </cell>
          <cell r="D2519">
            <v>0</v>
          </cell>
          <cell r="E2519">
            <v>0</v>
          </cell>
          <cell r="F2519">
            <v>0</v>
          </cell>
          <cell r="G2519">
            <v>0</v>
          </cell>
        </row>
        <row r="2520">
          <cell r="B2520" t="str">
            <v/>
          </cell>
          <cell r="G2520">
            <v>0</v>
          </cell>
        </row>
        <row r="2521">
          <cell r="B2521" t="str">
            <v/>
          </cell>
          <cell r="C2521" t="str">
            <v>AMORTIZATION OF LEASEHOLD LAND</v>
          </cell>
          <cell r="G2521">
            <v>0</v>
          </cell>
        </row>
        <row r="2522">
          <cell r="B2522" t="str">
            <v/>
          </cell>
          <cell r="C2522" t="str">
            <v>AMORTIZATION OF LEASEHOLD BUILDING</v>
          </cell>
          <cell r="G2522">
            <v>0</v>
          </cell>
        </row>
        <row r="2523">
          <cell r="B2523" t="str">
            <v/>
          </cell>
          <cell r="C2523" t="str">
            <v>TOTAL DEPRECIATION</v>
          </cell>
          <cell r="D2523">
            <v>0</v>
          </cell>
          <cell r="E2523">
            <v>0</v>
          </cell>
          <cell r="F2523">
            <v>0</v>
          </cell>
          <cell r="G2523">
            <v>0</v>
          </cell>
        </row>
        <row r="2524">
          <cell r="B2524" t="str">
            <v/>
          </cell>
          <cell r="G2524">
            <v>0</v>
          </cell>
        </row>
        <row r="2525">
          <cell r="B2525" t="str">
            <v/>
          </cell>
          <cell r="C2525" t="str">
            <v>OFFICE RENT</v>
          </cell>
          <cell r="G2525">
            <v>0</v>
          </cell>
        </row>
        <row r="2526">
          <cell r="B2526" t="str">
            <v/>
          </cell>
          <cell r="G2526">
            <v>0</v>
          </cell>
        </row>
        <row r="2527">
          <cell r="B2527" t="str">
            <v/>
          </cell>
          <cell r="D2527">
            <v>0</v>
          </cell>
          <cell r="E2527">
            <v>294784</v>
          </cell>
          <cell r="F2527">
            <v>505344</v>
          </cell>
          <cell r="G2527">
            <v>0</v>
          </cell>
        </row>
        <row r="2528">
          <cell r="B2528" t="str">
            <v/>
          </cell>
          <cell r="G2528">
            <v>0</v>
          </cell>
        </row>
        <row r="2529">
          <cell r="B2529" t="str">
            <v/>
          </cell>
          <cell r="G2529">
            <v>0</v>
          </cell>
        </row>
        <row r="2530">
          <cell r="B2530" t="str">
            <v/>
          </cell>
          <cell r="D2530">
            <v>48000</v>
          </cell>
          <cell r="E2530">
            <v>12833.333333333332</v>
          </cell>
          <cell r="F2530">
            <v>22000</v>
          </cell>
          <cell r="G2530">
            <v>2.1818181818181817</v>
          </cell>
        </row>
        <row r="2531">
          <cell r="B2531" t="str">
            <v/>
          </cell>
          <cell r="G2531">
            <v>0</v>
          </cell>
        </row>
        <row r="2532">
          <cell r="B2532" t="str">
            <v/>
          </cell>
          <cell r="D2532">
            <v>48000</v>
          </cell>
          <cell r="E2532">
            <v>307617.33333333331</v>
          </cell>
          <cell r="F2532">
            <v>527344</v>
          </cell>
          <cell r="G2532">
            <v>9.1022179070966963E-2</v>
          </cell>
        </row>
        <row r="2533">
          <cell r="B2533" t="str">
            <v/>
          </cell>
          <cell r="G2533">
            <v>0</v>
          </cell>
        </row>
        <row r="2534">
          <cell r="B2534" t="str">
            <v/>
          </cell>
          <cell r="C2534" t="str">
            <v>TOTAL OFFICE COSTS</v>
          </cell>
          <cell r="D2534">
            <v>48000</v>
          </cell>
          <cell r="E2534">
            <v>307617.33333333331</v>
          </cell>
          <cell r="F2534">
            <v>527344</v>
          </cell>
          <cell r="G2534">
            <v>9.1022179070966963E-2</v>
          </cell>
        </row>
        <row r="2535">
          <cell r="B2535" t="str">
            <v/>
          </cell>
          <cell r="G2535">
            <v>0</v>
          </cell>
        </row>
        <row r="2536">
          <cell r="B2536" t="str">
            <v/>
          </cell>
          <cell r="G2536">
            <v>0</v>
          </cell>
        </row>
        <row r="2537">
          <cell r="B2537" t="str">
            <v/>
          </cell>
          <cell r="G2537">
            <v>0</v>
          </cell>
        </row>
        <row r="2538">
          <cell r="B2538" t="str">
            <v/>
          </cell>
          <cell r="C2538" t="str">
            <v>TOTAL FINANCING COSTS</v>
          </cell>
          <cell r="D2538">
            <v>12000</v>
          </cell>
          <cell r="E2538">
            <v>0</v>
          </cell>
          <cell r="F2538">
            <v>0</v>
          </cell>
          <cell r="G2538">
            <v>0</v>
          </cell>
        </row>
        <row r="2539">
          <cell r="B2539" t="str">
            <v/>
          </cell>
          <cell r="G2539">
            <v>0</v>
          </cell>
        </row>
        <row r="2540">
          <cell r="B2540" t="str">
            <v/>
          </cell>
          <cell r="G2540">
            <v>0</v>
          </cell>
        </row>
        <row r="2541">
          <cell r="B2541" t="str">
            <v/>
          </cell>
          <cell r="G2541">
            <v>0</v>
          </cell>
        </row>
        <row r="2542">
          <cell r="B2542" t="str">
            <v/>
          </cell>
          <cell r="G2542">
            <v>0</v>
          </cell>
        </row>
        <row r="2543">
          <cell r="B2543" t="str">
            <v/>
          </cell>
          <cell r="G2543">
            <v>0</v>
          </cell>
        </row>
        <row r="2544">
          <cell r="B2544" t="str">
            <v/>
          </cell>
          <cell r="D2544">
            <v>0</v>
          </cell>
          <cell r="E2544">
            <v>0</v>
          </cell>
          <cell r="F2544">
            <v>0</v>
          </cell>
          <cell r="G2544">
            <v>0</v>
          </cell>
        </row>
        <row r="2545">
          <cell r="B2545" t="str">
            <v/>
          </cell>
          <cell r="G2545">
            <v>0</v>
          </cell>
        </row>
        <row r="2546">
          <cell r="B2546" t="str">
            <v/>
          </cell>
          <cell r="G2546">
            <v>0</v>
          </cell>
        </row>
        <row r="2547">
          <cell r="B2547" t="str">
            <v/>
          </cell>
          <cell r="G2547">
            <v>0</v>
          </cell>
        </row>
        <row r="2548">
          <cell r="B2548" t="str">
            <v/>
          </cell>
          <cell r="D2548">
            <v>0</v>
          </cell>
          <cell r="E2548">
            <v>0</v>
          </cell>
          <cell r="F2548">
            <v>0</v>
          </cell>
          <cell r="G2548">
            <v>0</v>
          </cell>
        </row>
        <row r="2549">
          <cell r="B2549" t="str">
            <v/>
          </cell>
          <cell r="G2549">
            <v>0</v>
          </cell>
        </row>
        <row r="2550">
          <cell r="B2550" t="str">
            <v/>
          </cell>
          <cell r="G2550">
            <v>0</v>
          </cell>
        </row>
        <row r="2551">
          <cell r="B2551" t="str">
            <v/>
          </cell>
          <cell r="C2551" t="str">
            <v>INTRA COMPANY CHARGES</v>
          </cell>
          <cell r="G2551">
            <v>0</v>
          </cell>
        </row>
        <row r="2552">
          <cell r="B2552" t="str">
            <v/>
          </cell>
          <cell r="G2552">
            <v>0</v>
          </cell>
        </row>
        <row r="2553">
          <cell r="B2553" t="str">
            <v/>
          </cell>
          <cell r="G2553">
            <v>0</v>
          </cell>
        </row>
        <row r="2554">
          <cell r="B2554" t="str">
            <v/>
          </cell>
          <cell r="C2554" t="str">
            <v>Total intra company charges</v>
          </cell>
          <cell r="D2554">
            <v>0</v>
          </cell>
          <cell r="E2554">
            <v>0</v>
          </cell>
          <cell r="F2554">
            <v>0</v>
          </cell>
          <cell r="G2554">
            <v>0</v>
          </cell>
        </row>
        <row r="2555">
          <cell r="B2555" t="str">
            <v/>
          </cell>
          <cell r="G2555">
            <v>0</v>
          </cell>
        </row>
        <row r="2556">
          <cell r="B2556" t="str">
            <v/>
          </cell>
          <cell r="C2556" t="str">
            <v>AUDIT FEE &amp; TAX FILLING FEES</v>
          </cell>
          <cell r="G2556">
            <v>0</v>
          </cell>
        </row>
        <row r="2557">
          <cell r="B2557" t="str">
            <v/>
          </cell>
          <cell r="G2557">
            <v>0</v>
          </cell>
        </row>
        <row r="2558">
          <cell r="B2558" t="str">
            <v/>
          </cell>
          <cell r="D2558">
            <v>0</v>
          </cell>
          <cell r="E2558">
            <v>0</v>
          </cell>
          <cell r="F2558">
            <v>0</v>
          </cell>
          <cell r="G2558">
            <v>0</v>
          </cell>
        </row>
        <row r="2559">
          <cell r="B2559" t="str">
            <v/>
          </cell>
          <cell r="G2559">
            <v>0</v>
          </cell>
        </row>
        <row r="2560">
          <cell r="B2560" t="str">
            <v/>
          </cell>
          <cell r="C2560" t="str">
            <v>TOTAL PROFESSIONAL &amp; GROUP CHARGES</v>
          </cell>
          <cell r="D2560">
            <v>0</v>
          </cell>
          <cell r="E2560">
            <v>0</v>
          </cell>
          <cell r="F2560">
            <v>0</v>
          </cell>
          <cell r="G2560">
            <v>0</v>
          </cell>
        </row>
        <row r="2561">
          <cell r="B2561" t="str">
            <v/>
          </cell>
          <cell r="G2561">
            <v>0</v>
          </cell>
        </row>
        <row r="2562">
          <cell r="B2562" t="str">
            <v/>
          </cell>
          <cell r="G2562">
            <v>0</v>
          </cell>
        </row>
        <row r="2563">
          <cell r="B2563" t="str">
            <v/>
          </cell>
          <cell r="C2563" t="str">
            <v>TOTAL ADMINSTRATION EXPENSES</v>
          </cell>
          <cell r="D2563">
            <v>356985</v>
          </cell>
          <cell r="E2563">
            <v>99250</v>
          </cell>
          <cell r="F2563">
            <v>170142.85714285716</v>
          </cell>
          <cell r="G2563">
            <v>2.0981486146095718</v>
          </cell>
          <cell r="H2563" t="str">
            <v>The above reasons have lead to this high figure</v>
          </cell>
        </row>
        <row r="2564">
          <cell r="B2564" t="str">
            <v/>
          </cell>
          <cell r="G2564">
            <v>0</v>
          </cell>
        </row>
        <row r="2565">
          <cell r="B2565" t="str">
            <v/>
          </cell>
          <cell r="G2565">
            <v>0</v>
          </cell>
        </row>
        <row r="2566">
          <cell r="B2566" t="str">
            <v/>
          </cell>
          <cell r="C2566" t="str">
            <v>TOTAL UNIT EXPENSES BERORE RECHARGES</v>
          </cell>
          <cell r="D2566">
            <v>805186.6</v>
          </cell>
          <cell r="E2566">
            <v>500867.33333333331</v>
          </cell>
          <cell r="F2566">
            <v>935599.71428571432</v>
          </cell>
          <cell r="G2566">
            <v>0.86061013882921245</v>
          </cell>
        </row>
        <row r="2567">
          <cell r="B2567" t="str">
            <v/>
          </cell>
          <cell r="G2567">
            <v>0</v>
          </cell>
        </row>
        <row r="2568">
          <cell r="G2568">
            <v>0</v>
          </cell>
        </row>
        <row r="2569">
          <cell r="C2569" t="str">
            <v>TOTAL UNIT EXPENSESAFTER RECHARGES</v>
          </cell>
          <cell r="D2569">
            <v>805186.6</v>
          </cell>
          <cell r="E2569">
            <v>500867.33333333331</v>
          </cell>
          <cell r="F2569">
            <v>935599.71428571432</v>
          </cell>
          <cell r="G2569">
            <v>0.86061013882921245</v>
          </cell>
        </row>
        <row r="2571">
          <cell r="D2571" t="str">
            <v>greater than 10%</v>
          </cell>
        </row>
        <row r="2586">
          <cell r="B2586" t="str">
            <v/>
          </cell>
          <cell r="G2586">
            <v>0</v>
          </cell>
        </row>
        <row r="2587">
          <cell r="B2587" t="str">
            <v/>
          </cell>
          <cell r="D2587">
            <v>687423.96</v>
          </cell>
          <cell r="E2587">
            <v>358000</v>
          </cell>
          <cell r="F2587">
            <v>613500</v>
          </cell>
          <cell r="G2587">
            <v>1.1204954523227386</v>
          </cell>
        </row>
        <row r="2588">
          <cell r="B2588" t="str">
            <v/>
          </cell>
          <cell r="G2588">
            <v>0</v>
          </cell>
        </row>
        <row r="2589">
          <cell r="B2589" t="str">
            <v/>
          </cell>
          <cell r="G2589">
            <v>0</v>
          </cell>
        </row>
        <row r="2590">
          <cell r="B2590" t="str">
            <v/>
          </cell>
          <cell r="G2590">
            <v>0</v>
          </cell>
        </row>
        <row r="2591">
          <cell r="B2591" t="str">
            <v/>
          </cell>
          <cell r="D2591">
            <v>5280</v>
          </cell>
          <cell r="E2591">
            <v>2000</v>
          </cell>
          <cell r="F2591">
            <v>4200</v>
          </cell>
          <cell r="G2591">
            <v>1.2571428571428571</v>
          </cell>
        </row>
        <row r="2592">
          <cell r="B2592" t="str">
            <v/>
          </cell>
          <cell r="G2592">
            <v>0</v>
          </cell>
        </row>
        <row r="2593">
          <cell r="B2593" t="str">
            <v/>
          </cell>
          <cell r="G2593">
            <v>0</v>
          </cell>
        </row>
        <row r="2594">
          <cell r="B2594" t="str">
            <v/>
          </cell>
          <cell r="D2594">
            <v>93513.600000000006</v>
          </cell>
          <cell r="E2594">
            <v>78041</v>
          </cell>
          <cell r="F2594">
            <v>137147.42857142858</v>
          </cell>
          <cell r="G2594">
            <v>0.68184727175760818</v>
          </cell>
        </row>
        <row r="2595">
          <cell r="B2595" t="str">
            <v/>
          </cell>
          <cell r="G2595">
            <v>0</v>
          </cell>
        </row>
        <row r="2596">
          <cell r="B2596" t="str">
            <v/>
          </cell>
          <cell r="C2596" t="str">
            <v>TOTAL EMPLOYMENT COSTS</v>
          </cell>
          <cell r="D2596">
            <v>786217.56</v>
          </cell>
          <cell r="E2596">
            <v>438041</v>
          </cell>
          <cell r="F2596">
            <v>754847.42857142864</v>
          </cell>
          <cell r="G2596">
            <v>1.041558241097728</v>
          </cell>
        </row>
        <row r="2597">
          <cell r="B2597" t="str">
            <v/>
          </cell>
          <cell r="G2597">
            <v>0</v>
          </cell>
        </row>
        <row r="2598">
          <cell r="B2598" t="str">
            <v/>
          </cell>
          <cell r="C2598" t="str">
            <v>DEPRECIATION- FURNITURE &amp; FITTIGS</v>
          </cell>
          <cell r="G2598">
            <v>0</v>
          </cell>
        </row>
        <row r="2599">
          <cell r="B2599" t="str">
            <v/>
          </cell>
          <cell r="G2599">
            <v>0</v>
          </cell>
        </row>
        <row r="2600">
          <cell r="B2600" t="str">
            <v/>
          </cell>
          <cell r="D2600">
            <v>0</v>
          </cell>
          <cell r="E2600">
            <v>0</v>
          </cell>
          <cell r="F2600">
            <v>0</v>
          </cell>
          <cell r="G2600">
            <v>0</v>
          </cell>
        </row>
        <row r="2601">
          <cell r="B2601" t="str">
            <v/>
          </cell>
          <cell r="C2601" t="str">
            <v>DEPRECIATION- COMPUTER &amp; OTHER EQUIPMENT</v>
          </cell>
          <cell r="G2601">
            <v>0</v>
          </cell>
        </row>
        <row r="2602">
          <cell r="B2602" t="str">
            <v/>
          </cell>
          <cell r="G2602">
            <v>0</v>
          </cell>
        </row>
        <row r="2603">
          <cell r="B2603" t="str">
            <v/>
          </cell>
          <cell r="D2603">
            <v>0</v>
          </cell>
          <cell r="E2603">
            <v>0</v>
          </cell>
          <cell r="F2603">
            <v>0</v>
          </cell>
          <cell r="G2603">
            <v>0</v>
          </cell>
        </row>
        <row r="2604">
          <cell r="B2604" t="str">
            <v/>
          </cell>
          <cell r="C2604" t="str">
            <v>DEPRECIATION- MOTOR VEHICLES</v>
          </cell>
          <cell r="G2604">
            <v>0</v>
          </cell>
        </row>
        <row r="2605">
          <cell r="B2605" t="str">
            <v/>
          </cell>
          <cell r="G2605">
            <v>0</v>
          </cell>
        </row>
        <row r="2606">
          <cell r="B2606" t="str">
            <v/>
          </cell>
          <cell r="D2606">
            <v>0</v>
          </cell>
          <cell r="E2606">
            <v>0</v>
          </cell>
          <cell r="F2606">
            <v>0</v>
          </cell>
          <cell r="G2606">
            <v>0</v>
          </cell>
        </row>
        <row r="2607">
          <cell r="B2607" t="str">
            <v/>
          </cell>
          <cell r="G2607">
            <v>0</v>
          </cell>
        </row>
        <row r="2608">
          <cell r="B2608" t="str">
            <v/>
          </cell>
          <cell r="C2608" t="str">
            <v>AMORTIZATION OF LEASEHOLD LAND</v>
          </cell>
          <cell r="G2608">
            <v>0</v>
          </cell>
        </row>
        <row r="2609">
          <cell r="B2609" t="str">
            <v/>
          </cell>
          <cell r="C2609" t="str">
            <v>AMORTIZATION OF LEASEHOLD BUILDING</v>
          </cell>
          <cell r="G2609">
            <v>0</v>
          </cell>
        </row>
        <row r="2610">
          <cell r="B2610" t="str">
            <v/>
          </cell>
          <cell r="C2610" t="str">
            <v>TOTAL DEPRECIATION</v>
          </cell>
          <cell r="D2610">
            <v>0</v>
          </cell>
          <cell r="E2610">
            <v>0</v>
          </cell>
          <cell r="F2610">
            <v>0</v>
          </cell>
          <cell r="G2610">
            <v>0</v>
          </cell>
        </row>
        <row r="2611">
          <cell r="B2611" t="str">
            <v/>
          </cell>
          <cell r="G2611">
            <v>0</v>
          </cell>
        </row>
        <row r="2612">
          <cell r="B2612" t="str">
            <v/>
          </cell>
          <cell r="C2612" t="str">
            <v>OFFICE RENT</v>
          </cell>
          <cell r="G2612">
            <v>0</v>
          </cell>
        </row>
        <row r="2613">
          <cell r="B2613" t="str">
            <v/>
          </cell>
          <cell r="G2613">
            <v>0</v>
          </cell>
        </row>
        <row r="2614">
          <cell r="B2614" t="str">
            <v/>
          </cell>
          <cell r="D2614">
            <v>1287936</v>
          </cell>
          <cell r="E2614">
            <v>261000</v>
          </cell>
          <cell r="F2614">
            <v>447428.57142857136</v>
          </cell>
          <cell r="G2614">
            <v>2.8785287356321843</v>
          </cell>
        </row>
        <row r="2615">
          <cell r="B2615" t="str">
            <v/>
          </cell>
          <cell r="G2615">
            <v>0</v>
          </cell>
        </row>
        <row r="2616">
          <cell r="B2616" t="str">
            <v/>
          </cell>
          <cell r="G2616">
            <v>0</v>
          </cell>
        </row>
        <row r="2617">
          <cell r="B2617" t="str">
            <v/>
          </cell>
          <cell r="D2617">
            <v>62400</v>
          </cell>
          <cell r="E2617">
            <v>28250</v>
          </cell>
          <cell r="F2617">
            <v>48428.571428571428</v>
          </cell>
          <cell r="G2617">
            <v>1.288495575221239</v>
          </cell>
        </row>
        <row r="2618">
          <cell r="B2618" t="str">
            <v/>
          </cell>
          <cell r="G2618">
            <v>0</v>
          </cell>
        </row>
        <row r="2619">
          <cell r="B2619" t="str">
            <v/>
          </cell>
          <cell r="D2619">
            <v>1350336</v>
          </cell>
          <cell r="E2619">
            <v>289250</v>
          </cell>
          <cell r="F2619">
            <v>495857.14285714278</v>
          </cell>
          <cell r="G2619">
            <v>2.7232359550561802</v>
          </cell>
        </row>
        <row r="2620">
          <cell r="B2620" t="str">
            <v/>
          </cell>
          <cell r="G2620">
            <v>0</v>
          </cell>
        </row>
        <row r="2621">
          <cell r="B2621" t="str">
            <v/>
          </cell>
          <cell r="C2621" t="str">
            <v>TOTAL OFFICE COSTS</v>
          </cell>
          <cell r="D2621">
            <v>1350336</v>
          </cell>
          <cell r="E2621">
            <v>289250</v>
          </cell>
          <cell r="F2621">
            <v>495857.14285714278</v>
          </cell>
          <cell r="G2621">
            <v>2.7232359550561802</v>
          </cell>
        </row>
        <row r="2622">
          <cell r="B2622" t="str">
            <v/>
          </cell>
          <cell r="G2622">
            <v>0</v>
          </cell>
        </row>
        <row r="2623">
          <cell r="B2623" t="str">
            <v/>
          </cell>
          <cell r="G2623">
            <v>0</v>
          </cell>
        </row>
        <row r="2624">
          <cell r="B2624" t="str">
            <v/>
          </cell>
          <cell r="G2624">
            <v>0</v>
          </cell>
        </row>
        <row r="2625">
          <cell r="B2625" t="str">
            <v/>
          </cell>
          <cell r="C2625" t="str">
            <v>TOTAL FINANCING COSTS</v>
          </cell>
          <cell r="D2625">
            <v>12000</v>
          </cell>
          <cell r="E2625">
            <v>1200</v>
          </cell>
          <cell r="F2625">
            <v>2057.1428571428569</v>
          </cell>
          <cell r="G2625">
            <v>5.8333333333333339</v>
          </cell>
        </row>
        <row r="2626">
          <cell r="B2626" t="str">
            <v/>
          </cell>
          <cell r="G2626">
            <v>0</v>
          </cell>
        </row>
        <row r="2627">
          <cell r="B2627" t="str">
            <v/>
          </cell>
          <cell r="G2627">
            <v>0</v>
          </cell>
        </row>
        <row r="2628">
          <cell r="B2628" t="str">
            <v/>
          </cell>
          <cell r="G2628">
            <v>0</v>
          </cell>
        </row>
        <row r="2629">
          <cell r="B2629" t="str">
            <v/>
          </cell>
          <cell r="G2629">
            <v>0</v>
          </cell>
        </row>
        <row r="2630">
          <cell r="B2630" t="str">
            <v/>
          </cell>
          <cell r="G2630">
            <v>0</v>
          </cell>
        </row>
        <row r="2631">
          <cell r="B2631" t="str">
            <v/>
          </cell>
          <cell r="D2631">
            <v>0</v>
          </cell>
          <cell r="E2631">
            <v>0</v>
          </cell>
          <cell r="F2631">
            <v>0</v>
          </cell>
          <cell r="G2631">
            <v>0</v>
          </cell>
        </row>
        <row r="2632">
          <cell r="B2632" t="str">
            <v/>
          </cell>
          <cell r="G2632">
            <v>0</v>
          </cell>
        </row>
        <row r="2633">
          <cell r="B2633" t="str">
            <v/>
          </cell>
          <cell r="G2633">
            <v>0</v>
          </cell>
        </row>
        <row r="2634">
          <cell r="B2634" t="str">
            <v/>
          </cell>
          <cell r="G2634">
            <v>0</v>
          </cell>
        </row>
        <row r="2635">
          <cell r="B2635" t="str">
            <v/>
          </cell>
          <cell r="D2635">
            <v>0</v>
          </cell>
          <cell r="E2635">
            <v>0</v>
          </cell>
          <cell r="F2635">
            <v>0</v>
          </cell>
          <cell r="G2635">
            <v>0</v>
          </cell>
        </row>
        <row r="2636">
          <cell r="B2636" t="str">
            <v/>
          </cell>
          <cell r="G2636">
            <v>0</v>
          </cell>
        </row>
        <row r="2637">
          <cell r="B2637" t="str">
            <v/>
          </cell>
          <cell r="G2637">
            <v>0</v>
          </cell>
        </row>
        <row r="2638">
          <cell r="B2638" t="str">
            <v/>
          </cell>
          <cell r="C2638" t="str">
            <v>INTRA COMPANY CHARGES</v>
          </cell>
          <cell r="G2638">
            <v>0</v>
          </cell>
        </row>
        <row r="2639">
          <cell r="B2639" t="str">
            <v/>
          </cell>
          <cell r="G2639">
            <v>0</v>
          </cell>
        </row>
        <row r="2640">
          <cell r="B2640" t="str">
            <v/>
          </cell>
          <cell r="G2640">
            <v>0</v>
          </cell>
        </row>
        <row r="2641">
          <cell r="B2641" t="str">
            <v/>
          </cell>
          <cell r="C2641" t="str">
            <v>Total intra company charges</v>
          </cell>
          <cell r="D2641">
            <v>0</v>
          </cell>
          <cell r="E2641">
            <v>0</v>
          </cell>
          <cell r="F2641">
            <v>0</v>
          </cell>
          <cell r="G2641">
            <v>0</v>
          </cell>
        </row>
        <row r="2642">
          <cell r="B2642" t="str">
            <v/>
          </cell>
          <cell r="G2642">
            <v>0</v>
          </cell>
        </row>
        <row r="2643">
          <cell r="B2643" t="str">
            <v/>
          </cell>
          <cell r="C2643" t="str">
            <v>AUDIT FEE &amp; TAX FILLING FEES</v>
          </cell>
          <cell r="G2643">
            <v>0</v>
          </cell>
        </row>
        <row r="2644">
          <cell r="B2644" t="str">
            <v/>
          </cell>
          <cell r="G2644">
            <v>0</v>
          </cell>
        </row>
        <row r="2645">
          <cell r="B2645" t="str">
            <v/>
          </cell>
          <cell r="D2645">
            <v>0</v>
          </cell>
          <cell r="E2645">
            <v>0</v>
          </cell>
          <cell r="F2645">
            <v>0</v>
          </cell>
          <cell r="G2645">
            <v>0</v>
          </cell>
        </row>
        <row r="2646">
          <cell r="B2646" t="str">
            <v/>
          </cell>
          <cell r="G2646">
            <v>0</v>
          </cell>
        </row>
        <row r="2647">
          <cell r="B2647" t="str">
            <v/>
          </cell>
          <cell r="C2647" t="str">
            <v>TOTAL PROFESSIONAL &amp; GROUP CHARGES</v>
          </cell>
          <cell r="D2647">
            <v>0</v>
          </cell>
          <cell r="E2647">
            <v>0</v>
          </cell>
          <cell r="F2647">
            <v>0</v>
          </cell>
          <cell r="G2647">
            <v>0</v>
          </cell>
        </row>
        <row r="2648">
          <cell r="B2648" t="str">
            <v/>
          </cell>
          <cell r="G2648">
            <v>0</v>
          </cell>
        </row>
        <row r="2649">
          <cell r="B2649" t="str">
            <v/>
          </cell>
          <cell r="G2649">
            <v>0</v>
          </cell>
        </row>
        <row r="2650">
          <cell r="B2650" t="str">
            <v/>
          </cell>
          <cell r="C2650" t="str">
            <v>TOTAL ADMINSTRATION EXPENSES</v>
          </cell>
          <cell r="D2650">
            <v>300453</v>
          </cell>
          <cell r="E2650">
            <v>119000</v>
          </cell>
          <cell r="F2650">
            <v>207142.85714285716</v>
          </cell>
          <cell r="G2650">
            <v>1.4504627586206895</v>
          </cell>
        </row>
        <row r="2651">
          <cell r="B2651" t="str">
            <v/>
          </cell>
          <cell r="G2651">
            <v>0</v>
          </cell>
        </row>
        <row r="2652">
          <cell r="B2652" t="str">
            <v/>
          </cell>
          <cell r="G2652">
            <v>0</v>
          </cell>
        </row>
        <row r="2653">
          <cell r="B2653" t="str">
            <v/>
          </cell>
          <cell r="C2653" t="str">
            <v>TOTAL UNIT EXPENSES BERORE RECHARGES</v>
          </cell>
          <cell r="D2653">
            <v>2449006.56</v>
          </cell>
          <cell r="E2653">
            <v>847491</v>
          </cell>
          <cell r="F2653">
            <v>1459904.5714285714</v>
          </cell>
          <cell r="G2653">
            <v>1.6775113989838084</v>
          </cell>
        </row>
        <row r="2654">
          <cell r="B2654" t="str">
            <v/>
          </cell>
          <cell r="G2654">
            <v>0</v>
          </cell>
        </row>
        <row r="2655">
          <cell r="G2655">
            <v>0</v>
          </cell>
        </row>
        <row r="2656">
          <cell r="C2656" t="str">
            <v>TOTAL UNIT EXPENSESAFTER RECHARGES</v>
          </cell>
          <cell r="D2656">
            <v>2449006.56</v>
          </cell>
          <cell r="E2656">
            <v>847491</v>
          </cell>
          <cell r="F2656">
            <v>1459904.5714285714</v>
          </cell>
          <cell r="G2656">
            <v>1.6775113989838084</v>
          </cell>
        </row>
        <row r="2658">
          <cell r="D2658" t="str">
            <v>greater than 10%</v>
          </cell>
        </row>
        <row r="2673">
          <cell r="B2673" t="str">
            <v/>
          </cell>
          <cell r="G2673">
            <v>0</v>
          </cell>
        </row>
        <row r="2674">
          <cell r="B2674" t="str">
            <v/>
          </cell>
          <cell r="D2674">
            <v>529359.96</v>
          </cell>
          <cell r="E2674">
            <v>274000</v>
          </cell>
          <cell r="F2674">
            <v>470000</v>
          </cell>
          <cell r="G2674">
            <v>1.1262977872340425</v>
          </cell>
        </row>
        <row r="2675">
          <cell r="B2675" t="str">
            <v/>
          </cell>
          <cell r="G2675">
            <v>0</v>
          </cell>
        </row>
        <row r="2676">
          <cell r="B2676" t="str">
            <v/>
          </cell>
          <cell r="G2676">
            <v>0</v>
          </cell>
        </row>
        <row r="2677">
          <cell r="B2677" t="str">
            <v/>
          </cell>
          <cell r="G2677">
            <v>0</v>
          </cell>
        </row>
        <row r="2678">
          <cell r="B2678" t="str">
            <v/>
          </cell>
          <cell r="D2678">
            <v>5280</v>
          </cell>
          <cell r="E2678">
            <v>3000</v>
          </cell>
          <cell r="F2678">
            <v>5200</v>
          </cell>
          <cell r="G2678">
            <v>1.0153846153846153</v>
          </cell>
        </row>
        <row r="2679">
          <cell r="B2679" t="str">
            <v/>
          </cell>
          <cell r="G2679">
            <v>0</v>
          </cell>
        </row>
        <row r="2680">
          <cell r="B2680" t="str">
            <v/>
          </cell>
          <cell r="G2680">
            <v>0</v>
          </cell>
        </row>
        <row r="2681">
          <cell r="B2681" t="str">
            <v/>
          </cell>
          <cell r="D2681">
            <v>78726.960000000006</v>
          </cell>
          <cell r="E2681">
            <v>51500</v>
          </cell>
          <cell r="F2681">
            <v>89585.71428571429</v>
          </cell>
          <cell r="G2681">
            <v>0.87878922022006045</v>
          </cell>
        </row>
        <row r="2682">
          <cell r="B2682" t="str">
            <v/>
          </cell>
          <cell r="G2682">
            <v>0</v>
          </cell>
        </row>
        <row r="2683">
          <cell r="B2683" t="str">
            <v/>
          </cell>
          <cell r="C2683" t="str">
            <v>TOTAL EMPLOYMENT COSTS</v>
          </cell>
          <cell r="D2683">
            <v>613366.92000000004</v>
          </cell>
          <cell r="E2683">
            <v>328500</v>
          </cell>
          <cell r="F2683">
            <v>564785.71428571432</v>
          </cell>
          <cell r="G2683">
            <v>1.0860170583027695</v>
          </cell>
        </row>
        <row r="2684">
          <cell r="B2684" t="str">
            <v/>
          </cell>
          <cell r="G2684">
            <v>0</v>
          </cell>
        </row>
        <row r="2685">
          <cell r="B2685" t="str">
            <v/>
          </cell>
          <cell r="C2685" t="str">
            <v>DEPRECIATION- FURNITURE &amp; FITTIGS</v>
          </cell>
          <cell r="G2685">
            <v>0</v>
          </cell>
        </row>
        <row r="2686">
          <cell r="B2686" t="str">
            <v/>
          </cell>
          <cell r="G2686">
            <v>0</v>
          </cell>
        </row>
        <row r="2687">
          <cell r="B2687" t="str">
            <v/>
          </cell>
          <cell r="D2687">
            <v>0</v>
          </cell>
          <cell r="E2687">
            <v>0</v>
          </cell>
          <cell r="F2687">
            <v>0</v>
          </cell>
          <cell r="G2687">
            <v>0</v>
          </cell>
        </row>
        <row r="2688">
          <cell r="B2688" t="str">
            <v/>
          </cell>
          <cell r="C2688" t="str">
            <v>DEPRECIATION- COMPUTER &amp; OTHER EQUIPMENT</v>
          </cell>
          <cell r="G2688">
            <v>0</v>
          </cell>
        </row>
        <row r="2689">
          <cell r="B2689" t="str">
            <v/>
          </cell>
          <cell r="G2689">
            <v>0</v>
          </cell>
        </row>
        <row r="2690">
          <cell r="B2690" t="str">
            <v/>
          </cell>
          <cell r="D2690">
            <v>0</v>
          </cell>
          <cell r="E2690">
            <v>0</v>
          </cell>
          <cell r="F2690">
            <v>0</v>
          </cell>
          <cell r="G2690">
            <v>0</v>
          </cell>
        </row>
        <row r="2691">
          <cell r="B2691" t="str">
            <v/>
          </cell>
          <cell r="C2691" t="str">
            <v>DEPRECIATION- MOTOR VEHICLES</v>
          </cell>
          <cell r="G2691">
            <v>0</v>
          </cell>
        </row>
        <row r="2692">
          <cell r="B2692" t="str">
            <v/>
          </cell>
          <cell r="G2692">
            <v>0</v>
          </cell>
        </row>
        <row r="2693">
          <cell r="B2693" t="str">
            <v/>
          </cell>
          <cell r="D2693">
            <v>0</v>
          </cell>
          <cell r="E2693">
            <v>0</v>
          </cell>
          <cell r="F2693">
            <v>0</v>
          </cell>
          <cell r="G2693">
            <v>0</v>
          </cell>
        </row>
        <row r="2694">
          <cell r="B2694" t="str">
            <v/>
          </cell>
          <cell r="G2694">
            <v>0</v>
          </cell>
        </row>
        <row r="2695">
          <cell r="B2695" t="str">
            <v/>
          </cell>
          <cell r="C2695" t="str">
            <v>AMORTIZATION OF LEASEHOLD LAND</v>
          </cell>
          <cell r="G2695">
            <v>0</v>
          </cell>
        </row>
        <row r="2696">
          <cell r="B2696" t="str">
            <v/>
          </cell>
          <cell r="C2696" t="str">
            <v>AMORTIZATION OF LEASEHOLD BUILDING</v>
          </cell>
          <cell r="G2696">
            <v>0</v>
          </cell>
        </row>
        <row r="2697">
          <cell r="B2697" t="str">
            <v/>
          </cell>
          <cell r="C2697" t="str">
            <v>TOTAL DEPRECIATION</v>
          </cell>
          <cell r="D2697">
            <v>0</v>
          </cell>
          <cell r="E2697">
            <v>0</v>
          </cell>
          <cell r="F2697">
            <v>0</v>
          </cell>
          <cell r="G2697">
            <v>0</v>
          </cell>
        </row>
        <row r="2698">
          <cell r="B2698" t="str">
            <v/>
          </cell>
          <cell r="G2698">
            <v>0</v>
          </cell>
        </row>
        <row r="2699">
          <cell r="B2699" t="str">
            <v/>
          </cell>
          <cell r="C2699" t="str">
            <v>OFFICE RENT</v>
          </cell>
          <cell r="G2699">
            <v>0</v>
          </cell>
        </row>
        <row r="2700">
          <cell r="B2700" t="str">
            <v/>
          </cell>
          <cell r="G2700">
            <v>0</v>
          </cell>
        </row>
        <row r="2701">
          <cell r="B2701" t="str">
            <v/>
          </cell>
          <cell r="D2701">
            <v>509496</v>
          </cell>
          <cell r="E2701">
            <v>279000</v>
          </cell>
          <cell r="F2701">
            <v>478285.71428571426</v>
          </cell>
          <cell r="G2701">
            <v>1.0652544802867383</v>
          </cell>
          <cell r="H2701" t="str">
            <v>PARKING FOR KSH.1500PER MONTH AT KVDA PLAZA-BASEMENT</v>
          </cell>
        </row>
        <row r="2702">
          <cell r="B2702" t="str">
            <v/>
          </cell>
          <cell r="G2702">
            <v>0</v>
          </cell>
        </row>
        <row r="2703">
          <cell r="B2703" t="str">
            <v/>
          </cell>
          <cell r="G2703">
            <v>0</v>
          </cell>
        </row>
        <row r="2704">
          <cell r="B2704" t="str">
            <v/>
          </cell>
          <cell r="D2704">
            <v>176950</v>
          </cell>
          <cell r="E2704">
            <v>79500</v>
          </cell>
          <cell r="F2704">
            <v>136285.71428571429</v>
          </cell>
          <cell r="G2704">
            <v>1.2983752620545073</v>
          </cell>
        </row>
        <row r="2705">
          <cell r="B2705" t="str">
            <v/>
          </cell>
          <cell r="G2705">
            <v>0</v>
          </cell>
        </row>
        <row r="2706">
          <cell r="B2706" t="str">
            <v/>
          </cell>
          <cell r="D2706">
            <v>686446</v>
          </cell>
          <cell r="E2706">
            <v>358500</v>
          </cell>
          <cell r="F2706">
            <v>614571.42857142852</v>
          </cell>
          <cell r="G2706">
            <v>1.1169507205950722</v>
          </cell>
          <cell r="H2706" t="str">
            <v>AS EXPLAINED ABOVE-RENT AND PARKING BUDGETS</v>
          </cell>
        </row>
        <row r="2707">
          <cell r="B2707" t="str">
            <v/>
          </cell>
          <cell r="G2707">
            <v>0</v>
          </cell>
        </row>
        <row r="2708">
          <cell r="B2708" t="str">
            <v/>
          </cell>
          <cell r="C2708" t="str">
            <v>TOTAL OFFICE COSTS</v>
          </cell>
          <cell r="D2708">
            <v>686446</v>
          </cell>
          <cell r="E2708">
            <v>358500</v>
          </cell>
          <cell r="F2708">
            <v>614571.42857142852</v>
          </cell>
          <cell r="G2708">
            <v>1.1169507205950722</v>
          </cell>
          <cell r="H2708" t="str">
            <v>AS EXPLAINED ABOVE-RENT AND PARKING BUDGETS</v>
          </cell>
        </row>
        <row r="2709">
          <cell r="B2709" t="str">
            <v/>
          </cell>
          <cell r="G2709">
            <v>0</v>
          </cell>
        </row>
        <row r="2710">
          <cell r="B2710" t="str">
            <v/>
          </cell>
          <cell r="G2710">
            <v>0</v>
          </cell>
        </row>
        <row r="2711">
          <cell r="B2711" t="str">
            <v/>
          </cell>
          <cell r="G2711">
            <v>0</v>
          </cell>
        </row>
        <row r="2712">
          <cell r="B2712" t="str">
            <v/>
          </cell>
          <cell r="C2712" t="str">
            <v>TOTAL FINANCING COSTS</v>
          </cell>
          <cell r="D2712">
            <v>30000</v>
          </cell>
          <cell r="E2712">
            <v>15000</v>
          </cell>
          <cell r="F2712">
            <v>22500</v>
          </cell>
          <cell r="G2712">
            <v>1.3333333333333333</v>
          </cell>
        </row>
        <row r="2713">
          <cell r="B2713" t="str">
            <v/>
          </cell>
          <cell r="G2713">
            <v>0</v>
          </cell>
        </row>
        <row r="2714">
          <cell r="B2714" t="str">
            <v/>
          </cell>
          <cell r="G2714">
            <v>0</v>
          </cell>
        </row>
        <row r="2715">
          <cell r="B2715" t="str">
            <v/>
          </cell>
          <cell r="G2715">
            <v>0</v>
          </cell>
        </row>
        <row r="2716">
          <cell r="B2716" t="str">
            <v/>
          </cell>
          <cell r="G2716">
            <v>0</v>
          </cell>
        </row>
        <row r="2717">
          <cell r="B2717" t="str">
            <v/>
          </cell>
          <cell r="G2717">
            <v>0</v>
          </cell>
        </row>
        <row r="2718">
          <cell r="B2718" t="str">
            <v/>
          </cell>
          <cell r="D2718">
            <v>0</v>
          </cell>
          <cell r="E2718">
            <v>0</v>
          </cell>
          <cell r="F2718">
            <v>0</v>
          </cell>
          <cell r="G2718">
            <v>0</v>
          </cell>
        </row>
        <row r="2719">
          <cell r="B2719" t="str">
            <v/>
          </cell>
          <cell r="G2719">
            <v>0</v>
          </cell>
        </row>
        <row r="2720">
          <cell r="B2720" t="str">
            <v/>
          </cell>
          <cell r="G2720">
            <v>0</v>
          </cell>
        </row>
        <row r="2721">
          <cell r="B2721" t="str">
            <v/>
          </cell>
          <cell r="G2721">
            <v>0</v>
          </cell>
        </row>
        <row r="2722">
          <cell r="B2722" t="str">
            <v/>
          </cell>
          <cell r="D2722">
            <v>0</v>
          </cell>
          <cell r="E2722">
            <v>0</v>
          </cell>
          <cell r="F2722">
            <v>0</v>
          </cell>
          <cell r="G2722">
            <v>0</v>
          </cell>
        </row>
        <row r="2723">
          <cell r="B2723" t="str">
            <v/>
          </cell>
          <cell r="G2723">
            <v>0</v>
          </cell>
        </row>
        <row r="2724">
          <cell r="B2724" t="str">
            <v/>
          </cell>
          <cell r="G2724">
            <v>0</v>
          </cell>
        </row>
        <row r="2725">
          <cell r="B2725" t="str">
            <v/>
          </cell>
          <cell r="C2725" t="str">
            <v>INTRA COMPANY CHARGES</v>
          </cell>
          <cell r="G2725">
            <v>0</v>
          </cell>
        </row>
        <row r="2726">
          <cell r="B2726" t="str">
            <v/>
          </cell>
          <cell r="G2726">
            <v>0</v>
          </cell>
        </row>
        <row r="2727">
          <cell r="B2727" t="str">
            <v/>
          </cell>
          <cell r="G2727">
            <v>0</v>
          </cell>
        </row>
        <row r="2728">
          <cell r="B2728" t="str">
            <v/>
          </cell>
          <cell r="C2728" t="str">
            <v>Total intra company charges</v>
          </cell>
          <cell r="D2728">
            <v>0</v>
          </cell>
          <cell r="E2728">
            <v>0</v>
          </cell>
          <cell r="F2728">
            <v>0</v>
          </cell>
          <cell r="G2728">
            <v>0</v>
          </cell>
        </row>
        <row r="2729">
          <cell r="B2729" t="str">
            <v/>
          </cell>
          <cell r="G2729">
            <v>0</v>
          </cell>
        </row>
        <row r="2730">
          <cell r="B2730" t="str">
            <v/>
          </cell>
          <cell r="C2730" t="str">
            <v>AUDIT FEE &amp; TAX FILLING FEES</v>
          </cell>
          <cell r="G2730">
            <v>0</v>
          </cell>
        </row>
        <row r="2731">
          <cell r="B2731" t="str">
            <v/>
          </cell>
          <cell r="G2731">
            <v>0</v>
          </cell>
        </row>
        <row r="2732">
          <cell r="B2732" t="str">
            <v/>
          </cell>
          <cell r="D2732">
            <v>0</v>
          </cell>
          <cell r="E2732">
            <v>0</v>
          </cell>
          <cell r="F2732">
            <v>0</v>
          </cell>
          <cell r="G2732">
            <v>0</v>
          </cell>
        </row>
        <row r="2733">
          <cell r="B2733" t="str">
            <v/>
          </cell>
          <cell r="G2733">
            <v>0</v>
          </cell>
        </row>
        <row r="2734">
          <cell r="B2734" t="str">
            <v/>
          </cell>
          <cell r="C2734" t="str">
            <v>TOTAL PROFESSIONAL &amp; GROUP CHARGES</v>
          </cell>
          <cell r="D2734">
            <v>0</v>
          </cell>
          <cell r="E2734">
            <v>0</v>
          </cell>
          <cell r="F2734">
            <v>0</v>
          </cell>
          <cell r="G2734">
            <v>0</v>
          </cell>
        </row>
        <row r="2735">
          <cell r="B2735" t="str">
            <v/>
          </cell>
          <cell r="G2735">
            <v>0</v>
          </cell>
        </row>
        <row r="2736">
          <cell r="B2736" t="str">
            <v/>
          </cell>
          <cell r="G2736">
            <v>0</v>
          </cell>
        </row>
        <row r="2737">
          <cell r="B2737" t="str">
            <v/>
          </cell>
          <cell r="C2737" t="str">
            <v>TOTAL ADMINSTRATION EXPENSES</v>
          </cell>
          <cell r="D2737">
            <v>551883.5</v>
          </cell>
          <cell r="E2737">
            <v>291000</v>
          </cell>
          <cell r="F2737">
            <v>498857.1428571429</v>
          </cell>
          <cell r="G2737">
            <v>1.1062956758304696</v>
          </cell>
          <cell r="H2737" t="str">
            <v>REASONS GIVEN ABOVE.</v>
          </cell>
        </row>
        <row r="2738">
          <cell r="B2738" t="str">
            <v/>
          </cell>
          <cell r="G2738">
            <v>0</v>
          </cell>
        </row>
        <row r="2739">
          <cell r="B2739" t="str">
            <v/>
          </cell>
          <cell r="G2739">
            <v>0</v>
          </cell>
        </row>
        <row r="2740">
          <cell r="B2740" t="str">
            <v/>
          </cell>
          <cell r="C2740" t="str">
            <v>TOTAL UNIT EXPENSES BERORE RECHARGES</v>
          </cell>
          <cell r="D2740">
            <v>1881696.42</v>
          </cell>
          <cell r="E2740">
            <v>993000</v>
          </cell>
          <cell r="F2740">
            <v>1700714.2857142857</v>
          </cell>
          <cell r="G2740">
            <v>1.1064153666526668</v>
          </cell>
          <cell r="H2740" t="str">
            <v>EMPLOYMENT OF CAPTURING STAFF,NEW OFFICE (BGMA),SUBSIDY-UM'S</v>
          </cell>
        </row>
        <row r="2741">
          <cell r="B2741" t="str">
            <v/>
          </cell>
          <cell r="G2741">
            <v>0</v>
          </cell>
        </row>
        <row r="2742">
          <cell r="G2742">
            <v>0</v>
          </cell>
        </row>
        <row r="2743">
          <cell r="C2743" t="str">
            <v>TOTAL UNIT EXPENSESAFTER RECHARGES</v>
          </cell>
          <cell r="D2743">
            <v>1881696.42</v>
          </cell>
          <cell r="E2743">
            <v>993000</v>
          </cell>
          <cell r="F2743">
            <v>1700714.2857142857</v>
          </cell>
          <cell r="G2743">
            <v>1.1064153666526668</v>
          </cell>
        </row>
        <row r="2745">
          <cell r="D2745" t="str">
            <v>greater than 10%</v>
          </cell>
        </row>
        <row r="2753">
          <cell r="B2753" t="str">
            <v/>
          </cell>
        </row>
        <row r="2754">
          <cell r="B2754" t="str">
            <v/>
          </cell>
          <cell r="C2754">
            <v>22412550</v>
          </cell>
        </row>
        <row r="2755">
          <cell r="B2755" t="str">
            <v/>
          </cell>
        </row>
        <row r="2756">
          <cell r="B2756" t="str">
            <v/>
          </cell>
        </row>
        <row r="2757">
          <cell r="B2757" t="str">
            <v/>
          </cell>
        </row>
        <row r="2758">
          <cell r="B2758" t="str">
            <v/>
          </cell>
          <cell r="C2758">
            <v>17800</v>
          </cell>
        </row>
        <row r="2760">
          <cell r="B2760" t="str">
            <v/>
          </cell>
          <cell r="G2760">
            <v>0</v>
          </cell>
        </row>
        <row r="2761">
          <cell r="B2761" t="str">
            <v/>
          </cell>
          <cell r="D2761">
            <v>434992</v>
          </cell>
          <cell r="E2761">
            <v>161000</v>
          </cell>
          <cell r="F2761">
            <v>320500</v>
          </cell>
          <cell r="G2761">
            <v>1.357229329173167</v>
          </cell>
        </row>
        <row r="2762">
          <cell r="B2762" t="str">
            <v/>
          </cell>
          <cell r="G2762">
            <v>0</v>
          </cell>
        </row>
        <row r="2763">
          <cell r="B2763" t="str">
            <v/>
          </cell>
          <cell r="G2763">
            <v>0</v>
          </cell>
        </row>
        <row r="2764">
          <cell r="B2764" t="str">
            <v/>
          </cell>
          <cell r="G2764">
            <v>0</v>
          </cell>
        </row>
        <row r="2765">
          <cell r="B2765" t="str">
            <v/>
          </cell>
          <cell r="D2765">
            <v>5280</v>
          </cell>
          <cell r="E2765">
            <v>3000</v>
          </cell>
          <cell r="F2765">
            <v>5200</v>
          </cell>
          <cell r="G2765">
            <v>1.0153846153846153</v>
          </cell>
        </row>
        <row r="2766">
          <cell r="B2766" t="str">
            <v/>
          </cell>
          <cell r="G2766">
            <v>0</v>
          </cell>
        </row>
        <row r="2767">
          <cell r="B2767" t="str">
            <v/>
          </cell>
          <cell r="G2767">
            <v>0</v>
          </cell>
        </row>
        <row r="2768">
          <cell r="B2768" t="str">
            <v/>
          </cell>
          <cell r="D2768">
            <v>59068.800000000003</v>
          </cell>
          <cell r="E2768">
            <v>28000</v>
          </cell>
          <cell r="F2768">
            <v>57081.42857142858</v>
          </cell>
          <cell r="G2768">
            <v>1.034816427659734</v>
          </cell>
        </row>
        <row r="2769">
          <cell r="B2769" t="str">
            <v/>
          </cell>
          <cell r="G2769">
            <v>0</v>
          </cell>
        </row>
        <row r="2770">
          <cell r="B2770" t="str">
            <v/>
          </cell>
          <cell r="C2770" t="str">
            <v>TOTAL EMPLOYMENT COSTS</v>
          </cell>
          <cell r="D2770">
            <v>499340.79999999999</v>
          </cell>
          <cell r="E2770">
            <v>192000</v>
          </cell>
          <cell r="F2770">
            <v>382781.42857142858</v>
          </cell>
          <cell r="G2770">
            <v>1.3045063389401634</v>
          </cell>
        </row>
        <row r="2771">
          <cell r="B2771" t="str">
            <v/>
          </cell>
          <cell r="G2771">
            <v>0</v>
          </cell>
        </row>
        <row r="2772">
          <cell r="B2772" t="str">
            <v/>
          </cell>
          <cell r="C2772" t="str">
            <v>DEPRECIATION- FURNITURE &amp; FITTIGS</v>
          </cell>
          <cell r="G2772">
            <v>0</v>
          </cell>
        </row>
        <row r="2773">
          <cell r="B2773" t="str">
            <v/>
          </cell>
          <cell r="G2773">
            <v>0</v>
          </cell>
        </row>
        <row r="2774">
          <cell r="B2774" t="str">
            <v/>
          </cell>
          <cell r="D2774">
            <v>0</v>
          </cell>
          <cell r="E2774">
            <v>0</v>
          </cell>
          <cell r="F2774">
            <v>0</v>
          </cell>
          <cell r="G2774">
            <v>0</v>
          </cell>
        </row>
        <row r="2775">
          <cell r="B2775" t="str">
            <v/>
          </cell>
          <cell r="C2775" t="str">
            <v>DEPRECIATION- COMPUTER &amp; OTHER EQUIPMENT</v>
          </cell>
          <cell r="G2775">
            <v>0</v>
          </cell>
        </row>
        <row r="2776">
          <cell r="B2776" t="str">
            <v/>
          </cell>
          <cell r="G2776">
            <v>0</v>
          </cell>
        </row>
        <row r="2777">
          <cell r="B2777" t="str">
            <v/>
          </cell>
          <cell r="D2777">
            <v>0</v>
          </cell>
          <cell r="E2777">
            <v>0</v>
          </cell>
          <cell r="F2777">
            <v>0</v>
          </cell>
          <cell r="G2777">
            <v>0</v>
          </cell>
        </row>
        <row r="2778">
          <cell r="B2778" t="str">
            <v/>
          </cell>
          <cell r="C2778" t="str">
            <v>DEPRECIATION- MOTOR VEHICLES</v>
          </cell>
          <cell r="G2778">
            <v>0</v>
          </cell>
        </row>
        <row r="2779">
          <cell r="B2779" t="str">
            <v/>
          </cell>
          <cell r="G2779">
            <v>0</v>
          </cell>
        </row>
        <row r="2780">
          <cell r="B2780" t="str">
            <v/>
          </cell>
          <cell r="D2780">
            <v>0</v>
          </cell>
          <cell r="E2780">
            <v>0</v>
          </cell>
          <cell r="F2780">
            <v>0</v>
          </cell>
          <cell r="G2780">
            <v>0</v>
          </cell>
        </row>
        <row r="2781">
          <cell r="B2781" t="str">
            <v/>
          </cell>
          <cell r="G2781">
            <v>0</v>
          </cell>
        </row>
        <row r="2782">
          <cell r="B2782" t="str">
            <v/>
          </cell>
          <cell r="C2782" t="str">
            <v>AMORTIZATION OF LEASEHOLD LAND</v>
          </cell>
          <cell r="G2782">
            <v>0</v>
          </cell>
        </row>
        <row r="2783">
          <cell r="B2783" t="str">
            <v/>
          </cell>
          <cell r="C2783" t="str">
            <v>AMORTIZATION OF LEASEHOLD BUILDING</v>
          </cell>
          <cell r="G2783">
            <v>0</v>
          </cell>
        </row>
        <row r="2784">
          <cell r="B2784" t="str">
            <v/>
          </cell>
          <cell r="C2784" t="str">
            <v>TOTAL DEPRECIATION</v>
          </cell>
          <cell r="D2784">
            <v>0</v>
          </cell>
          <cell r="E2784">
            <v>0</v>
          </cell>
          <cell r="F2784">
            <v>0</v>
          </cell>
          <cell r="G2784">
            <v>0</v>
          </cell>
        </row>
        <row r="2785">
          <cell r="B2785" t="str">
            <v/>
          </cell>
          <cell r="G2785">
            <v>0</v>
          </cell>
        </row>
        <row r="2786">
          <cell r="B2786" t="str">
            <v/>
          </cell>
          <cell r="C2786" t="str">
            <v>OFFICE RENT</v>
          </cell>
          <cell r="G2786">
            <v>0</v>
          </cell>
        </row>
        <row r="2787">
          <cell r="B2787" t="str">
            <v/>
          </cell>
          <cell r="G2787">
            <v>0</v>
          </cell>
        </row>
        <row r="2788">
          <cell r="B2788" t="str">
            <v/>
          </cell>
          <cell r="D2788">
            <v>384000</v>
          </cell>
          <cell r="E2788">
            <v>112000</v>
          </cell>
          <cell r="F2788">
            <v>192000</v>
          </cell>
          <cell r="G2788">
            <v>2</v>
          </cell>
        </row>
        <row r="2789">
          <cell r="B2789" t="str">
            <v/>
          </cell>
          <cell r="G2789">
            <v>0</v>
          </cell>
        </row>
        <row r="2790">
          <cell r="B2790" t="str">
            <v/>
          </cell>
          <cell r="G2790">
            <v>0</v>
          </cell>
        </row>
        <row r="2791">
          <cell r="B2791" t="str">
            <v/>
          </cell>
          <cell r="D2791">
            <v>133040</v>
          </cell>
          <cell r="E2791">
            <v>100250</v>
          </cell>
          <cell r="F2791">
            <v>139714.28571428571</v>
          </cell>
          <cell r="G2791">
            <v>0.95222903885480581</v>
          </cell>
        </row>
        <row r="2792">
          <cell r="B2792" t="str">
            <v/>
          </cell>
          <cell r="G2792">
            <v>0</v>
          </cell>
        </row>
        <row r="2793">
          <cell r="B2793" t="str">
            <v/>
          </cell>
          <cell r="D2793">
            <v>517040</v>
          </cell>
          <cell r="E2793">
            <v>212250</v>
          </cell>
          <cell r="F2793">
            <v>331714.28571428568</v>
          </cell>
          <cell r="G2793">
            <v>1.5586907838070629</v>
          </cell>
        </row>
        <row r="2794">
          <cell r="B2794" t="str">
            <v/>
          </cell>
          <cell r="G2794">
            <v>0</v>
          </cell>
        </row>
        <row r="2795">
          <cell r="B2795" t="str">
            <v/>
          </cell>
          <cell r="C2795" t="str">
            <v>TOTAL OFFICE COSTS</v>
          </cell>
          <cell r="D2795">
            <v>517040</v>
          </cell>
          <cell r="E2795">
            <v>212250</v>
          </cell>
          <cell r="F2795">
            <v>331714.28571428568</v>
          </cell>
          <cell r="G2795">
            <v>1.5586907838070629</v>
          </cell>
        </row>
        <row r="2796">
          <cell r="B2796" t="str">
            <v/>
          </cell>
          <cell r="G2796">
            <v>0</v>
          </cell>
        </row>
        <row r="2797">
          <cell r="B2797" t="str">
            <v/>
          </cell>
          <cell r="G2797">
            <v>0</v>
          </cell>
        </row>
        <row r="2798">
          <cell r="B2798" t="str">
            <v/>
          </cell>
          <cell r="G2798">
            <v>0</v>
          </cell>
        </row>
        <row r="2799">
          <cell r="B2799" t="str">
            <v/>
          </cell>
          <cell r="C2799" t="str">
            <v>TOTAL FINANCING COSTS</v>
          </cell>
          <cell r="D2799">
            <v>24000</v>
          </cell>
          <cell r="E2799">
            <v>12833</v>
          </cell>
          <cell r="F2799">
            <v>22000</v>
          </cell>
          <cell r="G2799">
            <v>1.0909090909090908</v>
          </cell>
        </row>
        <row r="2800">
          <cell r="B2800" t="str">
            <v/>
          </cell>
          <cell r="G2800">
            <v>0</v>
          </cell>
        </row>
        <row r="2801">
          <cell r="B2801" t="str">
            <v/>
          </cell>
          <cell r="G2801">
            <v>0</v>
          </cell>
        </row>
        <row r="2802">
          <cell r="B2802" t="str">
            <v/>
          </cell>
          <cell r="G2802">
            <v>0</v>
          </cell>
        </row>
        <row r="2803">
          <cell r="B2803" t="str">
            <v/>
          </cell>
          <cell r="G2803">
            <v>0</v>
          </cell>
        </row>
        <row r="2804">
          <cell r="B2804" t="str">
            <v/>
          </cell>
          <cell r="G2804">
            <v>0</v>
          </cell>
        </row>
        <row r="2805">
          <cell r="B2805" t="str">
            <v/>
          </cell>
          <cell r="D2805">
            <v>0</v>
          </cell>
          <cell r="E2805">
            <v>0</v>
          </cell>
          <cell r="F2805">
            <v>0</v>
          </cell>
          <cell r="G2805">
            <v>0</v>
          </cell>
        </row>
        <row r="2806">
          <cell r="B2806" t="str">
            <v/>
          </cell>
          <cell r="G2806">
            <v>0</v>
          </cell>
        </row>
        <row r="2807">
          <cell r="B2807" t="str">
            <v/>
          </cell>
          <cell r="G2807">
            <v>0</v>
          </cell>
        </row>
        <row r="2808">
          <cell r="B2808" t="str">
            <v/>
          </cell>
          <cell r="G2808">
            <v>0</v>
          </cell>
        </row>
        <row r="2809">
          <cell r="B2809" t="str">
            <v/>
          </cell>
          <cell r="D2809">
            <v>0</v>
          </cell>
          <cell r="E2809">
            <v>0</v>
          </cell>
          <cell r="F2809">
            <v>0</v>
          </cell>
          <cell r="G2809">
            <v>0</v>
          </cell>
        </row>
        <row r="2810">
          <cell r="B2810" t="str">
            <v/>
          </cell>
          <cell r="G2810">
            <v>0</v>
          </cell>
        </row>
        <row r="2811">
          <cell r="B2811" t="str">
            <v/>
          </cell>
          <cell r="G2811">
            <v>0</v>
          </cell>
        </row>
        <row r="2812">
          <cell r="B2812" t="str">
            <v/>
          </cell>
          <cell r="C2812" t="str">
            <v>INTRA COMPANY CHARGES</v>
          </cell>
          <cell r="G2812">
            <v>0</v>
          </cell>
        </row>
        <row r="2813">
          <cell r="B2813" t="str">
            <v/>
          </cell>
          <cell r="G2813">
            <v>0</v>
          </cell>
        </row>
        <row r="2814">
          <cell r="B2814" t="str">
            <v/>
          </cell>
          <cell r="G2814">
            <v>0</v>
          </cell>
        </row>
        <row r="2815">
          <cell r="B2815" t="str">
            <v/>
          </cell>
          <cell r="C2815" t="str">
            <v>Total intra company charges</v>
          </cell>
          <cell r="D2815">
            <v>0</v>
          </cell>
          <cell r="E2815">
            <v>0</v>
          </cell>
          <cell r="F2815">
            <v>0</v>
          </cell>
          <cell r="G2815">
            <v>0</v>
          </cell>
        </row>
        <row r="2816">
          <cell r="B2816" t="str">
            <v/>
          </cell>
          <cell r="G2816">
            <v>0</v>
          </cell>
        </row>
        <row r="2817">
          <cell r="B2817" t="str">
            <v/>
          </cell>
          <cell r="C2817" t="str">
            <v>AUDIT FEE &amp; TAX FILLING FEES</v>
          </cell>
          <cell r="G2817">
            <v>0</v>
          </cell>
        </row>
        <row r="2818">
          <cell r="B2818" t="str">
            <v/>
          </cell>
          <cell r="G2818">
            <v>0</v>
          </cell>
        </row>
        <row r="2819">
          <cell r="B2819" t="str">
            <v/>
          </cell>
          <cell r="D2819">
            <v>0</v>
          </cell>
          <cell r="E2819">
            <v>0</v>
          </cell>
          <cell r="F2819">
            <v>0</v>
          </cell>
          <cell r="G2819">
            <v>0</v>
          </cell>
        </row>
        <row r="2820">
          <cell r="B2820" t="str">
            <v/>
          </cell>
          <cell r="G2820">
            <v>0</v>
          </cell>
        </row>
        <row r="2821">
          <cell r="B2821" t="str">
            <v/>
          </cell>
          <cell r="C2821" t="str">
            <v>TOTAL PROFESSIONAL &amp; GROUP CHARGES</v>
          </cell>
          <cell r="D2821">
            <v>0</v>
          </cell>
          <cell r="E2821">
            <v>0</v>
          </cell>
          <cell r="F2821">
            <v>0</v>
          </cell>
          <cell r="G2821">
            <v>0</v>
          </cell>
        </row>
        <row r="2822">
          <cell r="B2822" t="str">
            <v/>
          </cell>
          <cell r="G2822">
            <v>0</v>
          </cell>
        </row>
        <row r="2823">
          <cell r="B2823" t="str">
            <v/>
          </cell>
          <cell r="G2823">
            <v>0</v>
          </cell>
        </row>
        <row r="2824">
          <cell r="B2824" t="str">
            <v/>
          </cell>
          <cell r="C2824" t="str">
            <v>TOTAL ADMINSTRATION EXPENSES</v>
          </cell>
          <cell r="D2824">
            <v>367713</v>
          </cell>
          <cell r="E2824">
            <v>227804.16666666666</v>
          </cell>
          <cell r="F2824">
            <v>390521.42857142858</v>
          </cell>
          <cell r="G2824">
            <v>0.941594937171913</v>
          </cell>
        </row>
        <row r="2825">
          <cell r="B2825" t="str">
            <v/>
          </cell>
          <cell r="G2825">
            <v>0</v>
          </cell>
        </row>
        <row r="2826">
          <cell r="B2826" t="str">
            <v/>
          </cell>
          <cell r="G2826">
            <v>0</v>
          </cell>
        </row>
        <row r="2827">
          <cell r="B2827" t="str">
            <v/>
          </cell>
          <cell r="C2827" t="str">
            <v>TOTAL UNIT EXPENSES BERORE RECHARGES</v>
          </cell>
          <cell r="D2827">
            <v>1408093.8</v>
          </cell>
          <cell r="E2827">
            <v>644887.16666666663</v>
          </cell>
          <cell r="F2827">
            <v>1127017.142857143</v>
          </cell>
          <cell r="G2827">
            <v>1.2493987415579937</v>
          </cell>
        </row>
        <row r="2828">
          <cell r="B2828" t="str">
            <v/>
          </cell>
          <cell r="G2828">
            <v>0</v>
          </cell>
        </row>
        <row r="2829">
          <cell r="G2829">
            <v>0</v>
          </cell>
        </row>
        <row r="2830">
          <cell r="C2830" t="str">
            <v>TOTAL UNIT EXPENSESAFTER RECHARGES</v>
          </cell>
          <cell r="D2830">
            <v>1408093.8</v>
          </cell>
          <cell r="E2830">
            <v>644887.16666666663</v>
          </cell>
          <cell r="F2830">
            <v>1127017.142857143</v>
          </cell>
          <cell r="G2830">
            <v>1.2493987415579937</v>
          </cell>
        </row>
        <row r="2832">
          <cell r="D2832" t="str">
            <v>greater than 10%</v>
          </cell>
        </row>
        <row r="2835">
          <cell r="B2835" t="str">
            <v/>
          </cell>
        </row>
        <row r="2836">
          <cell r="B2836" t="str">
            <v/>
          </cell>
        </row>
        <row r="2837">
          <cell r="B2837" t="str">
            <v/>
          </cell>
        </row>
        <row r="2838">
          <cell r="B2838" t="str">
            <v/>
          </cell>
          <cell r="C2838">
            <v>3445857.1428571427</v>
          </cell>
        </row>
        <row r="2839">
          <cell r="B2839" t="str">
            <v/>
          </cell>
        </row>
        <row r="2840">
          <cell r="B2840" t="str">
            <v/>
          </cell>
        </row>
        <row r="2841">
          <cell r="B2841" t="str">
            <v/>
          </cell>
          <cell r="C2841">
            <v>54032480.705357142</v>
          </cell>
        </row>
        <row r="2842">
          <cell r="B2842" t="str">
            <v/>
          </cell>
        </row>
        <row r="2844">
          <cell r="C2844">
            <v>55823299.273928568</v>
          </cell>
        </row>
        <row r="2847">
          <cell r="B2847" t="str">
            <v/>
          </cell>
          <cell r="G2847">
            <v>0</v>
          </cell>
        </row>
        <row r="2848">
          <cell r="B2848" t="str">
            <v/>
          </cell>
          <cell r="D2848">
            <v>438495.96</v>
          </cell>
          <cell r="E2848">
            <v>238000</v>
          </cell>
          <cell r="F2848">
            <v>399500</v>
          </cell>
          <cell r="G2848">
            <v>1.0976119148936172</v>
          </cell>
        </row>
        <row r="2849">
          <cell r="B2849" t="str">
            <v/>
          </cell>
          <cell r="G2849">
            <v>0</v>
          </cell>
        </row>
        <row r="2850">
          <cell r="B2850" t="str">
            <v/>
          </cell>
          <cell r="G2850">
            <v>0</v>
          </cell>
        </row>
        <row r="2851">
          <cell r="B2851" t="str">
            <v/>
          </cell>
          <cell r="G2851">
            <v>0</v>
          </cell>
        </row>
        <row r="2852">
          <cell r="B2852" t="str">
            <v/>
          </cell>
          <cell r="D2852">
            <v>5280</v>
          </cell>
          <cell r="E2852">
            <v>3000</v>
          </cell>
          <cell r="F2852">
            <v>5200</v>
          </cell>
          <cell r="G2852">
            <v>1.0153846153846153</v>
          </cell>
        </row>
        <row r="2853">
          <cell r="B2853" t="str">
            <v/>
          </cell>
          <cell r="G2853">
            <v>0</v>
          </cell>
        </row>
        <row r="2854">
          <cell r="B2854" t="str">
            <v/>
          </cell>
          <cell r="G2854">
            <v>0</v>
          </cell>
        </row>
        <row r="2855">
          <cell r="B2855" t="str">
            <v/>
          </cell>
          <cell r="D2855">
            <v>68626.16</v>
          </cell>
          <cell r="E2855">
            <v>35000</v>
          </cell>
          <cell r="F2855">
            <v>62022.857142857138</v>
          </cell>
          <cell r="G2855">
            <v>1.106465634789018</v>
          </cell>
        </row>
        <row r="2856">
          <cell r="B2856" t="str">
            <v/>
          </cell>
          <cell r="G2856">
            <v>0</v>
          </cell>
        </row>
        <row r="2857">
          <cell r="B2857" t="str">
            <v/>
          </cell>
          <cell r="C2857" t="str">
            <v>TOTAL EMPLOYMENT COSTS</v>
          </cell>
          <cell r="D2857">
            <v>512402.12</v>
          </cell>
          <cell r="E2857">
            <v>276000</v>
          </cell>
          <cell r="F2857">
            <v>466722.85714285716</v>
          </cell>
          <cell r="G2857">
            <v>1.097872350063972</v>
          </cell>
        </row>
        <row r="2858">
          <cell r="B2858" t="str">
            <v/>
          </cell>
          <cell r="G2858">
            <v>0</v>
          </cell>
        </row>
        <row r="2859">
          <cell r="B2859" t="str">
            <v/>
          </cell>
          <cell r="C2859" t="str">
            <v>DEPRECIATION- FURNITURE &amp; FITTIGS</v>
          </cell>
          <cell r="G2859">
            <v>0</v>
          </cell>
        </row>
        <row r="2860">
          <cell r="B2860" t="str">
            <v/>
          </cell>
          <cell r="G2860">
            <v>0</v>
          </cell>
        </row>
        <row r="2861">
          <cell r="B2861" t="str">
            <v/>
          </cell>
          <cell r="D2861">
            <v>0</v>
          </cell>
          <cell r="E2861">
            <v>0</v>
          </cell>
          <cell r="F2861">
            <v>0</v>
          </cell>
          <cell r="G2861">
            <v>0</v>
          </cell>
        </row>
        <row r="2862">
          <cell r="B2862" t="str">
            <v/>
          </cell>
          <cell r="C2862" t="str">
            <v>DEPRECIATION- COMPUTER &amp; OTHER EQUIPMENT</v>
          </cell>
          <cell r="G2862">
            <v>0</v>
          </cell>
        </row>
        <row r="2863">
          <cell r="B2863" t="str">
            <v/>
          </cell>
          <cell r="G2863">
            <v>0</v>
          </cell>
        </row>
        <row r="2864">
          <cell r="B2864" t="str">
            <v/>
          </cell>
          <cell r="D2864">
            <v>0</v>
          </cell>
          <cell r="E2864">
            <v>0</v>
          </cell>
          <cell r="F2864">
            <v>0</v>
          </cell>
          <cell r="G2864">
            <v>0</v>
          </cell>
        </row>
        <row r="2865">
          <cell r="B2865" t="str">
            <v/>
          </cell>
          <cell r="C2865" t="str">
            <v>DEPRECIATION- MOTOR VEHICLES</v>
          </cell>
          <cell r="G2865">
            <v>0</v>
          </cell>
        </row>
        <row r="2866">
          <cell r="B2866" t="str">
            <v/>
          </cell>
          <cell r="G2866">
            <v>0</v>
          </cell>
        </row>
        <row r="2867">
          <cell r="B2867" t="str">
            <v/>
          </cell>
          <cell r="D2867">
            <v>0</v>
          </cell>
          <cell r="E2867">
            <v>0</v>
          </cell>
          <cell r="F2867">
            <v>0</v>
          </cell>
          <cell r="G2867">
            <v>0</v>
          </cell>
        </row>
        <row r="2868">
          <cell r="B2868" t="str">
            <v/>
          </cell>
          <cell r="G2868">
            <v>0</v>
          </cell>
        </row>
        <row r="2869">
          <cell r="B2869" t="str">
            <v/>
          </cell>
          <cell r="C2869" t="str">
            <v>AMORTIZATION OF LEASEHOLD LAND</v>
          </cell>
          <cell r="G2869">
            <v>0</v>
          </cell>
        </row>
        <row r="2870">
          <cell r="B2870" t="str">
            <v/>
          </cell>
          <cell r="C2870" t="str">
            <v>AMORTIZATION OF LEASEHOLD BUILDING</v>
          </cell>
          <cell r="G2870">
            <v>0</v>
          </cell>
        </row>
        <row r="2871">
          <cell r="B2871" t="str">
            <v/>
          </cell>
          <cell r="C2871" t="str">
            <v>TOTAL DEPRECIATION</v>
          </cell>
          <cell r="D2871">
            <v>0</v>
          </cell>
          <cell r="E2871">
            <v>0</v>
          </cell>
          <cell r="F2871">
            <v>0</v>
          </cell>
          <cell r="G2871">
            <v>0</v>
          </cell>
        </row>
        <row r="2872">
          <cell r="B2872" t="str">
            <v/>
          </cell>
          <cell r="G2872">
            <v>0</v>
          </cell>
        </row>
        <row r="2873">
          <cell r="B2873" t="str">
            <v/>
          </cell>
          <cell r="C2873" t="str">
            <v>OFFICE RENT</v>
          </cell>
          <cell r="G2873">
            <v>0</v>
          </cell>
        </row>
        <row r="2874">
          <cell r="B2874" t="str">
            <v/>
          </cell>
          <cell r="G2874">
            <v>0</v>
          </cell>
        </row>
        <row r="2875">
          <cell r="B2875" t="str">
            <v/>
          </cell>
          <cell r="D2875">
            <v>405600</v>
          </cell>
          <cell r="E2875">
            <v>181000</v>
          </cell>
          <cell r="F2875">
            <v>310285.71428571432</v>
          </cell>
          <cell r="G2875">
            <v>1.3071823204419888</v>
          </cell>
        </row>
        <row r="2876">
          <cell r="B2876" t="str">
            <v/>
          </cell>
          <cell r="G2876">
            <v>0</v>
          </cell>
        </row>
        <row r="2877">
          <cell r="B2877" t="str">
            <v/>
          </cell>
          <cell r="G2877">
            <v>0</v>
          </cell>
        </row>
        <row r="2878">
          <cell r="B2878" t="str">
            <v/>
          </cell>
          <cell r="D2878">
            <v>161900</v>
          </cell>
          <cell r="E2878">
            <v>66500</v>
          </cell>
          <cell r="F2878">
            <v>114000</v>
          </cell>
          <cell r="G2878">
            <v>1.4201754385964913</v>
          </cell>
        </row>
        <row r="2879">
          <cell r="B2879" t="str">
            <v/>
          </cell>
          <cell r="G2879">
            <v>0</v>
          </cell>
        </row>
        <row r="2880">
          <cell r="B2880" t="str">
            <v/>
          </cell>
          <cell r="D2880">
            <v>567500</v>
          </cell>
          <cell r="E2880">
            <v>247500</v>
          </cell>
          <cell r="F2880">
            <v>424285.71428571432</v>
          </cell>
          <cell r="G2880">
            <v>1.3375420875420874</v>
          </cell>
        </row>
        <row r="2881">
          <cell r="B2881" t="str">
            <v/>
          </cell>
          <cell r="G2881">
            <v>0</v>
          </cell>
        </row>
        <row r="2882">
          <cell r="B2882" t="str">
            <v/>
          </cell>
          <cell r="C2882" t="str">
            <v>TOTAL OFFICE COSTS</v>
          </cell>
          <cell r="D2882">
            <v>567500</v>
          </cell>
          <cell r="E2882">
            <v>247500</v>
          </cell>
          <cell r="F2882">
            <v>424285.71428571432</v>
          </cell>
          <cell r="G2882">
            <v>1.3375420875420874</v>
          </cell>
        </row>
        <row r="2883">
          <cell r="B2883" t="str">
            <v/>
          </cell>
          <cell r="G2883">
            <v>0</v>
          </cell>
        </row>
        <row r="2884">
          <cell r="B2884" t="str">
            <v/>
          </cell>
          <cell r="G2884">
            <v>0</v>
          </cell>
        </row>
        <row r="2885">
          <cell r="B2885" t="str">
            <v/>
          </cell>
          <cell r="G2885">
            <v>0</v>
          </cell>
        </row>
        <row r="2886">
          <cell r="B2886" t="str">
            <v/>
          </cell>
          <cell r="C2886" t="str">
            <v>TOTAL FINANCING COSTS</v>
          </cell>
          <cell r="D2886">
            <v>3000</v>
          </cell>
          <cell r="E2886">
            <v>3000</v>
          </cell>
          <cell r="F2886">
            <v>5142.8571428571431</v>
          </cell>
          <cell r="G2886">
            <v>0.58333333333333326</v>
          </cell>
        </row>
        <row r="2887">
          <cell r="B2887" t="str">
            <v/>
          </cell>
          <cell r="G2887">
            <v>0</v>
          </cell>
        </row>
        <row r="2888">
          <cell r="B2888" t="str">
            <v/>
          </cell>
          <cell r="G2888">
            <v>0</v>
          </cell>
        </row>
        <row r="2889">
          <cell r="B2889" t="str">
            <v/>
          </cell>
          <cell r="G2889">
            <v>0</v>
          </cell>
        </row>
        <row r="2890">
          <cell r="B2890" t="str">
            <v/>
          </cell>
          <cell r="G2890">
            <v>0</v>
          </cell>
        </row>
        <row r="2891">
          <cell r="B2891" t="str">
            <v/>
          </cell>
          <cell r="G2891">
            <v>0</v>
          </cell>
        </row>
        <row r="2892">
          <cell r="B2892" t="str">
            <v/>
          </cell>
          <cell r="D2892">
            <v>0</v>
          </cell>
          <cell r="E2892">
            <v>0</v>
          </cell>
          <cell r="F2892">
            <v>0</v>
          </cell>
          <cell r="G2892">
            <v>0</v>
          </cell>
        </row>
        <row r="2893">
          <cell r="B2893" t="str">
            <v/>
          </cell>
          <cell r="G2893">
            <v>0</v>
          </cell>
        </row>
        <row r="2894">
          <cell r="B2894" t="str">
            <v/>
          </cell>
          <cell r="G2894">
            <v>0</v>
          </cell>
        </row>
        <row r="2895">
          <cell r="B2895" t="str">
            <v/>
          </cell>
          <cell r="G2895">
            <v>0</v>
          </cell>
        </row>
        <row r="2896">
          <cell r="B2896" t="str">
            <v/>
          </cell>
          <cell r="D2896">
            <v>0</v>
          </cell>
          <cell r="E2896">
            <v>0</v>
          </cell>
          <cell r="F2896">
            <v>0</v>
          </cell>
          <cell r="G2896">
            <v>0</v>
          </cell>
        </row>
        <row r="2897">
          <cell r="B2897" t="str">
            <v/>
          </cell>
          <cell r="G2897">
            <v>0</v>
          </cell>
        </row>
        <row r="2898">
          <cell r="B2898" t="str">
            <v/>
          </cell>
          <cell r="G2898">
            <v>0</v>
          </cell>
        </row>
        <row r="2899">
          <cell r="B2899" t="str">
            <v/>
          </cell>
          <cell r="C2899" t="str">
            <v>INTRA COMPANY CHARGES</v>
          </cell>
          <cell r="G2899">
            <v>0</v>
          </cell>
        </row>
        <row r="2900">
          <cell r="B2900" t="str">
            <v/>
          </cell>
          <cell r="G2900">
            <v>0</v>
          </cell>
        </row>
        <row r="2901">
          <cell r="B2901" t="str">
            <v/>
          </cell>
          <cell r="G2901">
            <v>0</v>
          </cell>
        </row>
        <row r="2902">
          <cell r="B2902" t="str">
            <v/>
          </cell>
          <cell r="C2902" t="str">
            <v>Total intra company charges</v>
          </cell>
          <cell r="D2902">
            <v>0</v>
          </cell>
          <cell r="E2902">
            <v>0</v>
          </cell>
          <cell r="F2902">
            <v>0</v>
          </cell>
          <cell r="G2902">
            <v>0</v>
          </cell>
        </row>
        <row r="2903">
          <cell r="B2903" t="str">
            <v/>
          </cell>
          <cell r="G2903">
            <v>0</v>
          </cell>
        </row>
        <row r="2904">
          <cell r="B2904" t="str">
            <v/>
          </cell>
          <cell r="C2904" t="str">
            <v>AUDIT FEE &amp; TAX FILLING FEES</v>
          </cell>
          <cell r="G2904">
            <v>0</v>
          </cell>
        </row>
        <row r="2905">
          <cell r="B2905" t="str">
            <v/>
          </cell>
          <cell r="G2905">
            <v>0</v>
          </cell>
        </row>
        <row r="2906">
          <cell r="B2906" t="str">
            <v/>
          </cell>
          <cell r="D2906">
            <v>0</v>
          </cell>
          <cell r="E2906">
            <v>0</v>
          </cell>
          <cell r="F2906">
            <v>0</v>
          </cell>
          <cell r="G2906">
            <v>0</v>
          </cell>
        </row>
        <row r="2907">
          <cell r="B2907" t="str">
            <v/>
          </cell>
          <cell r="G2907">
            <v>0</v>
          </cell>
        </row>
        <row r="2908">
          <cell r="B2908" t="str">
            <v/>
          </cell>
          <cell r="C2908" t="str">
            <v>TOTAL PROFESSIONAL &amp; GROUP CHARGES</v>
          </cell>
          <cell r="D2908">
            <v>0</v>
          </cell>
          <cell r="E2908">
            <v>0</v>
          </cell>
          <cell r="F2908">
            <v>0</v>
          </cell>
          <cell r="G2908">
            <v>0</v>
          </cell>
        </row>
        <row r="2909">
          <cell r="B2909" t="str">
            <v/>
          </cell>
          <cell r="G2909">
            <v>0</v>
          </cell>
        </row>
        <row r="2910">
          <cell r="B2910" t="str">
            <v/>
          </cell>
          <cell r="G2910">
            <v>0</v>
          </cell>
        </row>
        <row r="2911">
          <cell r="B2911" t="str">
            <v/>
          </cell>
          <cell r="C2911" t="str">
            <v>TOTAL ADMINSTRATION EXPENSES</v>
          </cell>
          <cell r="D2911">
            <v>529023.69999999995</v>
          </cell>
          <cell r="E2911">
            <v>306833.33333333331</v>
          </cell>
          <cell r="F2911">
            <v>498857.14285714284</v>
          </cell>
          <cell r="G2911">
            <v>1.0604713344788086</v>
          </cell>
        </row>
        <row r="2912">
          <cell r="B2912" t="str">
            <v/>
          </cell>
          <cell r="G2912">
            <v>0</v>
          </cell>
        </row>
        <row r="2913">
          <cell r="B2913" t="str">
            <v/>
          </cell>
          <cell r="G2913">
            <v>0</v>
          </cell>
        </row>
        <row r="2914">
          <cell r="B2914" t="str">
            <v/>
          </cell>
          <cell r="C2914" t="str">
            <v>TOTAL UNIT EXPENSES BERORE RECHARGES</v>
          </cell>
          <cell r="D2914">
            <v>1611925.82</v>
          </cell>
          <cell r="E2914">
            <v>833333.33333333326</v>
          </cell>
          <cell r="F2914">
            <v>1395008.5714285714</v>
          </cell>
          <cell r="G2914">
            <v>1.1554952801109262</v>
          </cell>
        </row>
        <row r="2915">
          <cell r="B2915" t="str">
            <v/>
          </cell>
          <cell r="G2915">
            <v>0</v>
          </cell>
        </row>
        <row r="2916">
          <cell r="G2916">
            <v>0</v>
          </cell>
        </row>
        <row r="2917">
          <cell r="C2917" t="str">
            <v>TOTAL UNIT EXPENSESAFTER RECHARGES</v>
          </cell>
          <cell r="D2917">
            <v>1611925.82</v>
          </cell>
          <cell r="E2917">
            <v>833333.33333333326</v>
          </cell>
          <cell r="F2917">
            <v>1395008.5714285714</v>
          </cell>
          <cell r="G2917">
            <v>1.1554952801109262</v>
          </cell>
        </row>
        <row r="2919">
          <cell r="D2919" t="str">
            <v>greater than 10%</v>
          </cell>
        </row>
        <row r="2922">
          <cell r="B2922" t="str">
            <v/>
          </cell>
        </row>
        <row r="2923">
          <cell r="B2923" t="str">
            <v/>
          </cell>
          <cell r="C2923">
            <v>0</v>
          </cell>
        </row>
        <row r="2924">
          <cell r="B2924" t="str">
            <v/>
          </cell>
        </row>
        <row r="2925">
          <cell r="B2925" t="str">
            <v/>
          </cell>
        </row>
        <row r="2926">
          <cell r="B2926" t="str">
            <v/>
          </cell>
          <cell r="C2926">
            <v>0</v>
          </cell>
        </row>
        <row r="2927">
          <cell r="B2927" t="str">
            <v/>
          </cell>
        </row>
        <row r="2928">
          <cell r="B2928" t="str">
            <v/>
          </cell>
          <cell r="C2928">
            <v>0</v>
          </cell>
        </row>
        <row r="2929">
          <cell r="B2929" t="str">
            <v/>
          </cell>
        </row>
        <row r="2930">
          <cell r="B2930" t="str">
            <v/>
          </cell>
        </row>
        <row r="2931">
          <cell r="B2931" t="str">
            <v/>
          </cell>
        </row>
        <row r="2932">
          <cell r="B2932" t="str">
            <v/>
          </cell>
        </row>
        <row r="2934">
          <cell r="B2934" t="str">
            <v/>
          </cell>
          <cell r="G2934">
            <v>0</v>
          </cell>
        </row>
        <row r="2935">
          <cell r="B2935" t="str">
            <v/>
          </cell>
          <cell r="D2935">
            <v>376671.96</v>
          </cell>
          <cell r="E2935">
            <v>201000</v>
          </cell>
          <cell r="F2935">
            <v>339500</v>
          </cell>
          <cell r="G2935">
            <v>1.1094903092783508</v>
          </cell>
          <cell r="H2935" t="str">
            <v>There will be an additional 1 staff to do data capture.</v>
          </cell>
        </row>
        <row r="2936">
          <cell r="B2936" t="str">
            <v/>
          </cell>
          <cell r="G2936">
            <v>0</v>
          </cell>
        </row>
        <row r="2937">
          <cell r="B2937" t="str">
            <v/>
          </cell>
          <cell r="G2937">
            <v>0</v>
          </cell>
        </row>
        <row r="2938">
          <cell r="B2938" t="str">
            <v/>
          </cell>
          <cell r="G2938">
            <v>0</v>
          </cell>
        </row>
        <row r="2939">
          <cell r="B2939" t="str">
            <v/>
          </cell>
          <cell r="D2939">
            <v>5280</v>
          </cell>
          <cell r="E2939">
            <v>3000</v>
          </cell>
          <cell r="F2939">
            <v>5200</v>
          </cell>
          <cell r="G2939">
            <v>1.0153846153846153</v>
          </cell>
        </row>
        <row r="2940">
          <cell r="B2940" t="str">
            <v/>
          </cell>
          <cell r="G2940">
            <v>0</v>
          </cell>
        </row>
        <row r="2941">
          <cell r="B2941" t="str">
            <v/>
          </cell>
          <cell r="G2941">
            <v>0</v>
          </cell>
        </row>
        <row r="2942">
          <cell r="B2942" t="str">
            <v/>
          </cell>
          <cell r="D2942">
            <v>53300.99</v>
          </cell>
          <cell r="E2942">
            <v>36000</v>
          </cell>
          <cell r="F2942">
            <v>63374.285714285717</v>
          </cell>
          <cell r="G2942">
            <v>0.84105074162571591</v>
          </cell>
        </row>
        <row r="2943">
          <cell r="B2943" t="str">
            <v/>
          </cell>
          <cell r="G2943">
            <v>0</v>
          </cell>
        </row>
        <row r="2944">
          <cell r="B2944" t="str">
            <v/>
          </cell>
          <cell r="C2944" t="str">
            <v>TOTAL EMPLOYMENT COSTS</v>
          </cell>
          <cell r="D2944">
            <v>435252.95</v>
          </cell>
          <cell r="E2944">
            <v>240000</v>
          </cell>
          <cell r="F2944">
            <v>408074.28571428574</v>
          </cell>
          <cell r="G2944">
            <v>1.0666022467898002</v>
          </cell>
        </row>
        <row r="2945">
          <cell r="B2945" t="str">
            <v/>
          </cell>
          <cell r="G2945">
            <v>0</v>
          </cell>
        </row>
        <row r="2946">
          <cell r="B2946" t="str">
            <v/>
          </cell>
          <cell r="C2946" t="str">
            <v>DEPRECIATION- FURNITURE &amp; FITTIGS</v>
          </cell>
          <cell r="G2946">
            <v>0</v>
          </cell>
        </row>
        <row r="2947">
          <cell r="B2947" t="str">
            <v/>
          </cell>
          <cell r="G2947">
            <v>0</v>
          </cell>
        </row>
        <row r="2948">
          <cell r="B2948" t="str">
            <v/>
          </cell>
          <cell r="D2948">
            <v>0</v>
          </cell>
          <cell r="E2948">
            <v>0</v>
          </cell>
          <cell r="F2948">
            <v>0</v>
          </cell>
          <cell r="G2948">
            <v>0</v>
          </cell>
        </row>
        <row r="2949">
          <cell r="B2949" t="str">
            <v/>
          </cell>
          <cell r="C2949" t="str">
            <v>DEPRECIATION- COMPUTER &amp; OTHER EQUIPMENT</v>
          </cell>
          <cell r="G2949">
            <v>0</v>
          </cell>
        </row>
        <row r="2950">
          <cell r="B2950" t="str">
            <v/>
          </cell>
          <cell r="G2950">
            <v>0</v>
          </cell>
        </row>
        <row r="2951">
          <cell r="B2951" t="str">
            <v/>
          </cell>
          <cell r="D2951">
            <v>0</v>
          </cell>
          <cell r="E2951">
            <v>0</v>
          </cell>
          <cell r="F2951">
            <v>0</v>
          </cell>
          <cell r="G2951">
            <v>0</v>
          </cell>
        </row>
        <row r="2952">
          <cell r="B2952" t="str">
            <v/>
          </cell>
          <cell r="C2952" t="str">
            <v>DEPRECIATION- MOTOR VEHICLES</v>
          </cell>
          <cell r="G2952">
            <v>0</v>
          </cell>
        </row>
        <row r="2953">
          <cell r="B2953" t="str">
            <v/>
          </cell>
          <cell r="G2953">
            <v>0</v>
          </cell>
        </row>
        <row r="2954">
          <cell r="B2954" t="str">
            <v/>
          </cell>
          <cell r="D2954">
            <v>0</v>
          </cell>
          <cell r="E2954">
            <v>0</v>
          </cell>
          <cell r="F2954">
            <v>0</v>
          </cell>
          <cell r="G2954">
            <v>0</v>
          </cell>
        </row>
        <row r="2955">
          <cell r="B2955" t="str">
            <v/>
          </cell>
          <cell r="G2955">
            <v>0</v>
          </cell>
        </row>
        <row r="2956">
          <cell r="B2956" t="str">
            <v/>
          </cell>
          <cell r="C2956" t="str">
            <v>AMORTIZATION OF LEASEHOLD LAND</v>
          </cell>
          <cell r="G2956">
            <v>0</v>
          </cell>
        </row>
        <row r="2957">
          <cell r="B2957" t="str">
            <v/>
          </cell>
          <cell r="C2957" t="str">
            <v>AMORTIZATION OF LEASEHOLD BUILDING</v>
          </cell>
          <cell r="G2957">
            <v>0</v>
          </cell>
        </row>
        <row r="2958">
          <cell r="B2958" t="str">
            <v/>
          </cell>
          <cell r="C2958" t="str">
            <v>TOTAL DEPRECIATION</v>
          </cell>
          <cell r="D2958">
            <v>0</v>
          </cell>
          <cell r="E2958">
            <v>0</v>
          </cell>
          <cell r="F2958">
            <v>0</v>
          </cell>
          <cell r="G2958">
            <v>0</v>
          </cell>
        </row>
        <row r="2959">
          <cell r="B2959" t="str">
            <v/>
          </cell>
          <cell r="G2959">
            <v>0</v>
          </cell>
        </row>
        <row r="2960">
          <cell r="B2960" t="str">
            <v/>
          </cell>
          <cell r="C2960" t="str">
            <v>OFFICE RENT</v>
          </cell>
          <cell r="G2960">
            <v>0</v>
          </cell>
        </row>
        <row r="2961">
          <cell r="B2961" t="str">
            <v/>
          </cell>
          <cell r="G2961">
            <v>0</v>
          </cell>
        </row>
        <row r="2962">
          <cell r="B2962" t="str">
            <v/>
          </cell>
          <cell r="D2962">
            <v>708288</v>
          </cell>
          <cell r="E2962">
            <v>286000</v>
          </cell>
          <cell r="F2962">
            <v>490285.71428571426</v>
          </cell>
          <cell r="G2962">
            <v>1.4446433566433567</v>
          </cell>
        </row>
        <row r="2963">
          <cell r="B2963" t="str">
            <v/>
          </cell>
          <cell r="G2963">
            <v>0</v>
          </cell>
        </row>
        <row r="2964">
          <cell r="B2964" t="str">
            <v/>
          </cell>
          <cell r="G2964">
            <v>0</v>
          </cell>
        </row>
        <row r="2965">
          <cell r="B2965" t="str">
            <v/>
          </cell>
          <cell r="D2965">
            <v>130500</v>
          </cell>
          <cell r="E2965">
            <v>122500</v>
          </cell>
          <cell r="F2965">
            <v>184285.71428571429</v>
          </cell>
          <cell r="G2965">
            <v>0.70813953488372094</v>
          </cell>
        </row>
        <row r="2966">
          <cell r="B2966" t="str">
            <v/>
          </cell>
          <cell r="G2966">
            <v>0</v>
          </cell>
        </row>
        <row r="2967">
          <cell r="B2967" t="str">
            <v/>
          </cell>
          <cell r="D2967">
            <v>838788</v>
          </cell>
          <cell r="E2967">
            <v>408500</v>
          </cell>
          <cell r="F2967">
            <v>674571.42857142852</v>
          </cell>
          <cell r="G2967">
            <v>1.243438373570521</v>
          </cell>
        </row>
        <row r="2968">
          <cell r="B2968" t="str">
            <v/>
          </cell>
          <cell r="G2968">
            <v>0</v>
          </cell>
        </row>
        <row r="2969">
          <cell r="B2969" t="str">
            <v/>
          </cell>
          <cell r="C2969" t="str">
            <v>TOTAL OFFICE COSTS</v>
          </cell>
          <cell r="D2969">
            <v>838788</v>
          </cell>
          <cell r="E2969">
            <v>408500</v>
          </cell>
          <cell r="F2969">
            <v>674571.42857142852</v>
          </cell>
          <cell r="G2969">
            <v>1.243438373570521</v>
          </cell>
        </row>
        <row r="2970">
          <cell r="B2970" t="str">
            <v/>
          </cell>
          <cell r="G2970">
            <v>0</v>
          </cell>
        </row>
        <row r="2971">
          <cell r="B2971" t="str">
            <v/>
          </cell>
          <cell r="G2971">
            <v>0</v>
          </cell>
        </row>
        <row r="2972">
          <cell r="B2972" t="str">
            <v/>
          </cell>
          <cell r="G2972">
            <v>0</v>
          </cell>
        </row>
        <row r="2973">
          <cell r="B2973" t="str">
            <v/>
          </cell>
          <cell r="C2973" t="str">
            <v>TOTAL FINANCING COSTS</v>
          </cell>
          <cell r="D2973">
            <v>18000</v>
          </cell>
          <cell r="E2973">
            <v>12000</v>
          </cell>
          <cell r="F2973">
            <v>12000</v>
          </cell>
          <cell r="G2973">
            <v>1.5</v>
          </cell>
        </row>
        <row r="2974">
          <cell r="B2974" t="str">
            <v/>
          </cell>
          <cell r="G2974">
            <v>0</v>
          </cell>
        </row>
        <row r="2975">
          <cell r="B2975" t="str">
            <v/>
          </cell>
          <cell r="G2975">
            <v>0</v>
          </cell>
        </row>
        <row r="2976">
          <cell r="B2976" t="str">
            <v/>
          </cell>
          <cell r="G2976">
            <v>0</v>
          </cell>
        </row>
        <row r="2977">
          <cell r="B2977" t="str">
            <v/>
          </cell>
          <cell r="G2977">
            <v>0</v>
          </cell>
        </row>
        <row r="2978">
          <cell r="B2978" t="str">
            <v/>
          </cell>
          <cell r="G2978">
            <v>0</v>
          </cell>
        </row>
        <row r="2979">
          <cell r="B2979" t="str">
            <v/>
          </cell>
          <cell r="D2979">
            <v>0</v>
          </cell>
          <cell r="E2979">
            <v>0</v>
          </cell>
          <cell r="F2979">
            <v>0</v>
          </cell>
          <cell r="G2979">
            <v>0</v>
          </cell>
        </row>
        <row r="2980">
          <cell r="B2980" t="str">
            <v/>
          </cell>
          <cell r="G2980">
            <v>0</v>
          </cell>
        </row>
        <row r="2981">
          <cell r="B2981" t="str">
            <v/>
          </cell>
          <cell r="G2981">
            <v>0</v>
          </cell>
        </row>
        <row r="2982">
          <cell r="B2982" t="str">
            <v/>
          </cell>
          <cell r="G2982">
            <v>0</v>
          </cell>
        </row>
        <row r="2983">
          <cell r="B2983" t="str">
            <v/>
          </cell>
          <cell r="D2983">
            <v>0</v>
          </cell>
          <cell r="E2983">
            <v>0</v>
          </cell>
          <cell r="F2983">
            <v>0</v>
          </cell>
          <cell r="G2983">
            <v>0</v>
          </cell>
        </row>
        <row r="2984">
          <cell r="B2984" t="str">
            <v/>
          </cell>
          <cell r="G2984">
            <v>0</v>
          </cell>
        </row>
        <row r="2985">
          <cell r="B2985" t="str">
            <v/>
          </cell>
          <cell r="G2985">
            <v>0</v>
          </cell>
        </row>
        <row r="2986">
          <cell r="B2986" t="str">
            <v/>
          </cell>
          <cell r="C2986" t="str">
            <v>INTRA COMPANY CHARGES</v>
          </cell>
          <cell r="G2986">
            <v>0</v>
          </cell>
        </row>
        <row r="2987">
          <cell r="B2987" t="str">
            <v/>
          </cell>
          <cell r="G2987">
            <v>0</v>
          </cell>
        </row>
        <row r="2988">
          <cell r="B2988" t="str">
            <v/>
          </cell>
          <cell r="G2988">
            <v>0</v>
          </cell>
        </row>
        <row r="2989">
          <cell r="B2989" t="str">
            <v/>
          </cell>
          <cell r="C2989" t="str">
            <v>Total intra company charges</v>
          </cell>
          <cell r="D2989">
            <v>0</v>
          </cell>
          <cell r="E2989">
            <v>0</v>
          </cell>
          <cell r="F2989">
            <v>0</v>
          </cell>
          <cell r="G2989">
            <v>0</v>
          </cell>
        </row>
        <row r="2990">
          <cell r="B2990" t="str">
            <v/>
          </cell>
          <cell r="G2990">
            <v>0</v>
          </cell>
        </row>
        <row r="2991">
          <cell r="B2991" t="str">
            <v/>
          </cell>
          <cell r="C2991" t="str">
            <v>AUDIT FEE &amp; TAX FILLING FEES</v>
          </cell>
          <cell r="G2991">
            <v>0</v>
          </cell>
        </row>
        <row r="2992">
          <cell r="B2992" t="str">
            <v/>
          </cell>
          <cell r="G2992">
            <v>0</v>
          </cell>
        </row>
        <row r="2993">
          <cell r="B2993" t="str">
            <v/>
          </cell>
          <cell r="D2993">
            <v>0</v>
          </cell>
          <cell r="E2993">
            <v>0</v>
          </cell>
          <cell r="F2993">
            <v>0</v>
          </cell>
          <cell r="G2993">
            <v>0</v>
          </cell>
        </row>
        <row r="2994">
          <cell r="B2994" t="str">
            <v/>
          </cell>
          <cell r="G2994">
            <v>0</v>
          </cell>
        </row>
        <row r="2995">
          <cell r="B2995" t="str">
            <v/>
          </cell>
          <cell r="C2995" t="str">
            <v>TOTAL PROFESSIONAL &amp; GROUP CHARGES</v>
          </cell>
          <cell r="D2995">
            <v>0</v>
          </cell>
          <cell r="E2995">
            <v>0</v>
          </cell>
          <cell r="F2995">
            <v>0</v>
          </cell>
          <cell r="G2995">
            <v>0</v>
          </cell>
        </row>
        <row r="2996">
          <cell r="B2996" t="str">
            <v/>
          </cell>
          <cell r="G2996">
            <v>0</v>
          </cell>
        </row>
        <row r="2997">
          <cell r="B2997" t="str">
            <v/>
          </cell>
          <cell r="G2997">
            <v>0</v>
          </cell>
        </row>
        <row r="2998">
          <cell r="B2998" t="str">
            <v/>
          </cell>
          <cell r="C2998" t="str">
            <v>TOTAL ADMINSTRATION EXPENSES</v>
          </cell>
          <cell r="D2998">
            <v>542508.5</v>
          </cell>
          <cell r="E2998">
            <v>356833.33333333337</v>
          </cell>
          <cell r="F2998">
            <v>611714.28571428568</v>
          </cell>
          <cell r="G2998">
            <v>0.88686583372255956</v>
          </cell>
        </row>
        <row r="2999">
          <cell r="B2999" t="str">
            <v/>
          </cell>
          <cell r="G2999">
            <v>0</v>
          </cell>
        </row>
        <row r="3000">
          <cell r="B3000" t="str">
            <v/>
          </cell>
          <cell r="G3000">
            <v>0</v>
          </cell>
        </row>
      </sheetData>
      <sheetData sheetId="32" refreshError="1">
        <row r="1">
          <cell r="A1" t="str">
            <v>Account</v>
          </cell>
          <cell r="B1" t="str">
            <v>Branch Code</v>
          </cell>
          <cell r="C1" t="str">
            <v>Details</v>
          </cell>
          <cell r="D1" t="str">
            <v>Budget</v>
          </cell>
          <cell r="E1" t="str">
            <v>Actuals</v>
          </cell>
          <cell r="F1" t="str">
            <v>Projected</v>
          </cell>
          <cell r="G1" t="str">
            <v>% Age</v>
          </cell>
          <cell r="H1" t="str">
            <v>Narative</v>
          </cell>
        </row>
        <row r="2">
          <cell r="A2" t="str">
            <v>Gl Code</v>
          </cell>
          <cell r="B2" t="str">
            <v>Account</v>
          </cell>
          <cell r="C2" t="str">
            <v>Projected</v>
          </cell>
        </row>
        <row r="3">
          <cell r="A3" t="str">
            <v>105-10-010</v>
          </cell>
          <cell r="B3">
            <v>30</v>
          </cell>
          <cell r="C3" t="str">
            <v>BASIC SALARY</v>
          </cell>
          <cell r="D3">
            <v>436047.96</v>
          </cell>
          <cell r="E3">
            <v>227000</v>
          </cell>
          <cell r="F3">
            <v>385500</v>
          </cell>
          <cell r="G3">
            <v>1.1311231128404671</v>
          </cell>
        </row>
        <row r="4">
          <cell r="A4" t="str">
            <v>105-10-012</v>
          </cell>
          <cell r="B4">
            <v>30</v>
          </cell>
          <cell r="C4" t="str">
            <v>PROVISION FOR MORT. RATE ADJUSTMENTS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</row>
        <row r="5">
          <cell r="A5" t="str">
            <v>105-10-020</v>
          </cell>
          <cell r="B5">
            <v>30</v>
          </cell>
          <cell r="C5" t="str">
            <v>HOUSE ALLOWANCE</v>
          </cell>
          <cell r="D5">
            <v>46800</v>
          </cell>
          <cell r="E5">
            <v>27000</v>
          </cell>
          <cell r="F5">
            <v>46500</v>
          </cell>
          <cell r="G5">
            <v>1.0064516129032257</v>
          </cell>
        </row>
        <row r="6">
          <cell r="A6" t="str">
            <v>105-10-030</v>
          </cell>
          <cell r="B6">
            <v>30</v>
          </cell>
          <cell r="C6" t="str">
            <v>TELEPHONE ALLOWANCE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</row>
        <row r="7">
          <cell r="A7" t="str">
            <v>105-10-040</v>
          </cell>
          <cell r="B7">
            <v>30</v>
          </cell>
          <cell r="C7" t="str">
            <v>SECURITY ALLOWANCE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</row>
        <row r="8">
          <cell r="A8" t="str">
            <v>105-10-050</v>
          </cell>
          <cell r="B8">
            <v>30</v>
          </cell>
          <cell r="C8" t="str">
            <v>EDUCATION ALLOWANCE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</row>
        <row r="9">
          <cell r="A9" t="str">
            <v>105-10-060</v>
          </cell>
          <cell r="B9">
            <v>30</v>
          </cell>
          <cell r="C9" t="str">
            <v>TRAVEL ALLOWANCE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</row>
        <row r="10">
          <cell r="A10" t="str">
            <v>105-20-010</v>
          </cell>
          <cell r="B10">
            <v>30</v>
          </cell>
          <cell r="C10" t="str">
            <v>NSSF</v>
          </cell>
          <cell r="D10">
            <v>2400</v>
          </cell>
          <cell r="E10">
            <v>2000</v>
          </cell>
          <cell r="F10">
            <v>3000</v>
          </cell>
          <cell r="G10">
            <v>0.8</v>
          </cell>
        </row>
        <row r="11">
          <cell r="A11" t="str">
            <v>105-20-020</v>
          </cell>
          <cell r="B11">
            <v>30</v>
          </cell>
          <cell r="C11" t="str">
            <v>NHIF</v>
          </cell>
          <cell r="D11">
            <v>2880</v>
          </cell>
          <cell r="E11">
            <v>2000</v>
          </cell>
          <cell r="F11">
            <v>3200</v>
          </cell>
          <cell r="G11">
            <v>0.9</v>
          </cell>
        </row>
        <row r="12">
          <cell r="A12" t="str">
            <v>105-30-010</v>
          </cell>
          <cell r="B12">
            <v>30</v>
          </cell>
          <cell r="C12" t="str">
            <v xml:space="preserve">PENSION </v>
          </cell>
          <cell r="D12">
            <v>53256</v>
          </cell>
          <cell r="E12">
            <v>28000</v>
          </cell>
          <cell r="F12">
            <v>50190</v>
          </cell>
          <cell r="G12">
            <v>1.0610878661087866</v>
          </cell>
        </row>
        <row r="13">
          <cell r="A13" t="str">
            <v>105-30-020</v>
          </cell>
          <cell r="B13">
            <v>30</v>
          </cell>
          <cell r="C13" t="str">
            <v>LAST EXPENSE</v>
          </cell>
          <cell r="D13">
            <v>1750</v>
          </cell>
          <cell r="E13">
            <v>2000</v>
          </cell>
          <cell r="F13">
            <v>3428.5714285714284</v>
          </cell>
          <cell r="G13">
            <v>0.51041666666666674</v>
          </cell>
        </row>
        <row r="14">
          <cell r="A14" t="str">
            <v>105-30-030</v>
          </cell>
          <cell r="B14">
            <v>30</v>
          </cell>
          <cell r="C14" t="str">
            <v>GROUP LIFE ASSURANCE</v>
          </cell>
          <cell r="D14">
            <v>5657.31</v>
          </cell>
          <cell r="E14">
            <v>5000</v>
          </cell>
          <cell r="F14">
            <v>8571.4285714285725</v>
          </cell>
          <cell r="G14">
            <v>0.66001949999999998</v>
          </cell>
        </row>
        <row r="15">
          <cell r="A15" t="str">
            <v>105-30-040</v>
          </cell>
          <cell r="B15">
            <v>30</v>
          </cell>
          <cell r="C15" t="str">
            <v>STAFF MEDICAL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</row>
        <row r="16">
          <cell r="A16" t="str">
            <v>105-30-050</v>
          </cell>
          <cell r="B16">
            <v>30</v>
          </cell>
          <cell r="C16" t="str">
            <v>CASH IN LIEU OF LEAVE</v>
          </cell>
          <cell r="D16">
            <v>10651.2</v>
          </cell>
          <cell r="E16">
            <v>13000</v>
          </cell>
          <cell r="F16">
            <v>22285.714285714286</v>
          </cell>
          <cell r="G16">
            <v>0.47793846153846148</v>
          </cell>
        </row>
        <row r="17">
          <cell r="A17" t="str">
            <v>105-30-060</v>
          </cell>
          <cell r="B17">
            <v>30</v>
          </cell>
          <cell r="C17" t="str">
            <v>GRATUITY</v>
          </cell>
          <cell r="E17">
            <v>0</v>
          </cell>
          <cell r="F17">
            <v>0</v>
          </cell>
          <cell r="G17">
            <v>0</v>
          </cell>
        </row>
        <row r="18">
          <cell r="A18" t="str">
            <v>105-30-070</v>
          </cell>
          <cell r="B18">
            <v>30</v>
          </cell>
          <cell r="C18" t="str">
            <v>LONG SERVICE AWARDS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</row>
        <row r="19">
          <cell r="A19" t="str">
            <v>105-30-080</v>
          </cell>
          <cell r="B19">
            <v>30</v>
          </cell>
          <cell r="C19" t="str">
            <v>STAFF RECRUITMENT &amp; REMOVALS</v>
          </cell>
          <cell r="D19">
            <v>0</v>
          </cell>
          <cell r="E19">
            <v>9000</v>
          </cell>
          <cell r="F19">
            <v>15428.571428571429</v>
          </cell>
          <cell r="G19">
            <v>0</v>
          </cell>
        </row>
        <row r="20">
          <cell r="A20" t="str">
            <v>115-10-010</v>
          </cell>
          <cell r="B20">
            <v>30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</row>
        <row r="21">
          <cell r="A21" t="str">
            <v>115-10-010</v>
          </cell>
          <cell r="B21">
            <v>30</v>
          </cell>
          <cell r="D21">
            <v>0</v>
          </cell>
          <cell r="F21">
            <v>0</v>
          </cell>
          <cell r="G21">
            <v>0</v>
          </cell>
        </row>
        <row r="22">
          <cell r="A22" t="str">
            <v>115-10-020</v>
          </cell>
          <cell r="B22">
            <v>30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</row>
        <row r="23">
          <cell r="A23" t="str">
            <v>115-10-020</v>
          </cell>
          <cell r="B23">
            <v>30</v>
          </cell>
          <cell r="D23">
            <v>0</v>
          </cell>
          <cell r="G23">
            <v>0</v>
          </cell>
        </row>
        <row r="24">
          <cell r="A24" t="str">
            <v>115-10-030</v>
          </cell>
          <cell r="B24">
            <v>30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</row>
        <row r="25">
          <cell r="A25" t="str">
            <v>115-10-030</v>
          </cell>
          <cell r="B25">
            <v>30</v>
          </cell>
          <cell r="D25">
            <v>0</v>
          </cell>
          <cell r="F25">
            <v>0</v>
          </cell>
          <cell r="G25">
            <v>0</v>
          </cell>
        </row>
        <row r="26">
          <cell r="A26" t="str">
            <v>115-10-040</v>
          </cell>
          <cell r="B26">
            <v>30</v>
          </cell>
          <cell r="D26">
            <v>1080000</v>
          </cell>
          <cell r="E26">
            <v>642000</v>
          </cell>
          <cell r="F26">
            <v>1100571.4285714286</v>
          </cell>
          <cell r="G26">
            <v>0.98130841121495316</v>
          </cell>
        </row>
        <row r="27">
          <cell r="A27" t="str">
            <v>115-10-040</v>
          </cell>
          <cell r="B27">
            <v>30</v>
          </cell>
          <cell r="D27">
            <v>24000</v>
          </cell>
          <cell r="E27">
            <v>24000</v>
          </cell>
          <cell r="F27">
            <v>24000</v>
          </cell>
          <cell r="G27">
            <v>1</v>
          </cell>
        </row>
        <row r="28">
          <cell r="A28" t="str">
            <v>115-10-050</v>
          </cell>
          <cell r="B28">
            <v>30</v>
          </cell>
          <cell r="C28" t="str">
            <v>OFFICE CATERING &amp; STAFF WELFARE</v>
          </cell>
          <cell r="D28">
            <v>75900</v>
          </cell>
          <cell r="E28">
            <v>46666.666666666664</v>
          </cell>
          <cell r="F28">
            <v>80000</v>
          </cell>
          <cell r="G28">
            <v>0.94874999999999998</v>
          </cell>
        </row>
        <row r="29">
          <cell r="A29" t="str">
            <v>115-10-051</v>
          </cell>
          <cell r="B29">
            <v>30</v>
          </cell>
          <cell r="C29" t="str">
            <v>OFFICE CLEANING</v>
          </cell>
          <cell r="D29">
            <v>24000</v>
          </cell>
          <cell r="E29">
            <v>24000</v>
          </cell>
          <cell r="F29">
            <v>24000</v>
          </cell>
          <cell r="G29">
            <v>1</v>
          </cell>
        </row>
        <row r="30">
          <cell r="A30" t="str">
            <v>115-10-060</v>
          </cell>
          <cell r="B30">
            <v>30</v>
          </cell>
          <cell r="C30" t="str">
            <v>OFFICE WATER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</row>
        <row r="31">
          <cell r="A31" t="str">
            <v>115-10-070</v>
          </cell>
          <cell r="B31">
            <v>30</v>
          </cell>
          <cell r="C31" t="str">
            <v>OFFICE ELECTRICITY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</row>
        <row r="32">
          <cell r="A32" t="str">
            <v>115-10-080</v>
          </cell>
          <cell r="B32">
            <v>30</v>
          </cell>
          <cell r="C32" t="str">
            <v>OFFICE SECURITY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A33" t="str">
            <v>125-10-010</v>
          </cell>
          <cell r="B33">
            <v>30</v>
          </cell>
          <cell r="C33" t="str">
            <v>BANK CHARGES</v>
          </cell>
          <cell r="D33">
            <v>36000</v>
          </cell>
          <cell r="E33">
            <v>1000</v>
          </cell>
          <cell r="F33">
            <v>1714.2857142857142</v>
          </cell>
          <cell r="G33">
            <v>21</v>
          </cell>
        </row>
        <row r="34">
          <cell r="A34" t="str">
            <v>125-10-020</v>
          </cell>
          <cell r="B34">
            <v>30</v>
          </cell>
          <cell r="C34" t="str">
            <v>BANK OVERDRART CHARGES</v>
          </cell>
          <cell r="E34">
            <v>0</v>
          </cell>
          <cell r="F34">
            <v>0</v>
          </cell>
          <cell r="G34">
            <v>0</v>
          </cell>
        </row>
        <row r="35">
          <cell r="A35" t="str">
            <v>135-60-030</v>
          </cell>
          <cell r="B35">
            <v>30</v>
          </cell>
          <cell r="C35" t="str">
            <v>SALES PROMOTIONS &amp; COMPETITION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</row>
        <row r="36">
          <cell r="A36" t="str">
            <v>135-70-010</v>
          </cell>
          <cell r="B36">
            <v>30</v>
          </cell>
          <cell r="C36" t="str">
            <v>AGENCY PENSION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</row>
        <row r="37">
          <cell r="A37" t="str">
            <v>135-70-020</v>
          </cell>
          <cell r="B37">
            <v>30</v>
          </cell>
          <cell r="C37" t="str">
            <v>AGENCY GLA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A38" t="str">
            <v>135-70-030</v>
          </cell>
          <cell r="B38">
            <v>30</v>
          </cell>
          <cell r="C38" t="str">
            <v>AGENCY MEDICAL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</row>
        <row r="39">
          <cell r="A39" t="str">
            <v>135-70-040</v>
          </cell>
          <cell r="B39">
            <v>30</v>
          </cell>
          <cell r="C39" t="str">
            <v>AGENCY LAST EXPENSE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A40" t="str">
            <v>145-10-030</v>
          </cell>
          <cell r="B40">
            <v>30</v>
          </cell>
          <cell r="C40" t="str">
            <v>Audit fee -individual life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A41" t="str">
            <v>145-10-031</v>
          </cell>
          <cell r="B41">
            <v>30</v>
          </cell>
          <cell r="C41" t="str">
            <v>Tax filing returns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</row>
        <row r="42">
          <cell r="A42" t="str">
            <v>145-10-060</v>
          </cell>
          <cell r="B42">
            <v>30</v>
          </cell>
          <cell r="C42" t="str">
            <v>Intra company charges- individual life</v>
          </cell>
          <cell r="G42">
            <v>0</v>
          </cell>
        </row>
        <row r="43">
          <cell r="A43" t="str">
            <v>145-10-060</v>
          </cell>
          <cell r="B43">
            <v>30</v>
          </cell>
          <cell r="E43">
            <v>0</v>
          </cell>
          <cell r="G43">
            <v>0</v>
          </cell>
        </row>
        <row r="44">
          <cell r="A44" t="str">
            <v>145-10-080</v>
          </cell>
          <cell r="B44">
            <v>30</v>
          </cell>
          <cell r="C44" t="str">
            <v>40% Excutive recharge</v>
          </cell>
          <cell r="F44">
            <v>0</v>
          </cell>
          <cell r="G44">
            <v>0</v>
          </cell>
        </row>
        <row r="45">
          <cell r="A45" t="str">
            <v>145-10-080</v>
          </cell>
          <cell r="B45">
            <v>30</v>
          </cell>
          <cell r="C45" t="str">
            <v xml:space="preserve">Recharges: 10% recharge to Corporate </v>
          </cell>
          <cell r="E45">
            <v>0</v>
          </cell>
          <cell r="G45">
            <v>0</v>
          </cell>
        </row>
        <row r="46">
          <cell r="A46" t="str">
            <v>145-10-100</v>
          </cell>
          <cell r="B46">
            <v>30</v>
          </cell>
          <cell r="E46">
            <v>0</v>
          </cell>
          <cell r="G46">
            <v>0</v>
          </cell>
        </row>
        <row r="47">
          <cell r="A47" t="str">
            <v>155-10-007</v>
          </cell>
          <cell r="B47">
            <v>30</v>
          </cell>
          <cell r="C47" t="str">
            <v>NEWSPAPERS &amp; JOURNALS</v>
          </cell>
          <cell r="D47">
            <v>10560</v>
          </cell>
          <cell r="E47">
            <v>6000</v>
          </cell>
          <cell r="F47">
            <v>10285.714285714286</v>
          </cell>
          <cell r="G47">
            <v>1.0266666666666666</v>
          </cell>
        </row>
        <row r="48">
          <cell r="A48" t="str">
            <v>155-10-008</v>
          </cell>
          <cell r="B48">
            <v>30</v>
          </cell>
          <cell r="C48" t="str">
            <v>ENTERTAINMENT &amp; DONATIONS</v>
          </cell>
          <cell r="D48">
            <v>35000</v>
          </cell>
          <cell r="E48">
            <v>6000</v>
          </cell>
          <cell r="F48">
            <v>10285.714285714286</v>
          </cell>
          <cell r="G48">
            <v>3.4027777777777777</v>
          </cell>
        </row>
        <row r="49">
          <cell r="A49" t="str">
            <v>155-10-009</v>
          </cell>
          <cell r="B49">
            <v>30</v>
          </cell>
          <cell r="C49" t="str">
            <v>COURIER &amp; FREIGHT CHARGES</v>
          </cell>
          <cell r="D49">
            <v>35000</v>
          </cell>
          <cell r="E49">
            <v>23000</v>
          </cell>
          <cell r="F49">
            <v>39428.571428571428</v>
          </cell>
          <cell r="G49">
            <v>0.88768115942028991</v>
          </cell>
        </row>
        <row r="50">
          <cell r="A50" t="str">
            <v>155-10-010</v>
          </cell>
          <cell r="B50">
            <v>30</v>
          </cell>
          <cell r="C50" t="str">
            <v>ADVERTISING &amp; PUBLICITY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A51" t="str">
            <v>155-10-012</v>
          </cell>
          <cell r="B51">
            <v>30</v>
          </cell>
          <cell r="C51" t="str">
            <v>TRADE LICENCES</v>
          </cell>
          <cell r="D51">
            <v>60000</v>
          </cell>
          <cell r="E51">
            <v>43000</v>
          </cell>
          <cell r="F51">
            <v>43000</v>
          </cell>
          <cell r="G51">
            <v>1.3953488372093024</v>
          </cell>
        </row>
        <row r="52">
          <cell r="A52" t="str">
            <v>155-10-013</v>
          </cell>
          <cell r="B52">
            <v>30</v>
          </cell>
          <cell r="C52" t="str">
            <v>INSURANCES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</row>
        <row r="53">
          <cell r="A53" t="str">
            <v>155-10-014</v>
          </cell>
          <cell r="B53">
            <v>30</v>
          </cell>
          <cell r="C53" t="str">
            <v>PHOTOCOPY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A54" t="str">
            <v>155-10-015</v>
          </cell>
          <cell r="B54">
            <v>30</v>
          </cell>
          <cell r="C54" t="str">
            <v>COMPUTER MAINTAINANCE</v>
          </cell>
          <cell r="D54">
            <v>5500</v>
          </cell>
          <cell r="E54">
            <v>0</v>
          </cell>
          <cell r="F54">
            <v>0</v>
          </cell>
          <cell r="G54">
            <v>0</v>
          </cell>
        </row>
        <row r="55">
          <cell r="A55" t="str">
            <v>155-10-016</v>
          </cell>
          <cell r="B55">
            <v>30</v>
          </cell>
          <cell r="C55" t="str">
            <v>EQUIPMENT&amp; FURNITURE REPAIRS &amp; MAINTENANCE</v>
          </cell>
          <cell r="D55">
            <v>9000</v>
          </cell>
          <cell r="E55">
            <v>1000</v>
          </cell>
          <cell r="F55">
            <v>1714.2857142857142</v>
          </cell>
          <cell r="G55">
            <v>5.25</v>
          </cell>
        </row>
        <row r="56">
          <cell r="A56" t="str">
            <v>155-10-017</v>
          </cell>
          <cell r="B56">
            <v>30</v>
          </cell>
          <cell r="C56" t="str">
            <v>SEMINARS &amp; SHORT TERM COURSES</v>
          </cell>
          <cell r="D56">
            <v>0</v>
          </cell>
          <cell r="E56">
            <v>6000</v>
          </cell>
          <cell r="F56">
            <v>10285.714285714286</v>
          </cell>
          <cell r="G56">
            <v>0</v>
          </cell>
        </row>
        <row r="57">
          <cell r="A57" t="str">
            <v>155-10-022</v>
          </cell>
          <cell r="B57">
            <v>30</v>
          </cell>
          <cell r="C57" t="str">
            <v>PRINTING &amp; STATIONERY</v>
          </cell>
          <cell r="D57">
            <v>134686.70000000001</v>
          </cell>
          <cell r="E57">
            <v>53000</v>
          </cell>
          <cell r="F57">
            <v>90857.142857142855</v>
          </cell>
          <cell r="G57">
            <v>1.4824007861635222</v>
          </cell>
        </row>
        <row r="58">
          <cell r="A58" t="str">
            <v>155-10-025</v>
          </cell>
          <cell r="B58">
            <v>30</v>
          </cell>
          <cell r="C58" t="str">
            <v>STRATEGIC PLANNING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</row>
        <row r="59">
          <cell r="A59" t="str">
            <v>155-10-027</v>
          </cell>
          <cell r="B59">
            <v>30</v>
          </cell>
          <cell r="C59" t="str">
            <v>PROFESSIONAL SUBSCRIPTIONS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</row>
        <row r="60">
          <cell r="A60" t="str">
            <v>155-10-028</v>
          </cell>
          <cell r="B60">
            <v>30</v>
          </cell>
          <cell r="C60" t="str">
            <v xml:space="preserve"> SUBSCRIPTIONS -COMPANY MEMBERSHIP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</row>
        <row r="61">
          <cell r="A61" t="str">
            <v>155-10-030</v>
          </cell>
          <cell r="B61">
            <v>30</v>
          </cell>
          <cell r="C61" t="str">
            <v>TRAVELLING &amp; ACCOMMODATION</v>
          </cell>
          <cell r="D61">
            <v>74960</v>
          </cell>
          <cell r="E61">
            <v>11000</v>
          </cell>
          <cell r="F61">
            <v>18857.142857142855</v>
          </cell>
          <cell r="G61">
            <v>3.9751515151515155</v>
          </cell>
        </row>
        <row r="62">
          <cell r="A62" t="str">
            <v>155-10-032</v>
          </cell>
          <cell r="B62">
            <v>30</v>
          </cell>
          <cell r="C62" t="str">
            <v xml:space="preserve">MOTOR CAR EXPENSES 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</row>
        <row r="63">
          <cell r="A63" t="str">
            <v>155-10-040</v>
          </cell>
          <cell r="B63">
            <v>30</v>
          </cell>
          <cell r="C63" t="str">
            <v>POSTAGE</v>
          </cell>
          <cell r="D63">
            <v>7500</v>
          </cell>
          <cell r="E63">
            <v>4000</v>
          </cell>
          <cell r="F63">
            <v>6857.1428571428569</v>
          </cell>
          <cell r="G63">
            <v>1.09375</v>
          </cell>
        </row>
        <row r="64">
          <cell r="A64" t="str">
            <v>155-10-041</v>
          </cell>
          <cell r="B64">
            <v>30</v>
          </cell>
          <cell r="C64" t="str">
            <v>TELEPHONE &amp; FAX</v>
          </cell>
          <cell r="D64">
            <v>108000</v>
          </cell>
          <cell r="E64">
            <v>49000</v>
          </cell>
          <cell r="F64">
            <v>84000</v>
          </cell>
          <cell r="G64">
            <v>1.2857142857142858</v>
          </cell>
        </row>
        <row r="65">
          <cell r="A65" t="str">
            <v>155-10-044</v>
          </cell>
          <cell r="B65">
            <v>30</v>
          </cell>
          <cell r="C65" t="str">
            <v>PROFFESSIONAL TRAINING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</row>
        <row r="66">
          <cell r="A66" t="str">
            <v>155-10-046</v>
          </cell>
          <cell r="B66">
            <v>30</v>
          </cell>
          <cell r="C66" t="str">
            <v xml:space="preserve">SUBSCRIPTION- STAFF CLUB MEMBERSHIP </v>
          </cell>
          <cell r="D66">
            <v>40000</v>
          </cell>
          <cell r="E66">
            <v>0</v>
          </cell>
          <cell r="F66">
            <v>0</v>
          </cell>
          <cell r="G66">
            <v>0</v>
          </cell>
        </row>
        <row r="67">
          <cell r="A67" t="str">
            <v>155-10-054</v>
          </cell>
          <cell r="B67">
            <v>30</v>
          </cell>
          <cell r="C67" t="str">
            <v>LEASED LINES-INTERNET SERVICES</v>
          </cell>
          <cell r="D67">
            <v>0</v>
          </cell>
          <cell r="E67">
            <v>11000</v>
          </cell>
          <cell r="F67">
            <v>18857.142857142855</v>
          </cell>
          <cell r="G67">
            <v>0</v>
          </cell>
        </row>
        <row r="68">
          <cell r="A68" t="str">
            <v>155-10-057</v>
          </cell>
          <cell r="B68">
            <v>30</v>
          </cell>
          <cell r="C68" t="str">
            <v>SOFTWARE LICENCES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</row>
        <row r="69">
          <cell r="A69" t="str">
            <v>155-10-059</v>
          </cell>
          <cell r="B69">
            <v>30</v>
          </cell>
          <cell r="E69">
            <v>0</v>
          </cell>
          <cell r="G69">
            <v>0</v>
          </cell>
        </row>
        <row r="70">
          <cell r="A70" t="str">
            <v>155-10-060</v>
          </cell>
          <cell r="B70">
            <v>30</v>
          </cell>
          <cell r="E70">
            <v>0</v>
          </cell>
          <cell r="G70">
            <v>0</v>
          </cell>
        </row>
        <row r="71">
          <cell r="A71" t="str">
            <v>155-10-062</v>
          </cell>
          <cell r="B71">
            <v>30</v>
          </cell>
          <cell r="C71" t="str">
            <v>EDUCATION EXPENSES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</row>
        <row r="72">
          <cell r="A72" t="str">
            <v>160-10-010</v>
          </cell>
          <cell r="B72">
            <v>30</v>
          </cell>
          <cell r="E72">
            <v>0</v>
          </cell>
          <cell r="G72">
            <v>0</v>
          </cell>
        </row>
        <row r="73">
          <cell r="A73" t="str">
            <v>105-10-010</v>
          </cell>
          <cell r="B73">
            <v>40</v>
          </cell>
          <cell r="C73" t="str">
            <v>BASIC SALARY</v>
          </cell>
          <cell r="D73">
            <v>284175.96000000002</v>
          </cell>
          <cell r="E73">
            <v>151000</v>
          </cell>
          <cell r="F73">
            <v>253000</v>
          </cell>
          <cell r="G73">
            <v>1.1232251383399212</v>
          </cell>
          <cell r="H73" t="str">
            <v>Please check out the  calcualations on this one . They do not seem to tally to 110% growth.</v>
          </cell>
        </row>
        <row r="74">
          <cell r="A74" t="str">
            <v>105-10-012</v>
          </cell>
          <cell r="B74">
            <v>40</v>
          </cell>
          <cell r="C74" t="str">
            <v>PROVISION FOR MORT. RATE ADJUSTMENTS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</row>
        <row r="75">
          <cell r="A75" t="str">
            <v>105-10-020</v>
          </cell>
          <cell r="B75">
            <v>40</v>
          </cell>
          <cell r="C75" t="str">
            <v>HOUSE ALLOWANCE</v>
          </cell>
          <cell r="D75">
            <v>46800</v>
          </cell>
          <cell r="E75">
            <v>72000</v>
          </cell>
          <cell r="F75">
            <v>91500</v>
          </cell>
          <cell r="G75">
            <v>0.51147540983606554</v>
          </cell>
        </row>
        <row r="76">
          <cell r="A76" t="str">
            <v>105-10-030</v>
          </cell>
          <cell r="B76">
            <v>40</v>
          </cell>
          <cell r="C76" t="str">
            <v>TELEPHONE ALLOWANCE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</row>
        <row r="77">
          <cell r="A77" t="str">
            <v>105-10-040</v>
          </cell>
          <cell r="B77">
            <v>40</v>
          </cell>
          <cell r="C77" t="str">
            <v>SECURITY ALLOWANCE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</row>
        <row r="78">
          <cell r="A78" t="str">
            <v>105-10-050</v>
          </cell>
          <cell r="B78">
            <v>40</v>
          </cell>
          <cell r="C78" t="str">
            <v>EDUCATION ALLOWANCE</v>
          </cell>
          <cell r="D78">
            <v>0</v>
          </cell>
          <cell r="E78">
            <v>0</v>
          </cell>
          <cell r="F78">
            <v>0</v>
          </cell>
          <cell r="G78">
            <v>0</v>
          </cell>
        </row>
        <row r="79">
          <cell r="A79" t="str">
            <v>105-10-060</v>
          </cell>
          <cell r="B79">
            <v>40</v>
          </cell>
          <cell r="C79" t="str">
            <v>TRAVEL ALLOWANCE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</row>
        <row r="80">
          <cell r="A80" t="str">
            <v>105-20-010</v>
          </cell>
          <cell r="B80">
            <v>40</v>
          </cell>
          <cell r="C80" t="str">
            <v>NSSF</v>
          </cell>
          <cell r="D80">
            <v>2400</v>
          </cell>
          <cell r="E80">
            <v>2000</v>
          </cell>
          <cell r="F80">
            <v>3000</v>
          </cell>
          <cell r="G80">
            <v>0.8</v>
          </cell>
        </row>
        <row r="81">
          <cell r="A81" t="str">
            <v>105-20-020</v>
          </cell>
          <cell r="B81">
            <v>40</v>
          </cell>
          <cell r="C81" t="str">
            <v>NHIF</v>
          </cell>
          <cell r="D81">
            <v>2880</v>
          </cell>
          <cell r="E81">
            <v>3000</v>
          </cell>
          <cell r="F81">
            <v>4200</v>
          </cell>
          <cell r="G81">
            <v>0.68571428571428572</v>
          </cell>
        </row>
        <row r="82">
          <cell r="A82" t="str">
            <v>105-30-010</v>
          </cell>
          <cell r="B82">
            <v>40</v>
          </cell>
          <cell r="C82" t="str">
            <v xml:space="preserve">PENSION </v>
          </cell>
          <cell r="D82">
            <v>34272</v>
          </cell>
          <cell r="E82">
            <v>32000</v>
          </cell>
          <cell r="F82">
            <v>46280</v>
          </cell>
          <cell r="G82">
            <v>0.74053586862575638</v>
          </cell>
        </row>
        <row r="83">
          <cell r="A83" t="str">
            <v>105-30-020</v>
          </cell>
          <cell r="B83">
            <v>40</v>
          </cell>
          <cell r="C83" t="str">
            <v>LAST EXPENSE</v>
          </cell>
          <cell r="D83">
            <v>0</v>
          </cell>
          <cell r="E83">
            <v>1000</v>
          </cell>
          <cell r="F83">
            <v>1714.2857142857142</v>
          </cell>
          <cell r="G83">
            <v>0</v>
          </cell>
        </row>
        <row r="84">
          <cell r="A84" t="str">
            <v>105-30-030</v>
          </cell>
          <cell r="B84">
            <v>40</v>
          </cell>
          <cell r="C84" t="str">
            <v>GROUP LIFE ASSURANCE</v>
          </cell>
          <cell r="D84">
            <v>0</v>
          </cell>
          <cell r="E84">
            <v>6000</v>
          </cell>
          <cell r="F84">
            <v>10285.714285714286</v>
          </cell>
          <cell r="G84">
            <v>0</v>
          </cell>
        </row>
        <row r="85">
          <cell r="A85" t="str">
            <v>105-30-040</v>
          </cell>
          <cell r="B85">
            <v>40</v>
          </cell>
          <cell r="C85" t="str">
            <v>STAFF MEDICAL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</row>
        <row r="86">
          <cell r="A86" t="str">
            <v>105-30-050</v>
          </cell>
          <cell r="B86">
            <v>40</v>
          </cell>
          <cell r="C86" t="str">
            <v>CASH IN LIEU OF LEAVE</v>
          </cell>
          <cell r="D86">
            <v>6854.4</v>
          </cell>
          <cell r="E86">
            <v>9000</v>
          </cell>
          <cell r="F86">
            <v>15428.571428571429</v>
          </cell>
          <cell r="G86">
            <v>0.4442666666666667</v>
          </cell>
        </row>
        <row r="87">
          <cell r="A87" t="str">
            <v>105-30-060</v>
          </cell>
          <cell r="B87">
            <v>40</v>
          </cell>
          <cell r="C87" t="str">
            <v>GRATUITY</v>
          </cell>
          <cell r="E87">
            <v>0</v>
          </cell>
          <cell r="F87">
            <v>0</v>
          </cell>
          <cell r="G87">
            <v>0</v>
          </cell>
        </row>
        <row r="88">
          <cell r="A88" t="str">
            <v>105-30-070</v>
          </cell>
          <cell r="B88">
            <v>40</v>
          </cell>
          <cell r="C88" t="str">
            <v>LONG SERVICE AWARDS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</row>
        <row r="89">
          <cell r="A89" t="str">
            <v>105-30-080</v>
          </cell>
          <cell r="B89">
            <v>40</v>
          </cell>
          <cell r="C89" t="str">
            <v>STAFF RECRUITMENT &amp; REMOVALS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</row>
        <row r="90">
          <cell r="A90" t="str">
            <v>115-10-010</v>
          </cell>
          <cell r="B90">
            <v>40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</row>
        <row r="91">
          <cell r="A91" t="str">
            <v>115-10-010</v>
          </cell>
          <cell r="B91">
            <v>40</v>
          </cell>
          <cell r="D91">
            <v>0</v>
          </cell>
          <cell r="F91">
            <v>0</v>
          </cell>
          <cell r="G91">
            <v>0</v>
          </cell>
        </row>
        <row r="92">
          <cell r="A92" t="str">
            <v>115-10-020</v>
          </cell>
          <cell r="B92">
            <v>40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</row>
        <row r="93">
          <cell r="A93" t="str">
            <v>115-10-020</v>
          </cell>
          <cell r="B93">
            <v>40</v>
          </cell>
          <cell r="D93">
            <v>0</v>
          </cell>
          <cell r="G93">
            <v>0</v>
          </cell>
        </row>
        <row r="94">
          <cell r="A94" t="str">
            <v>115-10-030</v>
          </cell>
          <cell r="B94">
            <v>40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</row>
        <row r="95">
          <cell r="A95" t="str">
            <v>115-10-030</v>
          </cell>
          <cell r="B95">
            <v>40</v>
          </cell>
          <cell r="D95">
            <v>0</v>
          </cell>
          <cell r="F95">
            <v>0</v>
          </cell>
          <cell r="G95">
            <v>0</v>
          </cell>
        </row>
        <row r="96">
          <cell r="A96" t="str">
            <v>115-10-040</v>
          </cell>
          <cell r="B96">
            <v>40</v>
          </cell>
          <cell r="D96">
            <v>294336</v>
          </cell>
          <cell r="E96">
            <v>193000</v>
          </cell>
          <cell r="F96">
            <v>330857.14285714284</v>
          </cell>
          <cell r="G96">
            <v>0.88961658031088087</v>
          </cell>
        </row>
        <row r="97">
          <cell r="A97" t="str">
            <v>115-10-040</v>
          </cell>
          <cell r="B97">
            <v>40</v>
          </cell>
          <cell r="D97">
            <v>0</v>
          </cell>
          <cell r="F97">
            <v>0</v>
          </cell>
          <cell r="G97">
            <v>0</v>
          </cell>
        </row>
        <row r="98">
          <cell r="A98" t="str">
            <v>115-10-050</v>
          </cell>
          <cell r="B98">
            <v>40</v>
          </cell>
          <cell r="C98" t="str">
            <v>OFFICE CATERING &amp; STAFF WELFARE</v>
          </cell>
          <cell r="D98">
            <v>64800</v>
          </cell>
          <cell r="E98">
            <v>50250</v>
          </cell>
          <cell r="F98">
            <v>86142.857142857145</v>
          </cell>
          <cell r="G98">
            <v>0.75223880597014925</v>
          </cell>
          <cell r="H98" t="str">
            <v>Takes into account refreshments during agents training in the year and zone meeting costs.</v>
          </cell>
        </row>
        <row r="99">
          <cell r="A99" t="str">
            <v>115-10-051</v>
          </cell>
          <cell r="B99">
            <v>40</v>
          </cell>
          <cell r="C99" t="str">
            <v>OFFICE CLEANING</v>
          </cell>
          <cell r="D99">
            <v>30000</v>
          </cell>
          <cell r="E99">
            <v>0</v>
          </cell>
          <cell r="F99">
            <v>0</v>
          </cell>
          <cell r="G99">
            <v>0</v>
          </cell>
        </row>
        <row r="100">
          <cell r="A100" t="str">
            <v>115-10-060</v>
          </cell>
          <cell r="B100">
            <v>40</v>
          </cell>
          <cell r="C100" t="str">
            <v>OFFICE WATER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</row>
        <row r="101">
          <cell r="A101" t="str">
            <v>115-10-070</v>
          </cell>
          <cell r="B101">
            <v>40</v>
          </cell>
          <cell r="C101" t="str">
            <v>OFFICE ELECTRICITY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</row>
        <row r="102">
          <cell r="A102" t="str">
            <v>115-10-080</v>
          </cell>
          <cell r="B102">
            <v>40</v>
          </cell>
          <cell r="C102" t="str">
            <v>OFFICE SECURITY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</row>
        <row r="103">
          <cell r="A103" t="str">
            <v>125-10-010</v>
          </cell>
          <cell r="B103">
            <v>40</v>
          </cell>
          <cell r="C103" t="str">
            <v>BANK CHARGES</v>
          </cell>
          <cell r="D103">
            <v>18000</v>
          </cell>
          <cell r="E103">
            <v>1000</v>
          </cell>
          <cell r="F103">
            <v>1714.2857142857142</v>
          </cell>
          <cell r="G103">
            <v>10.5</v>
          </cell>
          <cell r="H103" t="str">
            <v>Assumes that the branch will run two accounts in the year and thus the cost.</v>
          </cell>
        </row>
        <row r="104">
          <cell r="A104" t="str">
            <v>125-10-020</v>
          </cell>
          <cell r="B104">
            <v>40</v>
          </cell>
          <cell r="C104" t="str">
            <v>BANK OVERDRART CHARGES</v>
          </cell>
          <cell r="E104">
            <v>0</v>
          </cell>
          <cell r="F104">
            <v>0</v>
          </cell>
          <cell r="G104">
            <v>0</v>
          </cell>
        </row>
        <row r="105">
          <cell r="A105" t="str">
            <v>135-60-030</v>
          </cell>
          <cell r="B105">
            <v>40</v>
          </cell>
          <cell r="C105" t="str">
            <v>SALES PROMOTIONS &amp; COMPETITION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</row>
        <row r="106">
          <cell r="A106" t="str">
            <v>135-70-010</v>
          </cell>
          <cell r="B106">
            <v>40</v>
          </cell>
          <cell r="C106" t="str">
            <v>AGENCY PENSION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</row>
        <row r="107">
          <cell r="A107" t="str">
            <v>135-70-020</v>
          </cell>
          <cell r="B107">
            <v>40</v>
          </cell>
          <cell r="C107" t="str">
            <v>AGENCY GLA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</row>
        <row r="108">
          <cell r="A108" t="str">
            <v>135-70-030</v>
          </cell>
          <cell r="B108">
            <v>40</v>
          </cell>
          <cell r="C108" t="str">
            <v>AGENCY MEDICAL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</row>
        <row r="109">
          <cell r="A109" t="str">
            <v>135-70-040</v>
          </cell>
          <cell r="B109">
            <v>40</v>
          </cell>
          <cell r="C109" t="str">
            <v>AGENCY LAST EXPENSE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</row>
        <row r="110">
          <cell r="A110" t="str">
            <v>145-10-030</v>
          </cell>
          <cell r="B110">
            <v>40</v>
          </cell>
          <cell r="C110" t="str">
            <v>Audit fee -individual life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</row>
        <row r="111">
          <cell r="A111" t="str">
            <v>145-10-031</v>
          </cell>
          <cell r="B111">
            <v>40</v>
          </cell>
          <cell r="C111" t="str">
            <v>Tax filing returns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</row>
        <row r="112">
          <cell r="A112" t="str">
            <v>145-10-060</v>
          </cell>
          <cell r="B112">
            <v>40</v>
          </cell>
          <cell r="C112" t="str">
            <v>Intra company charges- individual life</v>
          </cell>
          <cell r="G112">
            <v>0</v>
          </cell>
        </row>
        <row r="113">
          <cell r="A113" t="str">
            <v>145-10-060</v>
          </cell>
          <cell r="B113">
            <v>40</v>
          </cell>
          <cell r="E113">
            <v>0</v>
          </cell>
          <cell r="G113">
            <v>0</v>
          </cell>
        </row>
        <row r="114">
          <cell r="A114" t="str">
            <v>145-10-080</v>
          </cell>
          <cell r="B114">
            <v>40</v>
          </cell>
          <cell r="C114" t="str">
            <v>40% Excutive recharge</v>
          </cell>
          <cell r="F114">
            <v>0</v>
          </cell>
          <cell r="G114">
            <v>0</v>
          </cell>
        </row>
        <row r="115">
          <cell r="A115" t="str">
            <v>145-10-080</v>
          </cell>
          <cell r="B115">
            <v>40</v>
          </cell>
          <cell r="C115" t="str">
            <v xml:space="preserve">Recharges: 10% recharge to Corporate </v>
          </cell>
          <cell r="E115">
            <v>0</v>
          </cell>
          <cell r="G115">
            <v>0</v>
          </cell>
        </row>
        <row r="116">
          <cell r="A116" t="str">
            <v>145-10-100</v>
          </cell>
          <cell r="B116">
            <v>40</v>
          </cell>
          <cell r="E116">
            <v>0</v>
          </cell>
          <cell r="G116">
            <v>0</v>
          </cell>
        </row>
        <row r="117">
          <cell r="A117" t="str">
            <v>155-10-007</v>
          </cell>
          <cell r="B117">
            <v>40</v>
          </cell>
          <cell r="C117" t="str">
            <v>NEWSPAPERS &amp; JOURNALS</v>
          </cell>
          <cell r="D117">
            <v>10560</v>
          </cell>
          <cell r="E117">
            <v>6000</v>
          </cell>
          <cell r="F117">
            <v>10285.714285714286</v>
          </cell>
          <cell r="G117">
            <v>1.0266666666666666</v>
          </cell>
        </row>
        <row r="118">
          <cell r="A118" t="str">
            <v>155-10-008</v>
          </cell>
          <cell r="B118">
            <v>40</v>
          </cell>
          <cell r="C118" t="str">
            <v>ENTERTAINMENT &amp; DONATIONS</v>
          </cell>
          <cell r="D118">
            <v>18000</v>
          </cell>
          <cell r="E118">
            <v>13000</v>
          </cell>
          <cell r="F118">
            <v>22285.714285714286</v>
          </cell>
          <cell r="G118">
            <v>0.80769230769230771</v>
          </cell>
        </row>
        <row r="119">
          <cell r="A119" t="str">
            <v>155-10-009</v>
          </cell>
          <cell r="B119">
            <v>40</v>
          </cell>
          <cell r="C119" t="str">
            <v>COURIER &amp; FREIGHT CHARGES</v>
          </cell>
          <cell r="D119">
            <v>18487</v>
          </cell>
          <cell r="E119">
            <v>15000</v>
          </cell>
          <cell r="F119">
            <v>25714.28571428571</v>
          </cell>
          <cell r="G119">
            <v>0.71893888888888902</v>
          </cell>
        </row>
        <row r="120">
          <cell r="A120" t="str">
            <v>155-10-010</v>
          </cell>
          <cell r="B120">
            <v>40</v>
          </cell>
          <cell r="C120" t="str">
            <v>ADVERTISING &amp; PUBLICITY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</row>
        <row r="121">
          <cell r="A121" t="str">
            <v>155-10-012</v>
          </cell>
          <cell r="B121">
            <v>40</v>
          </cell>
          <cell r="C121" t="str">
            <v>TRADE LICENCES</v>
          </cell>
          <cell r="D121">
            <v>22500</v>
          </cell>
          <cell r="E121">
            <v>23000</v>
          </cell>
          <cell r="F121">
            <v>23000</v>
          </cell>
          <cell r="G121">
            <v>0.97826086956521741</v>
          </cell>
          <cell r="H121" t="str">
            <v>This assumes that the trade licence costs will increase over the year which is not true.</v>
          </cell>
        </row>
        <row r="122">
          <cell r="A122" t="str">
            <v>155-10-013</v>
          </cell>
          <cell r="B122">
            <v>40</v>
          </cell>
          <cell r="C122" t="str">
            <v>INSURANCES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</row>
        <row r="123">
          <cell r="A123" t="str">
            <v>155-10-014</v>
          </cell>
          <cell r="B123">
            <v>40</v>
          </cell>
          <cell r="C123" t="str">
            <v>PHOTOCOPY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</row>
        <row r="124">
          <cell r="A124" t="str">
            <v>155-10-015</v>
          </cell>
          <cell r="B124">
            <v>40</v>
          </cell>
          <cell r="C124" t="str">
            <v>COMPUTER MAINTAINANCE</v>
          </cell>
          <cell r="D124">
            <v>12500</v>
          </cell>
          <cell r="E124">
            <v>0</v>
          </cell>
          <cell r="F124">
            <v>0</v>
          </cell>
          <cell r="G124">
            <v>0</v>
          </cell>
        </row>
        <row r="125">
          <cell r="A125" t="str">
            <v>155-10-016</v>
          </cell>
          <cell r="B125">
            <v>40</v>
          </cell>
          <cell r="C125" t="str">
            <v>EQUIPMENT&amp; FURNITURE REPAIRS &amp; MAINTENANCE</v>
          </cell>
          <cell r="D125">
            <v>1200</v>
          </cell>
          <cell r="E125">
            <v>0</v>
          </cell>
          <cell r="F125">
            <v>0</v>
          </cell>
          <cell r="G125">
            <v>0</v>
          </cell>
        </row>
        <row r="126">
          <cell r="A126" t="str">
            <v>155-10-017</v>
          </cell>
          <cell r="B126">
            <v>40</v>
          </cell>
          <cell r="C126" t="str">
            <v>SEMINARS &amp; SHORT TERM COURSES</v>
          </cell>
          <cell r="D126">
            <v>0</v>
          </cell>
          <cell r="E126">
            <v>6000</v>
          </cell>
          <cell r="F126">
            <v>10285.714285714286</v>
          </cell>
          <cell r="G126">
            <v>0</v>
          </cell>
        </row>
        <row r="127">
          <cell r="A127" t="str">
            <v>155-10-022</v>
          </cell>
          <cell r="B127">
            <v>40</v>
          </cell>
          <cell r="C127" t="str">
            <v>PRINTING &amp; STATIONERY</v>
          </cell>
          <cell r="D127">
            <v>116115</v>
          </cell>
          <cell r="E127">
            <v>36000</v>
          </cell>
          <cell r="F127">
            <v>61714.285714285717</v>
          </cell>
          <cell r="G127">
            <v>1.8814930555555556</v>
          </cell>
          <cell r="H127" t="str">
            <v>Initially the branch used exisiting stationery left over from last year, thus the lower cost in the year.</v>
          </cell>
        </row>
        <row r="128">
          <cell r="A128" t="str">
            <v>155-10-025</v>
          </cell>
          <cell r="B128">
            <v>40</v>
          </cell>
          <cell r="C128" t="str">
            <v>STRATEGIC PLANNING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</row>
        <row r="129">
          <cell r="A129" t="str">
            <v>155-10-027</v>
          </cell>
          <cell r="B129">
            <v>40</v>
          </cell>
          <cell r="C129" t="str">
            <v>PROFESSIONAL SUBSCRIPTIONS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</row>
        <row r="130">
          <cell r="A130" t="str">
            <v>155-10-028</v>
          </cell>
          <cell r="B130">
            <v>40</v>
          </cell>
          <cell r="C130" t="str">
            <v xml:space="preserve"> SUBSCRIPTIONS -COMPANY MEMBERSHIP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</row>
        <row r="131">
          <cell r="A131" t="str">
            <v>155-10-030</v>
          </cell>
          <cell r="B131">
            <v>40</v>
          </cell>
          <cell r="C131" t="str">
            <v>TRAVELLING &amp; ACCOMMODATION</v>
          </cell>
          <cell r="D131">
            <v>54935</v>
          </cell>
          <cell r="E131">
            <v>22000</v>
          </cell>
          <cell r="F131">
            <v>37714.28571428571</v>
          </cell>
          <cell r="G131">
            <v>1.4566098484848486</v>
          </cell>
          <cell r="H131" t="str">
            <v>Takes into account zone meetings and training in the year.</v>
          </cell>
        </row>
        <row r="132">
          <cell r="A132" t="str">
            <v>155-10-032</v>
          </cell>
          <cell r="B132">
            <v>40</v>
          </cell>
          <cell r="C132" t="str">
            <v xml:space="preserve">MOTOR CAR EXPENSES 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</row>
        <row r="133">
          <cell r="A133" t="str">
            <v>155-10-040</v>
          </cell>
          <cell r="B133">
            <v>40</v>
          </cell>
          <cell r="C133" t="str">
            <v>POSTAGE</v>
          </cell>
          <cell r="D133">
            <v>6552</v>
          </cell>
          <cell r="E133">
            <v>4000</v>
          </cell>
          <cell r="F133">
            <v>6857.1428571428569</v>
          </cell>
          <cell r="G133">
            <v>0.95550000000000002</v>
          </cell>
        </row>
        <row r="134">
          <cell r="A134" t="str">
            <v>155-10-041</v>
          </cell>
          <cell r="B134">
            <v>40</v>
          </cell>
          <cell r="C134" t="str">
            <v>TELEPHONE &amp; FAX</v>
          </cell>
          <cell r="D134">
            <v>108000</v>
          </cell>
          <cell r="E134">
            <v>31000</v>
          </cell>
          <cell r="F134">
            <v>53142.857142857145</v>
          </cell>
          <cell r="G134">
            <v>2.032258064516129</v>
          </cell>
          <cell r="H134" t="str">
            <v>Telephone cost over the year adjusted to 9000 per month</v>
          </cell>
        </row>
        <row r="135">
          <cell r="A135" t="str">
            <v>155-10-044</v>
          </cell>
          <cell r="B135">
            <v>40</v>
          </cell>
          <cell r="C135" t="str">
            <v>PROFFESSIONAL TRAINING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</row>
        <row r="136">
          <cell r="A136" t="str">
            <v>155-10-046</v>
          </cell>
          <cell r="B136">
            <v>40</v>
          </cell>
          <cell r="C136" t="str">
            <v xml:space="preserve">SUBSCRIPTION- STAFF CLUB MEMBERSHIP </v>
          </cell>
          <cell r="D136">
            <v>10000</v>
          </cell>
          <cell r="E136">
            <v>10000</v>
          </cell>
          <cell r="F136">
            <v>10000</v>
          </cell>
          <cell r="G136">
            <v>1</v>
          </cell>
          <cell r="H136" t="str">
            <v>Assumption that the cost of the same will increase over the year is not true as it is a one off payment.</v>
          </cell>
        </row>
        <row r="137">
          <cell r="A137" t="str">
            <v>155-10-054</v>
          </cell>
          <cell r="B137">
            <v>40</v>
          </cell>
          <cell r="C137" t="str">
            <v>LEASED LINES-INTERNET SERVICES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</row>
        <row r="138">
          <cell r="A138" t="str">
            <v>155-10-057</v>
          </cell>
          <cell r="B138">
            <v>40</v>
          </cell>
          <cell r="C138" t="str">
            <v>SOFTWARE LICENCES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</row>
        <row r="139">
          <cell r="A139" t="str">
            <v>155-10-059</v>
          </cell>
          <cell r="B139">
            <v>40</v>
          </cell>
          <cell r="E139">
            <v>0</v>
          </cell>
          <cell r="G139">
            <v>0</v>
          </cell>
        </row>
        <row r="140">
          <cell r="A140" t="str">
            <v>155-10-060</v>
          </cell>
          <cell r="B140">
            <v>40</v>
          </cell>
          <cell r="E140">
            <v>0</v>
          </cell>
          <cell r="G140">
            <v>0</v>
          </cell>
        </row>
        <row r="141">
          <cell r="A141" t="str">
            <v>155-10-062</v>
          </cell>
          <cell r="B141">
            <v>40</v>
          </cell>
          <cell r="C141" t="str">
            <v>EDUCATION EXPENSES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</row>
        <row r="142">
          <cell r="A142" t="str">
            <v>160-10-010</v>
          </cell>
          <cell r="B142">
            <v>40</v>
          </cell>
          <cell r="E142">
            <v>0</v>
          </cell>
          <cell r="G142">
            <v>0</v>
          </cell>
        </row>
        <row r="143">
          <cell r="A143" t="str">
            <v>105-10-010</v>
          </cell>
          <cell r="B143">
            <v>50</v>
          </cell>
          <cell r="C143" t="str">
            <v>BASIC SALARY</v>
          </cell>
          <cell r="D143">
            <v>360783.96</v>
          </cell>
          <cell r="E143">
            <v>188000</v>
          </cell>
          <cell r="F143">
            <v>318500</v>
          </cell>
          <cell r="G143">
            <v>1.1327596860282576</v>
          </cell>
        </row>
        <row r="144">
          <cell r="A144" t="str">
            <v>105-10-012</v>
          </cell>
          <cell r="B144">
            <v>50</v>
          </cell>
          <cell r="C144" t="str">
            <v>PROVISION FOR MORT. RATE ADJUSTMENTS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</row>
        <row r="145">
          <cell r="A145" t="str">
            <v>105-10-020</v>
          </cell>
          <cell r="B145">
            <v>50</v>
          </cell>
          <cell r="C145" t="str">
            <v>HOUSE ALLOWANCE</v>
          </cell>
          <cell r="D145">
            <v>46800</v>
          </cell>
          <cell r="E145">
            <v>27000</v>
          </cell>
          <cell r="F145">
            <v>46500</v>
          </cell>
          <cell r="G145">
            <v>1.0064516129032257</v>
          </cell>
        </row>
        <row r="146">
          <cell r="A146" t="str">
            <v>105-10-030</v>
          </cell>
          <cell r="B146">
            <v>50</v>
          </cell>
          <cell r="C146" t="str">
            <v>TELEPHONE ALLOWANCE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</row>
        <row r="147">
          <cell r="A147" t="str">
            <v>105-10-040</v>
          </cell>
          <cell r="B147">
            <v>50</v>
          </cell>
          <cell r="C147" t="str">
            <v>SECURITY ALLOWANCE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</row>
        <row r="148">
          <cell r="A148" t="str">
            <v>105-10-050</v>
          </cell>
          <cell r="B148">
            <v>50</v>
          </cell>
          <cell r="C148" t="str">
            <v>EDUCATION ALLOWANCE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</row>
        <row r="149">
          <cell r="A149" t="str">
            <v>105-10-060</v>
          </cell>
          <cell r="B149">
            <v>50</v>
          </cell>
          <cell r="C149" t="str">
            <v>TRAVEL ALLOWANCE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</row>
        <row r="150">
          <cell r="A150" t="str">
            <v>105-20-010</v>
          </cell>
          <cell r="B150">
            <v>50</v>
          </cell>
          <cell r="C150" t="str">
            <v>NSSF</v>
          </cell>
          <cell r="D150">
            <v>2400</v>
          </cell>
          <cell r="E150">
            <v>1000</v>
          </cell>
          <cell r="F150">
            <v>2000</v>
          </cell>
          <cell r="G150">
            <v>1.2</v>
          </cell>
        </row>
        <row r="151">
          <cell r="A151" t="str">
            <v>105-20-020</v>
          </cell>
          <cell r="B151">
            <v>50</v>
          </cell>
          <cell r="C151" t="str">
            <v>NHIF</v>
          </cell>
          <cell r="D151">
            <v>2880</v>
          </cell>
          <cell r="E151">
            <v>2000</v>
          </cell>
          <cell r="F151">
            <v>3200</v>
          </cell>
          <cell r="G151">
            <v>0.9</v>
          </cell>
        </row>
        <row r="152">
          <cell r="A152" t="str">
            <v>105-30-010</v>
          </cell>
          <cell r="B152">
            <v>50</v>
          </cell>
          <cell r="C152" t="str">
            <v xml:space="preserve">PENSION </v>
          </cell>
          <cell r="D152">
            <v>43848</v>
          </cell>
          <cell r="E152">
            <v>23000</v>
          </cell>
          <cell r="F152">
            <v>41270</v>
          </cell>
          <cell r="G152">
            <v>1.0624666828204508</v>
          </cell>
        </row>
        <row r="153">
          <cell r="A153" t="str">
            <v>105-30-020</v>
          </cell>
          <cell r="B153">
            <v>50</v>
          </cell>
          <cell r="C153" t="str">
            <v>LAST EXPENSE</v>
          </cell>
          <cell r="D153">
            <v>0</v>
          </cell>
          <cell r="E153">
            <v>1000</v>
          </cell>
          <cell r="F153">
            <v>1714.2857142857142</v>
          </cell>
          <cell r="G153">
            <v>0</v>
          </cell>
        </row>
        <row r="154">
          <cell r="A154" t="str">
            <v>105-30-030</v>
          </cell>
          <cell r="B154">
            <v>50</v>
          </cell>
          <cell r="C154" t="str">
            <v>GROUP LIFE ASSURANCE</v>
          </cell>
          <cell r="D154">
            <v>0</v>
          </cell>
          <cell r="E154">
            <v>13000</v>
          </cell>
          <cell r="F154">
            <v>22285.714285714286</v>
          </cell>
          <cell r="G154">
            <v>0</v>
          </cell>
        </row>
        <row r="155">
          <cell r="A155" t="str">
            <v>105-30-040</v>
          </cell>
          <cell r="B155">
            <v>50</v>
          </cell>
          <cell r="C155" t="str">
            <v>STAFF MEDICAL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</row>
        <row r="156">
          <cell r="A156" t="str">
            <v>105-30-050</v>
          </cell>
          <cell r="B156">
            <v>50</v>
          </cell>
          <cell r="C156" t="str">
            <v>CASH IN LIEU OF LEAVE</v>
          </cell>
          <cell r="D156">
            <v>8769.6</v>
          </cell>
          <cell r="E156">
            <v>12000</v>
          </cell>
          <cell r="F156">
            <v>20571.428571428572</v>
          </cell>
          <cell r="G156">
            <v>0.42630000000000001</v>
          </cell>
        </row>
        <row r="157">
          <cell r="A157" t="str">
            <v>105-30-060</v>
          </cell>
          <cell r="B157">
            <v>50</v>
          </cell>
          <cell r="C157" t="str">
            <v>GRATUITY</v>
          </cell>
          <cell r="E157">
            <v>0</v>
          </cell>
          <cell r="F157">
            <v>0</v>
          </cell>
          <cell r="G157">
            <v>0</v>
          </cell>
        </row>
        <row r="158">
          <cell r="A158" t="str">
            <v>105-30-070</v>
          </cell>
          <cell r="B158">
            <v>50</v>
          </cell>
          <cell r="C158" t="str">
            <v>LONG SERVICE AWARDS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</row>
        <row r="159">
          <cell r="A159" t="str">
            <v>105-30-080</v>
          </cell>
          <cell r="B159">
            <v>50</v>
          </cell>
          <cell r="C159" t="str">
            <v>STAFF RECRUITMENT &amp; REMOVALS</v>
          </cell>
          <cell r="D159">
            <v>0</v>
          </cell>
          <cell r="E159">
            <v>0</v>
          </cell>
          <cell r="F159">
            <v>0</v>
          </cell>
          <cell r="G159">
            <v>0</v>
          </cell>
        </row>
        <row r="160">
          <cell r="A160" t="str">
            <v>115-10-010</v>
          </cell>
          <cell r="B160">
            <v>50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</row>
        <row r="161">
          <cell r="A161" t="str">
            <v>115-10-010</v>
          </cell>
          <cell r="B161">
            <v>50</v>
          </cell>
          <cell r="D161">
            <v>0</v>
          </cell>
          <cell r="F161">
            <v>0</v>
          </cell>
          <cell r="G161">
            <v>0</v>
          </cell>
        </row>
        <row r="162">
          <cell r="A162" t="str">
            <v>115-10-020</v>
          </cell>
          <cell r="B162">
            <v>50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</row>
        <row r="163">
          <cell r="A163" t="str">
            <v>115-10-020</v>
          </cell>
          <cell r="B163">
            <v>50</v>
          </cell>
          <cell r="D163">
            <v>0</v>
          </cell>
          <cell r="G163">
            <v>0</v>
          </cell>
        </row>
        <row r="164">
          <cell r="A164" t="str">
            <v>115-10-030</v>
          </cell>
          <cell r="B164">
            <v>50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</row>
        <row r="165">
          <cell r="A165" t="str">
            <v>115-10-030</v>
          </cell>
          <cell r="B165">
            <v>50</v>
          </cell>
          <cell r="D165">
            <v>0</v>
          </cell>
          <cell r="F165">
            <v>0</v>
          </cell>
          <cell r="G165">
            <v>0</v>
          </cell>
        </row>
        <row r="166">
          <cell r="A166" t="str">
            <v>115-10-040</v>
          </cell>
          <cell r="B166">
            <v>50</v>
          </cell>
          <cell r="D166">
            <v>312000</v>
          </cell>
          <cell r="E166">
            <v>181000</v>
          </cell>
          <cell r="F166">
            <v>310285.71428571432</v>
          </cell>
          <cell r="G166">
            <v>1.0055248618784529</v>
          </cell>
        </row>
        <row r="167">
          <cell r="A167" t="str">
            <v>115-10-040</v>
          </cell>
          <cell r="B167">
            <v>50</v>
          </cell>
          <cell r="D167">
            <v>0</v>
          </cell>
          <cell r="F167">
            <v>0</v>
          </cell>
          <cell r="G167">
            <v>0</v>
          </cell>
        </row>
        <row r="168">
          <cell r="A168" t="str">
            <v>115-10-050</v>
          </cell>
          <cell r="B168">
            <v>50</v>
          </cell>
          <cell r="C168" t="str">
            <v>OFFICE CATERING &amp; STAFF WELFARE</v>
          </cell>
          <cell r="D168">
            <v>55200</v>
          </cell>
          <cell r="E168">
            <v>67250</v>
          </cell>
          <cell r="F168">
            <v>115285.71428571429</v>
          </cell>
          <cell r="G168">
            <v>0.47881040892193305</v>
          </cell>
        </row>
        <row r="169">
          <cell r="A169" t="str">
            <v>115-10-051</v>
          </cell>
          <cell r="B169">
            <v>50</v>
          </cell>
          <cell r="C169" t="str">
            <v>OFFICE CLEANING</v>
          </cell>
          <cell r="D169">
            <v>51000</v>
          </cell>
          <cell r="E169">
            <v>0</v>
          </cell>
          <cell r="F169">
            <v>0</v>
          </cell>
          <cell r="G169">
            <v>0</v>
          </cell>
        </row>
        <row r="170">
          <cell r="A170" t="str">
            <v>115-10-060</v>
          </cell>
          <cell r="B170">
            <v>50</v>
          </cell>
          <cell r="C170" t="str">
            <v>OFFICE WATER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</row>
        <row r="171">
          <cell r="A171" t="str">
            <v>115-10-070</v>
          </cell>
          <cell r="B171">
            <v>50</v>
          </cell>
          <cell r="C171" t="str">
            <v>OFFICE ELECTRICITY</v>
          </cell>
          <cell r="D171">
            <v>0</v>
          </cell>
          <cell r="E171">
            <v>2000</v>
          </cell>
          <cell r="F171">
            <v>3428.5714285714284</v>
          </cell>
          <cell r="G171">
            <v>0</v>
          </cell>
        </row>
        <row r="172">
          <cell r="A172" t="str">
            <v>115-10-080</v>
          </cell>
          <cell r="B172">
            <v>50</v>
          </cell>
          <cell r="C172" t="str">
            <v>OFFICE SECURITY</v>
          </cell>
          <cell r="D172">
            <v>0</v>
          </cell>
          <cell r="E172">
            <v>10000</v>
          </cell>
          <cell r="F172">
            <v>17142.857142857145</v>
          </cell>
          <cell r="G172">
            <v>0</v>
          </cell>
        </row>
        <row r="173">
          <cell r="A173" t="str">
            <v>125-10-010</v>
          </cell>
          <cell r="B173">
            <v>50</v>
          </cell>
          <cell r="C173" t="str">
            <v>BANK CHARGES</v>
          </cell>
          <cell r="D173">
            <v>24000</v>
          </cell>
          <cell r="E173">
            <v>14000</v>
          </cell>
          <cell r="F173">
            <v>24000</v>
          </cell>
          <cell r="G173">
            <v>1</v>
          </cell>
        </row>
        <row r="174">
          <cell r="A174" t="str">
            <v>125-10-020</v>
          </cell>
          <cell r="B174">
            <v>50</v>
          </cell>
          <cell r="C174" t="str">
            <v>BANK OVERDRART CHARGES</v>
          </cell>
          <cell r="E174">
            <v>0</v>
          </cell>
          <cell r="F174">
            <v>0</v>
          </cell>
          <cell r="G174">
            <v>0</v>
          </cell>
        </row>
        <row r="175">
          <cell r="A175" t="str">
            <v>135-60-030</v>
          </cell>
          <cell r="B175">
            <v>50</v>
          </cell>
          <cell r="C175" t="str">
            <v>SALES PROMOTIONS &amp; COMPETITION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</row>
        <row r="176">
          <cell r="A176" t="str">
            <v>135-70-010</v>
          </cell>
          <cell r="B176">
            <v>50</v>
          </cell>
          <cell r="C176" t="str">
            <v>AGENCY PENSION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</row>
        <row r="177">
          <cell r="A177" t="str">
            <v>135-70-020</v>
          </cell>
          <cell r="B177">
            <v>50</v>
          </cell>
          <cell r="C177" t="str">
            <v>AGENCY GLA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</row>
        <row r="178">
          <cell r="A178" t="str">
            <v>135-70-030</v>
          </cell>
          <cell r="B178">
            <v>50</v>
          </cell>
          <cell r="C178" t="str">
            <v>AGENCY MEDICAL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</row>
        <row r="179">
          <cell r="A179" t="str">
            <v>135-70-040</v>
          </cell>
          <cell r="B179">
            <v>50</v>
          </cell>
          <cell r="C179" t="str">
            <v>AGENCY LAST EXPENSE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</row>
        <row r="180">
          <cell r="A180" t="str">
            <v>145-10-030</v>
          </cell>
          <cell r="B180">
            <v>50</v>
          </cell>
          <cell r="C180" t="str">
            <v>Audit fee -individual life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</row>
        <row r="181">
          <cell r="A181" t="str">
            <v>145-10-031</v>
          </cell>
          <cell r="B181">
            <v>50</v>
          </cell>
          <cell r="C181" t="str">
            <v>Tax filing returns</v>
          </cell>
          <cell r="D181">
            <v>0</v>
          </cell>
          <cell r="E181">
            <v>0</v>
          </cell>
          <cell r="F181">
            <v>0</v>
          </cell>
          <cell r="G181">
            <v>0</v>
          </cell>
        </row>
        <row r="182">
          <cell r="A182" t="str">
            <v>145-10-060</v>
          </cell>
          <cell r="B182">
            <v>50</v>
          </cell>
          <cell r="C182" t="str">
            <v>Intra company charges- individual life</v>
          </cell>
          <cell r="G182">
            <v>0</v>
          </cell>
        </row>
        <row r="183">
          <cell r="A183" t="str">
            <v>145-10-060</v>
          </cell>
          <cell r="B183">
            <v>50</v>
          </cell>
          <cell r="E183">
            <v>0</v>
          </cell>
          <cell r="G183">
            <v>0</v>
          </cell>
        </row>
        <row r="184">
          <cell r="A184" t="str">
            <v>145-10-080</v>
          </cell>
          <cell r="B184">
            <v>50</v>
          </cell>
          <cell r="C184" t="str">
            <v>40% Excutive recharge</v>
          </cell>
          <cell r="F184">
            <v>0</v>
          </cell>
          <cell r="G184">
            <v>0</v>
          </cell>
        </row>
        <row r="185">
          <cell r="A185" t="str">
            <v>145-10-080</v>
          </cell>
          <cell r="B185">
            <v>50</v>
          </cell>
          <cell r="C185" t="str">
            <v xml:space="preserve">Recharges: 10% recharge to Corporate </v>
          </cell>
          <cell r="E185">
            <v>0</v>
          </cell>
          <cell r="G185">
            <v>0</v>
          </cell>
        </row>
        <row r="186">
          <cell r="A186" t="str">
            <v>145-10-100</v>
          </cell>
          <cell r="B186">
            <v>50</v>
          </cell>
          <cell r="E186">
            <v>0</v>
          </cell>
          <cell r="G186">
            <v>0</v>
          </cell>
        </row>
        <row r="187">
          <cell r="A187" t="str">
            <v>155-10-007</v>
          </cell>
          <cell r="B187">
            <v>50</v>
          </cell>
          <cell r="C187" t="str">
            <v>NEWSPAPERS &amp; JOURNALS</v>
          </cell>
          <cell r="D187">
            <v>10560</v>
          </cell>
          <cell r="E187">
            <v>6000</v>
          </cell>
          <cell r="F187">
            <v>10285.714285714286</v>
          </cell>
          <cell r="G187">
            <v>1.0266666666666666</v>
          </cell>
        </row>
        <row r="188">
          <cell r="A188" t="str">
            <v>155-10-008</v>
          </cell>
          <cell r="B188">
            <v>50</v>
          </cell>
          <cell r="C188" t="str">
            <v>ENTERTAINMENT &amp; DONATIONS</v>
          </cell>
          <cell r="D188">
            <v>15000</v>
          </cell>
          <cell r="E188">
            <v>3000</v>
          </cell>
          <cell r="F188">
            <v>5142.8571428571431</v>
          </cell>
          <cell r="G188">
            <v>2.9166666666666665</v>
          </cell>
          <cell r="H188" t="str">
            <v>WILL WORK WITH MORE CHECK OFFS.</v>
          </cell>
        </row>
        <row r="189">
          <cell r="A189" t="str">
            <v>155-10-009</v>
          </cell>
          <cell r="B189">
            <v>50</v>
          </cell>
          <cell r="C189" t="str">
            <v>COURIER &amp; FREIGHT CHARGES</v>
          </cell>
          <cell r="D189">
            <v>50796</v>
          </cell>
          <cell r="E189">
            <v>63000</v>
          </cell>
          <cell r="F189">
            <v>108000</v>
          </cell>
          <cell r="G189">
            <v>0.47033333333333333</v>
          </cell>
        </row>
        <row r="190">
          <cell r="A190" t="str">
            <v>155-10-010</v>
          </cell>
          <cell r="B190">
            <v>50</v>
          </cell>
          <cell r="C190" t="str">
            <v>ADVERTISING &amp; PUBLICITY</v>
          </cell>
          <cell r="D190">
            <v>0</v>
          </cell>
          <cell r="E190">
            <v>0</v>
          </cell>
          <cell r="F190">
            <v>0</v>
          </cell>
          <cell r="G190">
            <v>0</v>
          </cell>
        </row>
        <row r="191">
          <cell r="A191" t="str">
            <v>155-10-012</v>
          </cell>
          <cell r="B191">
            <v>50</v>
          </cell>
          <cell r="C191" t="str">
            <v>TRADE LICENCES</v>
          </cell>
          <cell r="D191">
            <v>48000</v>
          </cell>
          <cell r="E191">
            <v>43000</v>
          </cell>
          <cell r="F191">
            <v>43000</v>
          </cell>
          <cell r="G191">
            <v>1.1162790697674418</v>
          </cell>
          <cell r="H191" t="str">
            <v>The current end of year assumption estimates that this cost will double which is false.</v>
          </cell>
        </row>
        <row r="192">
          <cell r="A192" t="str">
            <v>155-10-013</v>
          </cell>
          <cell r="B192">
            <v>50</v>
          </cell>
          <cell r="C192" t="str">
            <v>INSURANCES</v>
          </cell>
          <cell r="D192">
            <v>0</v>
          </cell>
          <cell r="E192">
            <v>0</v>
          </cell>
          <cell r="F192">
            <v>0</v>
          </cell>
          <cell r="G192">
            <v>0</v>
          </cell>
        </row>
        <row r="193">
          <cell r="A193" t="str">
            <v>155-10-014</v>
          </cell>
          <cell r="B193">
            <v>50</v>
          </cell>
          <cell r="C193" t="str">
            <v>PHOTOCOPY</v>
          </cell>
          <cell r="D193">
            <v>0</v>
          </cell>
          <cell r="E193">
            <v>0</v>
          </cell>
          <cell r="F193">
            <v>0</v>
          </cell>
          <cell r="G193">
            <v>0</v>
          </cell>
        </row>
        <row r="194">
          <cell r="A194" t="str">
            <v>155-10-015</v>
          </cell>
          <cell r="B194">
            <v>50</v>
          </cell>
          <cell r="C194" t="str">
            <v>COMPUTER MAINTAINANCE</v>
          </cell>
          <cell r="D194">
            <v>7500</v>
          </cell>
          <cell r="E194">
            <v>1000</v>
          </cell>
          <cell r="F194">
            <v>1714.2857142857142</v>
          </cell>
          <cell r="G194">
            <v>4.375</v>
          </cell>
        </row>
        <row r="195">
          <cell r="A195" t="str">
            <v>155-10-016</v>
          </cell>
          <cell r="B195">
            <v>50</v>
          </cell>
          <cell r="C195" t="str">
            <v>EQUIPMENT&amp; FURNITURE REPAIRS &amp; MAINTENANCE</v>
          </cell>
          <cell r="D195">
            <v>6000</v>
          </cell>
          <cell r="E195">
            <v>10000</v>
          </cell>
          <cell r="F195">
            <v>17142.857142857145</v>
          </cell>
          <cell r="G195">
            <v>0.35</v>
          </cell>
        </row>
        <row r="196">
          <cell r="A196" t="str">
            <v>155-10-017</v>
          </cell>
          <cell r="B196">
            <v>50</v>
          </cell>
          <cell r="C196" t="str">
            <v>SEMINARS &amp; SHORT TERM COURSES</v>
          </cell>
          <cell r="D196">
            <v>0</v>
          </cell>
          <cell r="E196">
            <v>6000</v>
          </cell>
          <cell r="F196">
            <v>10285.714285714286</v>
          </cell>
          <cell r="G196">
            <v>0</v>
          </cell>
        </row>
        <row r="197">
          <cell r="A197" t="str">
            <v>155-10-022</v>
          </cell>
          <cell r="B197">
            <v>50</v>
          </cell>
          <cell r="C197" t="str">
            <v>PRINTING &amp; STATIONERY</v>
          </cell>
          <cell r="D197">
            <v>126907.5</v>
          </cell>
          <cell r="E197">
            <v>50000</v>
          </cell>
          <cell r="F197">
            <v>85714.28571428571</v>
          </cell>
          <cell r="G197">
            <v>1.4805875000000002</v>
          </cell>
        </row>
        <row r="198">
          <cell r="A198" t="str">
            <v>155-10-025</v>
          </cell>
          <cell r="B198">
            <v>50</v>
          </cell>
          <cell r="C198" t="str">
            <v>STRATEGIC PLANNING</v>
          </cell>
          <cell r="D198">
            <v>0</v>
          </cell>
          <cell r="E198">
            <v>0</v>
          </cell>
          <cell r="F198">
            <v>0</v>
          </cell>
          <cell r="G198">
            <v>0</v>
          </cell>
        </row>
        <row r="199">
          <cell r="A199" t="str">
            <v>155-10-027</v>
          </cell>
          <cell r="B199">
            <v>50</v>
          </cell>
          <cell r="C199" t="str">
            <v>PROFESSIONAL SUBSCRIPTIONS</v>
          </cell>
          <cell r="D199">
            <v>6000</v>
          </cell>
          <cell r="E199">
            <v>6000</v>
          </cell>
          <cell r="F199">
            <v>6000</v>
          </cell>
          <cell r="G199">
            <v>1</v>
          </cell>
        </row>
        <row r="200">
          <cell r="A200" t="str">
            <v>155-10-028</v>
          </cell>
          <cell r="B200">
            <v>50</v>
          </cell>
          <cell r="C200" t="str">
            <v xml:space="preserve"> SUBSCRIPTIONS -COMPANY MEMBERSHIP</v>
          </cell>
          <cell r="D200">
            <v>0</v>
          </cell>
          <cell r="E200">
            <v>0</v>
          </cell>
          <cell r="F200">
            <v>0</v>
          </cell>
          <cell r="G200">
            <v>0</v>
          </cell>
        </row>
        <row r="201">
          <cell r="A201" t="str">
            <v>155-10-030</v>
          </cell>
          <cell r="B201">
            <v>50</v>
          </cell>
          <cell r="C201" t="str">
            <v>TRAVELLING &amp; ACCOMMODATION</v>
          </cell>
          <cell r="D201">
            <v>73520</v>
          </cell>
          <cell r="E201">
            <v>24000</v>
          </cell>
          <cell r="F201">
            <v>41142.857142857145</v>
          </cell>
          <cell r="G201">
            <v>1.7869444444444444</v>
          </cell>
          <cell r="H201" t="str">
            <v>Taken into account training and  Zone meetings.</v>
          </cell>
        </row>
        <row r="202">
          <cell r="A202" t="str">
            <v>155-10-032</v>
          </cell>
          <cell r="B202">
            <v>50</v>
          </cell>
          <cell r="C202" t="str">
            <v xml:space="preserve">MOTOR CAR EXPENSES </v>
          </cell>
          <cell r="D202">
            <v>0</v>
          </cell>
          <cell r="E202">
            <v>0</v>
          </cell>
          <cell r="F202">
            <v>0</v>
          </cell>
          <cell r="G202">
            <v>0</v>
          </cell>
        </row>
        <row r="203">
          <cell r="A203" t="str">
            <v>155-10-040</v>
          </cell>
          <cell r="B203">
            <v>50</v>
          </cell>
          <cell r="C203" t="str">
            <v>POSTAGE</v>
          </cell>
          <cell r="D203">
            <v>1440</v>
          </cell>
          <cell r="E203">
            <v>0</v>
          </cell>
          <cell r="F203">
            <v>0</v>
          </cell>
          <cell r="G203">
            <v>0</v>
          </cell>
        </row>
        <row r="204">
          <cell r="A204" t="str">
            <v>155-10-041</v>
          </cell>
          <cell r="B204">
            <v>50</v>
          </cell>
          <cell r="C204" t="str">
            <v>TELEPHONE &amp; FAX</v>
          </cell>
          <cell r="D204">
            <v>108000</v>
          </cell>
          <cell r="E204">
            <v>58000</v>
          </cell>
          <cell r="F204">
            <v>99428.571428571435</v>
          </cell>
          <cell r="G204">
            <v>1.086206896551724</v>
          </cell>
          <cell r="H204" t="str">
            <v>Budgeted at 10,000 per month given the high cost of calls in the area.</v>
          </cell>
        </row>
        <row r="205">
          <cell r="A205" t="str">
            <v>155-10-044</v>
          </cell>
          <cell r="B205">
            <v>50</v>
          </cell>
          <cell r="C205" t="str">
            <v>PROFFESSIONAL TRAINING</v>
          </cell>
          <cell r="D205">
            <v>0</v>
          </cell>
          <cell r="E205">
            <v>0</v>
          </cell>
          <cell r="F205">
            <v>0</v>
          </cell>
          <cell r="G205">
            <v>0</v>
          </cell>
        </row>
        <row r="206">
          <cell r="A206" t="str">
            <v>155-10-046</v>
          </cell>
          <cell r="B206">
            <v>50</v>
          </cell>
          <cell r="C206" t="str">
            <v xml:space="preserve">SUBSCRIPTION- STAFF CLUB MEMBERSHIP </v>
          </cell>
          <cell r="D206">
            <v>0</v>
          </cell>
          <cell r="E206">
            <v>0</v>
          </cell>
          <cell r="F206">
            <v>0</v>
          </cell>
          <cell r="G206">
            <v>0</v>
          </cell>
          <cell r="H206" t="str">
            <v>Not there last year.</v>
          </cell>
        </row>
        <row r="207">
          <cell r="A207" t="str">
            <v>155-10-054</v>
          </cell>
          <cell r="B207">
            <v>50</v>
          </cell>
          <cell r="C207" t="str">
            <v>LEASED LINES-INTERNET SERVICES</v>
          </cell>
          <cell r="D207">
            <v>0</v>
          </cell>
          <cell r="E207">
            <v>0</v>
          </cell>
          <cell r="F207">
            <v>0</v>
          </cell>
          <cell r="G207">
            <v>0</v>
          </cell>
        </row>
        <row r="208">
          <cell r="A208" t="str">
            <v>155-10-057</v>
          </cell>
          <cell r="B208">
            <v>50</v>
          </cell>
          <cell r="C208" t="str">
            <v>SOFTWARE LICENCES</v>
          </cell>
          <cell r="D208">
            <v>0</v>
          </cell>
          <cell r="E208">
            <v>0</v>
          </cell>
          <cell r="F208">
            <v>0</v>
          </cell>
          <cell r="G208">
            <v>0</v>
          </cell>
        </row>
        <row r="209">
          <cell r="A209" t="str">
            <v>155-10-059</v>
          </cell>
          <cell r="B209">
            <v>50</v>
          </cell>
          <cell r="E209">
            <v>0</v>
          </cell>
          <cell r="G209">
            <v>0</v>
          </cell>
        </row>
        <row r="210">
          <cell r="A210" t="str">
            <v>155-10-060</v>
          </cell>
          <cell r="B210">
            <v>50</v>
          </cell>
          <cell r="E210">
            <v>0</v>
          </cell>
          <cell r="G210">
            <v>0</v>
          </cell>
        </row>
        <row r="211">
          <cell r="A211" t="str">
            <v>155-10-062</v>
          </cell>
          <cell r="B211">
            <v>50</v>
          </cell>
          <cell r="C211" t="str">
            <v>EDUCATION EXPENSES</v>
          </cell>
          <cell r="D211">
            <v>0</v>
          </cell>
          <cell r="E211">
            <v>0</v>
          </cell>
          <cell r="F211">
            <v>0</v>
          </cell>
          <cell r="G211">
            <v>0</v>
          </cell>
        </row>
        <row r="212">
          <cell r="A212" t="str">
            <v>160-10-010</v>
          </cell>
          <cell r="B212">
            <v>50</v>
          </cell>
          <cell r="E212">
            <v>0</v>
          </cell>
          <cell r="G212">
            <v>0</v>
          </cell>
        </row>
        <row r="213">
          <cell r="A213" t="str">
            <v>105-10-010</v>
          </cell>
          <cell r="B213">
            <v>60</v>
          </cell>
          <cell r="C213" t="str">
            <v>BASIC SALARY</v>
          </cell>
          <cell r="D213">
            <v>329871.96000000002</v>
          </cell>
          <cell r="E213">
            <v>174000</v>
          </cell>
          <cell r="F213">
            <v>293000</v>
          </cell>
          <cell r="G213">
            <v>1.1258428668941982</v>
          </cell>
          <cell r="H213" t="str">
            <v>There will be an additional 1 staff to do data capture.</v>
          </cell>
        </row>
        <row r="214">
          <cell r="A214" t="str">
            <v>105-10-012</v>
          </cell>
          <cell r="B214">
            <v>60</v>
          </cell>
          <cell r="C214" t="str">
            <v>PROVISION FOR MORT. RATE ADJUSTMENTS</v>
          </cell>
          <cell r="D214">
            <v>0</v>
          </cell>
          <cell r="E214">
            <v>0</v>
          </cell>
          <cell r="F214">
            <v>0</v>
          </cell>
          <cell r="G214">
            <v>0</v>
          </cell>
        </row>
        <row r="215">
          <cell r="A215" t="str">
            <v>105-10-020</v>
          </cell>
          <cell r="B215">
            <v>60</v>
          </cell>
          <cell r="C215" t="str">
            <v>HOUSE ALLOWANCE</v>
          </cell>
          <cell r="D215">
            <v>46800</v>
          </cell>
          <cell r="E215">
            <v>27000</v>
          </cell>
          <cell r="F215">
            <v>46500</v>
          </cell>
          <cell r="G215">
            <v>1.0064516129032257</v>
          </cell>
          <cell r="H215" t="str">
            <v>There will be an additional 1 staff to do data capture.</v>
          </cell>
        </row>
        <row r="216">
          <cell r="A216" t="str">
            <v>105-10-030</v>
          </cell>
          <cell r="B216">
            <v>60</v>
          </cell>
          <cell r="C216" t="str">
            <v>TELEPHONE ALLOWANCE</v>
          </cell>
          <cell r="D216">
            <v>0</v>
          </cell>
          <cell r="E216">
            <v>0</v>
          </cell>
          <cell r="F216">
            <v>0</v>
          </cell>
          <cell r="G216">
            <v>0</v>
          </cell>
        </row>
        <row r="217">
          <cell r="A217" t="str">
            <v>105-10-040</v>
          </cell>
          <cell r="B217">
            <v>60</v>
          </cell>
          <cell r="C217" t="str">
            <v>SECURITY ALLOWANCE</v>
          </cell>
          <cell r="D217">
            <v>0</v>
          </cell>
          <cell r="E217">
            <v>0</v>
          </cell>
          <cell r="F217">
            <v>0</v>
          </cell>
          <cell r="G217">
            <v>0</v>
          </cell>
        </row>
        <row r="218">
          <cell r="A218" t="str">
            <v>105-10-050</v>
          </cell>
          <cell r="B218">
            <v>60</v>
          </cell>
          <cell r="C218" t="str">
            <v>EDUCATION ALLOWANCE</v>
          </cell>
          <cell r="D218">
            <v>0</v>
          </cell>
          <cell r="E218">
            <v>0</v>
          </cell>
          <cell r="F218">
            <v>0</v>
          </cell>
          <cell r="G218">
            <v>0</v>
          </cell>
        </row>
        <row r="219">
          <cell r="A219" t="str">
            <v>105-10-060</v>
          </cell>
          <cell r="B219">
            <v>60</v>
          </cell>
          <cell r="C219" t="str">
            <v>TRAVEL ALLOWANCE</v>
          </cell>
          <cell r="D219">
            <v>0</v>
          </cell>
          <cell r="E219">
            <v>0</v>
          </cell>
          <cell r="F219">
            <v>0</v>
          </cell>
          <cell r="G219">
            <v>0</v>
          </cell>
        </row>
        <row r="220">
          <cell r="A220" t="str">
            <v>105-20-010</v>
          </cell>
          <cell r="B220">
            <v>60</v>
          </cell>
          <cell r="C220" t="str">
            <v>NSSF</v>
          </cell>
          <cell r="D220">
            <v>2400</v>
          </cell>
          <cell r="E220">
            <v>1000</v>
          </cell>
          <cell r="F220">
            <v>2000</v>
          </cell>
          <cell r="G220">
            <v>1.2</v>
          </cell>
        </row>
        <row r="221">
          <cell r="A221" t="str">
            <v>105-20-020</v>
          </cell>
          <cell r="B221">
            <v>60</v>
          </cell>
          <cell r="C221" t="str">
            <v>NHIF</v>
          </cell>
          <cell r="D221">
            <v>2880</v>
          </cell>
          <cell r="E221">
            <v>2000</v>
          </cell>
          <cell r="F221">
            <v>3200</v>
          </cell>
          <cell r="G221">
            <v>0.9</v>
          </cell>
        </row>
        <row r="222">
          <cell r="A222" t="str">
            <v>105-30-010</v>
          </cell>
          <cell r="B222">
            <v>60</v>
          </cell>
          <cell r="C222" t="str">
            <v xml:space="preserve">PENSION </v>
          </cell>
          <cell r="D222">
            <v>39984</v>
          </cell>
          <cell r="E222">
            <v>21000</v>
          </cell>
          <cell r="F222">
            <v>37660</v>
          </cell>
          <cell r="G222">
            <v>1.0617100371747215</v>
          </cell>
        </row>
        <row r="223">
          <cell r="A223" t="str">
            <v>105-30-020</v>
          </cell>
          <cell r="B223">
            <v>60</v>
          </cell>
          <cell r="C223" t="str">
            <v>LAST EXPENSE</v>
          </cell>
          <cell r="D223">
            <v>1500</v>
          </cell>
          <cell r="E223">
            <v>1000</v>
          </cell>
          <cell r="F223">
            <v>1714.2857142857142</v>
          </cell>
          <cell r="G223">
            <v>0.875</v>
          </cell>
        </row>
        <row r="224">
          <cell r="A224" t="str">
            <v>105-30-030</v>
          </cell>
          <cell r="B224">
            <v>60</v>
          </cell>
          <cell r="C224" t="str">
            <v>GROUP LIFE ASSURANCE</v>
          </cell>
          <cell r="D224">
            <v>3820.19</v>
          </cell>
          <cell r="E224">
            <v>3000</v>
          </cell>
          <cell r="F224">
            <v>5142.8571428571431</v>
          </cell>
          <cell r="G224">
            <v>0.74281472222222233</v>
          </cell>
        </row>
        <row r="225">
          <cell r="A225" t="str">
            <v>105-30-040</v>
          </cell>
          <cell r="B225">
            <v>60</v>
          </cell>
          <cell r="C225" t="str">
            <v>STAFF MEDICAL</v>
          </cell>
          <cell r="D225">
            <v>0</v>
          </cell>
          <cell r="E225">
            <v>0</v>
          </cell>
          <cell r="F225">
            <v>0</v>
          </cell>
          <cell r="G225">
            <v>0</v>
          </cell>
        </row>
        <row r="226">
          <cell r="A226" t="str">
            <v>105-30-050</v>
          </cell>
          <cell r="B226">
            <v>60</v>
          </cell>
          <cell r="C226" t="str">
            <v>CASH IN LIEU OF LEAVE</v>
          </cell>
          <cell r="D226">
            <v>7996.8</v>
          </cell>
          <cell r="E226">
            <v>11000</v>
          </cell>
          <cell r="F226">
            <v>18857.142857142855</v>
          </cell>
          <cell r="G226">
            <v>0.42407272727272738</v>
          </cell>
        </row>
        <row r="227">
          <cell r="A227" t="str">
            <v>105-30-060</v>
          </cell>
          <cell r="B227">
            <v>60</v>
          </cell>
          <cell r="C227" t="str">
            <v>GRATUITY</v>
          </cell>
          <cell r="E227">
            <v>0</v>
          </cell>
          <cell r="F227">
            <v>0</v>
          </cell>
          <cell r="G227">
            <v>0</v>
          </cell>
        </row>
        <row r="228">
          <cell r="A228" t="str">
            <v>105-30-070</v>
          </cell>
          <cell r="B228">
            <v>60</v>
          </cell>
          <cell r="C228" t="str">
            <v>LONG SERVICE AWARDS</v>
          </cell>
          <cell r="D228">
            <v>0</v>
          </cell>
          <cell r="E228">
            <v>0</v>
          </cell>
          <cell r="F228">
            <v>0</v>
          </cell>
          <cell r="G228">
            <v>0</v>
          </cell>
        </row>
        <row r="229">
          <cell r="A229" t="str">
            <v>105-30-080</v>
          </cell>
          <cell r="B229">
            <v>60</v>
          </cell>
          <cell r="C229" t="str">
            <v>STAFF RECRUITMENT &amp; REMOVALS</v>
          </cell>
          <cell r="D229">
            <v>0</v>
          </cell>
          <cell r="E229">
            <v>0</v>
          </cell>
          <cell r="F229">
            <v>0</v>
          </cell>
          <cell r="G229">
            <v>0</v>
          </cell>
        </row>
        <row r="230">
          <cell r="A230" t="str">
            <v>115-10-010</v>
          </cell>
          <cell r="B230">
            <v>60</v>
          </cell>
          <cell r="D230">
            <v>0</v>
          </cell>
          <cell r="E230">
            <v>0</v>
          </cell>
          <cell r="F230">
            <v>0</v>
          </cell>
          <cell r="G230">
            <v>0</v>
          </cell>
        </row>
        <row r="231">
          <cell r="A231" t="str">
            <v>115-10-010</v>
          </cell>
          <cell r="B231">
            <v>60</v>
          </cell>
          <cell r="D231">
            <v>0</v>
          </cell>
          <cell r="F231">
            <v>0</v>
          </cell>
          <cell r="G231">
            <v>0</v>
          </cell>
        </row>
        <row r="232">
          <cell r="A232" t="str">
            <v>115-10-020</v>
          </cell>
          <cell r="B232">
            <v>60</v>
          </cell>
          <cell r="D232">
            <v>0</v>
          </cell>
          <cell r="E232">
            <v>0</v>
          </cell>
          <cell r="F232">
            <v>0</v>
          </cell>
          <cell r="G232">
            <v>0</v>
          </cell>
        </row>
        <row r="233">
          <cell r="A233" t="str">
            <v>115-10-020</v>
          </cell>
          <cell r="B233">
            <v>60</v>
          </cell>
          <cell r="D233">
            <v>0</v>
          </cell>
          <cell r="G233">
            <v>0</v>
          </cell>
        </row>
        <row r="234">
          <cell r="A234" t="str">
            <v>115-10-030</v>
          </cell>
          <cell r="B234">
            <v>60</v>
          </cell>
          <cell r="D234">
            <v>0</v>
          </cell>
          <cell r="E234">
            <v>0</v>
          </cell>
          <cell r="F234">
            <v>0</v>
          </cell>
          <cell r="G234">
            <v>0</v>
          </cell>
        </row>
        <row r="235">
          <cell r="A235" t="str">
            <v>115-10-030</v>
          </cell>
          <cell r="B235">
            <v>60</v>
          </cell>
          <cell r="D235">
            <v>0</v>
          </cell>
          <cell r="F235">
            <v>0</v>
          </cell>
          <cell r="G235">
            <v>0</v>
          </cell>
        </row>
        <row r="236">
          <cell r="A236" t="str">
            <v>115-10-040</v>
          </cell>
          <cell r="B236">
            <v>60</v>
          </cell>
          <cell r="D236">
            <v>708288</v>
          </cell>
          <cell r="E236">
            <v>286000</v>
          </cell>
          <cell r="F236">
            <v>490285.71428571426</v>
          </cell>
          <cell r="G236">
            <v>1.4446433566433567</v>
          </cell>
          <cell r="H236" t="str">
            <v xml:space="preserve">Two new setelite offices are planned for in Kericho </v>
          </cell>
        </row>
        <row r="237">
          <cell r="A237" t="str">
            <v>115-10-040</v>
          </cell>
          <cell r="B237">
            <v>60</v>
          </cell>
          <cell r="D237">
            <v>0</v>
          </cell>
          <cell r="F237">
            <v>0</v>
          </cell>
          <cell r="G237">
            <v>0</v>
          </cell>
        </row>
        <row r="238">
          <cell r="A238" t="str">
            <v>115-10-050</v>
          </cell>
          <cell r="B238">
            <v>60</v>
          </cell>
          <cell r="C238" t="str">
            <v>OFFICE CATERING &amp; STAFF WELFARE</v>
          </cell>
          <cell r="D238">
            <v>94500</v>
          </cell>
          <cell r="E238">
            <v>79500</v>
          </cell>
          <cell r="F238">
            <v>136285.71428571429</v>
          </cell>
          <cell r="G238">
            <v>0.69339622641509435</v>
          </cell>
          <cell r="H238" t="str">
            <v>Increased staff in the two new setelite offices</v>
          </cell>
        </row>
        <row r="239">
          <cell r="A239" t="str">
            <v>115-10-051</v>
          </cell>
          <cell r="B239">
            <v>60</v>
          </cell>
          <cell r="C239" t="str">
            <v>OFFICE CLEANING</v>
          </cell>
          <cell r="D239">
            <v>36000</v>
          </cell>
          <cell r="E239">
            <v>36000</v>
          </cell>
          <cell r="F239">
            <v>36000</v>
          </cell>
          <cell r="G239">
            <v>1</v>
          </cell>
        </row>
        <row r="240">
          <cell r="A240" t="str">
            <v>115-10-060</v>
          </cell>
          <cell r="B240">
            <v>60</v>
          </cell>
          <cell r="C240" t="str">
            <v>OFFICE WATER</v>
          </cell>
          <cell r="D240">
            <v>0</v>
          </cell>
          <cell r="E240">
            <v>0</v>
          </cell>
          <cell r="F240">
            <v>0</v>
          </cell>
          <cell r="G240">
            <v>0</v>
          </cell>
        </row>
        <row r="241">
          <cell r="A241" t="str">
            <v>115-10-070</v>
          </cell>
          <cell r="B241">
            <v>60</v>
          </cell>
          <cell r="C241" t="str">
            <v>OFFICE ELECTRICITY</v>
          </cell>
          <cell r="D241">
            <v>0</v>
          </cell>
          <cell r="E241">
            <v>7000</v>
          </cell>
          <cell r="F241">
            <v>12000</v>
          </cell>
          <cell r="G241">
            <v>0</v>
          </cell>
          <cell r="H241" t="str">
            <v>Increased staff in the two new setelite offices</v>
          </cell>
        </row>
        <row r="242">
          <cell r="A242" t="str">
            <v>115-10-080</v>
          </cell>
          <cell r="B242">
            <v>60</v>
          </cell>
          <cell r="C242" t="str">
            <v>OFFICE SECURITY</v>
          </cell>
          <cell r="D242">
            <v>0</v>
          </cell>
          <cell r="E242">
            <v>0</v>
          </cell>
          <cell r="F242">
            <v>0</v>
          </cell>
          <cell r="G242">
            <v>0</v>
          </cell>
        </row>
        <row r="243">
          <cell r="A243" t="str">
            <v>125-10-010</v>
          </cell>
          <cell r="B243">
            <v>60</v>
          </cell>
          <cell r="C243" t="str">
            <v>BANK CHARGES</v>
          </cell>
          <cell r="D243">
            <v>18000</v>
          </cell>
          <cell r="E243">
            <v>12000</v>
          </cell>
          <cell r="F243">
            <v>12000</v>
          </cell>
          <cell r="G243">
            <v>1.5</v>
          </cell>
        </row>
        <row r="244">
          <cell r="A244" t="str">
            <v>125-10-020</v>
          </cell>
          <cell r="B244">
            <v>60</v>
          </cell>
          <cell r="C244" t="str">
            <v>BANK OVERDRART CHARGES</v>
          </cell>
          <cell r="E244">
            <v>0</v>
          </cell>
          <cell r="F244">
            <v>0</v>
          </cell>
          <cell r="G244">
            <v>0</v>
          </cell>
        </row>
        <row r="245">
          <cell r="A245" t="str">
            <v>135-60-030</v>
          </cell>
          <cell r="B245">
            <v>60</v>
          </cell>
          <cell r="C245" t="str">
            <v>SALES PROMOTIONS &amp; COMPETITION</v>
          </cell>
          <cell r="D245">
            <v>0</v>
          </cell>
          <cell r="E245">
            <v>0</v>
          </cell>
          <cell r="F245">
            <v>0</v>
          </cell>
          <cell r="G245">
            <v>0</v>
          </cell>
        </row>
        <row r="246">
          <cell r="A246" t="str">
            <v>135-70-010</v>
          </cell>
          <cell r="B246">
            <v>60</v>
          </cell>
          <cell r="C246" t="str">
            <v>AGENCY PENSION</v>
          </cell>
          <cell r="D246">
            <v>0</v>
          </cell>
          <cell r="E246">
            <v>0</v>
          </cell>
          <cell r="F246">
            <v>0</v>
          </cell>
          <cell r="G246">
            <v>0</v>
          </cell>
        </row>
        <row r="247">
          <cell r="A247" t="str">
            <v>135-70-020</v>
          </cell>
          <cell r="B247">
            <v>60</v>
          </cell>
          <cell r="C247" t="str">
            <v>AGENCY GLA</v>
          </cell>
          <cell r="D247">
            <v>0</v>
          </cell>
          <cell r="E247">
            <v>0</v>
          </cell>
          <cell r="F247">
            <v>0</v>
          </cell>
          <cell r="G247">
            <v>0</v>
          </cell>
        </row>
        <row r="248">
          <cell r="A248" t="str">
            <v>135-70-030</v>
          </cell>
          <cell r="B248">
            <v>60</v>
          </cell>
          <cell r="C248" t="str">
            <v>AGENCY MEDICAL</v>
          </cell>
          <cell r="D248">
            <v>0</v>
          </cell>
          <cell r="E248">
            <v>0</v>
          </cell>
          <cell r="F248">
            <v>0</v>
          </cell>
          <cell r="G248">
            <v>0</v>
          </cell>
        </row>
        <row r="249">
          <cell r="A249" t="str">
            <v>135-70-040</v>
          </cell>
          <cell r="B249">
            <v>60</v>
          </cell>
          <cell r="C249" t="str">
            <v>AGENCY LAST EXPENSE</v>
          </cell>
          <cell r="D249">
            <v>0</v>
          </cell>
          <cell r="E249">
            <v>0</v>
          </cell>
          <cell r="F249">
            <v>0</v>
          </cell>
          <cell r="G249">
            <v>0</v>
          </cell>
        </row>
        <row r="250">
          <cell r="A250" t="str">
            <v>145-10-030</v>
          </cell>
          <cell r="B250">
            <v>60</v>
          </cell>
          <cell r="C250" t="str">
            <v>Audit fee -individual life</v>
          </cell>
          <cell r="D250">
            <v>0</v>
          </cell>
          <cell r="E250">
            <v>0</v>
          </cell>
          <cell r="F250">
            <v>0</v>
          </cell>
          <cell r="G250">
            <v>0</v>
          </cell>
        </row>
        <row r="251">
          <cell r="A251" t="str">
            <v>145-10-031</v>
          </cell>
          <cell r="B251">
            <v>60</v>
          </cell>
          <cell r="C251" t="str">
            <v>Tax filing returns</v>
          </cell>
          <cell r="D251">
            <v>0</v>
          </cell>
          <cell r="E251">
            <v>0</v>
          </cell>
          <cell r="F251">
            <v>0</v>
          </cell>
          <cell r="G251">
            <v>0</v>
          </cell>
        </row>
        <row r="252">
          <cell r="A252" t="str">
            <v>145-10-060</v>
          </cell>
          <cell r="B252">
            <v>60</v>
          </cell>
          <cell r="C252" t="str">
            <v>Intra company charges- individual life</v>
          </cell>
          <cell r="G252">
            <v>0</v>
          </cell>
        </row>
        <row r="253">
          <cell r="A253" t="str">
            <v>145-10-060</v>
          </cell>
          <cell r="B253">
            <v>60</v>
          </cell>
          <cell r="E253">
            <v>0</v>
          </cell>
          <cell r="G253">
            <v>0</v>
          </cell>
        </row>
        <row r="254">
          <cell r="A254" t="str">
            <v>145-10-080</v>
          </cell>
          <cell r="B254">
            <v>60</v>
          </cell>
          <cell r="C254" t="str">
            <v>40% Excutive recharge</v>
          </cell>
          <cell r="F254">
            <v>0</v>
          </cell>
          <cell r="G254">
            <v>0</v>
          </cell>
        </row>
        <row r="255">
          <cell r="A255" t="str">
            <v>145-10-080</v>
          </cell>
          <cell r="B255">
            <v>60</v>
          </cell>
          <cell r="C255" t="str">
            <v xml:space="preserve">Recharges: 10% recharge to Corporate </v>
          </cell>
          <cell r="E255">
            <v>0</v>
          </cell>
          <cell r="G255">
            <v>0</v>
          </cell>
        </row>
        <row r="256">
          <cell r="A256" t="str">
            <v>145-10-100</v>
          </cell>
          <cell r="B256">
            <v>60</v>
          </cell>
          <cell r="E256">
            <v>0</v>
          </cell>
          <cell r="G256">
            <v>0</v>
          </cell>
        </row>
        <row r="257">
          <cell r="A257" t="str">
            <v>155-10-007</v>
          </cell>
          <cell r="B257">
            <v>60</v>
          </cell>
          <cell r="C257" t="str">
            <v>NEWSPAPERS &amp; JOURNALS</v>
          </cell>
          <cell r="D257">
            <v>10560</v>
          </cell>
          <cell r="E257">
            <v>4000</v>
          </cell>
          <cell r="F257">
            <v>6857.1428571428569</v>
          </cell>
          <cell r="G257">
            <v>1.54</v>
          </cell>
          <cell r="H257" t="str">
            <v>one more newspaper and magazine budgeted for.</v>
          </cell>
        </row>
        <row r="258">
          <cell r="A258" t="str">
            <v>155-10-008</v>
          </cell>
          <cell r="B258">
            <v>60</v>
          </cell>
          <cell r="C258" t="str">
            <v>ENTERTAINMENT &amp; DONATIONS</v>
          </cell>
          <cell r="D258">
            <v>12000</v>
          </cell>
          <cell r="E258">
            <v>13000</v>
          </cell>
          <cell r="F258">
            <v>22285.714285714286</v>
          </cell>
          <cell r="G258">
            <v>0.53846153846153844</v>
          </cell>
          <cell r="H258" t="str">
            <v>Due to paypoint visits whih was not done for 2004.</v>
          </cell>
        </row>
        <row r="259">
          <cell r="A259" t="str">
            <v>155-10-009</v>
          </cell>
          <cell r="B259">
            <v>60</v>
          </cell>
          <cell r="C259" t="str">
            <v>COURIER &amp; FREIGHT CHARGES</v>
          </cell>
          <cell r="D259">
            <v>36000</v>
          </cell>
          <cell r="E259">
            <v>42000</v>
          </cell>
          <cell r="F259">
            <v>72000</v>
          </cell>
          <cell r="G259">
            <v>0.5</v>
          </cell>
        </row>
        <row r="260">
          <cell r="A260" t="str">
            <v>155-10-010</v>
          </cell>
          <cell r="B260">
            <v>60</v>
          </cell>
          <cell r="C260" t="str">
            <v>ADVERTISING &amp; PUBLICITY</v>
          </cell>
          <cell r="D260">
            <v>0</v>
          </cell>
          <cell r="E260">
            <v>0</v>
          </cell>
          <cell r="F260">
            <v>0</v>
          </cell>
          <cell r="G260">
            <v>0</v>
          </cell>
        </row>
        <row r="261">
          <cell r="A261" t="str">
            <v>155-10-012</v>
          </cell>
          <cell r="B261">
            <v>60</v>
          </cell>
          <cell r="C261" t="str">
            <v>TRADE LICENCES</v>
          </cell>
          <cell r="D261">
            <v>50000</v>
          </cell>
          <cell r="E261">
            <v>29166.666666666668</v>
          </cell>
          <cell r="F261">
            <v>50000</v>
          </cell>
          <cell r="G261">
            <v>1</v>
          </cell>
        </row>
        <row r="262">
          <cell r="A262" t="str">
            <v>155-10-013</v>
          </cell>
          <cell r="B262">
            <v>60</v>
          </cell>
          <cell r="C262" t="str">
            <v>INSURANCES</v>
          </cell>
          <cell r="D262">
            <v>0</v>
          </cell>
          <cell r="E262">
            <v>0</v>
          </cell>
          <cell r="F262">
            <v>0</v>
          </cell>
          <cell r="G262">
            <v>0</v>
          </cell>
        </row>
        <row r="263">
          <cell r="A263" t="str">
            <v>155-10-014</v>
          </cell>
          <cell r="B263">
            <v>60</v>
          </cell>
          <cell r="C263" t="str">
            <v>PHOTOCOPY</v>
          </cell>
          <cell r="D263">
            <v>0</v>
          </cell>
          <cell r="E263">
            <v>0</v>
          </cell>
          <cell r="F263">
            <v>0</v>
          </cell>
          <cell r="G263">
            <v>0</v>
          </cell>
        </row>
        <row r="264">
          <cell r="A264" t="str">
            <v>155-10-015</v>
          </cell>
          <cell r="B264">
            <v>60</v>
          </cell>
          <cell r="C264" t="str">
            <v>COMPUTER MAINTAINANCE</v>
          </cell>
          <cell r="D264">
            <v>12500</v>
          </cell>
          <cell r="E264">
            <v>0</v>
          </cell>
          <cell r="F264">
            <v>0</v>
          </cell>
          <cell r="G264">
            <v>0</v>
          </cell>
        </row>
        <row r="265">
          <cell r="A265" t="str">
            <v>155-10-016</v>
          </cell>
          <cell r="B265">
            <v>60</v>
          </cell>
          <cell r="C265" t="str">
            <v>EQUIPMENT&amp; FURNITURE REPAIRS &amp; MAINTENANCE</v>
          </cell>
          <cell r="D265">
            <v>18600</v>
          </cell>
          <cell r="E265">
            <v>12500</v>
          </cell>
          <cell r="F265">
            <v>21428.571428571428</v>
          </cell>
          <cell r="G265">
            <v>0.86799999999999999</v>
          </cell>
          <cell r="H265" t="str">
            <v>There was underbudgeting in 2004.</v>
          </cell>
        </row>
        <row r="266">
          <cell r="A266" t="str">
            <v>155-10-017</v>
          </cell>
          <cell r="B266">
            <v>60</v>
          </cell>
          <cell r="C266" t="str">
            <v>SEMINARS &amp; SHORT TERM COURSES</v>
          </cell>
          <cell r="D266">
            <v>15000</v>
          </cell>
          <cell r="E266">
            <v>6000</v>
          </cell>
          <cell r="F266">
            <v>10285.714285714286</v>
          </cell>
          <cell r="G266">
            <v>1.4583333333333333</v>
          </cell>
          <cell r="H266" t="str">
            <v>Budgeting for agents which was not done for 2004</v>
          </cell>
        </row>
        <row r="267">
          <cell r="A267" t="str">
            <v>155-10-022</v>
          </cell>
          <cell r="B267">
            <v>60</v>
          </cell>
          <cell r="C267" t="str">
            <v>PRINTING &amp; STATIONERY</v>
          </cell>
          <cell r="D267">
            <v>176763.5</v>
          </cell>
          <cell r="E267">
            <v>49000</v>
          </cell>
          <cell r="F267">
            <v>84000</v>
          </cell>
          <cell r="G267">
            <v>2.1043273809523808</v>
          </cell>
        </row>
        <row r="268">
          <cell r="A268" t="str">
            <v>155-10-025</v>
          </cell>
          <cell r="B268">
            <v>60</v>
          </cell>
          <cell r="C268" t="str">
            <v>STRATEGIC PLANNING</v>
          </cell>
          <cell r="D268">
            <v>0</v>
          </cell>
          <cell r="E268">
            <v>0</v>
          </cell>
          <cell r="F268">
            <v>0</v>
          </cell>
          <cell r="G268">
            <v>0</v>
          </cell>
        </row>
        <row r="269">
          <cell r="A269" t="str">
            <v>155-10-027</v>
          </cell>
          <cell r="B269">
            <v>60</v>
          </cell>
          <cell r="C269" t="str">
            <v>PROFESSIONAL SUBSCRIPTIONS</v>
          </cell>
          <cell r="D269">
            <v>0</v>
          </cell>
          <cell r="E269">
            <v>0</v>
          </cell>
          <cell r="F269">
            <v>0</v>
          </cell>
          <cell r="G269">
            <v>0</v>
          </cell>
        </row>
        <row r="270">
          <cell r="A270" t="str">
            <v>155-10-028</v>
          </cell>
          <cell r="B270">
            <v>60</v>
          </cell>
          <cell r="C270" t="str">
            <v xml:space="preserve"> SUBSCRIPTIONS -COMPANY MEMBERSHIP</v>
          </cell>
          <cell r="D270">
            <v>0</v>
          </cell>
          <cell r="E270">
            <v>0</v>
          </cell>
          <cell r="F270">
            <v>0</v>
          </cell>
          <cell r="G270">
            <v>0</v>
          </cell>
        </row>
        <row r="271">
          <cell r="A271" t="str">
            <v>155-10-030</v>
          </cell>
          <cell r="B271">
            <v>60</v>
          </cell>
          <cell r="C271" t="str">
            <v>TRAVELLING &amp; ACCOMMODATION</v>
          </cell>
          <cell r="D271">
            <v>35710</v>
          </cell>
          <cell r="E271">
            <v>20000</v>
          </cell>
          <cell r="F271">
            <v>34285.71428571429</v>
          </cell>
          <cell r="G271">
            <v>1.0415416666666666</v>
          </cell>
        </row>
        <row r="272">
          <cell r="A272" t="str">
            <v>155-10-032</v>
          </cell>
          <cell r="B272">
            <v>60</v>
          </cell>
          <cell r="C272" t="str">
            <v xml:space="preserve">MOTOR CAR EXPENSES </v>
          </cell>
          <cell r="D272">
            <v>0</v>
          </cell>
          <cell r="E272">
            <v>0</v>
          </cell>
          <cell r="F272">
            <v>0</v>
          </cell>
          <cell r="G272">
            <v>0</v>
          </cell>
        </row>
        <row r="273">
          <cell r="A273" t="str">
            <v>155-10-040</v>
          </cell>
          <cell r="B273">
            <v>60</v>
          </cell>
          <cell r="C273" t="str">
            <v>POSTAGE</v>
          </cell>
          <cell r="D273">
            <v>14875</v>
          </cell>
          <cell r="E273">
            <v>7000</v>
          </cell>
          <cell r="F273">
            <v>12000</v>
          </cell>
          <cell r="G273">
            <v>1.2395833333333333</v>
          </cell>
          <cell r="H273" t="str">
            <v>Postage form setelite offices.</v>
          </cell>
        </row>
        <row r="274">
          <cell r="A274" t="str">
            <v>155-10-041</v>
          </cell>
          <cell r="B274">
            <v>60</v>
          </cell>
          <cell r="C274" t="str">
            <v>TELEPHONE &amp; FAX</v>
          </cell>
          <cell r="D274">
            <v>108000</v>
          </cell>
          <cell r="E274">
            <v>106000</v>
          </cell>
          <cell r="F274">
            <v>181714.28571428571</v>
          </cell>
          <cell r="G274">
            <v>0.59433962264150941</v>
          </cell>
        </row>
        <row r="275">
          <cell r="A275" t="str">
            <v>155-10-044</v>
          </cell>
          <cell r="B275">
            <v>60</v>
          </cell>
          <cell r="C275" t="str">
            <v>PROFFESSIONAL TRAINING</v>
          </cell>
          <cell r="D275">
            <v>42500</v>
          </cell>
          <cell r="E275">
            <v>36166.666666666672</v>
          </cell>
          <cell r="F275">
            <v>62000</v>
          </cell>
          <cell r="G275">
            <v>0.68548387096774188</v>
          </cell>
        </row>
        <row r="276">
          <cell r="A276" t="str">
            <v>155-10-046</v>
          </cell>
          <cell r="B276">
            <v>60</v>
          </cell>
          <cell r="C276" t="str">
            <v xml:space="preserve">SUBSCRIPTION- STAFF CLUB MEMBERSHIP </v>
          </cell>
          <cell r="D276">
            <v>10000</v>
          </cell>
          <cell r="E276">
            <v>32000</v>
          </cell>
          <cell r="F276">
            <v>54857.142857142855</v>
          </cell>
          <cell r="G276">
            <v>0.18229166666666669</v>
          </cell>
        </row>
        <row r="277">
          <cell r="A277" t="str">
            <v>155-10-054</v>
          </cell>
          <cell r="B277">
            <v>60</v>
          </cell>
          <cell r="C277" t="str">
            <v>LEASED LINES-INTERNET SERVICES</v>
          </cell>
          <cell r="D277">
            <v>0</v>
          </cell>
          <cell r="E277">
            <v>0</v>
          </cell>
          <cell r="F277">
            <v>0</v>
          </cell>
          <cell r="G277">
            <v>0</v>
          </cell>
        </row>
        <row r="278">
          <cell r="A278" t="str">
            <v>155-10-057</v>
          </cell>
          <cell r="B278">
            <v>60</v>
          </cell>
          <cell r="C278" t="str">
            <v>SOFTWARE LICENCES</v>
          </cell>
          <cell r="D278">
            <v>0</v>
          </cell>
          <cell r="E278">
            <v>0</v>
          </cell>
          <cell r="F278">
            <v>0</v>
          </cell>
          <cell r="G278">
            <v>0</v>
          </cell>
        </row>
        <row r="279">
          <cell r="A279" t="str">
            <v>155-10-059</v>
          </cell>
          <cell r="B279">
            <v>60</v>
          </cell>
          <cell r="E279">
            <v>0</v>
          </cell>
          <cell r="G279">
            <v>0</v>
          </cell>
        </row>
        <row r="280">
          <cell r="A280" t="str">
            <v>155-10-060</v>
          </cell>
          <cell r="B280">
            <v>60</v>
          </cell>
          <cell r="E280">
            <v>0</v>
          </cell>
          <cell r="G280">
            <v>0</v>
          </cell>
        </row>
        <row r="281">
          <cell r="A281" t="str">
            <v>155-10-062</v>
          </cell>
          <cell r="B281">
            <v>60</v>
          </cell>
          <cell r="C281" t="str">
            <v>EDUCATION EXPENSES</v>
          </cell>
          <cell r="D281">
            <v>0</v>
          </cell>
          <cell r="E281">
            <v>0</v>
          </cell>
          <cell r="F281">
            <v>0</v>
          </cell>
          <cell r="G281">
            <v>0</v>
          </cell>
        </row>
        <row r="282">
          <cell r="A282" t="str">
            <v>160-10-010</v>
          </cell>
          <cell r="B282">
            <v>60</v>
          </cell>
          <cell r="E282">
            <v>0</v>
          </cell>
          <cell r="G282">
            <v>0</v>
          </cell>
        </row>
        <row r="283">
          <cell r="A283" t="str">
            <v>105-10-010</v>
          </cell>
          <cell r="B283">
            <v>70</v>
          </cell>
          <cell r="C283" t="str">
            <v>BASIC SALARY</v>
          </cell>
          <cell r="D283">
            <v>466959.96</v>
          </cell>
          <cell r="E283">
            <v>238000</v>
          </cell>
          <cell r="F283">
            <v>408000</v>
          </cell>
          <cell r="G283">
            <v>1.144509705882353</v>
          </cell>
        </row>
        <row r="284">
          <cell r="A284" t="str">
            <v>105-10-012</v>
          </cell>
          <cell r="B284">
            <v>70</v>
          </cell>
          <cell r="C284" t="str">
            <v>PROVISION FOR MORT. RATE ADJUSTMENTS</v>
          </cell>
          <cell r="D284">
            <v>0</v>
          </cell>
          <cell r="E284">
            <v>0</v>
          </cell>
          <cell r="F284">
            <v>0</v>
          </cell>
          <cell r="G284">
            <v>0</v>
          </cell>
        </row>
        <row r="285">
          <cell r="A285" t="str">
            <v>105-10-020</v>
          </cell>
          <cell r="B285">
            <v>70</v>
          </cell>
          <cell r="C285" t="str">
            <v>HOUSE ALLOWANCE</v>
          </cell>
          <cell r="D285">
            <v>62400</v>
          </cell>
          <cell r="E285">
            <v>36000</v>
          </cell>
          <cell r="F285">
            <v>62000</v>
          </cell>
          <cell r="G285">
            <v>1.0064516129032257</v>
          </cell>
        </row>
        <row r="286">
          <cell r="A286" t="str">
            <v>105-10-030</v>
          </cell>
          <cell r="B286">
            <v>70</v>
          </cell>
          <cell r="C286" t="str">
            <v>TELEPHONE ALLOWANCE</v>
          </cell>
          <cell r="D286">
            <v>0</v>
          </cell>
          <cell r="E286">
            <v>0</v>
          </cell>
          <cell r="F286">
            <v>0</v>
          </cell>
          <cell r="G286">
            <v>0</v>
          </cell>
        </row>
        <row r="287">
          <cell r="A287" t="str">
            <v>105-10-040</v>
          </cell>
          <cell r="B287">
            <v>70</v>
          </cell>
          <cell r="C287" t="str">
            <v>SECURITY ALLOWANCE</v>
          </cell>
          <cell r="D287">
            <v>0</v>
          </cell>
          <cell r="E287">
            <v>0</v>
          </cell>
          <cell r="F287">
            <v>0</v>
          </cell>
          <cell r="G287">
            <v>0</v>
          </cell>
        </row>
        <row r="288">
          <cell r="A288" t="str">
            <v>105-10-050</v>
          </cell>
          <cell r="B288">
            <v>70</v>
          </cell>
          <cell r="C288" t="str">
            <v>EDUCATION ALLOWANCE</v>
          </cell>
          <cell r="D288">
            <v>0</v>
          </cell>
          <cell r="E288">
            <v>0</v>
          </cell>
          <cell r="F288">
            <v>0</v>
          </cell>
          <cell r="G288">
            <v>0</v>
          </cell>
        </row>
        <row r="289">
          <cell r="A289" t="str">
            <v>105-10-060</v>
          </cell>
          <cell r="B289">
            <v>70</v>
          </cell>
          <cell r="C289" t="str">
            <v>TRAVEL ALLOWANCE</v>
          </cell>
          <cell r="D289">
            <v>0</v>
          </cell>
          <cell r="E289">
            <v>0</v>
          </cell>
          <cell r="F289">
            <v>0</v>
          </cell>
          <cell r="G289">
            <v>0</v>
          </cell>
        </row>
        <row r="290">
          <cell r="A290" t="str">
            <v>105-20-010</v>
          </cell>
          <cell r="B290">
            <v>70</v>
          </cell>
          <cell r="C290" t="str">
            <v>NSSF</v>
          </cell>
          <cell r="D290">
            <v>2400</v>
          </cell>
          <cell r="E290">
            <v>1000</v>
          </cell>
          <cell r="F290">
            <v>2000</v>
          </cell>
          <cell r="G290">
            <v>1.2</v>
          </cell>
          <cell r="H290" t="str">
            <v>SALARY REVIEW FOR SALES SUPPORT STAFF</v>
          </cell>
        </row>
        <row r="291">
          <cell r="A291" t="str">
            <v>105-20-020</v>
          </cell>
          <cell r="B291">
            <v>70</v>
          </cell>
          <cell r="C291" t="str">
            <v>NHIF</v>
          </cell>
          <cell r="D291">
            <v>2880</v>
          </cell>
          <cell r="E291">
            <v>2000</v>
          </cell>
          <cell r="F291">
            <v>3200</v>
          </cell>
          <cell r="G291">
            <v>0.9</v>
          </cell>
        </row>
        <row r="292">
          <cell r="A292" t="str">
            <v>105-30-010</v>
          </cell>
          <cell r="B292">
            <v>70</v>
          </cell>
          <cell r="C292" t="str">
            <v xml:space="preserve">PENSION </v>
          </cell>
          <cell r="D292">
            <v>57120</v>
          </cell>
          <cell r="E292">
            <v>30000</v>
          </cell>
          <cell r="F292">
            <v>53800</v>
          </cell>
          <cell r="G292">
            <v>1.0617100371747212</v>
          </cell>
        </row>
        <row r="293">
          <cell r="A293" t="str">
            <v>105-30-020</v>
          </cell>
          <cell r="B293">
            <v>70</v>
          </cell>
          <cell r="C293" t="str">
            <v>LAST EXPENSE</v>
          </cell>
          <cell r="D293">
            <v>1500</v>
          </cell>
          <cell r="E293">
            <v>1500</v>
          </cell>
          <cell r="F293">
            <v>1500</v>
          </cell>
          <cell r="G293">
            <v>1</v>
          </cell>
        </row>
        <row r="294">
          <cell r="A294" t="str">
            <v>105-30-030</v>
          </cell>
          <cell r="B294">
            <v>70</v>
          </cell>
          <cell r="C294" t="str">
            <v>GROUP LIFE ASSURANCE</v>
          </cell>
          <cell r="D294">
            <v>8682.9599999999991</v>
          </cell>
          <cell r="E294">
            <v>8000</v>
          </cell>
          <cell r="F294">
            <v>13714.285714285714</v>
          </cell>
          <cell r="G294">
            <v>0.63313249999999999</v>
          </cell>
        </row>
        <row r="295">
          <cell r="A295" t="str">
            <v>105-30-040</v>
          </cell>
          <cell r="B295">
            <v>70</v>
          </cell>
          <cell r="C295" t="str">
            <v>STAFF MEDICAL</v>
          </cell>
          <cell r="D295">
            <v>0</v>
          </cell>
          <cell r="E295">
            <v>0</v>
          </cell>
          <cell r="F295">
            <v>0</v>
          </cell>
          <cell r="G295">
            <v>0</v>
          </cell>
        </row>
        <row r="296">
          <cell r="A296" t="str">
            <v>105-30-050</v>
          </cell>
          <cell r="B296">
            <v>70</v>
          </cell>
          <cell r="C296" t="str">
            <v>CASH IN LIEU OF LEAVE</v>
          </cell>
          <cell r="D296">
            <v>11424</v>
          </cell>
          <cell r="E296">
            <v>12000</v>
          </cell>
          <cell r="F296">
            <v>20571.428571428572</v>
          </cell>
          <cell r="G296">
            <v>0.55533333333333335</v>
          </cell>
        </row>
        <row r="297">
          <cell r="A297" t="str">
            <v>105-30-060</v>
          </cell>
          <cell r="B297">
            <v>70</v>
          </cell>
          <cell r="C297" t="str">
            <v>GRATUITY</v>
          </cell>
          <cell r="E297">
            <v>0</v>
          </cell>
          <cell r="F297">
            <v>0</v>
          </cell>
          <cell r="G297">
            <v>0</v>
          </cell>
        </row>
        <row r="298">
          <cell r="A298" t="str">
            <v>105-30-070</v>
          </cell>
          <cell r="B298">
            <v>70</v>
          </cell>
          <cell r="C298" t="str">
            <v>LONG SERVICE AWARDS</v>
          </cell>
          <cell r="D298">
            <v>0</v>
          </cell>
          <cell r="E298">
            <v>0</v>
          </cell>
          <cell r="F298">
            <v>0</v>
          </cell>
          <cell r="G298">
            <v>0</v>
          </cell>
        </row>
        <row r="299">
          <cell r="A299" t="str">
            <v>105-30-080</v>
          </cell>
          <cell r="B299">
            <v>70</v>
          </cell>
          <cell r="C299" t="str">
            <v>STAFF RECRUITMENT &amp; REMOVALS</v>
          </cell>
          <cell r="D299">
            <v>0</v>
          </cell>
          <cell r="E299">
            <v>0</v>
          </cell>
          <cell r="F299">
            <v>0</v>
          </cell>
          <cell r="G299">
            <v>0</v>
          </cell>
        </row>
        <row r="300">
          <cell r="A300" t="str">
            <v>115-10-010</v>
          </cell>
          <cell r="B300">
            <v>70</v>
          </cell>
          <cell r="D300">
            <v>0</v>
          </cell>
          <cell r="E300">
            <v>0</v>
          </cell>
          <cell r="F300">
            <v>0</v>
          </cell>
          <cell r="G300">
            <v>0</v>
          </cell>
        </row>
        <row r="301">
          <cell r="A301" t="str">
            <v>115-10-010</v>
          </cell>
          <cell r="B301">
            <v>70</v>
          </cell>
          <cell r="D301">
            <v>0</v>
          </cell>
          <cell r="F301">
            <v>0</v>
          </cell>
          <cell r="G301">
            <v>0</v>
          </cell>
        </row>
        <row r="302">
          <cell r="A302" t="str">
            <v>115-10-020</v>
          </cell>
          <cell r="B302">
            <v>70</v>
          </cell>
          <cell r="D302">
            <v>0</v>
          </cell>
          <cell r="E302">
            <v>0</v>
          </cell>
          <cell r="F302">
            <v>0</v>
          </cell>
          <cell r="G302">
            <v>0</v>
          </cell>
        </row>
        <row r="303">
          <cell r="A303" t="str">
            <v>115-10-020</v>
          </cell>
          <cell r="B303">
            <v>70</v>
          </cell>
          <cell r="D303">
            <v>0</v>
          </cell>
          <cell r="G303">
            <v>0</v>
          </cell>
        </row>
        <row r="304">
          <cell r="A304" t="str">
            <v>115-10-030</v>
          </cell>
          <cell r="B304">
            <v>70</v>
          </cell>
          <cell r="D304">
            <v>0</v>
          </cell>
          <cell r="E304">
            <v>0</v>
          </cell>
          <cell r="F304">
            <v>0</v>
          </cell>
          <cell r="G304">
            <v>0</v>
          </cell>
        </row>
        <row r="305">
          <cell r="A305" t="str">
            <v>115-10-030</v>
          </cell>
          <cell r="B305">
            <v>70</v>
          </cell>
          <cell r="D305">
            <v>0</v>
          </cell>
          <cell r="F305">
            <v>0</v>
          </cell>
          <cell r="G305">
            <v>0</v>
          </cell>
        </row>
        <row r="306">
          <cell r="A306" t="str">
            <v>115-10-040</v>
          </cell>
          <cell r="B306">
            <v>70</v>
          </cell>
          <cell r="D306">
            <v>509496</v>
          </cell>
          <cell r="E306">
            <v>279000</v>
          </cell>
          <cell r="F306">
            <v>478285.71428571426</v>
          </cell>
          <cell r="G306">
            <v>1.0652544802867383</v>
          </cell>
          <cell r="H306" t="str">
            <v>RENT FOR BUNGOMA OFFICE INCLUDED</v>
          </cell>
        </row>
        <row r="307">
          <cell r="A307" t="str">
            <v>115-10-040</v>
          </cell>
          <cell r="B307">
            <v>70</v>
          </cell>
          <cell r="D307">
            <v>0</v>
          </cell>
          <cell r="F307">
            <v>0</v>
          </cell>
          <cell r="G307">
            <v>0</v>
          </cell>
        </row>
        <row r="308">
          <cell r="A308" t="str">
            <v>115-10-050</v>
          </cell>
          <cell r="B308">
            <v>70</v>
          </cell>
          <cell r="C308" t="str">
            <v>OFFICE CATERING &amp; STAFF WELFARE</v>
          </cell>
          <cell r="D308">
            <v>110950</v>
          </cell>
          <cell r="E308">
            <v>79500</v>
          </cell>
          <cell r="F308">
            <v>136285.71428571429</v>
          </cell>
          <cell r="G308">
            <v>0.81409853249475883</v>
          </cell>
          <cell r="H308" t="str">
            <v>This includes bungome budget</v>
          </cell>
        </row>
        <row r="309">
          <cell r="A309" t="str">
            <v>115-10-051</v>
          </cell>
          <cell r="B309">
            <v>70</v>
          </cell>
          <cell r="C309" t="str">
            <v>OFFICE CLEANING</v>
          </cell>
          <cell r="D309">
            <v>66000</v>
          </cell>
          <cell r="E309">
            <v>0</v>
          </cell>
          <cell r="F309">
            <v>0</v>
          </cell>
          <cell r="G309">
            <v>0</v>
          </cell>
        </row>
        <row r="310">
          <cell r="A310" t="str">
            <v>115-10-060</v>
          </cell>
          <cell r="B310">
            <v>70</v>
          </cell>
          <cell r="C310" t="str">
            <v>OFFICE WATER</v>
          </cell>
          <cell r="D310">
            <v>0</v>
          </cell>
          <cell r="E310">
            <v>0</v>
          </cell>
          <cell r="F310">
            <v>0</v>
          </cell>
          <cell r="G310">
            <v>0</v>
          </cell>
        </row>
        <row r="311">
          <cell r="A311" t="str">
            <v>115-10-070</v>
          </cell>
          <cell r="B311">
            <v>70</v>
          </cell>
          <cell r="C311" t="str">
            <v>OFFICE ELECTRICITY</v>
          </cell>
          <cell r="D311">
            <v>0</v>
          </cell>
          <cell r="E311">
            <v>0</v>
          </cell>
          <cell r="F311">
            <v>0</v>
          </cell>
          <cell r="G311">
            <v>0</v>
          </cell>
        </row>
        <row r="312">
          <cell r="A312" t="str">
            <v>115-10-080</v>
          </cell>
          <cell r="B312">
            <v>70</v>
          </cell>
          <cell r="C312" t="str">
            <v>OFFICE SECURITY</v>
          </cell>
          <cell r="D312">
            <v>0</v>
          </cell>
          <cell r="E312">
            <v>0</v>
          </cell>
          <cell r="F312">
            <v>0</v>
          </cell>
          <cell r="G312">
            <v>0</v>
          </cell>
        </row>
        <row r="313">
          <cell r="A313" t="str">
            <v>125-10-010</v>
          </cell>
          <cell r="B313">
            <v>70</v>
          </cell>
          <cell r="C313" t="str">
            <v>BANK CHARGES</v>
          </cell>
          <cell r="D313">
            <v>30000</v>
          </cell>
          <cell r="E313">
            <v>15000</v>
          </cell>
          <cell r="F313">
            <v>22500</v>
          </cell>
          <cell r="G313">
            <v>1.3333333333333333</v>
          </cell>
        </row>
        <row r="314">
          <cell r="A314" t="str">
            <v>125-10-020</v>
          </cell>
          <cell r="B314">
            <v>70</v>
          </cell>
          <cell r="C314" t="str">
            <v>BANK OVERDRART CHARGES</v>
          </cell>
          <cell r="E314">
            <v>0</v>
          </cell>
          <cell r="F314">
            <v>0</v>
          </cell>
          <cell r="G314">
            <v>0</v>
          </cell>
        </row>
        <row r="315">
          <cell r="A315" t="str">
            <v>135-60-030</v>
          </cell>
          <cell r="B315">
            <v>70</v>
          </cell>
          <cell r="C315" t="str">
            <v>SALES PROMOTIONS &amp; COMPETITION</v>
          </cell>
          <cell r="D315">
            <v>0</v>
          </cell>
          <cell r="E315">
            <v>0</v>
          </cell>
          <cell r="F315">
            <v>0</v>
          </cell>
          <cell r="G315">
            <v>0</v>
          </cell>
        </row>
        <row r="316">
          <cell r="A316" t="str">
            <v>135-70-010</v>
          </cell>
          <cell r="B316">
            <v>70</v>
          </cell>
          <cell r="C316" t="str">
            <v>AGENCY PENSION</v>
          </cell>
          <cell r="D316">
            <v>0</v>
          </cell>
          <cell r="E316">
            <v>0</v>
          </cell>
          <cell r="F316">
            <v>0</v>
          </cell>
          <cell r="G316">
            <v>0</v>
          </cell>
        </row>
        <row r="317">
          <cell r="A317" t="str">
            <v>135-70-020</v>
          </cell>
          <cell r="B317">
            <v>70</v>
          </cell>
          <cell r="C317" t="str">
            <v>AGENCY GLA</v>
          </cell>
          <cell r="D317">
            <v>0</v>
          </cell>
          <cell r="E317">
            <v>0</v>
          </cell>
          <cell r="F317">
            <v>0</v>
          </cell>
          <cell r="G317">
            <v>0</v>
          </cell>
        </row>
        <row r="318">
          <cell r="A318" t="str">
            <v>135-70-030</v>
          </cell>
          <cell r="B318">
            <v>70</v>
          </cell>
          <cell r="C318" t="str">
            <v>AGENCY MEDICAL</v>
          </cell>
          <cell r="D318">
            <v>0</v>
          </cell>
          <cell r="E318">
            <v>0</v>
          </cell>
          <cell r="F318">
            <v>0</v>
          </cell>
          <cell r="G318">
            <v>0</v>
          </cell>
        </row>
        <row r="319">
          <cell r="A319" t="str">
            <v>135-70-040</v>
          </cell>
          <cell r="B319">
            <v>70</v>
          </cell>
          <cell r="C319" t="str">
            <v>AGENCY LAST EXPENSE</v>
          </cell>
          <cell r="D319">
            <v>0</v>
          </cell>
          <cell r="E319">
            <v>0</v>
          </cell>
          <cell r="F319">
            <v>0</v>
          </cell>
          <cell r="G319">
            <v>0</v>
          </cell>
        </row>
        <row r="320">
          <cell r="A320" t="str">
            <v>145-10-030</v>
          </cell>
          <cell r="B320">
            <v>70</v>
          </cell>
          <cell r="C320" t="str">
            <v>Audit fee -individual life</v>
          </cell>
          <cell r="D320">
            <v>0</v>
          </cell>
          <cell r="E320">
            <v>0</v>
          </cell>
          <cell r="F320">
            <v>0</v>
          </cell>
          <cell r="G320">
            <v>0</v>
          </cell>
        </row>
        <row r="321">
          <cell r="A321" t="str">
            <v>145-10-031</v>
          </cell>
          <cell r="B321">
            <v>70</v>
          </cell>
          <cell r="C321" t="str">
            <v>Tax filing returns</v>
          </cell>
          <cell r="D321">
            <v>0</v>
          </cell>
          <cell r="E321">
            <v>0</v>
          </cell>
          <cell r="F321">
            <v>0</v>
          </cell>
          <cell r="G321">
            <v>0</v>
          </cell>
        </row>
        <row r="322">
          <cell r="A322" t="str">
            <v>145-10-060</v>
          </cell>
          <cell r="B322">
            <v>70</v>
          </cell>
          <cell r="C322" t="str">
            <v>Intra company charges- individual life</v>
          </cell>
          <cell r="G322">
            <v>0</v>
          </cell>
        </row>
        <row r="323">
          <cell r="A323" t="str">
            <v>145-10-060</v>
          </cell>
          <cell r="B323">
            <v>70</v>
          </cell>
          <cell r="E323">
            <v>0</v>
          </cell>
          <cell r="G323">
            <v>0</v>
          </cell>
        </row>
        <row r="324">
          <cell r="A324" t="str">
            <v>145-10-080</v>
          </cell>
          <cell r="B324">
            <v>70</v>
          </cell>
          <cell r="C324" t="str">
            <v>40% Excutive recharge</v>
          </cell>
          <cell r="F324">
            <v>0</v>
          </cell>
          <cell r="G324">
            <v>0</v>
          </cell>
        </row>
        <row r="325">
          <cell r="A325" t="str">
            <v>145-10-080</v>
          </cell>
          <cell r="B325">
            <v>70</v>
          </cell>
          <cell r="C325" t="str">
            <v xml:space="preserve">Recharges: 10% recharge to Corporate </v>
          </cell>
          <cell r="E325">
            <v>0</v>
          </cell>
          <cell r="G325">
            <v>0</v>
          </cell>
        </row>
        <row r="326">
          <cell r="A326" t="str">
            <v>145-10-100</v>
          </cell>
          <cell r="B326">
            <v>70</v>
          </cell>
          <cell r="E326">
            <v>0</v>
          </cell>
          <cell r="G326">
            <v>0</v>
          </cell>
        </row>
        <row r="327">
          <cell r="A327" t="str">
            <v>155-10-007</v>
          </cell>
          <cell r="B327">
            <v>70</v>
          </cell>
          <cell r="C327" t="str">
            <v>NEWSPAPERS &amp; JOURNALS</v>
          </cell>
          <cell r="D327">
            <v>10560</v>
          </cell>
          <cell r="E327">
            <v>6000</v>
          </cell>
          <cell r="F327">
            <v>10285.714285714286</v>
          </cell>
          <cell r="G327">
            <v>1.0266666666666666</v>
          </cell>
          <cell r="H327" t="str">
            <v>MARKET INTELLIGENCE MAGAZINE,ONCE IN A MONTH</v>
          </cell>
        </row>
        <row r="328">
          <cell r="A328" t="str">
            <v>155-10-008</v>
          </cell>
          <cell r="B328">
            <v>70</v>
          </cell>
          <cell r="C328" t="str">
            <v>ENTERTAINMENT &amp; DONATIONS</v>
          </cell>
          <cell r="D328">
            <v>37000</v>
          </cell>
          <cell r="E328">
            <v>14000</v>
          </cell>
          <cell r="F328">
            <v>24000</v>
          </cell>
          <cell r="G328">
            <v>1.5416666666666667</v>
          </cell>
          <cell r="H328" t="str">
            <v>OPENING PAYPOINTS,ENTERTAINMENT,LAUNCHING &amp; CHEQUE COLLECTIONS</v>
          </cell>
        </row>
        <row r="329">
          <cell r="A329" t="str">
            <v>155-10-009</v>
          </cell>
          <cell r="B329">
            <v>70</v>
          </cell>
          <cell r="C329" t="str">
            <v>COURIER &amp; FREIGHT CHARGES</v>
          </cell>
          <cell r="D329">
            <v>42400</v>
          </cell>
          <cell r="E329">
            <v>62000</v>
          </cell>
          <cell r="F329">
            <v>106285.71428571429</v>
          </cell>
          <cell r="G329">
            <v>0.3989247311827957</v>
          </cell>
        </row>
        <row r="330">
          <cell r="A330" t="str">
            <v>155-10-010</v>
          </cell>
          <cell r="B330">
            <v>70</v>
          </cell>
          <cell r="C330" t="str">
            <v>ADVERTISING &amp; PUBLICITY</v>
          </cell>
          <cell r="D330">
            <v>20000</v>
          </cell>
          <cell r="E330">
            <v>0</v>
          </cell>
          <cell r="F330">
            <v>0</v>
          </cell>
          <cell r="G330">
            <v>0</v>
          </cell>
        </row>
        <row r="331">
          <cell r="A331" t="str">
            <v>155-10-012</v>
          </cell>
          <cell r="B331">
            <v>70</v>
          </cell>
          <cell r="C331" t="str">
            <v>TRADE LICENCES</v>
          </cell>
          <cell r="D331">
            <v>52800</v>
          </cell>
          <cell r="E331">
            <v>33000</v>
          </cell>
          <cell r="F331">
            <v>56571.42857142858</v>
          </cell>
          <cell r="G331">
            <v>0.93333333333333324</v>
          </cell>
        </row>
        <row r="332">
          <cell r="A332" t="str">
            <v>155-10-013</v>
          </cell>
          <cell r="B332">
            <v>70</v>
          </cell>
          <cell r="C332" t="str">
            <v>INSURANCES</v>
          </cell>
          <cell r="D332">
            <v>0</v>
          </cell>
          <cell r="E332">
            <v>0</v>
          </cell>
          <cell r="F332">
            <v>0</v>
          </cell>
          <cell r="G332">
            <v>0</v>
          </cell>
        </row>
        <row r="333">
          <cell r="A333" t="str">
            <v>155-10-014</v>
          </cell>
          <cell r="B333">
            <v>70</v>
          </cell>
          <cell r="C333" t="str">
            <v>PHOTOCOPY</v>
          </cell>
          <cell r="D333">
            <v>0</v>
          </cell>
          <cell r="E333">
            <v>0</v>
          </cell>
          <cell r="F333">
            <v>0</v>
          </cell>
          <cell r="G333">
            <v>0</v>
          </cell>
        </row>
        <row r="334">
          <cell r="A334" t="str">
            <v>155-10-015</v>
          </cell>
          <cell r="B334">
            <v>70</v>
          </cell>
          <cell r="C334" t="str">
            <v>COMPUTER MAINTAINANCE</v>
          </cell>
          <cell r="D334">
            <v>10000</v>
          </cell>
          <cell r="E334">
            <v>2000</v>
          </cell>
          <cell r="F334">
            <v>3428.5714285714284</v>
          </cell>
          <cell r="G334">
            <v>2.916666666666667</v>
          </cell>
        </row>
        <row r="335">
          <cell r="A335" t="str">
            <v>155-10-016</v>
          </cell>
          <cell r="B335">
            <v>70</v>
          </cell>
          <cell r="C335" t="str">
            <v>EQUIPMENT&amp; FURNITURE REPAIRS &amp; MAINTENANCE</v>
          </cell>
          <cell r="D335">
            <v>10000</v>
          </cell>
          <cell r="E335">
            <v>4000</v>
          </cell>
          <cell r="F335">
            <v>6857.1428571428569</v>
          </cell>
          <cell r="G335">
            <v>1.4583333333333335</v>
          </cell>
        </row>
        <row r="336">
          <cell r="A336" t="str">
            <v>155-10-017</v>
          </cell>
          <cell r="B336">
            <v>70</v>
          </cell>
          <cell r="C336" t="str">
            <v>SEMINARS &amp; SHORT TERM COURSES</v>
          </cell>
          <cell r="D336">
            <v>16000</v>
          </cell>
          <cell r="E336">
            <v>0</v>
          </cell>
          <cell r="F336">
            <v>0</v>
          </cell>
          <cell r="G336">
            <v>0</v>
          </cell>
        </row>
        <row r="337">
          <cell r="A337" t="str">
            <v>155-10-022</v>
          </cell>
          <cell r="B337">
            <v>70</v>
          </cell>
          <cell r="C337" t="str">
            <v>PRINTING &amp; STATIONERY</v>
          </cell>
          <cell r="D337">
            <v>142412.5</v>
          </cell>
          <cell r="E337">
            <v>53000</v>
          </cell>
          <cell r="F337">
            <v>90857.142857142855</v>
          </cell>
          <cell r="G337">
            <v>1.567433176100629</v>
          </cell>
          <cell r="H337" t="str">
            <v>PROPOSALS ,Revenue Stamps,Payment Instructions.Usage of stationery in BGMA</v>
          </cell>
        </row>
        <row r="338">
          <cell r="A338" t="str">
            <v>155-10-025</v>
          </cell>
          <cell r="B338">
            <v>70</v>
          </cell>
          <cell r="C338" t="str">
            <v>STRATEGIC PLANNING</v>
          </cell>
          <cell r="D338">
            <v>0</v>
          </cell>
          <cell r="E338">
            <v>0</v>
          </cell>
          <cell r="F338">
            <v>0</v>
          </cell>
          <cell r="G338">
            <v>0</v>
          </cell>
        </row>
        <row r="339">
          <cell r="A339" t="str">
            <v>155-10-027</v>
          </cell>
          <cell r="B339">
            <v>70</v>
          </cell>
          <cell r="C339" t="str">
            <v>PROFESSIONAL SUBSCRIPTIONS</v>
          </cell>
          <cell r="D339">
            <v>0</v>
          </cell>
          <cell r="E339">
            <v>0</v>
          </cell>
          <cell r="F339">
            <v>0</v>
          </cell>
          <cell r="G339">
            <v>0</v>
          </cell>
        </row>
        <row r="340">
          <cell r="A340" t="str">
            <v>155-10-028</v>
          </cell>
          <cell r="B340">
            <v>70</v>
          </cell>
          <cell r="C340" t="str">
            <v xml:space="preserve"> SUBSCRIPTIONS -COMPANY MEMBERSHIP</v>
          </cell>
          <cell r="D340">
            <v>0</v>
          </cell>
          <cell r="E340">
            <v>0</v>
          </cell>
          <cell r="F340">
            <v>0</v>
          </cell>
          <cell r="G340">
            <v>0</v>
          </cell>
        </row>
        <row r="341">
          <cell r="A341" t="str">
            <v>155-10-030</v>
          </cell>
          <cell r="B341">
            <v>70</v>
          </cell>
          <cell r="C341" t="str">
            <v>TRAVELLING &amp; ACCOMMODATION</v>
          </cell>
          <cell r="D341">
            <v>70000</v>
          </cell>
          <cell r="E341">
            <v>49000</v>
          </cell>
          <cell r="F341">
            <v>84000</v>
          </cell>
          <cell r="G341">
            <v>0.83333333333333337</v>
          </cell>
          <cell r="H341" t="str">
            <v xml:space="preserve"> COURSES FOR MANAGERS,SSS,FOR 2 DAYS EACH IN THE YEAR.</v>
          </cell>
        </row>
        <row r="342">
          <cell r="A342" t="str">
            <v>155-10-032</v>
          </cell>
          <cell r="B342">
            <v>70</v>
          </cell>
          <cell r="C342" t="str">
            <v xml:space="preserve">MOTOR CAR EXPENSES </v>
          </cell>
          <cell r="D342">
            <v>0</v>
          </cell>
          <cell r="E342">
            <v>0</v>
          </cell>
          <cell r="F342">
            <v>0</v>
          </cell>
          <cell r="G342">
            <v>0</v>
          </cell>
        </row>
        <row r="343">
          <cell r="A343" t="str">
            <v>155-10-040</v>
          </cell>
          <cell r="B343">
            <v>70</v>
          </cell>
          <cell r="C343" t="str">
            <v>POSTAGE</v>
          </cell>
          <cell r="D343">
            <v>7086</v>
          </cell>
          <cell r="E343">
            <v>4000</v>
          </cell>
          <cell r="F343">
            <v>6857.1428571428569</v>
          </cell>
          <cell r="G343">
            <v>1.0333749999999999</v>
          </cell>
          <cell r="H343" t="str">
            <v>Policy documents for Terminated Agents,Cost of stamps could go up.</v>
          </cell>
        </row>
        <row r="344">
          <cell r="A344" t="str">
            <v>155-10-041</v>
          </cell>
          <cell r="B344">
            <v>70</v>
          </cell>
          <cell r="C344" t="str">
            <v>TELEPHONE &amp; FAX</v>
          </cell>
          <cell r="D344">
            <v>108000</v>
          </cell>
          <cell r="E344">
            <v>64000</v>
          </cell>
          <cell r="F344">
            <v>109714.28571428571</v>
          </cell>
          <cell r="G344">
            <v>0.984375</v>
          </cell>
          <cell r="H344" t="str">
            <v>PURCHASE OF FAX MODEM,E-MAIL INSTALLATION-BUNGOMA OFFICE</v>
          </cell>
        </row>
        <row r="345">
          <cell r="A345" t="str">
            <v>155-10-044</v>
          </cell>
          <cell r="B345">
            <v>70</v>
          </cell>
          <cell r="C345" t="str">
            <v>PROFFESSIONAL TRAINING</v>
          </cell>
          <cell r="D345">
            <v>10625</v>
          </cell>
          <cell r="E345">
            <v>0</v>
          </cell>
          <cell r="F345">
            <v>0</v>
          </cell>
          <cell r="G345">
            <v>0</v>
          </cell>
        </row>
        <row r="346">
          <cell r="A346" t="str">
            <v>155-10-046</v>
          </cell>
          <cell r="B346">
            <v>70</v>
          </cell>
          <cell r="C346" t="str">
            <v xml:space="preserve">SUBSCRIPTION- STAFF CLUB MEMBERSHIP </v>
          </cell>
          <cell r="D346">
            <v>15000</v>
          </cell>
          <cell r="E346">
            <v>0</v>
          </cell>
          <cell r="F346">
            <v>0</v>
          </cell>
          <cell r="G346">
            <v>0</v>
          </cell>
        </row>
        <row r="347">
          <cell r="A347" t="str">
            <v>155-10-054</v>
          </cell>
          <cell r="B347">
            <v>70</v>
          </cell>
          <cell r="C347" t="str">
            <v>LEASED LINES-INTERNET SERVICES</v>
          </cell>
          <cell r="D347">
            <v>0</v>
          </cell>
          <cell r="E347">
            <v>0</v>
          </cell>
          <cell r="F347">
            <v>0</v>
          </cell>
          <cell r="G347">
            <v>0</v>
          </cell>
        </row>
        <row r="348">
          <cell r="A348" t="str">
            <v>155-10-057</v>
          </cell>
          <cell r="B348">
            <v>70</v>
          </cell>
          <cell r="C348" t="str">
            <v>SOFTWARE LICENCES</v>
          </cell>
          <cell r="D348">
            <v>0</v>
          </cell>
          <cell r="E348">
            <v>0</v>
          </cell>
          <cell r="F348">
            <v>0</v>
          </cell>
          <cell r="G348">
            <v>0</v>
          </cell>
        </row>
        <row r="349">
          <cell r="A349" t="str">
            <v>155-10-059</v>
          </cell>
          <cell r="B349">
            <v>70</v>
          </cell>
          <cell r="E349">
            <v>0</v>
          </cell>
          <cell r="G349">
            <v>0</v>
          </cell>
        </row>
        <row r="350">
          <cell r="A350" t="str">
            <v>155-10-060</v>
          </cell>
          <cell r="B350">
            <v>70</v>
          </cell>
          <cell r="E350">
            <v>0</v>
          </cell>
          <cell r="G350">
            <v>0</v>
          </cell>
        </row>
        <row r="351">
          <cell r="A351" t="str">
            <v>155-10-062</v>
          </cell>
          <cell r="B351">
            <v>70</v>
          </cell>
          <cell r="C351" t="str">
            <v>EDUCATION EXPENSES</v>
          </cell>
          <cell r="D351">
            <v>0</v>
          </cell>
          <cell r="E351">
            <v>0</v>
          </cell>
          <cell r="F351">
            <v>0</v>
          </cell>
          <cell r="G351">
            <v>0</v>
          </cell>
        </row>
        <row r="352">
          <cell r="A352" t="str">
            <v>160-10-010</v>
          </cell>
          <cell r="B352">
            <v>70</v>
          </cell>
          <cell r="E352">
            <v>0</v>
          </cell>
          <cell r="G352">
            <v>0</v>
          </cell>
        </row>
        <row r="353">
          <cell r="A353" t="str">
            <v>105-10-010</v>
          </cell>
          <cell r="B353">
            <v>80</v>
          </cell>
          <cell r="C353" t="str">
            <v>BASIC SALARY</v>
          </cell>
          <cell r="D353">
            <v>391695.96</v>
          </cell>
          <cell r="E353">
            <v>211000</v>
          </cell>
          <cell r="F353">
            <v>353000</v>
          </cell>
          <cell r="G353">
            <v>1.1096202832861193</v>
          </cell>
        </row>
        <row r="354">
          <cell r="A354" t="str">
            <v>105-10-012</v>
          </cell>
          <cell r="B354">
            <v>80</v>
          </cell>
          <cell r="C354" t="str">
            <v>PROVISION FOR MORT. RATE ADJUSTMENTS</v>
          </cell>
          <cell r="D354">
            <v>0</v>
          </cell>
          <cell r="E354">
            <v>0</v>
          </cell>
          <cell r="F354">
            <v>0</v>
          </cell>
          <cell r="G354">
            <v>0</v>
          </cell>
        </row>
        <row r="355">
          <cell r="A355" t="str">
            <v>105-10-020</v>
          </cell>
          <cell r="B355">
            <v>80</v>
          </cell>
          <cell r="C355" t="str">
            <v>HOUSE ALLOWANCE</v>
          </cell>
          <cell r="D355">
            <v>46800</v>
          </cell>
          <cell r="E355">
            <v>27000</v>
          </cell>
          <cell r="F355">
            <v>46500</v>
          </cell>
          <cell r="G355">
            <v>1.0064516129032257</v>
          </cell>
        </row>
        <row r="356">
          <cell r="A356" t="str">
            <v>105-10-030</v>
          </cell>
          <cell r="B356">
            <v>80</v>
          </cell>
          <cell r="C356" t="str">
            <v>TELEPHONE ALLOWANCE</v>
          </cell>
          <cell r="D356">
            <v>0</v>
          </cell>
          <cell r="E356">
            <v>0</v>
          </cell>
          <cell r="F356">
            <v>0</v>
          </cell>
          <cell r="G356">
            <v>0</v>
          </cell>
        </row>
        <row r="357">
          <cell r="A357" t="str">
            <v>105-10-040</v>
          </cell>
          <cell r="B357">
            <v>80</v>
          </cell>
          <cell r="C357" t="str">
            <v>SECURITY ALLOWANCE</v>
          </cell>
          <cell r="D357">
            <v>0</v>
          </cell>
          <cell r="E357">
            <v>0</v>
          </cell>
          <cell r="F357">
            <v>0</v>
          </cell>
          <cell r="G357">
            <v>0</v>
          </cell>
        </row>
        <row r="358">
          <cell r="A358" t="str">
            <v>105-10-050</v>
          </cell>
          <cell r="B358">
            <v>80</v>
          </cell>
          <cell r="C358" t="str">
            <v>EDUCATION ALLOWANCE</v>
          </cell>
          <cell r="D358">
            <v>0</v>
          </cell>
          <cell r="E358">
            <v>0</v>
          </cell>
          <cell r="F358">
            <v>0</v>
          </cell>
          <cell r="G358">
            <v>0</v>
          </cell>
        </row>
        <row r="359">
          <cell r="A359" t="str">
            <v>105-10-060</v>
          </cell>
          <cell r="B359">
            <v>80</v>
          </cell>
          <cell r="C359" t="str">
            <v>TRAVEL ALLOWANCE</v>
          </cell>
          <cell r="D359">
            <v>0</v>
          </cell>
          <cell r="E359">
            <v>0</v>
          </cell>
          <cell r="F359">
            <v>0</v>
          </cell>
          <cell r="G359">
            <v>0</v>
          </cell>
        </row>
        <row r="360">
          <cell r="A360" t="str">
            <v>105-20-010</v>
          </cell>
          <cell r="B360">
            <v>80</v>
          </cell>
          <cell r="C360" t="str">
            <v>NSSF</v>
          </cell>
          <cell r="D360">
            <v>2400</v>
          </cell>
          <cell r="E360">
            <v>1000</v>
          </cell>
          <cell r="F360">
            <v>2000</v>
          </cell>
          <cell r="G360">
            <v>1.2</v>
          </cell>
        </row>
        <row r="361">
          <cell r="A361" t="str">
            <v>105-20-020</v>
          </cell>
          <cell r="B361">
            <v>80</v>
          </cell>
          <cell r="C361" t="str">
            <v>NHIF</v>
          </cell>
          <cell r="D361">
            <v>2880</v>
          </cell>
          <cell r="E361">
            <v>2000</v>
          </cell>
          <cell r="F361">
            <v>3200</v>
          </cell>
          <cell r="G361">
            <v>0.9</v>
          </cell>
        </row>
        <row r="362">
          <cell r="A362" t="str">
            <v>105-30-010</v>
          </cell>
          <cell r="B362">
            <v>80</v>
          </cell>
          <cell r="C362" t="str">
            <v xml:space="preserve">PENSION </v>
          </cell>
          <cell r="D362">
            <v>47712</v>
          </cell>
          <cell r="E362">
            <v>25000</v>
          </cell>
          <cell r="F362">
            <v>44880</v>
          </cell>
          <cell r="G362">
            <v>1.063101604278075</v>
          </cell>
        </row>
        <row r="363">
          <cell r="A363" t="str">
            <v>105-30-020</v>
          </cell>
          <cell r="B363">
            <v>80</v>
          </cell>
          <cell r="C363" t="str">
            <v>LAST EXPENSE</v>
          </cell>
          <cell r="D363">
            <v>1250</v>
          </cell>
          <cell r="E363">
            <v>0</v>
          </cell>
          <cell r="F363">
            <v>0</v>
          </cell>
          <cell r="G363">
            <v>0</v>
          </cell>
        </row>
        <row r="364">
          <cell r="A364" t="str">
            <v>105-30-030</v>
          </cell>
          <cell r="B364">
            <v>80</v>
          </cell>
          <cell r="C364" t="str">
            <v>GROUP LIFE ASSURANCE</v>
          </cell>
          <cell r="D364">
            <v>10121.76</v>
          </cell>
          <cell r="E364">
            <v>8000</v>
          </cell>
          <cell r="F364">
            <v>13714.285714285714</v>
          </cell>
          <cell r="G364">
            <v>0.73804500000000006</v>
          </cell>
        </row>
        <row r="365">
          <cell r="A365" t="str">
            <v>105-30-040</v>
          </cell>
          <cell r="B365">
            <v>80</v>
          </cell>
          <cell r="C365" t="str">
            <v>STAFF MEDICAL</v>
          </cell>
          <cell r="D365">
            <v>0</v>
          </cell>
          <cell r="E365">
            <v>0</v>
          </cell>
          <cell r="F365">
            <v>0</v>
          </cell>
          <cell r="G365">
            <v>0</v>
          </cell>
        </row>
        <row r="366">
          <cell r="A366" t="str">
            <v>105-30-050</v>
          </cell>
          <cell r="B366">
            <v>80</v>
          </cell>
          <cell r="C366" t="str">
            <v>CASH IN LIEU OF LEAVE</v>
          </cell>
          <cell r="D366">
            <v>9542.4</v>
          </cell>
          <cell r="E366">
            <v>2000</v>
          </cell>
          <cell r="F366">
            <v>3428.5714285714284</v>
          </cell>
          <cell r="G366">
            <v>2.7832000000000003</v>
          </cell>
        </row>
        <row r="367">
          <cell r="A367" t="str">
            <v>105-30-060</v>
          </cell>
          <cell r="B367">
            <v>80</v>
          </cell>
          <cell r="C367" t="str">
            <v>GRATUITY</v>
          </cell>
          <cell r="E367">
            <v>0</v>
          </cell>
          <cell r="F367">
            <v>0</v>
          </cell>
          <cell r="G367">
            <v>0</v>
          </cell>
        </row>
        <row r="368">
          <cell r="A368" t="str">
            <v>105-30-070</v>
          </cell>
          <cell r="B368">
            <v>80</v>
          </cell>
          <cell r="C368" t="str">
            <v>LONG SERVICE AWARDS</v>
          </cell>
          <cell r="D368">
            <v>0</v>
          </cell>
          <cell r="E368">
            <v>0</v>
          </cell>
          <cell r="F368">
            <v>0</v>
          </cell>
          <cell r="G368">
            <v>0</v>
          </cell>
        </row>
        <row r="369">
          <cell r="A369" t="str">
            <v>105-30-080</v>
          </cell>
          <cell r="B369">
            <v>80</v>
          </cell>
          <cell r="C369" t="str">
            <v>STAFF RECRUITMENT &amp; REMOVALS</v>
          </cell>
          <cell r="D369">
            <v>0</v>
          </cell>
          <cell r="E369">
            <v>0</v>
          </cell>
          <cell r="F369">
            <v>0</v>
          </cell>
          <cell r="G369">
            <v>0</v>
          </cell>
        </row>
        <row r="370">
          <cell r="A370" t="str">
            <v>115-10-010</v>
          </cell>
          <cell r="B370">
            <v>80</v>
          </cell>
          <cell r="D370">
            <v>0</v>
          </cell>
          <cell r="E370">
            <v>0</v>
          </cell>
          <cell r="F370">
            <v>0</v>
          </cell>
          <cell r="G370">
            <v>0</v>
          </cell>
        </row>
        <row r="371">
          <cell r="A371" t="str">
            <v>115-10-010</v>
          </cell>
          <cell r="B371">
            <v>80</v>
          </cell>
          <cell r="D371">
            <v>0</v>
          </cell>
          <cell r="F371">
            <v>0</v>
          </cell>
          <cell r="G371">
            <v>0</v>
          </cell>
        </row>
        <row r="372">
          <cell r="A372" t="str">
            <v>115-10-020</v>
          </cell>
          <cell r="B372">
            <v>80</v>
          </cell>
          <cell r="D372">
            <v>0</v>
          </cell>
          <cell r="E372">
            <v>0</v>
          </cell>
          <cell r="F372">
            <v>0</v>
          </cell>
          <cell r="G372">
            <v>0</v>
          </cell>
        </row>
        <row r="373">
          <cell r="A373" t="str">
            <v>115-10-020</v>
          </cell>
          <cell r="B373">
            <v>80</v>
          </cell>
          <cell r="D373">
            <v>0</v>
          </cell>
          <cell r="G373">
            <v>0</v>
          </cell>
        </row>
        <row r="374">
          <cell r="A374" t="str">
            <v>115-10-030</v>
          </cell>
          <cell r="B374">
            <v>80</v>
          </cell>
          <cell r="D374">
            <v>0</v>
          </cell>
          <cell r="E374">
            <v>0</v>
          </cell>
          <cell r="F374">
            <v>0</v>
          </cell>
          <cell r="G374">
            <v>0</v>
          </cell>
        </row>
        <row r="375">
          <cell r="A375" t="str">
            <v>115-10-030</v>
          </cell>
          <cell r="B375">
            <v>80</v>
          </cell>
          <cell r="D375">
            <v>0</v>
          </cell>
          <cell r="F375">
            <v>0</v>
          </cell>
          <cell r="G375">
            <v>0</v>
          </cell>
        </row>
        <row r="376">
          <cell r="A376" t="str">
            <v>115-10-040</v>
          </cell>
          <cell r="B376">
            <v>80</v>
          </cell>
          <cell r="D376">
            <v>405600</v>
          </cell>
          <cell r="E376">
            <v>181000</v>
          </cell>
          <cell r="F376">
            <v>310285.71428571432</v>
          </cell>
          <cell r="G376">
            <v>1.3071823204419888</v>
          </cell>
        </row>
        <row r="377">
          <cell r="A377" t="str">
            <v>115-10-040</v>
          </cell>
          <cell r="B377">
            <v>80</v>
          </cell>
          <cell r="D377">
            <v>0</v>
          </cell>
          <cell r="F377">
            <v>0</v>
          </cell>
          <cell r="G377">
            <v>0</v>
          </cell>
        </row>
        <row r="378">
          <cell r="A378" t="str">
            <v>115-10-050</v>
          </cell>
          <cell r="B378">
            <v>80</v>
          </cell>
          <cell r="C378" t="str">
            <v>OFFICE CATERING &amp; STAFF WELFARE</v>
          </cell>
          <cell r="D378">
            <v>105500</v>
          </cell>
          <cell r="E378">
            <v>63500</v>
          </cell>
          <cell r="F378">
            <v>108857.14285714284</v>
          </cell>
          <cell r="G378">
            <v>0.96916010498687677</v>
          </cell>
        </row>
        <row r="379">
          <cell r="A379" t="str">
            <v>115-10-051</v>
          </cell>
          <cell r="B379">
            <v>80</v>
          </cell>
          <cell r="C379" t="str">
            <v>OFFICE CLEANING</v>
          </cell>
          <cell r="D379">
            <v>42000</v>
          </cell>
          <cell r="E379">
            <v>0</v>
          </cell>
          <cell r="F379">
            <v>0</v>
          </cell>
          <cell r="G379">
            <v>0</v>
          </cell>
        </row>
        <row r="380">
          <cell r="A380" t="str">
            <v>115-10-060</v>
          </cell>
          <cell r="B380">
            <v>80</v>
          </cell>
          <cell r="C380" t="str">
            <v>OFFICE WATER</v>
          </cell>
          <cell r="D380">
            <v>0</v>
          </cell>
          <cell r="E380">
            <v>0</v>
          </cell>
          <cell r="F380">
            <v>0</v>
          </cell>
          <cell r="G380">
            <v>0</v>
          </cell>
        </row>
        <row r="381">
          <cell r="A381" t="str">
            <v>115-10-070</v>
          </cell>
          <cell r="B381">
            <v>80</v>
          </cell>
          <cell r="C381" t="str">
            <v>OFFICE ELECTRICITY</v>
          </cell>
          <cell r="D381">
            <v>0</v>
          </cell>
          <cell r="E381">
            <v>3000</v>
          </cell>
          <cell r="F381">
            <v>5142.8571428571431</v>
          </cell>
          <cell r="G381">
            <v>0</v>
          </cell>
        </row>
        <row r="382">
          <cell r="A382" t="str">
            <v>115-10-080</v>
          </cell>
          <cell r="B382">
            <v>80</v>
          </cell>
          <cell r="C382" t="str">
            <v>OFFICE SECURITY</v>
          </cell>
          <cell r="D382">
            <v>14400</v>
          </cell>
          <cell r="E382">
            <v>0</v>
          </cell>
          <cell r="F382">
            <v>0</v>
          </cell>
          <cell r="G382">
            <v>0</v>
          </cell>
        </row>
        <row r="383">
          <cell r="A383" t="str">
            <v>125-10-010</v>
          </cell>
          <cell r="B383">
            <v>80</v>
          </cell>
          <cell r="C383" t="str">
            <v>BANK CHARGES</v>
          </cell>
          <cell r="D383">
            <v>3000</v>
          </cell>
          <cell r="E383">
            <v>3000</v>
          </cell>
          <cell r="F383">
            <v>5142.8571428571431</v>
          </cell>
          <cell r="G383">
            <v>0.58333333333333326</v>
          </cell>
        </row>
        <row r="384">
          <cell r="A384" t="str">
            <v>125-10-020</v>
          </cell>
          <cell r="B384">
            <v>80</v>
          </cell>
          <cell r="C384" t="str">
            <v>BANK OVERDRART CHARGES</v>
          </cell>
          <cell r="E384">
            <v>0</v>
          </cell>
          <cell r="F384">
            <v>0</v>
          </cell>
          <cell r="G384">
            <v>0</v>
          </cell>
        </row>
        <row r="385">
          <cell r="A385" t="str">
            <v>135-60-030</v>
          </cell>
          <cell r="B385">
            <v>80</v>
          </cell>
          <cell r="C385" t="str">
            <v>SALES PROMOTIONS &amp; COMPETITION</v>
          </cell>
          <cell r="D385">
            <v>0</v>
          </cell>
          <cell r="E385">
            <v>0</v>
          </cell>
          <cell r="F385">
            <v>0</v>
          </cell>
          <cell r="G385">
            <v>0</v>
          </cell>
        </row>
        <row r="386">
          <cell r="A386" t="str">
            <v>135-70-010</v>
          </cell>
          <cell r="B386">
            <v>80</v>
          </cell>
          <cell r="C386" t="str">
            <v>AGENCY PENSION</v>
          </cell>
          <cell r="D386">
            <v>0</v>
          </cell>
          <cell r="E386">
            <v>0</v>
          </cell>
          <cell r="F386">
            <v>0</v>
          </cell>
          <cell r="G386">
            <v>0</v>
          </cell>
        </row>
        <row r="387">
          <cell r="A387" t="str">
            <v>135-70-020</v>
          </cell>
          <cell r="B387">
            <v>80</v>
          </cell>
          <cell r="C387" t="str">
            <v>AGENCY GLA</v>
          </cell>
          <cell r="D387">
            <v>0</v>
          </cell>
          <cell r="E387">
            <v>0</v>
          </cell>
          <cell r="F387">
            <v>0</v>
          </cell>
          <cell r="G387">
            <v>0</v>
          </cell>
        </row>
        <row r="388">
          <cell r="A388" t="str">
            <v>135-70-030</v>
          </cell>
          <cell r="B388">
            <v>80</v>
          </cell>
          <cell r="C388" t="str">
            <v>AGENCY MEDICAL</v>
          </cell>
          <cell r="D388">
            <v>0</v>
          </cell>
          <cell r="E388">
            <v>0</v>
          </cell>
          <cell r="F388">
            <v>0</v>
          </cell>
          <cell r="G388">
            <v>0</v>
          </cell>
        </row>
        <row r="389">
          <cell r="A389" t="str">
            <v>135-70-040</v>
          </cell>
          <cell r="B389">
            <v>80</v>
          </cell>
          <cell r="C389" t="str">
            <v>AGENCY LAST EXPENSE</v>
          </cell>
          <cell r="D389">
            <v>0</v>
          </cell>
          <cell r="E389">
            <v>0</v>
          </cell>
          <cell r="F389">
            <v>0</v>
          </cell>
          <cell r="G389">
            <v>0</v>
          </cell>
        </row>
        <row r="390">
          <cell r="A390" t="str">
            <v>145-10-030</v>
          </cell>
          <cell r="B390">
            <v>80</v>
          </cell>
          <cell r="C390" t="str">
            <v>Audit fee -individual life</v>
          </cell>
          <cell r="D390">
            <v>0</v>
          </cell>
          <cell r="E390">
            <v>0</v>
          </cell>
          <cell r="F390">
            <v>0</v>
          </cell>
          <cell r="G390">
            <v>0</v>
          </cell>
        </row>
        <row r="391">
          <cell r="A391" t="str">
            <v>145-10-031</v>
          </cell>
          <cell r="B391">
            <v>80</v>
          </cell>
          <cell r="C391" t="str">
            <v>Tax filing returns</v>
          </cell>
          <cell r="D391">
            <v>0</v>
          </cell>
          <cell r="E391">
            <v>0</v>
          </cell>
          <cell r="F391">
            <v>0</v>
          </cell>
          <cell r="G391">
            <v>0</v>
          </cell>
        </row>
        <row r="392">
          <cell r="A392" t="str">
            <v>145-10-060</v>
          </cell>
          <cell r="B392">
            <v>80</v>
          </cell>
          <cell r="C392" t="str">
            <v>Intra company charges- individual life</v>
          </cell>
          <cell r="G392">
            <v>0</v>
          </cell>
        </row>
        <row r="393">
          <cell r="A393" t="str">
            <v>145-10-060</v>
          </cell>
          <cell r="B393">
            <v>80</v>
          </cell>
          <cell r="E393">
            <v>0</v>
          </cell>
          <cell r="G393">
            <v>0</v>
          </cell>
        </row>
        <row r="394">
          <cell r="A394" t="str">
            <v>145-10-080</v>
          </cell>
          <cell r="B394">
            <v>80</v>
          </cell>
          <cell r="C394" t="str">
            <v>40% Excutive recharge</v>
          </cell>
          <cell r="F394">
            <v>0</v>
          </cell>
          <cell r="G394">
            <v>0</v>
          </cell>
        </row>
        <row r="395">
          <cell r="A395" t="str">
            <v>145-10-080</v>
          </cell>
          <cell r="B395">
            <v>80</v>
          </cell>
          <cell r="C395" t="str">
            <v xml:space="preserve">Recharges: 10% recharge to Corporate </v>
          </cell>
          <cell r="E395">
            <v>0</v>
          </cell>
          <cell r="G395">
            <v>0</v>
          </cell>
        </row>
        <row r="396">
          <cell r="A396" t="str">
            <v>145-10-100</v>
          </cell>
          <cell r="B396">
            <v>80</v>
          </cell>
          <cell r="E396">
            <v>0</v>
          </cell>
          <cell r="G396">
            <v>0</v>
          </cell>
        </row>
        <row r="397">
          <cell r="A397" t="str">
            <v>155-10-007</v>
          </cell>
          <cell r="B397">
            <v>80</v>
          </cell>
          <cell r="C397" t="str">
            <v>NEWSPAPERS &amp; JOURNALS</v>
          </cell>
          <cell r="D397">
            <v>10560</v>
          </cell>
          <cell r="E397">
            <v>6000</v>
          </cell>
          <cell r="F397">
            <v>10285.714285714286</v>
          </cell>
          <cell r="G397">
            <v>1.0266666666666666</v>
          </cell>
        </row>
        <row r="398">
          <cell r="A398" t="str">
            <v>155-10-008</v>
          </cell>
          <cell r="B398">
            <v>80</v>
          </cell>
          <cell r="C398" t="str">
            <v>ENTERTAINMENT &amp; DONATIONS</v>
          </cell>
          <cell r="D398">
            <v>16800</v>
          </cell>
          <cell r="E398">
            <v>6000</v>
          </cell>
          <cell r="F398">
            <v>10285.714285714286</v>
          </cell>
          <cell r="G398">
            <v>1.6333333333333333</v>
          </cell>
          <cell r="H398" t="str">
            <v>New satelite unit</v>
          </cell>
        </row>
        <row r="399">
          <cell r="A399" t="str">
            <v>155-10-009</v>
          </cell>
          <cell r="B399">
            <v>80</v>
          </cell>
          <cell r="C399" t="str">
            <v>COURIER &amp; FREIGHT CHARGES</v>
          </cell>
          <cell r="D399">
            <v>38320</v>
          </cell>
          <cell r="E399">
            <v>34000</v>
          </cell>
          <cell r="F399">
            <v>58285.714285714283</v>
          </cell>
          <cell r="G399">
            <v>0.65745098039215688</v>
          </cell>
        </row>
        <row r="400">
          <cell r="A400" t="str">
            <v>155-10-010</v>
          </cell>
          <cell r="B400">
            <v>80</v>
          </cell>
          <cell r="C400" t="str">
            <v>ADVERTISING &amp; PUBLICITY</v>
          </cell>
          <cell r="D400">
            <v>0</v>
          </cell>
          <cell r="E400">
            <v>0</v>
          </cell>
          <cell r="F400">
            <v>0</v>
          </cell>
          <cell r="G400">
            <v>0</v>
          </cell>
        </row>
        <row r="401">
          <cell r="A401" t="str">
            <v>155-10-012</v>
          </cell>
          <cell r="B401">
            <v>80</v>
          </cell>
          <cell r="C401" t="str">
            <v>TRADE LICENCES</v>
          </cell>
          <cell r="D401">
            <v>60000</v>
          </cell>
          <cell r="E401">
            <v>38000</v>
          </cell>
          <cell r="F401">
            <v>38000</v>
          </cell>
          <cell r="G401">
            <v>1.5789473684210527</v>
          </cell>
        </row>
        <row r="402">
          <cell r="A402" t="str">
            <v>155-10-013</v>
          </cell>
          <cell r="B402">
            <v>80</v>
          </cell>
          <cell r="C402" t="str">
            <v>INSURANCES</v>
          </cell>
          <cell r="D402">
            <v>0</v>
          </cell>
          <cell r="E402">
            <v>0</v>
          </cell>
          <cell r="F402">
            <v>0</v>
          </cell>
          <cell r="G402">
            <v>0</v>
          </cell>
        </row>
        <row r="403">
          <cell r="A403" t="str">
            <v>155-10-014</v>
          </cell>
          <cell r="B403">
            <v>80</v>
          </cell>
          <cell r="C403" t="str">
            <v>PHOTOCOPY</v>
          </cell>
          <cell r="D403">
            <v>0</v>
          </cell>
          <cell r="E403">
            <v>0</v>
          </cell>
          <cell r="F403">
            <v>0</v>
          </cell>
          <cell r="G403">
            <v>0</v>
          </cell>
        </row>
        <row r="404">
          <cell r="A404" t="str">
            <v>155-10-015</v>
          </cell>
          <cell r="B404">
            <v>80</v>
          </cell>
          <cell r="C404" t="str">
            <v>COMPUTER MAINTAINANCE</v>
          </cell>
          <cell r="D404">
            <v>10000</v>
          </cell>
          <cell r="E404">
            <v>0</v>
          </cell>
          <cell r="F404">
            <v>0</v>
          </cell>
          <cell r="G404">
            <v>0</v>
          </cell>
        </row>
        <row r="405">
          <cell r="A405" t="str">
            <v>155-10-016</v>
          </cell>
          <cell r="B405">
            <v>80</v>
          </cell>
          <cell r="C405" t="str">
            <v>EQUIPMENT&amp; FURNITURE REPAIRS &amp; MAINTENANCE</v>
          </cell>
          <cell r="D405">
            <v>6000</v>
          </cell>
          <cell r="E405">
            <v>5000</v>
          </cell>
          <cell r="F405">
            <v>8571.4285714285725</v>
          </cell>
          <cell r="G405">
            <v>0.7</v>
          </cell>
        </row>
        <row r="406">
          <cell r="A406" t="str">
            <v>155-10-017</v>
          </cell>
          <cell r="B406">
            <v>80</v>
          </cell>
          <cell r="C406" t="str">
            <v>SEMINARS &amp; SHORT TERM COURSES</v>
          </cell>
          <cell r="D406">
            <v>15000</v>
          </cell>
          <cell r="E406">
            <v>6000</v>
          </cell>
          <cell r="F406">
            <v>10285.714285714286</v>
          </cell>
          <cell r="G406">
            <v>1.4583333333333333</v>
          </cell>
        </row>
        <row r="407">
          <cell r="A407" t="str">
            <v>155-10-022</v>
          </cell>
          <cell r="B407">
            <v>80</v>
          </cell>
          <cell r="C407" t="str">
            <v>PRINTING &amp; STATIONERY</v>
          </cell>
          <cell r="D407">
            <v>174878.7</v>
          </cell>
          <cell r="E407">
            <v>88000</v>
          </cell>
          <cell r="F407">
            <v>150857.14285714284</v>
          </cell>
          <cell r="G407">
            <v>1.159233806818182</v>
          </cell>
        </row>
        <row r="408">
          <cell r="A408" t="str">
            <v>155-10-025</v>
          </cell>
          <cell r="B408">
            <v>80</v>
          </cell>
          <cell r="C408" t="str">
            <v>STRATEGIC PLANNING</v>
          </cell>
          <cell r="D408">
            <v>0</v>
          </cell>
          <cell r="E408">
            <v>0</v>
          </cell>
          <cell r="F408">
            <v>0</v>
          </cell>
          <cell r="G408">
            <v>0</v>
          </cell>
        </row>
        <row r="409">
          <cell r="A409" t="str">
            <v>155-10-027</v>
          </cell>
          <cell r="B409">
            <v>80</v>
          </cell>
          <cell r="C409" t="str">
            <v>PROFESSIONAL SUBSCRIPTIONS</v>
          </cell>
          <cell r="D409">
            <v>0</v>
          </cell>
          <cell r="E409">
            <v>0</v>
          </cell>
          <cell r="F409">
            <v>0</v>
          </cell>
          <cell r="G409">
            <v>0</v>
          </cell>
        </row>
        <row r="410">
          <cell r="A410" t="str">
            <v>155-10-028</v>
          </cell>
          <cell r="B410">
            <v>80</v>
          </cell>
          <cell r="C410" t="str">
            <v xml:space="preserve"> SUBSCRIPTIONS -COMPANY MEMBERSHIP</v>
          </cell>
          <cell r="D410">
            <v>0</v>
          </cell>
          <cell r="E410">
            <v>0</v>
          </cell>
          <cell r="F410">
            <v>0</v>
          </cell>
          <cell r="G410">
            <v>0</v>
          </cell>
        </row>
        <row r="411">
          <cell r="A411" t="str">
            <v>155-10-030</v>
          </cell>
          <cell r="B411">
            <v>80</v>
          </cell>
          <cell r="C411" t="str">
            <v>TRAVELLING &amp; ACCOMMODATION</v>
          </cell>
          <cell r="D411">
            <v>74115</v>
          </cell>
          <cell r="E411">
            <v>24833.333333333332</v>
          </cell>
          <cell r="F411">
            <v>42571.428571428565</v>
          </cell>
          <cell r="G411">
            <v>1.7409563758389264</v>
          </cell>
        </row>
        <row r="412">
          <cell r="A412" t="str">
            <v>155-10-032</v>
          </cell>
          <cell r="B412">
            <v>80</v>
          </cell>
          <cell r="C412" t="str">
            <v xml:space="preserve">MOTOR CAR EXPENSES </v>
          </cell>
          <cell r="D412">
            <v>0</v>
          </cell>
          <cell r="E412">
            <v>0</v>
          </cell>
          <cell r="F412">
            <v>0</v>
          </cell>
          <cell r="G412">
            <v>0</v>
          </cell>
        </row>
        <row r="413">
          <cell r="A413" t="str">
            <v>155-10-040</v>
          </cell>
          <cell r="B413">
            <v>80</v>
          </cell>
          <cell r="C413" t="str">
            <v>POSTAGE</v>
          </cell>
          <cell r="D413">
            <v>3600</v>
          </cell>
          <cell r="E413">
            <v>7000</v>
          </cell>
          <cell r="F413">
            <v>12000</v>
          </cell>
          <cell r="G413">
            <v>0.3</v>
          </cell>
        </row>
        <row r="414">
          <cell r="A414" t="str">
            <v>155-10-041</v>
          </cell>
          <cell r="B414">
            <v>80</v>
          </cell>
          <cell r="C414" t="str">
            <v>TELEPHONE &amp; FAX</v>
          </cell>
          <cell r="D414">
            <v>102000</v>
          </cell>
          <cell r="E414">
            <v>84000</v>
          </cell>
          <cell r="F414">
            <v>144000</v>
          </cell>
          <cell r="G414">
            <v>0.70833333333333337</v>
          </cell>
        </row>
        <row r="415">
          <cell r="A415" t="str">
            <v>155-10-044</v>
          </cell>
          <cell r="B415">
            <v>80</v>
          </cell>
          <cell r="C415" t="str">
            <v>PROFFESSIONAL TRAINING</v>
          </cell>
          <cell r="D415">
            <v>12750</v>
          </cell>
          <cell r="E415">
            <v>8000</v>
          </cell>
          <cell r="F415">
            <v>13714.285714285714</v>
          </cell>
          <cell r="G415">
            <v>0.9296875</v>
          </cell>
        </row>
        <row r="416">
          <cell r="A416" t="str">
            <v>155-10-046</v>
          </cell>
          <cell r="B416">
            <v>80</v>
          </cell>
          <cell r="C416" t="str">
            <v xml:space="preserve">SUBSCRIPTION- STAFF CLUB MEMBERSHIP </v>
          </cell>
          <cell r="D416">
            <v>5000</v>
          </cell>
          <cell r="E416">
            <v>0</v>
          </cell>
          <cell r="F416">
            <v>0</v>
          </cell>
          <cell r="G416">
            <v>0</v>
          </cell>
        </row>
        <row r="417">
          <cell r="A417" t="str">
            <v>155-10-054</v>
          </cell>
          <cell r="B417">
            <v>80</v>
          </cell>
          <cell r="C417" t="str">
            <v>LEASED LINES-INTERNET SERVICES</v>
          </cell>
          <cell r="D417">
            <v>0</v>
          </cell>
          <cell r="F417">
            <v>0</v>
          </cell>
          <cell r="G417">
            <v>0</v>
          </cell>
        </row>
        <row r="418">
          <cell r="A418" t="str">
            <v>155-10-057</v>
          </cell>
          <cell r="B418">
            <v>80</v>
          </cell>
          <cell r="C418" t="str">
            <v>SOFTWARE LICENCES</v>
          </cell>
          <cell r="D418">
            <v>0</v>
          </cell>
          <cell r="E418">
            <v>0</v>
          </cell>
          <cell r="F418">
            <v>0</v>
          </cell>
          <cell r="G418">
            <v>0</v>
          </cell>
        </row>
        <row r="419">
          <cell r="A419" t="str">
            <v>155-10-059</v>
          </cell>
          <cell r="B419">
            <v>80</v>
          </cell>
          <cell r="E419">
            <v>0</v>
          </cell>
          <cell r="G419">
            <v>0</v>
          </cell>
        </row>
        <row r="420">
          <cell r="A420" t="str">
            <v>155-10-060</v>
          </cell>
          <cell r="B420">
            <v>80</v>
          </cell>
          <cell r="E420">
            <v>0</v>
          </cell>
          <cell r="G420">
            <v>0</v>
          </cell>
        </row>
        <row r="421">
          <cell r="A421" t="str">
            <v>155-10-062</v>
          </cell>
          <cell r="B421">
            <v>80</v>
          </cell>
          <cell r="C421" t="str">
            <v>EDUCATION EXPENSES</v>
          </cell>
          <cell r="D421">
            <v>0</v>
          </cell>
          <cell r="E421">
            <v>0</v>
          </cell>
          <cell r="F421">
            <v>0</v>
          </cell>
          <cell r="G421">
            <v>0</v>
          </cell>
          <cell r="H421">
            <v>0</v>
          </cell>
        </row>
        <row r="422">
          <cell r="A422" t="str">
            <v>160-10-010</v>
          </cell>
          <cell r="B422">
            <v>80</v>
          </cell>
          <cell r="E422">
            <v>0</v>
          </cell>
          <cell r="G422">
            <v>0</v>
          </cell>
        </row>
        <row r="423">
          <cell r="A423" t="str">
            <v>105-10-010</v>
          </cell>
          <cell r="B423">
            <v>90</v>
          </cell>
          <cell r="C423" t="str">
            <v>BASIC SALARY</v>
          </cell>
          <cell r="D423">
            <v>293584</v>
          </cell>
          <cell r="E423">
            <v>73000</v>
          </cell>
          <cell r="F423">
            <v>178500</v>
          </cell>
          <cell r="G423">
            <v>1.6447282913165269</v>
          </cell>
          <cell r="H423" t="str">
            <v>She joined in May so the totals are not reflective of 12 months assumptions.</v>
          </cell>
        </row>
        <row r="424">
          <cell r="A424" t="str">
            <v>105-10-012</v>
          </cell>
          <cell r="B424">
            <v>90</v>
          </cell>
          <cell r="C424" t="str">
            <v>PROVISION FOR MORT. RATE ADJUSTMENTS</v>
          </cell>
          <cell r="D424">
            <v>0</v>
          </cell>
          <cell r="E424">
            <v>0</v>
          </cell>
          <cell r="F424">
            <v>0</v>
          </cell>
          <cell r="G424">
            <v>0</v>
          </cell>
        </row>
        <row r="425">
          <cell r="A425" t="str">
            <v>105-10-020</v>
          </cell>
          <cell r="B425">
            <v>90</v>
          </cell>
          <cell r="C425" t="str">
            <v>HOUSE ALLOWANCE</v>
          </cell>
          <cell r="D425">
            <v>46800</v>
          </cell>
          <cell r="E425">
            <v>12000</v>
          </cell>
          <cell r="F425">
            <v>31500</v>
          </cell>
          <cell r="G425">
            <v>1.4857142857142858</v>
          </cell>
          <cell r="H425" t="str">
            <v>She joined in May so the totals are not reflective of 12 months assumptions.</v>
          </cell>
        </row>
        <row r="426">
          <cell r="A426" t="str">
            <v>105-10-030</v>
          </cell>
          <cell r="B426">
            <v>90</v>
          </cell>
          <cell r="C426" t="str">
            <v>TELEPHONE ALLOWANCE</v>
          </cell>
          <cell r="D426">
            <v>0</v>
          </cell>
          <cell r="E426">
            <v>0</v>
          </cell>
          <cell r="F426">
            <v>0</v>
          </cell>
          <cell r="G426">
            <v>0</v>
          </cell>
        </row>
        <row r="427">
          <cell r="A427" t="str">
            <v>105-10-040</v>
          </cell>
          <cell r="B427">
            <v>90</v>
          </cell>
          <cell r="C427" t="str">
            <v>SECURITY ALLOWANCE</v>
          </cell>
          <cell r="D427">
            <v>0</v>
          </cell>
          <cell r="E427">
            <v>0</v>
          </cell>
          <cell r="F427">
            <v>0</v>
          </cell>
          <cell r="G427">
            <v>0</v>
          </cell>
        </row>
        <row r="428">
          <cell r="A428" t="str">
            <v>105-10-050</v>
          </cell>
          <cell r="B428">
            <v>90</v>
          </cell>
          <cell r="C428" t="str">
            <v>EDUCATION ALLOWANCE</v>
          </cell>
          <cell r="D428">
            <v>0</v>
          </cell>
          <cell r="E428">
            <v>0</v>
          </cell>
          <cell r="F428">
            <v>0</v>
          </cell>
          <cell r="G428">
            <v>0</v>
          </cell>
        </row>
        <row r="429">
          <cell r="A429" t="str">
            <v>105-10-060</v>
          </cell>
          <cell r="B429">
            <v>90</v>
          </cell>
          <cell r="C429" t="str">
            <v>TRAVEL ALLOWANCE</v>
          </cell>
          <cell r="D429">
            <v>0</v>
          </cell>
          <cell r="E429">
            <v>0</v>
          </cell>
          <cell r="F429">
            <v>0</v>
          </cell>
          <cell r="G429">
            <v>0</v>
          </cell>
        </row>
        <row r="430">
          <cell r="A430" t="str">
            <v>105-20-010</v>
          </cell>
          <cell r="B430">
            <v>90</v>
          </cell>
          <cell r="C430" t="str">
            <v>NSSF</v>
          </cell>
          <cell r="D430">
            <v>2400</v>
          </cell>
          <cell r="E430">
            <v>1000</v>
          </cell>
          <cell r="F430">
            <v>2000</v>
          </cell>
          <cell r="G430">
            <v>1.2</v>
          </cell>
          <cell r="H430" t="str">
            <v>She joined in May so the totals are not reflective of 12 months assumptions.</v>
          </cell>
        </row>
        <row r="431">
          <cell r="A431" t="str">
            <v>105-20-020</v>
          </cell>
          <cell r="B431">
            <v>90</v>
          </cell>
          <cell r="C431" t="str">
            <v>NHIF</v>
          </cell>
          <cell r="D431">
            <v>2880</v>
          </cell>
          <cell r="E431">
            <v>0</v>
          </cell>
          <cell r="F431">
            <v>1200</v>
          </cell>
          <cell r="G431">
            <v>2.4</v>
          </cell>
          <cell r="H431" t="str">
            <v>She joined in May so the totals are not reflective of 12 months assumptions.</v>
          </cell>
        </row>
        <row r="432">
          <cell r="A432" t="str">
            <v>105-30-010</v>
          </cell>
          <cell r="B432">
            <v>90</v>
          </cell>
          <cell r="C432" t="str">
            <v xml:space="preserve">PENSION </v>
          </cell>
          <cell r="D432">
            <v>35448</v>
          </cell>
          <cell r="E432">
            <v>5000</v>
          </cell>
          <cell r="F432">
            <v>19770</v>
          </cell>
          <cell r="G432">
            <v>1.7930197268588774</v>
          </cell>
          <cell r="H432" t="str">
            <v>She joined in May so the totals are not reflective of 12 months assumptions.</v>
          </cell>
        </row>
        <row r="433">
          <cell r="A433" t="str">
            <v>105-30-020</v>
          </cell>
          <cell r="B433">
            <v>90</v>
          </cell>
          <cell r="C433" t="str">
            <v>LAST EXPENSE</v>
          </cell>
          <cell r="D433">
            <v>0</v>
          </cell>
          <cell r="E433">
            <v>0</v>
          </cell>
          <cell r="F433">
            <v>0</v>
          </cell>
          <cell r="G433">
            <v>0</v>
          </cell>
        </row>
        <row r="434">
          <cell r="A434" t="str">
            <v>105-30-030</v>
          </cell>
          <cell r="B434">
            <v>90</v>
          </cell>
          <cell r="C434" t="str">
            <v>GROUP LIFE ASSURANCE</v>
          </cell>
          <cell r="D434">
            <v>0</v>
          </cell>
          <cell r="E434">
            <v>0</v>
          </cell>
          <cell r="F434">
            <v>0</v>
          </cell>
          <cell r="G434">
            <v>0</v>
          </cell>
        </row>
        <row r="435">
          <cell r="A435" t="str">
            <v>105-30-040</v>
          </cell>
          <cell r="B435">
            <v>90</v>
          </cell>
          <cell r="C435" t="str">
            <v>STAFF MEDICAL</v>
          </cell>
          <cell r="D435">
            <v>0</v>
          </cell>
          <cell r="E435">
            <v>0</v>
          </cell>
          <cell r="F435">
            <v>0</v>
          </cell>
          <cell r="G435">
            <v>0</v>
          </cell>
        </row>
        <row r="436">
          <cell r="A436" t="str">
            <v>105-30-050</v>
          </cell>
          <cell r="B436">
            <v>90</v>
          </cell>
          <cell r="C436" t="str">
            <v>CASH IN LIEU OF LEAVE</v>
          </cell>
          <cell r="D436">
            <v>7089.6</v>
          </cell>
          <cell r="E436">
            <v>3000</v>
          </cell>
          <cell r="F436">
            <v>5142.8571428571431</v>
          </cell>
          <cell r="G436">
            <v>1.3785333333333334</v>
          </cell>
          <cell r="H436" t="str">
            <v>She joined in May so the totals are not reflective of 12 months assumptions.</v>
          </cell>
        </row>
        <row r="437">
          <cell r="A437" t="str">
            <v>105-30-060</v>
          </cell>
          <cell r="B437">
            <v>90</v>
          </cell>
          <cell r="C437" t="str">
            <v>GRATUITY</v>
          </cell>
          <cell r="E437">
            <v>0</v>
          </cell>
          <cell r="F437">
            <v>0</v>
          </cell>
          <cell r="G437">
            <v>0</v>
          </cell>
        </row>
        <row r="438">
          <cell r="A438" t="str">
            <v>105-30-070</v>
          </cell>
          <cell r="B438">
            <v>90</v>
          </cell>
          <cell r="C438" t="str">
            <v>LONG SERVICE AWARDS</v>
          </cell>
          <cell r="D438">
            <v>0</v>
          </cell>
          <cell r="E438">
            <v>0</v>
          </cell>
          <cell r="F438">
            <v>0</v>
          </cell>
          <cell r="G438">
            <v>0</v>
          </cell>
        </row>
        <row r="439">
          <cell r="A439" t="str">
            <v>105-30-080</v>
          </cell>
          <cell r="B439">
            <v>90</v>
          </cell>
          <cell r="C439" t="str">
            <v>STAFF RECRUITMENT &amp; REMOVALS</v>
          </cell>
          <cell r="D439">
            <v>0</v>
          </cell>
          <cell r="E439">
            <v>0</v>
          </cell>
          <cell r="F439">
            <v>0</v>
          </cell>
          <cell r="G439">
            <v>0</v>
          </cell>
        </row>
        <row r="440">
          <cell r="A440" t="str">
            <v>115-10-010</v>
          </cell>
          <cell r="B440">
            <v>90</v>
          </cell>
          <cell r="D440">
            <v>0</v>
          </cell>
          <cell r="E440">
            <v>0</v>
          </cell>
          <cell r="F440">
            <v>0</v>
          </cell>
          <cell r="G440">
            <v>0</v>
          </cell>
        </row>
        <row r="441">
          <cell r="A441" t="str">
            <v>115-10-010</v>
          </cell>
          <cell r="B441">
            <v>90</v>
          </cell>
          <cell r="D441">
            <v>0</v>
          </cell>
          <cell r="F441">
            <v>0</v>
          </cell>
          <cell r="G441">
            <v>0</v>
          </cell>
        </row>
        <row r="442">
          <cell r="A442" t="str">
            <v>115-10-020</v>
          </cell>
          <cell r="B442">
            <v>90</v>
          </cell>
          <cell r="D442">
            <v>0</v>
          </cell>
          <cell r="E442">
            <v>0</v>
          </cell>
          <cell r="F442">
            <v>0</v>
          </cell>
          <cell r="G442">
            <v>0</v>
          </cell>
        </row>
        <row r="443">
          <cell r="A443" t="str">
            <v>115-10-020</v>
          </cell>
          <cell r="B443">
            <v>90</v>
          </cell>
          <cell r="D443">
            <v>0</v>
          </cell>
          <cell r="G443">
            <v>0</v>
          </cell>
        </row>
        <row r="444">
          <cell r="A444" t="str">
            <v>115-10-030</v>
          </cell>
          <cell r="B444">
            <v>90</v>
          </cell>
          <cell r="D444">
            <v>0</v>
          </cell>
          <cell r="E444">
            <v>0</v>
          </cell>
          <cell r="F444">
            <v>0</v>
          </cell>
          <cell r="G444">
            <v>0</v>
          </cell>
        </row>
        <row r="445">
          <cell r="A445" t="str">
            <v>115-10-030</v>
          </cell>
          <cell r="B445">
            <v>90</v>
          </cell>
          <cell r="D445">
            <v>0</v>
          </cell>
          <cell r="F445">
            <v>0</v>
          </cell>
          <cell r="G445">
            <v>0</v>
          </cell>
        </row>
        <row r="446">
          <cell r="A446" t="str">
            <v>115-10-040</v>
          </cell>
          <cell r="B446">
            <v>90</v>
          </cell>
          <cell r="D446">
            <v>0</v>
          </cell>
          <cell r="E446">
            <v>294784</v>
          </cell>
          <cell r="F446">
            <v>505344</v>
          </cell>
          <cell r="G446">
            <v>0</v>
          </cell>
        </row>
        <row r="447">
          <cell r="A447" t="str">
            <v>115-10-040</v>
          </cell>
          <cell r="B447">
            <v>90</v>
          </cell>
          <cell r="D447">
            <v>0</v>
          </cell>
          <cell r="F447">
            <v>0</v>
          </cell>
          <cell r="G447">
            <v>0</v>
          </cell>
        </row>
        <row r="448">
          <cell r="A448" t="str">
            <v>115-10-050</v>
          </cell>
          <cell r="B448">
            <v>90</v>
          </cell>
          <cell r="C448" t="str">
            <v>OFFICE CATERING &amp; STAFF WELFARE</v>
          </cell>
          <cell r="D448">
            <v>48000</v>
          </cell>
          <cell r="E448">
            <v>12833.333333333332</v>
          </cell>
          <cell r="F448">
            <v>22000</v>
          </cell>
          <cell r="G448">
            <v>2.1818181818181817</v>
          </cell>
        </row>
        <row r="449">
          <cell r="A449" t="str">
            <v>115-10-051</v>
          </cell>
          <cell r="B449">
            <v>90</v>
          </cell>
          <cell r="C449" t="str">
            <v>OFFICE CLEANING</v>
          </cell>
          <cell r="D449">
            <v>0</v>
          </cell>
          <cell r="E449">
            <v>0</v>
          </cell>
          <cell r="F449">
            <v>0</v>
          </cell>
          <cell r="G449">
            <v>0</v>
          </cell>
        </row>
        <row r="450">
          <cell r="A450" t="str">
            <v>115-10-060</v>
          </cell>
          <cell r="B450">
            <v>90</v>
          </cell>
          <cell r="C450" t="str">
            <v>OFFICE WATER</v>
          </cell>
          <cell r="D450">
            <v>0</v>
          </cell>
          <cell r="E450">
            <v>0</v>
          </cell>
          <cell r="F450">
            <v>0</v>
          </cell>
          <cell r="G450">
            <v>0</v>
          </cell>
        </row>
        <row r="451">
          <cell r="A451" t="str">
            <v>115-10-070</v>
          </cell>
          <cell r="B451">
            <v>90</v>
          </cell>
          <cell r="C451" t="str">
            <v>OFFICE ELECTRICITY</v>
          </cell>
          <cell r="D451">
            <v>0</v>
          </cell>
          <cell r="E451">
            <v>0</v>
          </cell>
          <cell r="F451">
            <v>0</v>
          </cell>
          <cell r="G451">
            <v>0</v>
          </cell>
        </row>
        <row r="452">
          <cell r="A452" t="str">
            <v>115-10-080</v>
          </cell>
          <cell r="B452">
            <v>90</v>
          </cell>
          <cell r="C452" t="str">
            <v>OFFICE SECURITY</v>
          </cell>
          <cell r="D452">
            <v>0</v>
          </cell>
          <cell r="E452">
            <v>0</v>
          </cell>
          <cell r="F452">
            <v>0</v>
          </cell>
          <cell r="G452">
            <v>0</v>
          </cell>
        </row>
        <row r="453">
          <cell r="A453" t="str">
            <v>125-10-010</v>
          </cell>
          <cell r="B453">
            <v>90</v>
          </cell>
          <cell r="C453" t="str">
            <v>BANK CHARGES</v>
          </cell>
          <cell r="D453">
            <v>12000</v>
          </cell>
          <cell r="E453">
            <v>0</v>
          </cell>
          <cell r="F453">
            <v>0</v>
          </cell>
          <cell r="G453">
            <v>0</v>
          </cell>
        </row>
        <row r="454">
          <cell r="A454" t="str">
            <v>125-10-020</v>
          </cell>
          <cell r="B454">
            <v>90</v>
          </cell>
          <cell r="C454" t="str">
            <v>BANK OVERDRART CHARGES</v>
          </cell>
          <cell r="E454">
            <v>0</v>
          </cell>
          <cell r="F454">
            <v>0</v>
          </cell>
          <cell r="G454">
            <v>0</v>
          </cell>
        </row>
        <row r="455">
          <cell r="A455" t="str">
            <v>135-60-030</v>
          </cell>
          <cell r="B455">
            <v>90</v>
          </cell>
          <cell r="C455" t="str">
            <v>SALES PROMOTIONS &amp; COMPETITION</v>
          </cell>
          <cell r="D455">
            <v>0</v>
          </cell>
          <cell r="E455">
            <v>0</v>
          </cell>
          <cell r="F455">
            <v>0</v>
          </cell>
          <cell r="G455">
            <v>0</v>
          </cell>
        </row>
        <row r="456">
          <cell r="A456" t="str">
            <v>135-70-010</v>
          </cell>
          <cell r="B456">
            <v>90</v>
          </cell>
          <cell r="C456" t="str">
            <v>AGENCY PENSION</v>
          </cell>
          <cell r="D456">
            <v>0</v>
          </cell>
          <cell r="E456">
            <v>0</v>
          </cell>
          <cell r="F456">
            <v>0</v>
          </cell>
          <cell r="G456">
            <v>0</v>
          </cell>
        </row>
        <row r="457">
          <cell r="A457" t="str">
            <v>135-70-020</v>
          </cell>
          <cell r="B457">
            <v>90</v>
          </cell>
          <cell r="C457" t="str">
            <v>AGENCY GLA</v>
          </cell>
          <cell r="D457">
            <v>0</v>
          </cell>
          <cell r="E457">
            <v>0</v>
          </cell>
          <cell r="F457">
            <v>0</v>
          </cell>
          <cell r="G457">
            <v>0</v>
          </cell>
        </row>
        <row r="458">
          <cell r="A458" t="str">
            <v>135-70-030</v>
          </cell>
          <cell r="B458">
            <v>90</v>
          </cell>
          <cell r="C458" t="str">
            <v>AGENCY MEDICAL</v>
          </cell>
          <cell r="D458">
            <v>0</v>
          </cell>
          <cell r="E458">
            <v>0</v>
          </cell>
          <cell r="F458">
            <v>0</v>
          </cell>
          <cell r="G458">
            <v>0</v>
          </cell>
        </row>
        <row r="459">
          <cell r="A459" t="str">
            <v>135-70-040</v>
          </cell>
          <cell r="B459">
            <v>90</v>
          </cell>
          <cell r="C459" t="str">
            <v>AGENCY LAST EXPENSE</v>
          </cell>
          <cell r="D459">
            <v>0</v>
          </cell>
          <cell r="E459">
            <v>0</v>
          </cell>
          <cell r="F459">
            <v>0</v>
          </cell>
          <cell r="G459">
            <v>0</v>
          </cell>
        </row>
        <row r="460">
          <cell r="A460" t="str">
            <v>145-10-030</v>
          </cell>
          <cell r="B460">
            <v>90</v>
          </cell>
          <cell r="C460" t="str">
            <v>Audit fee -individual life</v>
          </cell>
          <cell r="D460">
            <v>0</v>
          </cell>
          <cell r="E460">
            <v>0</v>
          </cell>
          <cell r="F460">
            <v>0</v>
          </cell>
          <cell r="G460">
            <v>0</v>
          </cell>
        </row>
        <row r="461">
          <cell r="A461" t="str">
            <v>145-10-031</v>
          </cell>
          <cell r="B461">
            <v>90</v>
          </cell>
          <cell r="C461" t="str">
            <v>Tax filing returns</v>
          </cell>
          <cell r="D461">
            <v>0</v>
          </cell>
          <cell r="E461">
            <v>0</v>
          </cell>
          <cell r="F461">
            <v>0</v>
          </cell>
          <cell r="G461">
            <v>0</v>
          </cell>
        </row>
        <row r="462">
          <cell r="A462" t="str">
            <v>145-10-060</v>
          </cell>
          <cell r="B462">
            <v>90</v>
          </cell>
          <cell r="C462" t="str">
            <v>Intra company charges- individual life</v>
          </cell>
          <cell r="G462">
            <v>0</v>
          </cell>
        </row>
        <row r="463">
          <cell r="A463" t="str">
            <v>145-10-060</v>
          </cell>
          <cell r="B463">
            <v>90</v>
          </cell>
          <cell r="E463">
            <v>0</v>
          </cell>
          <cell r="G463">
            <v>0</v>
          </cell>
        </row>
        <row r="464">
          <cell r="A464" t="str">
            <v>145-10-080</v>
          </cell>
          <cell r="B464">
            <v>90</v>
          </cell>
          <cell r="C464" t="str">
            <v>40% Excutive recharge</v>
          </cell>
          <cell r="F464">
            <v>0</v>
          </cell>
          <cell r="G464">
            <v>0</v>
          </cell>
        </row>
        <row r="465">
          <cell r="A465" t="str">
            <v>145-10-080</v>
          </cell>
          <cell r="B465">
            <v>90</v>
          </cell>
          <cell r="C465" t="str">
            <v xml:space="preserve">Recharges: 10% recharge to Corporate </v>
          </cell>
          <cell r="E465">
            <v>0</v>
          </cell>
          <cell r="G465">
            <v>0</v>
          </cell>
        </row>
        <row r="466">
          <cell r="A466" t="str">
            <v>145-10-100</v>
          </cell>
          <cell r="B466">
            <v>90</v>
          </cell>
          <cell r="E466">
            <v>0</v>
          </cell>
          <cell r="G466">
            <v>0</v>
          </cell>
        </row>
        <row r="467">
          <cell r="A467" t="str">
            <v>155-10-007</v>
          </cell>
          <cell r="B467">
            <v>90</v>
          </cell>
          <cell r="C467" t="str">
            <v>NEWSPAPERS &amp; JOURNALS</v>
          </cell>
          <cell r="D467">
            <v>10560</v>
          </cell>
          <cell r="E467">
            <v>5000</v>
          </cell>
          <cell r="F467">
            <v>8571.4285714285725</v>
          </cell>
          <cell r="G467">
            <v>1.2319999999999998</v>
          </cell>
          <cell r="H467" t="str">
            <v>This year we started getting the newspapers from March 2004 thus the big increase.</v>
          </cell>
        </row>
        <row r="468">
          <cell r="A468" t="str">
            <v>155-10-008</v>
          </cell>
          <cell r="B468">
            <v>90</v>
          </cell>
          <cell r="C468" t="str">
            <v>ENTERTAINMENT &amp; DONATIONS</v>
          </cell>
          <cell r="D468">
            <v>13500</v>
          </cell>
          <cell r="E468">
            <v>1000</v>
          </cell>
          <cell r="F468">
            <v>1714.2857142857142</v>
          </cell>
          <cell r="G468">
            <v>7.875</v>
          </cell>
          <cell r="H468" t="str">
            <v>This year I have only opened three paypoints and plan a higher number 2005</v>
          </cell>
        </row>
        <row r="469">
          <cell r="A469" t="str">
            <v>155-10-009</v>
          </cell>
          <cell r="B469">
            <v>90</v>
          </cell>
          <cell r="C469" t="str">
            <v>COURIER &amp; FREIGHT CHARGES</v>
          </cell>
          <cell r="D469">
            <v>0</v>
          </cell>
          <cell r="E469">
            <v>0</v>
          </cell>
          <cell r="F469">
            <v>0</v>
          </cell>
          <cell r="G469">
            <v>0</v>
          </cell>
        </row>
        <row r="470">
          <cell r="A470" t="str">
            <v>155-10-010</v>
          </cell>
          <cell r="B470">
            <v>90</v>
          </cell>
          <cell r="C470" t="str">
            <v>ADVERTISING &amp; PUBLICITY</v>
          </cell>
          <cell r="D470">
            <v>0</v>
          </cell>
          <cell r="E470">
            <v>0</v>
          </cell>
          <cell r="F470">
            <v>0</v>
          </cell>
          <cell r="G470">
            <v>0</v>
          </cell>
        </row>
        <row r="471">
          <cell r="A471" t="str">
            <v>155-10-012</v>
          </cell>
          <cell r="B471">
            <v>90</v>
          </cell>
          <cell r="C471" t="str">
            <v>TRADE LICENCES</v>
          </cell>
          <cell r="D471">
            <v>0</v>
          </cell>
          <cell r="E471">
            <v>0</v>
          </cell>
          <cell r="F471">
            <v>0</v>
          </cell>
          <cell r="G471">
            <v>0</v>
          </cell>
        </row>
        <row r="472">
          <cell r="A472" t="str">
            <v>155-10-013</v>
          </cell>
          <cell r="B472">
            <v>90</v>
          </cell>
          <cell r="C472" t="str">
            <v>INSURANCES</v>
          </cell>
          <cell r="D472">
            <v>0</v>
          </cell>
          <cell r="E472">
            <v>0</v>
          </cell>
          <cell r="F472">
            <v>0</v>
          </cell>
          <cell r="G472">
            <v>0</v>
          </cell>
        </row>
        <row r="473">
          <cell r="A473" t="str">
            <v>155-10-014</v>
          </cell>
          <cell r="B473">
            <v>90</v>
          </cell>
          <cell r="C473" t="str">
            <v>PHOTOCOPY</v>
          </cell>
          <cell r="D473">
            <v>0</v>
          </cell>
          <cell r="E473">
            <v>0</v>
          </cell>
          <cell r="F473">
            <v>0</v>
          </cell>
          <cell r="G473">
            <v>0</v>
          </cell>
        </row>
        <row r="474">
          <cell r="A474" t="str">
            <v>155-10-015</v>
          </cell>
          <cell r="B474">
            <v>90</v>
          </cell>
          <cell r="C474" t="str">
            <v>COMPUTER MAINTAINANCE</v>
          </cell>
          <cell r="D474">
            <v>10000</v>
          </cell>
          <cell r="E474">
            <v>3000</v>
          </cell>
          <cell r="F474">
            <v>5142.8571428571431</v>
          </cell>
          <cell r="G474">
            <v>1.9444444444444444</v>
          </cell>
        </row>
        <row r="475">
          <cell r="A475" t="str">
            <v>155-10-016</v>
          </cell>
          <cell r="B475">
            <v>90</v>
          </cell>
          <cell r="C475" t="str">
            <v>EQUIPMENT&amp; FURNITURE REPAIRS &amp; MAINTENANCE</v>
          </cell>
          <cell r="D475">
            <v>6000</v>
          </cell>
          <cell r="E475">
            <v>1000</v>
          </cell>
          <cell r="F475">
            <v>1714.2857142857142</v>
          </cell>
          <cell r="G475">
            <v>3.5</v>
          </cell>
          <cell r="H475" t="str">
            <v>There wil be more furniture repairs with the expansion of manpower</v>
          </cell>
        </row>
        <row r="476">
          <cell r="A476" t="str">
            <v>155-10-017</v>
          </cell>
          <cell r="B476">
            <v>90</v>
          </cell>
          <cell r="C476" t="str">
            <v>SEMINARS &amp; SHORT TERM COURSES</v>
          </cell>
          <cell r="D476">
            <v>25000</v>
          </cell>
          <cell r="E476">
            <v>2000</v>
          </cell>
          <cell r="F476">
            <v>3428.5714285714284</v>
          </cell>
          <cell r="G476">
            <v>7.291666666666667</v>
          </cell>
          <cell r="H476" t="str">
            <v>We hope to get the CSS to trai in the year.</v>
          </cell>
        </row>
        <row r="477">
          <cell r="A477" t="str">
            <v>155-10-022</v>
          </cell>
          <cell r="B477">
            <v>90</v>
          </cell>
          <cell r="C477" t="str">
            <v>PRINTING &amp; STATIONERY</v>
          </cell>
          <cell r="D477">
            <v>113725</v>
          </cell>
          <cell r="E477">
            <v>44000</v>
          </cell>
          <cell r="F477">
            <v>75428.57142857142</v>
          </cell>
          <cell r="G477">
            <v>1.5077178030303031</v>
          </cell>
          <cell r="H477" t="str">
            <v>The agency has grown four times so the need for more stationary/ initially used existing stationary.</v>
          </cell>
        </row>
        <row r="478">
          <cell r="A478" t="str">
            <v>155-10-025</v>
          </cell>
          <cell r="B478">
            <v>90</v>
          </cell>
          <cell r="C478" t="str">
            <v>STRATEGIC PLANNING</v>
          </cell>
          <cell r="D478">
            <v>0</v>
          </cell>
          <cell r="E478">
            <v>0</v>
          </cell>
          <cell r="F478">
            <v>0</v>
          </cell>
          <cell r="G478">
            <v>0</v>
          </cell>
        </row>
        <row r="479">
          <cell r="A479" t="str">
            <v>155-10-027</v>
          </cell>
          <cell r="B479">
            <v>90</v>
          </cell>
          <cell r="C479" t="str">
            <v>PROFESSIONAL SUBSCRIPTIONS</v>
          </cell>
          <cell r="D479">
            <v>0</v>
          </cell>
          <cell r="E479">
            <v>0</v>
          </cell>
          <cell r="F479">
            <v>0</v>
          </cell>
          <cell r="G479">
            <v>0</v>
          </cell>
        </row>
        <row r="480">
          <cell r="A480" t="str">
            <v>155-10-028</v>
          </cell>
          <cell r="B480">
            <v>90</v>
          </cell>
          <cell r="C480" t="str">
            <v xml:space="preserve"> SUBSCRIPTIONS -COMPANY MEMBERSHIP</v>
          </cell>
          <cell r="D480">
            <v>0</v>
          </cell>
          <cell r="E480">
            <v>0</v>
          </cell>
          <cell r="F480">
            <v>0</v>
          </cell>
          <cell r="G480">
            <v>0</v>
          </cell>
        </row>
        <row r="481">
          <cell r="A481" t="str">
            <v>155-10-030</v>
          </cell>
          <cell r="B481">
            <v>90</v>
          </cell>
          <cell r="C481" t="str">
            <v>TRAVELLING &amp; ACCOMMODATION</v>
          </cell>
          <cell r="D481">
            <v>35800</v>
          </cell>
          <cell r="E481">
            <v>8250</v>
          </cell>
          <cell r="F481">
            <v>14142.857142857145</v>
          </cell>
          <cell r="G481">
            <v>2.531313131313131</v>
          </cell>
          <cell r="H481" t="str">
            <v>We have included accomodation during branch Zone meetings.</v>
          </cell>
        </row>
        <row r="482">
          <cell r="A482" t="str">
            <v>155-10-032</v>
          </cell>
          <cell r="B482">
            <v>90</v>
          </cell>
          <cell r="C482" t="str">
            <v xml:space="preserve">MOTOR CAR EXPENSES </v>
          </cell>
          <cell r="D482">
            <v>0</v>
          </cell>
          <cell r="E482">
            <v>0</v>
          </cell>
          <cell r="F482">
            <v>0</v>
          </cell>
          <cell r="G482">
            <v>0</v>
          </cell>
        </row>
        <row r="483">
          <cell r="A483" t="str">
            <v>155-10-040</v>
          </cell>
          <cell r="B483">
            <v>90</v>
          </cell>
          <cell r="C483" t="str">
            <v>POSTAGE</v>
          </cell>
          <cell r="D483">
            <v>2400</v>
          </cell>
          <cell r="E483">
            <v>0</v>
          </cell>
          <cell r="F483">
            <v>0</v>
          </cell>
          <cell r="G483">
            <v>0</v>
          </cell>
        </row>
        <row r="484">
          <cell r="A484" t="str">
            <v>155-10-041</v>
          </cell>
          <cell r="B484">
            <v>90</v>
          </cell>
          <cell r="C484" t="str">
            <v>TELEPHONE &amp; FAX</v>
          </cell>
          <cell r="D484">
            <v>96000</v>
          </cell>
          <cell r="E484">
            <v>35000</v>
          </cell>
          <cell r="F484">
            <v>60000</v>
          </cell>
          <cell r="G484">
            <v>1.6</v>
          </cell>
          <cell r="H484" t="str">
            <v>The current cost allocation may need to be adjusted as the allocation per month may not be reflecting.</v>
          </cell>
        </row>
        <row r="485">
          <cell r="A485" t="str">
            <v>155-10-044</v>
          </cell>
          <cell r="B485">
            <v>90</v>
          </cell>
          <cell r="C485" t="str">
            <v>PROFFESSIONAL TRAINING</v>
          </cell>
          <cell r="D485">
            <v>0</v>
          </cell>
          <cell r="E485">
            <v>0</v>
          </cell>
          <cell r="F485">
            <v>0</v>
          </cell>
          <cell r="G485">
            <v>0</v>
          </cell>
        </row>
        <row r="486">
          <cell r="A486" t="str">
            <v>155-10-046</v>
          </cell>
          <cell r="B486">
            <v>90</v>
          </cell>
          <cell r="C486" t="str">
            <v xml:space="preserve">SUBSCRIPTION- STAFF CLUB MEMBERSHIP </v>
          </cell>
          <cell r="D486">
            <v>44000</v>
          </cell>
          <cell r="E486">
            <v>0</v>
          </cell>
          <cell r="F486">
            <v>0</v>
          </cell>
          <cell r="G486">
            <v>0</v>
          </cell>
        </row>
        <row r="487">
          <cell r="A487" t="str">
            <v>155-10-054</v>
          </cell>
          <cell r="B487">
            <v>90</v>
          </cell>
          <cell r="C487" t="str">
            <v>LEASED LINES-INTERNET SERVICES</v>
          </cell>
          <cell r="D487">
            <v>0</v>
          </cell>
          <cell r="E487">
            <v>0</v>
          </cell>
          <cell r="F487">
            <v>0</v>
          </cell>
          <cell r="G487">
            <v>0</v>
          </cell>
        </row>
        <row r="488">
          <cell r="A488" t="str">
            <v>155-10-057</v>
          </cell>
          <cell r="B488">
            <v>90</v>
          </cell>
          <cell r="C488" t="str">
            <v>SOFTWARE LICENCES</v>
          </cell>
          <cell r="D488">
            <v>0</v>
          </cell>
          <cell r="E488">
            <v>0</v>
          </cell>
          <cell r="F488">
            <v>0</v>
          </cell>
          <cell r="G488">
            <v>0</v>
          </cell>
        </row>
        <row r="489">
          <cell r="A489" t="str">
            <v>155-10-059</v>
          </cell>
          <cell r="B489">
            <v>90</v>
          </cell>
          <cell r="E489">
            <v>0</v>
          </cell>
          <cell r="G489">
            <v>0</v>
          </cell>
        </row>
        <row r="490">
          <cell r="A490" t="str">
            <v>155-10-060</v>
          </cell>
          <cell r="B490">
            <v>90</v>
          </cell>
          <cell r="E490">
            <v>0</v>
          </cell>
          <cell r="G490">
            <v>0</v>
          </cell>
        </row>
        <row r="491">
          <cell r="A491" t="str">
            <v>155-10-062</v>
          </cell>
          <cell r="B491">
            <v>90</v>
          </cell>
          <cell r="C491" t="str">
            <v>EDUCATION EXPENSES</v>
          </cell>
          <cell r="D491">
            <v>0</v>
          </cell>
          <cell r="E491">
            <v>0</v>
          </cell>
          <cell r="F491">
            <v>0</v>
          </cell>
          <cell r="G491">
            <v>0</v>
          </cell>
        </row>
        <row r="492">
          <cell r="A492" t="str">
            <v>160-10-010</v>
          </cell>
          <cell r="B492">
            <v>90</v>
          </cell>
          <cell r="E492">
            <v>0</v>
          </cell>
          <cell r="G492">
            <v>0</v>
          </cell>
        </row>
        <row r="493">
          <cell r="A493" t="str">
            <v>105-10-010</v>
          </cell>
          <cell r="B493">
            <v>110</v>
          </cell>
          <cell r="C493" t="str">
            <v>BASIC SALARY</v>
          </cell>
          <cell r="D493">
            <v>247887.96</v>
          </cell>
          <cell r="E493">
            <v>131000</v>
          </cell>
          <cell r="F493">
            <v>219500</v>
          </cell>
          <cell r="G493">
            <v>1.1293301138952165</v>
          </cell>
        </row>
        <row r="494">
          <cell r="A494" t="str">
            <v>105-10-012</v>
          </cell>
          <cell r="B494">
            <v>110</v>
          </cell>
          <cell r="C494" t="str">
            <v>PROVISION FOR MORT. RATE ADJUSTMENTS</v>
          </cell>
          <cell r="D494">
            <v>0</v>
          </cell>
          <cell r="E494">
            <v>0</v>
          </cell>
          <cell r="F494">
            <v>0</v>
          </cell>
          <cell r="G494">
            <v>0</v>
          </cell>
        </row>
        <row r="495">
          <cell r="A495" t="str">
            <v>105-10-020</v>
          </cell>
          <cell r="B495">
            <v>110</v>
          </cell>
          <cell r="C495" t="str">
            <v>HOUSE ALLOWANCE</v>
          </cell>
          <cell r="D495">
            <v>31200</v>
          </cell>
          <cell r="E495">
            <v>18000</v>
          </cell>
          <cell r="F495">
            <v>31000</v>
          </cell>
          <cell r="G495">
            <v>1.0064516129032257</v>
          </cell>
        </row>
        <row r="496">
          <cell r="A496" t="str">
            <v>105-10-030</v>
          </cell>
          <cell r="B496">
            <v>110</v>
          </cell>
          <cell r="C496" t="str">
            <v>TELEPHONE ALLOWANCE</v>
          </cell>
          <cell r="D496">
            <v>0</v>
          </cell>
          <cell r="E496">
            <v>0</v>
          </cell>
          <cell r="F496">
            <v>0</v>
          </cell>
          <cell r="G496">
            <v>0</v>
          </cell>
        </row>
        <row r="497">
          <cell r="A497" t="str">
            <v>105-10-040</v>
          </cell>
          <cell r="B497">
            <v>110</v>
          </cell>
          <cell r="C497" t="str">
            <v>SECURITY ALLOWANCE</v>
          </cell>
          <cell r="D497">
            <v>0</v>
          </cell>
          <cell r="E497">
            <v>0</v>
          </cell>
          <cell r="F497">
            <v>0</v>
          </cell>
          <cell r="G497">
            <v>0</v>
          </cell>
        </row>
        <row r="498">
          <cell r="A498" t="str">
            <v>105-10-050</v>
          </cell>
          <cell r="B498">
            <v>110</v>
          </cell>
          <cell r="C498" t="str">
            <v>EDUCATION ALLOWANCE</v>
          </cell>
          <cell r="D498">
            <v>0</v>
          </cell>
          <cell r="E498">
            <v>0</v>
          </cell>
          <cell r="F498">
            <v>0</v>
          </cell>
          <cell r="G498">
            <v>0</v>
          </cell>
        </row>
        <row r="499">
          <cell r="A499" t="str">
            <v>105-10-060</v>
          </cell>
          <cell r="B499">
            <v>110</v>
          </cell>
          <cell r="C499" t="str">
            <v>TRAVEL ALLOWANCE</v>
          </cell>
          <cell r="D499">
            <v>0</v>
          </cell>
          <cell r="E499">
            <v>0</v>
          </cell>
          <cell r="F499">
            <v>0</v>
          </cell>
          <cell r="G499">
            <v>0</v>
          </cell>
        </row>
        <row r="500">
          <cell r="A500" t="str">
            <v>105-20-010</v>
          </cell>
          <cell r="B500">
            <v>110</v>
          </cell>
          <cell r="C500" t="str">
            <v>NSSF</v>
          </cell>
          <cell r="D500">
            <v>2400</v>
          </cell>
          <cell r="E500">
            <v>1000</v>
          </cell>
          <cell r="F500">
            <v>2000</v>
          </cell>
          <cell r="G500">
            <v>1.2</v>
          </cell>
        </row>
        <row r="501">
          <cell r="A501" t="str">
            <v>105-20-020</v>
          </cell>
          <cell r="B501">
            <v>110</v>
          </cell>
          <cell r="C501" t="str">
            <v>NHIF</v>
          </cell>
          <cell r="D501">
            <v>2880</v>
          </cell>
          <cell r="E501">
            <v>2000</v>
          </cell>
          <cell r="F501">
            <v>3200</v>
          </cell>
          <cell r="G501">
            <v>0.9</v>
          </cell>
        </row>
        <row r="502">
          <cell r="A502" t="str">
            <v>105-30-010</v>
          </cell>
          <cell r="B502">
            <v>110</v>
          </cell>
          <cell r="C502" t="str">
            <v xml:space="preserve">PENSION </v>
          </cell>
          <cell r="D502">
            <v>29736</v>
          </cell>
          <cell r="E502">
            <v>12169</v>
          </cell>
          <cell r="F502">
            <v>12169</v>
          </cell>
          <cell r="G502">
            <v>2.4435861615580579</v>
          </cell>
        </row>
        <row r="503">
          <cell r="A503" t="str">
            <v>105-30-020</v>
          </cell>
          <cell r="B503">
            <v>110</v>
          </cell>
          <cell r="C503" t="str">
            <v>LAST EXPENSE</v>
          </cell>
          <cell r="D503">
            <v>750</v>
          </cell>
          <cell r="E503">
            <v>750</v>
          </cell>
          <cell r="F503">
            <v>750</v>
          </cell>
          <cell r="G503">
            <v>1</v>
          </cell>
        </row>
        <row r="504">
          <cell r="A504" t="str">
            <v>105-30-030</v>
          </cell>
          <cell r="B504">
            <v>110</v>
          </cell>
          <cell r="C504" t="str">
            <v>GROUP LIFE ASSURANCE</v>
          </cell>
          <cell r="D504">
            <v>2420.5100000000002</v>
          </cell>
          <cell r="E504">
            <v>2000</v>
          </cell>
          <cell r="F504">
            <v>3428.5714285714284</v>
          </cell>
          <cell r="G504">
            <v>0.70598208333333345</v>
          </cell>
        </row>
        <row r="505">
          <cell r="A505" t="str">
            <v>105-30-040</v>
          </cell>
          <cell r="B505">
            <v>110</v>
          </cell>
          <cell r="C505" t="str">
            <v>STAFF MEDICAL</v>
          </cell>
          <cell r="D505">
            <v>0</v>
          </cell>
          <cell r="E505">
            <v>0</v>
          </cell>
          <cell r="F505">
            <v>0</v>
          </cell>
          <cell r="G505">
            <v>0</v>
          </cell>
        </row>
        <row r="506">
          <cell r="A506" t="str">
            <v>105-30-050</v>
          </cell>
          <cell r="B506">
            <v>110</v>
          </cell>
          <cell r="C506" t="str">
            <v>CASH IN LIEU OF LEAVE</v>
          </cell>
          <cell r="D506">
            <v>5947.2</v>
          </cell>
          <cell r="E506">
            <v>7000</v>
          </cell>
          <cell r="F506">
            <v>12000</v>
          </cell>
          <cell r="G506">
            <v>0.49560000000000004</v>
          </cell>
        </row>
        <row r="507">
          <cell r="A507" t="str">
            <v>105-30-060</v>
          </cell>
          <cell r="B507">
            <v>110</v>
          </cell>
          <cell r="C507" t="str">
            <v>GRATUITY</v>
          </cell>
          <cell r="E507">
            <v>0</v>
          </cell>
          <cell r="F507">
            <v>0</v>
          </cell>
          <cell r="G507">
            <v>0</v>
          </cell>
        </row>
        <row r="508">
          <cell r="A508" t="str">
            <v>105-30-070</v>
          </cell>
          <cell r="B508">
            <v>110</v>
          </cell>
          <cell r="C508" t="str">
            <v>LONG SERVICE AWARDS</v>
          </cell>
          <cell r="D508">
            <v>0</v>
          </cell>
          <cell r="E508">
            <v>0</v>
          </cell>
          <cell r="F508">
            <v>0</v>
          </cell>
          <cell r="G508">
            <v>0</v>
          </cell>
        </row>
        <row r="509">
          <cell r="A509" t="str">
            <v>105-30-080</v>
          </cell>
          <cell r="B509">
            <v>110</v>
          </cell>
          <cell r="C509" t="str">
            <v>STAFF RECRUITMENT &amp; REMOVALS</v>
          </cell>
          <cell r="D509">
            <v>0</v>
          </cell>
          <cell r="E509">
            <v>0</v>
          </cell>
          <cell r="F509">
            <v>0</v>
          </cell>
          <cell r="G509">
            <v>0</v>
          </cell>
        </row>
        <row r="510">
          <cell r="A510" t="str">
            <v>115-10-010</v>
          </cell>
          <cell r="B510">
            <v>110</v>
          </cell>
          <cell r="D510">
            <v>0</v>
          </cell>
          <cell r="E510">
            <v>0</v>
          </cell>
          <cell r="F510">
            <v>0</v>
          </cell>
          <cell r="G510">
            <v>0</v>
          </cell>
        </row>
        <row r="511">
          <cell r="A511" t="str">
            <v>115-10-010</v>
          </cell>
          <cell r="B511">
            <v>110</v>
          </cell>
          <cell r="D511">
            <v>0</v>
          </cell>
          <cell r="F511">
            <v>0</v>
          </cell>
          <cell r="G511">
            <v>0</v>
          </cell>
        </row>
        <row r="512">
          <cell r="A512" t="str">
            <v>115-10-020</v>
          </cell>
          <cell r="B512">
            <v>110</v>
          </cell>
          <cell r="D512">
            <v>0</v>
          </cell>
          <cell r="E512">
            <v>0</v>
          </cell>
          <cell r="F512">
            <v>0</v>
          </cell>
          <cell r="G512">
            <v>0</v>
          </cell>
        </row>
        <row r="513">
          <cell r="A513" t="str">
            <v>115-10-020</v>
          </cell>
          <cell r="B513">
            <v>110</v>
          </cell>
          <cell r="D513">
            <v>0</v>
          </cell>
          <cell r="G513">
            <v>0</v>
          </cell>
        </row>
        <row r="514">
          <cell r="A514" t="str">
            <v>115-10-030</v>
          </cell>
          <cell r="B514">
            <v>110</v>
          </cell>
          <cell r="D514">
            <v>0</v>
          </cell>
          <cell r="E514">
            <v>0</v>
          </cell>
          <cell r="F514">
            <v>0</v>
          </cell>
          <cell r="G514">
            <v>0</v>
          </cell>
        </row>
        <row r="515">
          <cell r="A515" t="str">
            <v>115-10-030</v>
          </cell>
          <cell r="B515">
            <v>110</v>
          </cell>
          <cell r="D515">
            <v>0</v>
          </cell>
          <cell r="F515">
            <v>0</v>
          </cell>
          <cell r="G515">
            <v>0</v>
          </cell>
        </row>
        <row r="516">
          <cell r="A516" t="str">
            <v>115-10-040</v>
          </cell>
          <cell r="B516">
            <v>110</v>
          </cell>
          <cell r="D516">
            <v>324576</v>
          </cell>
          <cell r="E516">
            <v>190000</v>
          </cell>
          <cell r="F516">
            <v>325714.28571428568</v>
          </cell>
          <cell r="G516">
            <v>0.99650526315789489</v>
          </cell>
          <cell r="H516" t="str">
            <v>We have used the rate at which we currently pay</v>
          </cell>
        </row>
        <row r="517">
          <cell r="A517" t="str">
            <v>115-10-040</v>
          </cell>
          <cell r="B517">
            <v>110</v>
          </cell>
          <cell r="D517">
            <v>0</v>
          </cell>
          <cell r="F517">
            <v>0</v>
          </cell>
          <cell r="G517">
            <v>0</v>
          </cell>
        </row>
        <row r="518">
          <cell r="A518" t="str">
            <v>115-10-050</v>
          </cell>
          <cell r="B518">
            <v>110</v>
          </cell>
          <cell r="C518" t="str">
            <v>OFFICE CATERING &amp; STAFF WELFARE</v>
          </cell>
          <cell r="D518">
            <v>62700</v>
          </cell>
          <cell r="E518">
            <v>58666.666666666664</v>
          </cell>
          <cell r="F518">
            <v>100571.42857142855</v>
          </cell>
          <cell r="G518">
            <v>0.62343749999999998</v>
          </cell>
          <cell r="H518" t="str">
            <v>BEFORE WE HAD ONLY TWO ACTIVE UNIT BUT NOW WE HAVE FOUR</v>
          </cell>
        </row>
        <row r="519">
          <cell r="A519" t="str">
            <v>115-10-051</v>
          </cell>
          <cell r="B519">
            <v>110</v>
          </cell>
          <cell r="C519" t="str">
            <v>OFFICE CLEANING</v>
          </cell>
          <cell r="D519">
            <v>36000</v>
          </cell>
          <cell r="E519">
            <v>0</v>
          </cell>
          <cell r="F519">
            <v>0</v>
          </cell>
          <cell r="G519">
            <v>0</v>
          </cell>
        </row>
        <row r="520">
          <cell r="A520" t="str">
            <v>115-10-060</v>
          </cell>
          <cell r="B520">
            <v>110</v>
          </cell>
          <cell r="C520" t="str">
            <v>OFFICE WATER</v>
          </cell>
          <cell r="D520">
            <v>0</v>
          </cell>
          <cell r="E520">
            <v>0</v>
          </cell>
          <cell r="F520">
            <v>0</v>
          </cell>
          <cell r="G520">
            <v>0</v>
          </cell>
        </row>
        <row r="521">
          <cell r="A521" t="str">
            <v>115-10-070</v>
          </cell>
          <cell r="B521">
            <v>110</v>
          </cell>
          <cell r="C521" t="str">
            <v>OFFICE ELECTRICITY</v>
          </cell>
          <cell r="D521">
            <v>0</v>
          </cell>
          <cell r="E521">
            <v>3000</v>
          </cell>
          <cell r="F521">
            <v>5142.8571428571431</v>
          </cell>
          <cell r="G521">
            <v>0</v>
          </cell>
        </row>
        <row r="522">
          <cell r="A522" t="str">
            <v>115-10-080</v>
          </cell>
          <cell r="B522">
            <v>110</v>
          </cell>
          <cell r="C522" t="str">
            <v>OFFICE SECURITY</v>
          </cell>
          <cell r="D522">
            <v>24600</v>
          </cell>
          <cell r="E522">
            <v>0</v>
          </cell>
          <cell r="F522">
            <v>0</v>
          </cell>
          <cell r="G522">
            <v>0</v>
          </cell>
        </row>
        <row r="523">
          <cell r="A523" t="str">
            <v>125-10-010</v>
          </cell>
          <cell r="B523">
            <v>110</v>
          </cell>
          <cell r="C523" t="str">
            <v>BANK CHARGES</v>
          </cell>
          <cell r="D523">
            <v>36000</v>
          </cell>
          <cell r="E523">
            <v>22000</v>
          </cell>
          <cell r="F523">
            <v>25000</v>
          </cell>
          <cell r="G523">
            <v>1.44</v>
          </cell>
        </row>
        <row r="524">
          <cell r="A524" t="str">
            <v>125-10-020</v>
          </cell>
          <cell r="B524">
            <v>110</v>
          </cell>
          <cell r="C524" t="str">
            <v>BANK OVERDRART CHARGES</v>
          </cell>
          <cell r="E524">
            <v>0</v>
          </cell>
          <cell r="F524">
            <v>0</v>
          </cell>
          <cell r="G524">
            <v>0</v>
          </cell>
        </row>
        <row r="525">
          <cell r="A525" t="str">
            <v>135-60-030</v>
          </cell>
          <cell r="B525">
            <v>110</v>
          </cell>
          <cell r="C525" t="str">
            <v>SALES PROMOTIONS &amp; COMPETITION</v>
          </cell>
          <cell r="D525">
            <v>0</v>
          </cell>
          <cell r="E525">
            <v>0</v>
          </cell>
          <cell r="F525">
            <v>0</v>
          </cell>
          <cell r="G525">
            <v>0</v>
          </cell>
        </row>
        <row r="526">
          <cell r="A526" t="str">
            <v>135-70-010</v>
          </cell>
          <cell r="B526">
            <v>110</v>
          </cell>
          <cell r="C526" t="str">
            <v>AGENCY PENSION</v>
          </cell>
          <cell r="D526">
            <v>0</v>
          </cell>
          <cell r="E526">
            <v>0</v>
          </cell>
          <cell r="F526">
            <v>0</v>
          </cell>
          <cell r="G526">
            <v>0</v>
          </cell>
        </row>
        <row r="527">
          <cell r="A527" t="str">
            <v>135-70-020</v>
          </cell>
          <cell r="B527">
            <v>110</v>
          </cell>
          <cell r="C527" t="str">
            <v>AGENCY GLA</v>
          </cell>
          <cell r="D527">
            <v>0</v>
          </cell>
          <cell r="E527">
            <v>0</v>
          </cell>
          <cell r="F527">
            <v>0</v>
          </cell>
          <cell r="G527">
            <v>0</v>
          </cell>
        </row>
        <row r="528">
          <cell r="A528" t="str">
            <v>135-70-030</v>
          </cell>
          <cell r="B528">
            <v>110</v>
          </cell>
          <cell r="C528" t="str">
            <v>AGENCY MEDICAL</v>
          </cell>
          <cell r="D528">
            <v>0</v>
          </cell>
          <cell r="E528">
            <v>0</v>
          </cell>
          <cell r="F528">
            <v>0</v>
          </cell>
          <cell r="G528">
            <v>0</v>
          </cell>
        </row>
        <row r="529">
          <cell r="A529" t="str">
            <v>135-70-040</v>
          </cell>
          <cell r="B529">
            <v>110</v>
          </cell>
          <cell r="C529" t="str">
            <v>AGENCY LAST EXPENSE</v>
          </cell>
          <cell r="D529">
            <v>0</v>
          </cell>
          <cell r="E529">
            <v>0</v>
          </cell>
          <cell r="F529">
            <v>0</v>
          </cell>
          <cell r="G529">
            <v>0</v>
          </cell>
        </row>
        <row r="530">
          <cell r="A530" t="str">
            <v>145-10-030</v>
          </cell>
          <cell r="B530">
            <v>110</v>
          </cell>
          <cell r="C530" t="str">
            <v>Audit fee -individual life</v>
          </cell>
          <cell r="D530">
            <v>0</v>
          </cell>
          <cell r="E530">
            <v>0</v>
          </cell>
          <cell r="F530">
            <v>0</v>
          </cell>
          <cell r="G530">
            <v>0</v>
          </cell>
        </row>
        <row r="531">
          <cell r="A531" t="str">
            <v>145-10-031</v>
          </cell>
          <cell r="B531">
            <v>110</v>
          </cell>
          <cell r="C531" t="str">
            <v>Tax filing returns</v>
          </cell>
          <cell r="D531">
            <v>0</v>
          </cell>
          <cell r="E531">
            <v>0</v>
          </cell>
          <cell r="F531">
            <v>0</v>
          </cell>
          <cell r="G531">
            <v>0</v>
          </cell>
        </row>
        <row r="532">
          <cell r="A532" t="str">
            <v>145-10-060</v>
          </cell>
          <cell r="B532">
            <v>110</v>
          </cell>
          <cell r="C532" t="str">
            <v>Intra company charges- individual life</v>
          </cell>
          <cell r="G532">
            <v>0</v>
          </cell>
        </row>
        <row r="533">
          <cell r="A533" t="str">
            <v>145-10-060</v>
          </cell>
          <cell r="B533">
            <v>110</v>
          </cell>
          <cell r="E533">
            <v>0</v>
          </cell>
          <cell r="G533">
            <v>0</v>
          </cell>
        </row>
        <row r="534">
          <cell r="A534" t="str">
            <v>145-10-080</v>
          </cell>
          <cell r="B534">
            <v>110</v>
          </cell>
          <cell r="C534" t="str">
            <v>40% Excutive recharge</v>
          </cell>
          <cell r="F534">
            <v>0</v>
          </cell>
          <cell r="G534">
            <v>0</v>
          </cell>
        </row>
        <row r="535">
          <cell r="A535" t="str">
            <v>145-10-080</v>
          </cell>
          <cell r="B535">
            <v>110</v>
          </cell>
          <cell r="C535" t="str">
            <v xml:space="preserve">Recharges: 10% recharge to Corporate </v>
          </cell>
          <cell r="E535">
            <v>0</v>
          </cell>
          <cell r="G535">
            <v>0</v>
          </cell>
        </row>
        <row r="536">
          <cell r="A536" t="str">
            <v>145-10-100</v>
          </cell>
          <cell r="B536">
            <v>110</v>
          </cell>
          <cell r="E536">
            <v>0</v>
          </cell>
          <cell r="G536">
            <v>0</v>
          </cell>
        </row>
        <row r="537">
          <cell r="A537" t="str">
            <v>155-10-007</v>
          </cell>
          <cell r="B537">
            <v>110</v>
          </cell>
          <cell r="C537" t="str">
            <v>NEWSPAPERS &amp; JOURNALS</v>
          </cell>
          <cell r="D537">
            <v>10560</v>
          </cell>
          <cell r="E537">
            <v>6000</v>
          </cell>
          <cell r="F537">
            <v>10285.714285714286</v>
          </cell>
          <cell r="G537">
            <v>1.0266666666666666</v>
          </cell>
          <cell r="H537" t="str">
            <v>We have budget for only one paper per day for the year using the given rates</v>
          </cell>
        </row>
        <row r="538">
          <cell r="A538" t="str">
            <v>155-10-008</v>
          </cell>
          <cell r="B538">
            <v>110</v>
          </cell>
          <cell r="C538" t="str">
            <v>ENTERTAINMENT &amp; DONATIONS</v>
          </cell>
          <cell r="D538">
            <v>15000</v>
          </cell>
          <cell r="E538">
            <v>6000</v>
          </cell>
          <cell r="F538">
            <v>10285.714285714286</v>
          </cell>
          <cell r="G538">
            <v>1.4583333333333333</v>
          </cell>
          <cell r="H538" t="str">
            <v>THIS WILL FACILITATE OPENING OF LOCAL CHECK-OFFS</v>
          </cell>
        </row>
        <row r="539">
          <cell r="A539" t="str">
            <v>155-10-009</v>
          </cell>
          <cell r="B539">
            <v>110</v>
          </cell>
          <cell r="C539" t="str">
            <v>COURIER &amp; FREIGHT CHARGES</v>
          </cell>
          <cell r="D539">
            <v>21261.599999999999</v>
          </cell>
          <cell r="E539">
            <v>12000</v>
          </cell>
          <cell r="F539">
            <v>20571.428571428572</v>
          </cell>
          <cell r="G539">
            <v>1.03355</v>
          </cell>
          <cell r="H539" t="str">
            <v>we have used the rates given on the attached notes.</v>
          </cell>
        </row>
        <row r="540">
          <cell r="A540" t="str">
            <v>155-10-010</v>
          </cell>
          <cell r="B540">
            <v>110</v>
          </cell>
          <cell r="C540" t="str">
            <v>ADVERTISING &amp; PUBLICITY</v>
          </cell>
          <cell r="D540">
            <v>0</v>
          </cell>
          <cell r="E540">
            <v>0</v>
          </cell>
          <cell r="F540">
            <v>0</v>
          </cell>
          <cell r="G540">
            <v>0</v>
          </cell>
        </row>
        <row r="541">
          <cell r="A541" t="str">
            <v>155-10-012</v>
          </cell>
          <cell r="B541">
            <v>110</v>
          </cell>
          <cell r="C541" t="str">
            <v>TRADE LICENCES</v>
          </cell>
          <cell r="D541">
            <v>20000</v>
          </cell>
          <cell r="E541">
            <v>15000</v>
          </cell>
          <cell r="F541">
            <v>15000</v>
          </cell>
          <cell r="G541">
            <v>1.3333333333333333</v>
          </cell>
        </row>
        <row r="542">
          <cell r="A542" t="str">
            <v>155-10-013</v>
          </cell>
          <cell r="B542">
            <v>110</v>
          </cell>
          <cell r="C542" t="str">
            <v>INSURANCES</v>
          </cell>
          <cell r="D542">
            <v>0</v>
          </cell>
          <cell r="E542">
            <v>0</v>
          </cell>
          <cell r="F542">
            <v>0</v>
          </cell>
          <cell r="G542">
            <v>0</v>
          </cell>
        </row>
        <row r="543">
          <cell r="A543" t="str">
            <v>155-10-014</v>
          </cell>
          <cell r="B543">
            <v>110</v>
          </cell>
          <cell r="C543" t="str">
            <v>PHOTOCOPY</v>
          </cell>
          <cell r="D543">
            <v>0</v>
          </cell>
          <cell r="E543">
            <v>0</v>
          </cell>
          <cell r="F543">
            <v>0</v>
          </cell>
          <cell r="G543">
            <v>0</v>
          </cell>
        </row>
        <row r="544">
          <cell r="A544" t="str">
            <v>155-10-015</v>
          </cell>
          <cell r="B544">
            <v>110</v>
          </cell>
          <cell r="C544" t="str">
            <v>COMPUTER MAINTAINANCE</v>
          </cell>
          <cell r="D544">
            <v>9000</v>
          </cell>
          <cell r="E544">
            <v>0</v>
          </cell>
          <cell r="F544">
            <v>0</v>
          </cell>
          <cell r="G544">
            <v>0</v>
          </cell>
        </row>
        <row r="545">
          <cell r="A545" t="str">
            <v>155-10-016</v>
          </cell>
          <cell r="B545">
            <v>110</v>
          </cell>
          <cell r="C545" t="str">
            <v>EQUIPMENT&amp; FURNITURE REPAIRS &amp; MAINTENANCE</v>
          </cell>
          <cell r="D545">
            <v>9000</v>
          </cell>
          <cell r="E545">
            <v>9000</v>
          </cell>
          <cell r="F545">
            <v>15428.571428571429</v>
          </cell>
          <cell r="G545">
            <v>0.58333333333333326</v>
          </cell>
          <cell r="H545" t="str">
            <v>MOST OF OUR OFFICE FURNITURE ARE TORN HENCE CREATING A BAD IMAGE</v>
          </cell>
        </row>
        <row r="546">
          <cell r="A546" t="str">
            <v>155-10-017</v>
          </cell>
          <cell r="B546">
            <v>110</v>
          </cell>
          <cell r="C546" t="str">
            <v>SEMINARS &amp; SHORT TERM COURSES</v>
          </cell>
          <cell r="D546">
            <v>9000</v>
          </cell>
          <cell r="E546">
            <v>6000</v>
          </cell>
          <cell r="F546">
            <v>10285.714285714286</v>
          </cell>
          <cell r="G546">
            <v>0.875</v>
          </cell>
        </row>
        <row r="547">
          <cell r="A547" t="str">
            <v>155-10-022</v>
          </cell>
          <cell r="B547">
            <v>110</v>
          </cell>
          <cell r="C547" t="str">
            <v>PRINTING &amp; STATIONERY</v>
          </cell>
          <cell r="D547">
            <v>116875.5</v>
          </cell>
          <cell r="E547">
            <v>54000</v>
          </cell>
          <cell r="F547">
            <v>92571.42857142858</v>
          </cell>
          <cell r="G547">
            <v>1.2625439814814814</v>
          </cell>
          <cell r="H547" t="str">
            <v>This is because of the increasing number of agents in the branch</v>
          </cell>
        </row>
        <row r="548">
          <cell r="A548" t="str">
            <v>155-10-025</v>
          </cell>
          <cell r="B548">
            <v>110</v>
          </cell>
          <cell r="C548" t="str">
            <v>STRATEGIC PLANNING</v>
          </cell>
          <cell r="D548">
            <v>0</v>
          </cell>
          <cell r="E548">
            <v>0</v>
          </cell>
          <cell r="F548">
            <v>0</v>
          </cell>
          <cell r="G548">
            <v>0</v>
          </cell>
        </row>
        <row r="549">
          <cell r="A549" t="str">
            <v>155-10-027</v>
          </cell>
          <cell r="B549">
            <v>110</v>
          </cell>
          <cell r="C549" t="str">
            <v>PROFESSIONAL SUBSCRIPTIONS</v>
          </cell>
          <cell r="D549">
            <v>0</v>
          </cell>
          <cell r="E549">
            <v>0</v>
          </cell>
          <cell r="F549">
            <v>0</v>
          </cell>
          <cell r="G549">
            <v>0</v>
          </cell>
        </row>
        <row r="550">
          <cell r="A550" t="str">
            <v>155-10-028</v>
          </cell>
          <cell r="B550">
            <v>110</v>
          </cell>
          <cell r="C550" t="str">
            <v xml:space="preserve"> SUBSCRIPTIONS -COMPANY MEMBERSHIP</v>
          </cell>
          <cell r="D550">
            <v>0</v>
          </cell>
          <cell r="E550">
            <v>0</v>
          </cell>
          <cell r="F550">
            <v>0</v>
          </cell>
          <cell r="G550">
            <v>0</v>
          </cell>
        </row>
        <row r="551">
          <cell r="A551" t="str">
            <v>155-10-030</v>
          </cell>
          <cell r="B551">
            <v>110</v>
          </cell>
          <cell r="C551" t="str">
            <v>TRAVELLING &amp; ACCOMMODATION</v>
          </cell>
          <cell r="D551">
            <v>64304</v>
          </cell>
          <cell r="E551">
            <v>31000</v>
          </cell>
          <cell r="F551">
            <v>53142.857142857145</v>
          </cell>
          <cell r="G551">
            <v>1.2100215053763441</v>
          </cell>
          <cell r="H551" t="str">
            <v>This wil cater for our Manager during their Regional Meetings</v>
          </cell>
        </row>
        <row r="552">
          <cell r="A552" t="str">
            <v>155-10-032</v>
          </cell>
          <cell r="B552">
            <v>110</v>
          </cell>
          <cell r="C552" t="str">
            <v xml:space="preserve">MOTOR CAR EXPENSES </v>
          </cell>
          <cell r="D552">
            <v>0</v>
          </cell>
          <cell r="E552">
            <v>0</v>
          </cell>
          <cell r="F552">
            <v>0</v>
          </cell>
          <cell r="G552">
            <v>0</v>
          </cell>
        </row>
        <row r="553">
          <cell r="A553" t="str">
            <v>155-10-040</v>
          </cell>
          <cell r="B553">
            <v>110</v>
          </cell>
          <cell r="C553" t="str">
            <v>POSTAGE</v>
          </cell>
          <cell r="D553">
            <v>5000</v>
          </cell>
          <cell r="E553">
            <v>3000</v>
          </cell>
          <cell r="F553">
            <v>5142.8571428571431</v>
          </cell>
          <cell r="G553">
            <v>0.97222222222222221</v>
          </cell>
        </row>
        <row r="554">
          <cell r="A554" t="str">
            <v>155-10-041</v>
          </cell>
          <cell r="B554">
            <v>110</v>
          </cell>
          <cell r="C554" t="str">
            <v>TELEPHONE &amp; FAX</v>
          </cell>
          <cell r="D554">
            <v>108000</v>
          </cell>
          <cell r="E554">
            <v>65000</v>
          </cell>
          <cell r="F554">
            <v>111428.57142857143</v>
          </cell>
          <cell r="G554">
            <v>0.96923076923076923</v>
          </cell>
          <cell r="H554" t="str">
            <v>ON THE FORWARDING  LETTER WE ARE INSTRUCTED TO PUT 10,000 PER MONTH FOR THE TELEPHONE</v>
          </cell>
        </row>
        <row r="555">
          <cell r="A555" t="str">
            <v>155-10-044</v>
          </cell>
          <cell r="B555">
            <v>110</v>
          </cell>
          <cell r="C555" t="str">
            <v>PROFFESSIONAL TRAINING</v>
          </cell>
          <cell r="D555">
            <v>0</v>
          </cell>
          <cell r="E555">
            <v>0</v>
          </cell>
          <cell r="F555">
            <v>0</v>
          </cell>
          <cell r="G555">
            <v>0</v>
          </cell>
        </row>
        <row r="556">
          <cell r="A556" t="str">
            <v>155-10-046</v>
          </cell>
          <cell r="B556">
            <v>110</v>
          </cell>
          <cell r="C556" t="str">
            <v xml:space="preserve">SUBSCRIPTION- STAFF CLUB MEMBERSHIP </v>
          </cell>
          <cell r="D556">
            <v>0</v>
          </cell>
          <cell r="E556">
            <v>0</v>
          </cell>
          <cell r="F556">
            <v>0</v>
          </cell>
          <cell r="G556">
            <v>0</v>
          </cell>
        </row>
        <row r="557">
          <cell r="A557" t="str">
            <v>155-10-054</v>
          </cell>
          <cell r="B557">
            <v>110</v>
          </cell>
          <cell r="C557" t="str">
            <v>LEASED LINES-INTERNET SERVICES</v>
          </cell>
          <cell r="D557">
            <v>0</v>
          </cell>
          <cell r="E557">
            <v>0</v>
          </cell>
          <cell r="F557">
            <v>0</v>
          </cell>
          <cell r="G557">
            <v>0</v>
          </cell>
        </row>
        <row r="558">
          <cell r="A558" t="str">
            <v>155-10-057</v>
          </cell>
          <cell r="B558">
            <v>110</v>
          </cell>
          <cell r="C558" t="str">
            <v>SOFTWARE LICENCES</v>
          </cell>
          <cell r="D558">
            <v>0</v>
          </cell>
          <cell r="E558">
            <v>0</v>
          </cell>
          <cell r="F558">
            <v>0</v>
          </cell>
          <cell r="G558">
            <v>0</v>
          </cell>
        </row>
        <row r="559">
          <cell r="A559" t="str">
            <v>155-10-059</v>
          </cell>
          <cell r="B559">
            <v>110</v>
          </cell>
          <cell r="E559">
            <v>0</v>
          </cell>
          <cell r="G559">
            <v>0</v>
          </cell>
        </row>
        <row r="560">
          <cell r="A560" t="str">
            <v>155-10-060</v>
          </cell>
          <cell r="B560">
            <v>110</v>
          </cell>
          <cell r="E560">
            <v>0</v>
          </cell>
          <cell r="G560">
            <v>0</v>
          </cell>
        </row>
        <row r="561">
          <cell r="A561" t="str">
            <v>155-10-062</v>
          </cell>
          <cell r="B561">
            <v>110</v>
          </cell>
          <cell r="C561" t="str">
            <v>EDUCATION EXPENSES</v>
          </cell>
          <cell r="D561">
            <v>0</v>
          </cell>
          <cell r="E561">
            <v>0</v>
          </cell>
          <cell r="F561">
            <v>0</v>
          </cell>
          <cell r="G561">
            <v>0</v>
          </cell>
          <cell r="H561">
            <v>0</v>
          </cell>
        </row>
        <row r="562">
          <cell r="A562" t="str">
            <v>160-10-010</v>
          </cell>
          <cell r="B562">
            <v>110</v>
          </cell>
          <cell r="E562">
            <v>0</v>
          </cell>
          <cell r="G562">
            <v>0</v>
          </cell>
        </row>
        <row r="563">
          <cell r="A563" t="str">
            <v>105-10-010</v>
          </cell>
          <cell r="B563">
            <v>120</v>
          </cell>
          <cell r="C563" t="str">
            <v>BASIC SALARY</v>
          </cell>
          <cell r="D563">
            <v>403792</v>
          </cell>
          <cell r="E563">
            <v>143000</v>
          </cell>
          <cell r="F563">
            <v>289500</v>
          </cell>
          <cell r="G563">
            <v>1.3947910189982728</v>
          </cell>
          <cell r="H563" t="str">
            <v>Necessited by the change in the salary of the Customer service support staff.</v>
          </cell>
        </row>
        <row r="564">
          <cell r="A564" t="str">
            <v>105-10-012</v>
          </cell>
          <cell r="B564">
            <v>120</v>
          </cell>
          <cell r="C564" t="str">
            <v>PROVISION FOR MORT. RATE ADJUSTMENTS</v>
          </cell>
          <cell r="D564">
            <v>0</v>
          </cell>
          <cell r="E564">
            <v>0</v>
          </cell>
          <cell r="F564">
            <v>0</v>
          </cell>
          <cell r="G564">
            <v>0</v>
          </cell>
        </row>
        <row r="565">
          <cell r="A565" t="str">
            <v>105-10-020</v>
          </cell>
          <cell r="B565">
            <v>120</v>
          </cell>
          <cell r="C565" t="str">
            <v>HOUSE ALLOWANCE</v>
          </cell>
          <cell r="D565">
            <v>31200</v>
          </cell>
          <cell r="E565">
            <v>18000</v>
          </cell>
          <cell r="F565">
            <v>31000</v>
          </cell>
          <cell r="G565">
            <v>1.0064516129032257</v>
          </cell>
        </row>
        <row r="566">
          <cell r="A566" t="str">
            <v>105-10-030</v>
          </cell>
          <cell r="B566">
            <v>120</v>
          </cell>
          <cell r="C566" t="str">
            <v>TELEPHONE ALLOWANCE</v>
          </cell>
          <cell r="D566">
            <v>0</v>
          </cell>
          <cell r="E566">
            <v>0</v>
          </cell>
          <cell r="F566">
            <v>0</v>
          </cell>
          <cell r="G566">
            <v>0</v>
          </cell>
        </row>
        <row r="567">
          <cell r="A567" t="str">
            <v>105-10-040</v>
          </cell>
          <cell r="B567">
            <v>120</v>
          </cell>
          <cell r="C567" t="str">
            <v>SECURITY ALLOWANCE</v>
          </cell>
          <cell r="D567">
            <v>0</v>
          </cell>
          <cell r="E567">
            <v>0</v>
          </cell>
          <cell r="F567">
            <v>0</v>
          </cell>
          <cell r="G567">
            <v>0</v>
          </cell>
        </row>
        <row r="568">
          <cell r="A568" t="str">
            <v>105-10-050</v>
          </cell>
          <cell r="B568">
            <v>120</v>
          </cell>
          <cell r="C568" t="str">
            <v>EDUCATION ALLOWANCE</v>
          </cell>
          <cell r="D568">
            <v>0</v>
          </cell>
          <cell r="E568">
            <v>0</v>
          </cell>
          <cell r="F568">
            <v>0</v>
          </cell>
          <cell r="G568">
            <v>0</v>
          </cell>
        </row>
        <row r="569">
          <cell r="A569" t="str">
            <v>105-10-060</v>
          </cell>
          <cell r="B569">
            <v>120</v>
          </cell>
          <cell r="C569" t="str">
            <v>TRAVEL ALLOWANCE</v>
          </cell>
          <cell r="D569">
            <v>0</v>
          </cell>
          <cell r="E569">
            <v>0</v>
          </cell>
          <cell r="F569">
            <v>0</v>
          </cell>
          <cell r="G569">
            <v>0</v>
          </cell>
        </row>
        <row r="570">
          <cell r="A570" t="str">
            <v>105-20-010</v>
          </cell>
          <cell r="B570">
            <v>120</v>
          </cell>
          <cell r="C570" t="str">
            <v>NSSF</v>
          </cell>
          <cell r="D570">
            <v>2400</v>
          </cell>
          <cell r="E570">
            <v>1000</v>
          </cell>
          <cell r="F570">
            <v>2000</v>
          </cell>
          <cell r="G570">
            <v>1.2</v>
          </cell>
        </row>
        <row r="571">
          <cell r="A571" t="str">
            <v>105-20-020</v>
          </cell>
          <cell r="B571">
            <v>120</v>
          </cell>
          <cell r="C571" t="str">
            <v>NHIF</v>
          </cell>
          <cell r="D571">
            <v>2880</v>
          </cell>
          <cell r="E571">
            <v>2000</v>
          </cell>
          <cell r="F571">
            <v>3200</v>
          </cell>
          <cell r="G571">
            <v>0.9</v>
          </cell>
        </row>
        <row r="572">
          <cell r="A572" t="str">
            <v>105-30-010</v>
          </cell>
          <cell r="B572">
            <v>120</v>
          </cell>
          <cell r="C572" t="str">
            <v xml:space="preserve">PENSION </v>
          </cell>
          <cell r="D572">
            <v>49224</v>
          </cell>
          <cell r="E572">
            <v>16000</v>
          </cell>
          <cell r="F572">
            <v>36510</v>
          </cell>
          <cell r="G572">
            <v>1.3482333607230896</v>
          </cell>
        </row>
        <row r="573">
          <cell r="A573" t="str">
            <v>105-30-020</v>
          </cell>
          <cell r="B573">
            <v>120</v>
          </cell>
          <cell r="C573" t="str">
            <v>LAST EXPENSE</v>
          </cell>
          <cell r="D573">
            <v>0</v>
          </cell>
          <cell r="E573">
            <v>1000</v>
          </cell>
          <cell r="F573">
            <v>1714.2857142857142</v>
          </cell>
          <cell r="G573">
            <v>0</v>
          </cell>
        </row>
        <row r="574">
          <cell r="A574" t="str">
            <v>105-30-030</v>
          </cell>
          <cell r="B574">
            <v>120</v>
          </cell>
          <cell r="C574" t="str">
            <v>GROUP LIFE ASSURANCE</v>
          </cell>
          <cell r="D574">
            <v>0</v>
          </cell>
          <cell r="E574">
            <v>3000</v>
          </cell>
          <cell r="F574">
            <v>5142.8571428571431</v>
          </cell>
          <cell r="G574">
            <v>0</v>
          </cell>
        </row>
        <row r="575">
          <cell r="A575" t="str">
            <v>105-30-040</v>
          </cell>
          <cell r="B575">
            <v>120</v>
          </cell>
          <cell r="C575" t="str">
            <v>STAFF MEDICAL</v>
          </cell>
          <cell r="D575">
            <v>0</v>
          </cell>
          <cell r="E575">
            <v>0</v>
          </cell>
          <cell r="F575">
            <v>0</v>
          </cell>
          <cell r="G575">
            <v>0</v>
          </cell>
        </row>
        <row r="576">
          <cell r="A576" t="str">
            <v>105-30-050</v>
          </cell>
          <cell r="B576">
            <v>120</v>
          </cell>
          <cell r="C576" t="str">
            <v>CASH IN LIEU OF LEAVE</v>
          </cell>
          <cell r="D576">
            <v>9844.7999999999993</v>
          </cell>
          <cell r="E576">
            <v>8000</v>
          </cell>
          <cell r="F576">
            <v>13714.285714285714</v>
          </cell>
          <cell r="G576">
            <v>0.71784999999999999</v>
          </cell>
        </row>
        <row r="577">
          <cell r="A577" t="str">
            <v>105-30-060</v>
          </cell>
          <cell r="B577">
            <v>120</v>
          </cell>
          <cell r="C577" t="str">
            <v>GRATUITY</v>
          </cell>
          <cell r="E577">
            <v>0</v>
          </cell>
          <cell r="F577">
            <v>0</v>
          </cell>
          <cell r="G577">
            <v>0</v>
          </cell>
        </row>
        <row r="578">
          <cell r="A578" t="str">
            <v>105-30-070</v>
          </cell>
          <cell r="B578">
            <v>120</v>
          </cell>
          <cell r="C578" t="str">
            <v>LONG SERVICE AWARDS</v>
          </cell>
          <cell r="D578">
            <v>0</v>
          </cell>
          <cell r="E578">
            <v>0</v>
          </cell>
          <cell r="F578">
            <v>0</v>
          </cell>
          <cell r="G578">
            <v>0</v>
          </cell>
        </row>
        <row r="579">
          <cell r="A579" t="str">
            <v>105-30-080</v>
          </cell>
          <cell r="B579">
            <v>120</v>
          </cell>
          <cell r="C579" t="str">
            <v>STAFF RECRUITMENT &amp; REMOVALS</v>
          </cell>
          <cell r="D579">
            <v>0</v>
          </cell>
          <cell r="E579">
            <v>0</v>
          </cell>
          <cell r="F579">
            <v>0</v>
          </cell>
          <cell r="G579">
            <v>0</v>
          </cell>
        </row>
        <row r="580">
          <cell r="A580" t="str">
            <v>115-10-010</v>
          </cell>
          <cell r="B580">
            <v>120</v>
          </cell>
          <cell r="D580">
            <v>0</v>
          </cell>
          <cell r="E580">
            <v>0</v>
          </cell>
          <cell r="F580">
            <v>0</v>
          </cell>
          <cell r="G580">
            <v>0</v>
          </cell>
        </row>
        <row r="581">
          <cell r="A581" t="str">
            <v>115-10-010</v>
          </cell>
          <cell r="B581">
            <v>120</v>
          </cell>
          <cell r="D581">
            <v>0</v>
          </cell>
          <cell r="F581">
            <v>0</v>
          </cell>
          <cell r="G581">
            <v>0</v>
          </cell>
        </row>
        <row r="582">
          <cell r="A582" t="str">
            <v>115-10-020</v>
          </cell>
          <cell r="B582">
            <v>120</v>
          </cell>
          <cell r="D582">
            <v>0</v>
          </cell>
          <cell r="E582">
            <v>0</v>
          </cell>
          <cell r="F582">
            <v>0</v>
          </cell>
          <cell r="G582">
            <v>0</v>
          </cell>
        </row>
        <row r="583">
          <cell r="A583" t="str">
            <v>115-10-020</v>
          </cell>
          <cell r="B583">
            <v>120</v>
          </cell>
          <cell r="D583">
            <v>0</v>
          </cell>
          <cell r="G583">
            <v>0</v>
          </cell>
        </row>
        <row r="584">
          <cell r="A584" t="str">
            <v>115-10-030</v>
          </cell>
          <cell r="B584">
            <v>120</v>
          </cell>
          <cell r="D584">
            <v>0</v>
          </cell>
          <cell r="E584">
            <v>0</v>
          </cell>
          <cell r="F584">
            <v>0</v>
          </cell>
          <cell r="G584">
            <v>0</v>
          </cell>
        </row>
        <row r="585">
          <cell r="A585" t="str">
            <v>115-10-030</v>
          </cell>
          <cell r="B585">
            <v>120</v>
          </cell>
          <cell r="D585">
            <v>0</v>
          </cell>
          <cell r="F585">
            <v>0</v>
          </cell>
          <cell r="G585">
            <v>0</v>
          </cell>
        </row>
        <row r="586">
          <cell r="A586" t="str">
            <v>115-10-040</v>
          </cell>
          <cell r="B586">
            <v>120</v>
          </cell>
          <cell r="D586">
            <v>384000</v>
          </cell>
          <cell r="E586">
            <v>112000</v>
          </cell>
          <cell r="F586">
            <v>192000</v>
          </cell>
          <cell r="G586">
            <v>2</v>
          </cell>
          <cell r="H586" t="str">
            <v>Cost of new premises significantly higher than current premises.</v>
          </cell>
        </row>
        <row r="587">
          <cell r="A587" t="str">
            <v>115-10-040</v>
          </cell>
          <cell r="B587">
            <v>120</v>
          </cell>
          <cell r="D587">
            <v>0</v>
          </cell>
          <cell r="F587">
            <v>0</v>
          </cell>
          <cell r="G587">
            <v>0</v>
          </cell>
        </row>
        <row r="588">
          <cell r="A588" t="str">
            <v>115-10-050</v>
          </cell>
          <cell r="B588">
            <v>120</v>
          </cell>
          <cell r="C588" t="str">
            <v>OFFICE CATERING &amp; STAFF WELFARE</v>
          </cell>
          <cell r="D588">
            <v>74240</v>
          </cell>
          <cell r="E588">
            <v>51250</v>
          </cell>
          <cell r="F588">
            <v>87857.142857142855</v>
          </cell>
          <cell r="G588">
            <v>0.84500813008130082</v>
          </cell>
          <cell r="H588" t="str">
            <v>Have taken into account refreshments in agents training twice a year.</v>
          </cell>
        </row>
        <row r="589">
          <cell r="A589" t="str">
            <v>115-10-051</v>
          </cell>
          <cell r="B589">
            <v>120</v>
          </cell>
          <cell r="C589" t="str">
            <v>OFFICE CLEANING</v>
          </cell>
          <cell r="D589">
            <v>48000</v>
          </cell>
          <cell r="E589">
            <v>45000</v>
          </cell>
          <cell r="F589">
            <v>45000</v>
          </cell>
          <cell r="G589">
            <v>1.0666666666666667</v>
          </cell>
        </row>
        <row r="590">
          <cell r="A590" t="str">
            <v>115-10-060</v>
          </cell>
          <cell r="B590">
            <v>120</v>
          </cell>
          <cell r="C590" t="str">
            <v>OFFICE WATER</v>
          </cell>
          <cell r="D590">
            <v>0</v>
          </cell>
          <cell r="G590">
            <v>0</v>
          </cell>
        </row>
        <row r="591">
          <cell r="A591" t="str">
            <v>115-10-070</v>
          </cell>
          <cell r="B591">
            <v>120</v>
          </cell>
          <cell r="C591" t="str">
            <v>OFFICE ELECTRICITY</v>
          </cell>
          <cell r="D591">
            <v>10800</v>
          </cell>
          <cell r="E591">
            <v>4000</v>
          </cell>
          <cell r="F591">
            <v>6857.1428571428569</v>
          </cell>
          <cell r="G591">
            <v>1.575</v>
          </cell>
        </row>
        <row r="592">
          <cell r="A592" t="str">
            <v>115-10-080</v>
          </cell>
          <cell r="B592">
            <v>120</v>
          </cell>
          <cell r="C592" t="str">
            <v>OFFICE SECURITY</v>
          </cell>
          <cell r="D592">
            <v>0</v>
          </cell>
          <cell r="E592">
            <v>0</v>
          </cell>
          <cell r="F592">
            <v>0</v>
          </cell>
          <cell r="G592">
            <v>0</v>
          </cell>
        </row>
        <row r="593">
          <cell r="A593" t="str">
            <v>125-10-010</v>
          </cell>
          <cell r="B593">
            <v>120</v>
          </cell>
          <cell r="C593" t="str">
            <v>BANK CHARGES</v>
          </cell>
          <cell r="D593">
            <v>24000</v>
          </cell>
          <cell r="E593">
            <v>12833</v>
          </cell>
          <cell r="F593">
            <v>22000</v>
          </cell>
          <cell r="G593">
            <v>1.0909090909090908</v>
          </cell>
        </row>
        <row r="594">
          <cell r="A594" t="str">
            <v>125-10-020</v>
          </cell>
          <cell r="B594">
            <v>120</v>
          </cell>
          <cell r="C594" t="str">
            <v>BANK OVERDRART CHARGES</v>
          </cell>
          <cell r="E594">
            <v>0</v>
          </cell>
          <cell r="F594">
            <v>0</v>
          </cell>
          <cell r="G594">
            <v>0</v>
          </cell>
        </row>
        <row r="595">
          <cell r="A595" t="str">
            <v>135-60-030</v>
          </cell>
          <cell r="B595">
            <v>120</v>
          </cell>
          <cell r="C595" t="str">
            <v>SALES PROMOTIONS &amp; COMPETITION</v>
          </cell>
          <cell r="D595">
            <v>0</v>
          </cell>
          <cell r="E595">
            <v>0</v>
          </cell>
          <cell r="F595">
            <v>0</v>
          </cell>
          <cell r="G595">
            <v>0</v>
          </cell>
        </row>
        <row r="596">
          <cell r="A596" t="str">
            <v>135-70-010</v>
          </cell>
          <cell r="B596">
            <v>120</v>
          </cell>
          <cell r="C596" t="str">
            <v>AGENCY PENSION</v>
          </cell>
          <cell r="D596">
            <v>0</v>
          </cell>
          <cell r="E596">
            <v>0</v>
          </cell>
          <cell r="F596">
            <v>0</v>
          </cell>
          <cell r="G596">
            <v>0</v>
          </cell>
        </row>
        <row r="597">
          <cell r="A597" t="str">
            <v>135-70-020</v>
          </cell>
          <cell r="B597">
            <v>120</v>
          </cell>
          <cell r="C597" t="str">
            <v>AGENCY GLA</v>
          </cell>
          <cell r="D597">
            <v>0</v>
          </cell>
          <cell r="E597">
            <v>0</v>
          </cell>
          <cell r="F597">
            <v>0</v>
          </cell>
          <cell r="G597">
            <v>0</v>
          </cell>
        </row>
        <row r="598">
          <cell r="A598" t="str">
            <v>135-70-030</v>
          </cell>
          <cell r="B598">
            <v>120</v>
          </cell>
          <cell r="C598" t="str">
            <v>AGENCY MEDICAL</v>
          </cell>
          <cell r="D598">
            <v>0</v>
          </cell>
          <cell r="E598">
            <v>0</v>
          </cell>
          <cell r="F598">
            <v>0</v>
          </cell>
          <cell r="G598">
            <v>0</v>
          </cell>
        </row>
        <row r="599">
          <cell r="A599" t="str">
            <v>135-70-040</v>
          </cell>
          <cell r="B599">
            <v>120</v>
          </cell>
          <cell r="C599" t="str">
            <v>AGENCY LAST EXPENSE</v>
          </cell>
          <cell r="D599">
            <v>0</v>
          </cell>
          <cell r="E599">
            <v>0</v>
          </cell>
          <cell r="F599">
            <v>0</v>
          </cell>
          <cell r="G599">
            <v>0</v>
          </cell>
        </row>
        <row r="600">
          <cell r="A600" t="str">
            <v>145-10-030</v>
          </cell>
          <cell r="B600">
            <v>120</v>
          </cell>
          <cell r="C600" t="str">
            <v>Audit fee -individual life</v>
          </cell>
          <cell r="D600">
            <v>0</v>
          </cell>
          <cell r="E600">
            <v>0</v>
          </cell>
          <cell r="F600">
            <v>0</v>
          </cell>
          <cell r="G600">
            <v>0</v>
          </cell>
        </row>
        <row r="601">
          <cell r="A601" t="str">
            <v>145-10-031</v>
          </cell>
          <cell r="B601">
            <v>120</v>
          </cell>
          <cell r="C601" t="str">
            <v>Tax filing returns</v>
          </cell>
          <cell r="D601">
            <v>0</v>
          </cell>
          <cell r="E601">
            <v>0</v>
          </cell>
          <cell r="F601">
            <v>0</v>
          </cell>
          <cell r="G601">
            <v>0</v>
          </cell>
        </row>
        <row r="602">
          <cell r="A602" t="str">
            <v>145-10-060</v>
          </cell>
          <cell r="B602">
            <v>120</v>
          </cell>
          <cell r="C602" t="str">
            <v>Intra company charges- individual life</v>
          </cell>
          <cell r="G602">
            <v>0</v>
          </cell>
        </row>
        <row r="603">
          <cell r="A603" t="str">
            <v>145-10-060</v>
          </cell>
          <cell r="B603">
            <v>120</v>
          </cell>
          <cell r="E603">
            <v>0</v>
          </cell>
          <cell r="G603">
            <v>0</v>
          </cell>
        </row>
        <row r="604">
          <cell r="A604" t="str">
            <v>145-10-080</v>
          </cell>
          <cell r="B604">
            <v>120</v>
          </cell>
          <cell r="C604" t="str">
            <v>40% Excutive recharge</v>
          </cell>
          <cell r="F604">
            <v>0</v>
          </cell>
          <cell r="G604">
            <v>0</v>
          </cell>
        </row>
        <row r="605">
          <cell r="A605" t="str">
            <v>145-10-080</v>
          </cell>
          <cell r="B605">
            <v>120</v>
          </cell>
          <cell r="C605" t="str">
            <v xml:space="preserve">Recharges: 10% recharge to Corporate </v>
          </cell>
          <cell r="E605">
            <v>0</v>
          </cell>
          <cell r="G605">
            <v>0</v>
          </cell>
        </row>
        <row r="606">
          <cell r="A606" t="str">
            <v>145-10-100</v>
          </cell>
          <cell r="B606">
            <v>120</v>
          </cell>
          <cell r="E606">
            <v>0</v>
          </cell>
          <cell r="G606">
            <v>0</v>
          </cell>
        </row>
        <row r="607">
          <cell r="A607" t="str">
            <v>155-10-007</v>
          </cell>
          <cell r="B607">
            <v>120</v>
          </cell>
          <cell r="C607" t="str">
            <v>NEWSPAPERS &amp; JOURNALS</v>
          </cell>
          <cell r="D607">
            <v>10560</v>
          </cell>
          <cell r="E607">
            <v>6000</v>
          </cell>
          <cell r="F607">
            <v>10285.714285714286</v>
          </cell>
          <cell r="G607">
            <v>1.0266666666666666</v>
          </cell>
          <cell r="H607" t="str">
            <v>AT 22 working days, the amount is correct, please check the assumption.</v>
          </cell>
        </row>
        <row r="608">
          <cell r="A608" t="str">
            <v>155-10-008</v>
          </cell>
          <cell r="B608">
            <v>120</v>
          </cell>
          <cell r="C608" t="str">
            <v>ENTERTAINMENT &amp; DONATIONS</v>
          </cell>
          <cell r="D608">
            <v>10000</v>
          </cell>
          <cell r="E608">
            <v>3000</v>
          </cell>
          <cell r="F608">
            <v>5142.8571428571431</v>
          </cell>
          <cell r="G608">
            <v>1.9444444444444444</v>
          </cell>
          <cell r="H608" t="str">
            <v>Will participate in the TSC eastern zone activities to promote sales, and handle LCO's.</v>
          </cell>
        </row>
        <row r="609">
          <cell r="A609" t="str">
            <v>155-10-009</v>
          </cell>
          <cell r="B609">
            <v>120</v>
          </cell>
          <cell r="C609" t="str">
            <v>COURIER &amp; FREIGHT CHARGES</v>
          </cell>
          <cell r="D609">
            <v>36960</v>
          </cell>
          <cell r="E609">
            <v>14000</v>
          </cell>
          <cell r="F609">
            <v>24000</v>
          </cell>
          <cell r="G609">
            <v>1.54</v>
          </cell>
          <cell r="H609" t="str">
            <v>Based on sending mail twice a week.  Please confirm year end assumptions.</v>
          </cell>
        </row>
        <row r="610">
          <cell r="A610" t="str">
            <v>155-10-010</v>
          </cell>
          <cell r="B610">
            <v>120</v>
          </cell>
          <cell r="C610" t="str">
            <v>ADVERTISING &amp; PUBLICITY</v>
          </cell>
          <cell r="D610">
            <v>0</v>
          </cell>
          <cell r="E610">
            <v>0</v>
          </cell>
          <cell r="F610">
            <v>0</v>
          </cell>
          <cell r="G610">
            <v>0</v>
          </cell>
        </row>
        <row r="611">
          <cell r="A611" t="str">
            <v>155-10-012</v>
          </cell>
          <cell r="B611">
            <v>120</v>
          </cell>
          <cell r="C611" t="str">
            <v>TRADE LICENCES</v>
          </cell>
          <cell r="D611">
            <v>27950</v>
          </cell>
          <cell r="E611">
            <v>16304.166666666668</v>
          </cell>
          <cell r="F611">
            <v>27950</v>
          </cell>
          <cell r="G611">
            <v>1</v>
          </cell>
          <cell r="H611">
            <v>1</v>
          </cell>
        </row>
        <row r="612">
          <cell r="A612" t="str">
            <v>155-10-013</v>
          </cell>
          <cell r="B612">
            <v>120</v>
          </cell>
          <cell r="C612" t="str">
            <v>INSURANCES</v>
          </cell>
          <cell r="D612">
            <v>0</v>
          </cell>
          <cell r="E612">
            <v>0</v>
          </cell>
          <cell r="F612">
            <v>0</v>
          </cell>
          <cell r="G612">
            <v>0</v>
          </cell>
        </row>
        <row r="613">
          <cell r="A613" t="str">
            <v>155-10-014</v>
          </cell>
          <cell r="B613">
            <v>120</v>
          </cell>
          <cell r="C613" t="str">
            <v>PHOTOCOPY</v>
          </cell>
          <cell r="D613">
            <v>0</v>
          </cell>
          <cell r="E613">
            <v>0</v>
          </cell>
          <cell r="F613">
            <v>0</v>
          </cell>
          <cell r="G613">
            <v>0</v>
          </cell>
        </row>
        <row r="614">
          <cell r="A614" t="str">
            <v>155-10-015</v>
          </cell>
          <cell r="B614">
            <v>120</v>
          </cell>
          <cell r="C614" t="str">
            <v>COMPUTER MAINTAINANCE</v>
          </cell>
          <cell r="D614">
            <v>10000</v>
          </cell>
          <cell r="E614">
            <v>0</v>
          </cell>
          <cell r="F614">
            <v>0</v>
          </cell>
          <cell r="G614">
            <v>0</v>
          </cell>
        </row>
        <row r="615">
          <cell r="A615" t="str">
            <v>155-10-016</v>
          </cell>
          <cell r="B615">
            <v>120</v>
          </cell>
          <cell r="C615" t="str">
            <v>EQUIPMENT&amp; FURNITURE REPAIRS &amp; MAINTENANCE</v>
          </cell>
          <cell r="D615">
            <v>6000</v>
          </cell>
          <cell r="E615">
            <v>2500</v>
          </cell>
          <cell r="F615">
            <v>4285.7142857142862</v>
          </cell>
          <cell r="G615">
            <v>1.4</v>
          </cell>
        </row>
        <row r="616">
          <cell r="A616" t="str">
            <v>155-10-017</v>
          </cell>
          <cell r="B616">
            <v>120</v>
          </cell>
          <cell r="C616" t="str">
            <v>SEMINARS &amp; SHORT TERM COURSES</v>
          </cell>
          <cell r="D616">
            <v>0</v>
          </cell>
          <cell r="E616">
            <v>6000</v>
          </cell>
          <cell r="F616">
            <v>10285.714285714286</v>
          </cell>
          <cell r="G616">
            <v>0</v>
          </cell>
        </row>
        <row r="617">
          <cell r="A617" t="str">
            <v>155-10-022</v>
          </cell>
          <cell r="B617">
            <v>120</v>
          </cell>
          <cell r="C617" t="str">
            <v>PRINTING &amp; STATIONERY</v>
          </cell>
          <cell r="D617">
            <v>107983</v>
          </cell>
          <cell r="E617">
            <v>33000</v>
          </cell>
          <cell r="F617">
            <v>56571.42857142858</v>
          </cell>
          <cell r="G617">
            <v>1.9087904040404038</v>
          </cell>
          <cell r="H617" t="str">
            <v>The branch had orders left over from last year, thus the assuption fro Ytgo may be wrong.</v>
          </cell>
        </row>
        <row r="618">
          <cell r="A618" t="str">
            <v>155-10-025</v>
          </cell>
          <cell r="B618">
            <v>120</v>
          </cell>
          <cell r="C618" t="str">
            <v>STRATEGIC PLANNING</v>
          </cell>
          <cell r="D618">
            <v>0</v>
          </cell>
          <cell r="E618">
            <v>0</v>
          </cell>
          <cell r="F618">
            <v>0</v>
          </cell>
          <cell r="G618">
            <v>0</v>
          </cell>
        </row>
        <row r="619">
          <cell r="A619" t="str">
            <v>155-10-027</v>
          </cell>
          <cell r="B619">
            <v>120</v>
          </cell>
          <cell r="C619" t="str">
            <v>PROFESSIONAL SUBSCRIPTIONS</v>
          </cell>
          <cell r="D619">
            <v>0</v>
          </cell>
          <cell r="E619">
            <v>0</v>
          </cell>
          <cell r="F619">
            <v>0</v>
          </cell>
          <cell r="G619">
            <v>0</v>
          </cell>
        </row>
        <row r="620">
          <cell r="A620" t="str">
            <v>155-10-028</v>
          </cell>
          <cell r="B620">
            <v>120</v>
          </cell>
          <cell r="C620" t="str">
            <v xml:space="preserve"> SUBSCRIPTIONS -COMPANY MEMBERSHIP</v>
          </cell>
          <cell r="D620">
            <v>0</v>
          </cell>
          <cell r="E620">
            <v>0</v>
          </cell>
          <cell r="F620">
            <v>0</v>
          </cell>
          <cell r="G620">
            <v>0</v>
          </cell>
        </row>
        <row r="621">
          <cell r="A621" t="str">
            <v>155-10-030</v>
          </cell>
          <cell r="B621">
            <v>120</v>
          </cell>
          <cell r="C621" t="str">
            <v>TRAVELLING &amp; ACCOMMODATION</v>
          </cell>
          <cell r="D621">
            <v>46968</v>
          </cell>
          <cell r="E621">
            <v>16000</v>
          </cell>
          <cell r="F621">
            <v>27428.571428571428</v>
          </cell>
          <cell r="G621">
            <v>1.712375</v>
          </cell>
          <cell r="H621" t="str">
            <v>Budgeted for unit managers/ SM's training and zone meetings.</v>
          </cell>
        </row>
        <row r="622">
          <cell r="A622" t="str">
            <v>155-10-032</v>
          </cell>
          <cell r="B622">
            <v>120</v>
          </cell>
          <cell r="C622" t="str">
            <v xml:space="preserve">MOTOR CAR EXPENSES </v>
          </cell>
          <cell r="D622">
            <v>0</v>
          </cell>
          <cell r="E622">
            <v>0</v>
          </cell>
          <cell r="F622">
            <v>0</v>
          </cell>
          <cell r="G622">
            <v>0</v>
          </cell>
        </row>
        <row r="623">
          <cell r="A623" t="str">
            <v>155-10-040</v>
          </cell>
          <cell r="B623">
            <v>120</v>
          </cell>
          <cell r="C623" t="str">
            <v>POSTAGE</v>
          </cell>
          <cell r="D623">
            <v>5292</v>
          </cell>
          <cell r="E623">
            <v>4000</v>
          </cell>
          <cell r="F623">
            <v>6857.1428571428569</v>
          </cell>
          <cell r="G623">
            <v>0.77175000000000005</v>
          </cell>
        </row>
        <row r="624">
          <cell r="A624" t="str">
            <v>155-10-041</v>
          </cell>
          <cell r="B624">
            <v>120</v>
          </cell>
          <cell r="C624" t="str">
            <v>TELEPHONE &amp; FAX</v>
          </cell>
          <cell r="D624">
            <v>96000</v>
          </cell>
          <cell r="E624">
            <v>127000</v>
          </cell>
          <cell r="F624">
            <v>217714.28571428568</v>
          </cell>
          <cell r="G624">
            <v>0.44094488188976383</v>
          </cell>
        </row>
        <row r="625">
          <cell r="A625" t="str">
            <v>155-10-044</v>
          </cell>
          <cell r="B625">
            <v>120</v>
          </cell>
          <cell r="C625" t="str">
            <v>PROFFESSIONAL TRAINING</v>
          </cell>
          <cell r="D625">
            <v>0</v>
          </cell>
          <cell r="E625">
            <v>0</v>
          </cell>
          <cell r="F625">
            <v>0</v>
          </cell>
          <cell r="G625">
            <v>0</v>
          </cell>
        </row>
        <row r="626">
          <cell r="A626" t="str">
            <v>155-10-046</v>
          </cell>
          <cell r="B626">
            <v>120</v>
          </cell>
          <cell r="C626" t="str">
            <v xml:space="preserve">SUBSCRIPTION- STAFF CLUB MEMBERSHIP </v>
          </cell>
          <cell r="D626">
            <v>10000</v>
          </cell>
          <cell r="E626">
            <v>0</v>
          </cell>
          <cell r="F626">
            <v>0</v>
          </cell>
          <cell r="G626">
            <v>0</v>
          </cell>
        </row>
        <row r="627">
          <cell r="A627" t="str">
            <v>155-10-054</v>
          </cell>
          <cell r="B627">
            <v>120</v>
          </cell>
          <cell r="C627" t="str">
            <v>LEASED LINES-INTERNET SERVICES</v>
          </cell>
          <cell r="D627">
            <v>0</v>
          </cell>
          <cell r="E627">
            <v>0</v>
          </cell>
          <cell r="F627">
            <v>0</v>
          </cell>
          <cell r="G627">
            <v>0</v>
          </cell>
        </row>
        <row r="628">
          <cell r="A628" t="str">
            <v>155-10-057</v>
          </cell>
          <cell r="B628">
            <v>120</v>
          </cell>
          <cell r="C628" t="str">
            <v>SOFTWARE LICENCES</v>
          </cell>
          <cell r="D628">
            <v>0</v>
          </cell>
          <cell r="E628">
            <v>0</v>
          </cell>
          <cell r="F628">
            <v>0</v>
          </cell>
          <cell r="G628">
            <v>0</v>
          </cell>
        </row>
        <row r="629">
          <cell r="A629" t="str">
            <v>155-10-059</v>
          </cell>
          <cell r="B629">
            <v>120</v>
          </cell>
          <cell r="E629">
            <v>0</v>
          </cell>
          <cell r="G629">
            <v>0</v>
          </cell>
        </row>
        <row r="630">
          <cell r="A630" t="str">
            <v>155-10-060</v>
          </cell>
          <cell r="B630">
            <v>120</v>
          </cell>
          <cell r="E630">
            <v>0</v>
          </cell>
          <cell r="G630">
            <v>0</v>
          </cell>
        </row>
        <row r="631">
          <cell r="A631" t="str">
            <v>155-10-062</v>
          </cell>
          <cell r="B631">
            <v>120</v>
          </cell>
          <cell r="C631" t="str">
            <v>EDUCATION EXPENSES</v>
          </cell>
          <cell r="D631">
            <v>0</v>
          </cell>
          <cell r="E631">
            <v>0</v>
          </cell>
          <cell r="F631">
            <v>0</v>
          </cell>
          <cell r="G631">
            <v>0</v>
          </cell>
        </row>
        <row r="632">
          <cell r="A632" t="str">
            <v>160-10-010</v>
          </cell>
          <cell r="B632">
            <v>120</v>
          </cell>
          <cell r="E632">
            <v>0</v>
          </cell>
          <cell r="G632">
            <v>0</v>
          </cell>
        </row>
        <row r="633">
          <cell r="A633" t="str">
            <v>105-10-010</v>
          </cell>
          <cell r="B633">
            <v>140</v>
          </cell>
          <cell r="C633" t="str">
            <v>BASIC SALARY</v>
          </cell>
          <cell r="D633">
            <v>251919.96</v>
          </cell>
          <cell r="E633">
            <v>136000</v>
          </cell>
          <cell r="F633">
            <v>226000</v>
          </cell>
          <cell r="G633">
            <v>1.1146900884955755</v>
          </cell>
        </row>
        <row r="634">
          <cell r="A634" t="str">
            <v>105-10-012</v>
          </cell>
          <cell r="B634">
            <v>140</v>
          </cell>
          <cell r="C634" t="str">
            <v>PROVISION FOR MORT. RATE ADJUSTMENTS</v>
          </cell>
          <cell r="D634">
            <v>0</v>
          </cell>
          <cell r="E634">
            <v>0</v>
          </cell>
          <cell r="F634">
            <v>0</v>
          </cell>
          <cell r="G634">
            <v>0</v>
          </cell>
        </row>
        <row r="635">
          <cell r="A635" t="str">
            <v>105-10-020</v>
          </cell>
          <cell r="B635">
            <v>140</v>
          </cell>
          <cell r="C635" t="str">
            <v>HOUSE ALLOWANCE</v>
          </cell>
          <cell r="D635">
            <v>31200</v>
          </cell>
          <cell r="E635">
            <v>18000</v>
          </cell>
          <cell r="F635">
            <v>31000</v>
          </cell>
          <cell r="G635">
            <v>1.0064516129032257</v>
          </cell>
        </row>
        <row r="636">
          <cell r="A636" t="str">
            <v>105-10-030</v>
          </cell>
          <cell r="B636">
            <v>140</v>
          </cell>
          <cell r="C636" t="str">
            <v>TELEPHONE ALLOWANCE</v>
          </cell>
          <cell r="D636">
            <v>0</v>
          </cell>
          <cell r="E636">
            <v>0</v>
          </cell>
          <cell r="F636">
            <v>0</v>
          </cell>
          <cell r="G636">
            <v>0</v>
          </cell>
        </row>
        <row r="637">
          <cell r="A637" t="str">
            <v>105-10-040</v>
          </cell>
          <cell r="B637">
            <v>140</v>
          </cell>
          <cell r="C637" t="str">
            <v>SECURITY ALLOWANCE</v>
          </cell>
          <cell r="D637">
            <v>0</v>
          </cell>
          <cell r="E637">
            <v>0</v>
          </cell>
          <cell r="F637">
            <v>0</v>
          </cell>
          <cell r="G637">
            <v>0</v>
          </cell>
        </row>
        <row r="638">
          <cell r="A638" t="str">
            <v>105-10-050</v>
          </cell>
          <cell r="B638">
            <v>140</v>
          </cell>
          <cell r="C638" t="str">
            <v>EDUCATION ALLOWANCE</v>
          </cell>
          <cell r="D638">
            <v>0</v>
          </cell>
          <cell r="E638">
            <v>0</v>
          </cell>
          <cell r="F638">
            <v>0</v>
          </cell>
          <cell r="G638">
            <v>0</v>
          </cell>
        </row>
        <row r="639">
          <cell r="A639" t="str">
            <v>105-10-060</v>
          </cell>
          <cell r="B639">
            <v>140</v>
          </cell>
          <cell r="C639" t="str">
            <v>TRAVEL ALLOWANCE</v>
          </cell>
          <cell r="D639">
            <v>0</v>
          </cell>
          <cell r="E639">
            <v>0</v>
          </cell>
          <cell r="F639">
            <v>0</v>
          </cell>
          <cell r="G639">
            <v>0</v>
          </cell>
        </row>
        <row r="640">
          <cell r="A640" t="str">
            <v>105-20-010</v>
          </cell>
          <cell r="B640">
            <v>140</v>
          </cell>
          <cell r="C640" t="str">
            <v>NSSF</v>
          </cell>
          <cell r="D640">
            <v>2400</v>
          </cell>
          <cell r="E640">
            <v>1000</v>
          </cell>
          <cell r="F640">
            <v>2000</v>
          </cell>
          <cell r="G640">
            <v>1.2</v>
          </cell>
        </row>
        <row r="641">
          <cell r="A641" t="str">
            <v>105-20-020</v>
          </cell>
          <cell r="B641">
            <v>140</v>
          </cell>
          <cell r="C641" t="str">
            <v>NHIF</v>
          </cell>
          <cell r="D641">
            <v>2880</v>
          </cell>
          <cell r="E641">
            <v>2000</v>
          </cell>
          <cell r="F641">
            <v>3200</v>
          </cell>
          <cell r="G641">
            <v>0.9</v>
          </cell>
        </row>
        <row r="642">
          <cell r="A642" t="str">
            <v>105-30-010</v>
          </cell>
          <cell r="B642">
            <v>140</v>
          </cell>
          <cell r="C642" t="str">
            <v xml:space="preserve">PENSION </v>
          </cell>
          <cell r="D642">
            <v>30240</v>
          </cell>
          <cell r="E642">
            <v>16000</v>
          </cell>
          <cell r="F642">
            <v>28600</v>
          </cell>
          <cell r="G642">
            <v>1.0573426573426576</v>
          </cell>
        </row>
        <row r="643">
          <cell r="A643" t="str">
            <v>105-30-020</v>
          </cell>
          <cell r="B643">
            <v>140</v>
          </cell>
          <cell r="C643" t="str">
            <v>LAST EXPENSE</v>
          </cell>
          <cell r="D643">
            <v>500</v>
          </cell>
          <cell r="E643">
            <v>1000</v>
          </cell>
          <cell r="F643">
            <v>1714.2857142857142</v>
          </cell>
          <cell r="G643">
            <v>0.29166666666666669</v>
          </cell>
        </row>
        <row r="644">
          <cell r="A644" t="str">
            <v>105-30-030</v>
          </cell>
          <cell r="B644">
            <v>140</v>
          </cell>
          <cell r="C644" t="str">
            <v>GROUP LIFE ASSURANCE</v>
          </cell>
          <cell r="D644">
            <v>2765.66</v>
          </cell>
          <cell r="E644">
            <v>2000</v>
          </cell>
          <cell r="F644">
            <v>3428.5714285714284</v>
          </cell>
          <cell r="G644">
            <v>0.80665083333333332</v>
          </cell>
        </row>
        <row r="645">
          <cell r="A645" t="str">
            <v>105-30-040</v>
          </cell>
          <cell r="B645">
            <v>140</v>
          </cell>
          <cell r="C645" t="str">
            <v>STAFF MEDICAL</v>
          </cell>
          <cell r="D645">
            <v>0</v>
          </cell>
          <cell r="E645">
            <v>0</v>
          </cell>
          <cell r="F645">
            <v>0</v>
          </cell>
          <cell r="G645">
            <v>0</v>
          </cell>
        </row>
        <row r="646">
          <cell r="A646" t="str">
            <v>105-30-050</v>
          </cell>
          <cell r="B646">
            <v>140</v>
          </cell>
          <cell r="D646">
            <v>6048</v>
          </cell>
          <cell r="E646">
            <v>-5000</v>
          </cell>
          <cell r="F646">
            <v>-8571.4285714285725</v>
          </cell>
          <cell r="G646">
            <v>-0.7056</v>
          </cell>
        </row>
        <row r="647">
          <cell r="A647" t="str">
            <v>105-30-060</v>
          </cell>
          <cell r="B647">
            <v>140</v>
          </cell>
          <cell r="C647" t="str">
            <v>GRATUITY</v>
          </cell>
          <cell r="E647">
            <v>0</v>
          </cell>
          <cell r="F647">
            <v>0</v>
          </cell>
          <cell r="G647">
            <v>0</v>
          </cell>
        </row>
        <row r="648">
          <cell r="A648" t="str">
            <v>105-30-070</v>
          </cell>
          <cell r="B648">
            <v>140</v>
          </cell>
          <cell r="C648" t="str">
            <v>LONG SERVICE AWARDS</v>
          </cell>
          <cell r="D648">
            <v>0</v>
          </cell>
          <cell r="E648">
            <v>0</v>
          </cell>
          <cell r="F648">
            <v>0</v>
          </cell>
          <cell r="G648">
            <v>0</v>
          </cell>
        </row>
        <row r="649">
          <cell r="A649" t="str">
            <v>105-30-080</v>
          </cell>
          <cell r="B649">
            <v>140</v>
          </cell>
          <cell r="C649" t="str">
            <v>STAFF RECRUITMENT &amp; REMOVALS</v>
          </cell>
          <cell r="D649">
            <v>0</v>
          </cell>
          <cell r="E649">
            <v>0</v>
          </cell>
          <cell r="F649">
            <v>0</v>
          </cell>
          <cell r="G649">
            <v>0</v>
          </cell>
        </row>
        <row r="650">
          <cell r="A650" t="str">
            <v>115-10-010</v>
          </cell>
          <cell r="B650">
            <v>140</v>
          </cell>
          <cell r="D650">
            <v>0</v>
          </cell>
          <cell r="E650">
            <v>0</v>
          </cell>
          <cell r="F650">
            <v>0</v>
          </cell>
          <cell r="G650">
            <v>0</v>
          </cell>
        </row>
        <row r="651">
          <cell r="A651" t="str">
            <v>115-10-010</v>
          </cell>
          <cell r="B651">
            <v>140</v>
          </cell>
          <cell r="D651">
            <v>0</v>
          </cell>
          <cell r="F651">
            <v>0</v>
          </cell>
          <cell r="G651">
            <v>0</v>
          </cell>
        </row>
        <row r="652">
          <cell r="A652" t="str">
            <v>115-10-020</v>
          </cell>
          <cell r="B652">
            <v>140</v>
          </cell>
          <cell r="D652">
            <v>0</v>
          </cell>
          <cell r="E652">
            <v>0</v>
          </cell>
          <cell r="F652">
            <v>0</v>
          </cell>
          <cell r="G652">
            <v>0</v>
          </cell>
        </row>
        <row r="653">
          <cell r="A653" t="str">
            <v>115-10-020</v>
          </cell>
          <cell r="B653">
            <v>140</v>
          </cell>
          <cell r="D653">
            <v>0</v>
          </cell>
          <cell r="G653">
            <v>0</v>
          </cell>
        </row>
        <row r="654">
          <cell r="A654" t="str">
            <v>115-10-030</v>
          </cell>
          <cell r="B654">
            <v>140</v>
          </cell>
          <cell r="D654">
            <v>0</v>
          </cell>
          <cell r="E654">
            <v>0</v>
          </cell>
          <cell r="F654">
            <v>0</v>
          </cell>
          <cell r="G654">
            <v>0</v>
          </cell>
        </row>
        <row r="655">
          <cell r="A655" t="str">
            <v>115-10-030</v>
          </cell>
          <cell r="B655">
            <v>140</v>
          </cell>
          <cell r="D655">
            <v>0</v>
          </cell>
          <cell r="F655">
            <v>0</v>
          </cell>
          <cell r="G655">
            <v>0</v>
          </cell>
        </row>
        <row r="656">
          <cell r="A656" t="str">
            <v>115-10-040</v>
          </cell>
          <cell r="B656">
            <v>140</v>
          </cell>
          <cell r="D656">
            <v>369000</v>
          </cell>
          <cell r="E656">
            <v>196000</v>
          </cell>
          <cell r="F656">
            <v>336000</v>
          </cell>
          <cell r="G656">
            <v>1.0982142857142858</v>
          </cell>
        </row>
        <row r="657">
          <cell r="A657" t="str">
            <v>115-10-040</v>
          </cell>
          <cell r="B657">
            <v>140</v>
          </cell>
          <cell r="D657">
            <v>0</v>
          </cell>
          <cell r="F657">
            <v>0</v>
          </cell>
          <cell r="G657">
            <v>0</v>
          </cell>
        </row>
        <row r="658">
          <cell r="A658" t="str">
            <v>115-10-050</v>
          </cell>
          <cell r="B658">
            <v>140</v>
          </cell>
          <cell r="C658" t="str">
            <v>OFFICE CATERING &amp; STAFF WELFARE</v>
          </cell>
          <cell r="D658">
            <v>102200</v>
          </cell>
          <cell r="E658">
            <v>55500</v>
          </cell>
          <cell r="F658">
            <v>95142.857142857145</v>
          </cell>
          <cell r="G658">
            <v>1.0741741741741742</v>
          </cell>
          <cell r="H658" t="str">
            <v>This is the actual when I use the rate provided by the total number of staff as 65</v>
          </cell>
        </row>
        <row r="659">
          <cell r="A659" t="str">
            <v>115-10-051</v>
          </cell>
          <cell r="B659">
            <v>140</v>
          </cell>
          <cell r="C659" t="str">
            <v>OFFICE CLEANING</v>
          </cell>
          <cell r="D659">
            <v>30000</v>
          </cell>
          <cell r="E659">
            <v>0</v>
          </cell>
          <cell r="F659">
            <v>0</v>
          </cell>
          <cell r="G659">
            <v>0</v>
          </cell>
        </row>
        <row r="660">
          <cell r="A660" t="str">
            <v>115-10-060</v>
          </cell>
          <cell r="B660">
            <v>140</v>
          </cell>
          <cell r="C660" t="str">
            <v>OFFICE WATER</v>
          </cell>
          <cell r="D660">
            <v>0</v>
          </cell>
          <cell r="E660">
            <v>2000</v>
          </cell>
          <cell r="F660">
            <v>3428.5714285714284</v>
          </cell>
          <cell r="G660">
            <v>0</v>
          </cell>
        </row>
        <row r="661">
          <cell r="A661" t="str">
            <v>115-10-070</v>
          </cell>
          <cell r="B661">
            <v>140</v>
          </cell>
          <cell r="C661" t="str">
            <v>OFFICE ELECTRICITY</v>
          </cell>
          <cell r="D661">
            <v>0</v>
          </cell>
          <cell r="E661">
            <v>1000</v>
          </cell>
          <cell r="F661">
            <v>1714.2857142857142</v>
          </cell>
          <cell r="G661">
            <v>0</v>
          </cell>
        </row>
        <row r="662">
          <cell r="A662" t="str">
            <v>115-10-080</v>
          </cell>
          <cell r="B662">
            <v>140</v>
          </cell>
          <cell r="C662" t="str">
            <v>OFFICE SECURITY</v>
          </cell>
          <cell r="D662">
            <v>12000</v>
          </cell>
          <cell r="E662">
            <v>0</v>
          </cell>
          <cell r="F662">
            <v>0</v>
          </cell>
          <cell r="G662">
            <v>0</v>
          </cell>
        </row>
        <row r="663">
          <cell r="A663" t="str">
            <v>125-10-010</v>
          </cell>
          <cell r="B663">
            <v>140</v>
          </cell>
          <cell r="C663" t="str">
            <v>BANK CHARGES</v>
          </cell>
          <cell r="D663">
            <v>30000</v>
          </cell>
          <cell r="E663">
            <v>-1000</v>
          </cell>
          <cell r="F663">
            <v>-1714.2857142857142</v>
          </cell>
          <cell r="G663">
            <v>-17.5</v>
          </cell>
        </row>
        <row r="664">
          <cell r="A664" t="str">
            <v>125-10-020</v>
          </cell>
          <cell r="B664">
            <v>140</v>
          </cell>
          <cell r="C664" t="str">
            <v>BANK OVERDRART CHARGES</v>
          </cell>
          <cell r="E664">
            <v>0</v>
          </cell>
          <cell r="F664">
            <v>0</v>
          </cell>
          <cell r="G664">
            <v>0</v>
          </cell>
        </row>
        <row r="665">
          <cell r="A665" t="str">
            <v>135-60-030</v>
          </cell>
          <cell r="B665">
            <v>140</v>
          </cell>
          <cell r="C665" t="str">
            <v>SALES PROMOTIONS &amp; COMPETITION</v>
          </cell>
          <cell r="D665">
            <v>0</v>
          </cell>
          <cell r="E665">
            <v>0</v>
          </cell>
          <cell r="F665">
            <v>0</v>
          </cell>
          <cell r="G665">
            <v>0</v>
          </cell>
        </row>
        <row r="666">
          <cell r="A666" t="str">
            <v>135-70-010</v>
          </cell>
          <cell r="B666">
            <v>140</v>
          </cell>
          <cell r="C666" t="str">
            <v>AGENCY PENSION</v>
          </cell>
          <cell r="D666">
            <v>0</v>
          </cell>
          <cell r="E666">
            <v>0</v>
          </cell>
          <cell r="F666">
            <v>0</v>
          </cell>
          <cell r="G666">
            <v>0</v>
          </cell>
        </row>
        <row r="667">
          <cell r="A667" t="str">
            <v>135-70-020</v>
          </cell>
          <cell r="B667">
            <v>140</v>
          </cell>
          <cell r="C667" t="str">
            <v>AGENCY GLA</v>
          </cell>
          <cell r="D667">
            <v>0</v>
          </cell>
          <cell r="E667">
            <v>0</v>
          </cell>
          <cell r="F667">
            <v>0</v>
          </cell>
          <cell r="G667">
            <v>0</v>
          </cell>
        </row>
        <row r="668">
          <cell r="A668" t="str">
            <v>135-70-030</v>
          </cell>
          <cell r="B668">
            <v>140</v>
          </cell>
          <cell r="C668" t="str">
            <v>AGENCY MEDICAL</v>
          </cell>
          <cell r="D668">
            <v>0</v>
          </cell>
          <cell r="E668">
            <v>0</v>
          </cell>
          <cell r="F668">
            <v>0</v>
          </cell>
          <cell r="G668">
            <v>0</v>
          </cell>
        </row>
        <row r="669">
          <cell r="A669" t="str">
            <v>135-70-040</v>
          </cell>
          <cell r="B669">
            <v>140</v>
          </cell>
          <cell r="C669" t="str">
            <v>AGENCY LAST EXPENSE</v>
          </cell>
          <cell r="D669">
            <v>0</v>
          </cell>
          <cell r="E669">
            <v>0</v>
          </cell>
          <cell r="F669">
            <v>0</v>
          </cell>
          <cell r="G669">
            <v>0</v>
          </cell>
        </row>
        <row r="670">
          <cell r="A670" t="str">
            <v>145-10-030</v>
          </cell>
          <cell r="B670">
            <v>140</v>
          </cell>
          <cell r="C670" t="str">
            <v>Audit fee -individual life</v>
          </cell>
          <cell r="D670">
            <v>0</v>
          </cell>
          <cell r="E670">
            <v>0</v>
          </cell>
          <cell r="F670">
            <v>0</v>
          </cell>
          <cell r="G670">
            <v>0</v>
          </cell>
        </row>
        <row r="671">
          <cell r="A671" t="str">
            <v>145-10-031</v>
          </cell>
          <cell r="B671">
            <v>140</v>
          </cell>
          <cell r="C671" t="str">
            <v>Tax filing returns</v>
          </cell>
          <cell r="D671">
            <v>0</v>
          </cell>
          <cell r="E671">
            <v>0</v>
          </cell>
          <cell r="F671">
            <v>0</v>
          </cell>
          <cell r="G671">
            <v>0</v>
          </cell>
        </row>
        <row r="672">
          <cell r="A672" t="str">
            <v>145-10-060</v>
          </cell>
          <cell r="B672">
            <v>140</v>
          </cell>
          <cell r="C672" t="str">
            <v>Intra company charges- individual life</v>
          </cell>
          <cell r="G672">
            <v>0</v>
          </cell>
        </row>
        <row r="673">
          <cell r="A673" t="str">
            <v>145-10-060</v>
          </cell>
          <cell r="B673">
            <v>140</v>
          </cell>
          <cell r="E673">
            <v>0</v>
          </cell>
          <cell r="G673">
            <v>0</v>
          </cell>
        </row>
        <row r="674">
          <cell r="A674" t="str">
            <v>145-10-080</v>
          </cell>
          <cell r="B674">
            <v>140</v>
          </cell>
          <cell r="C674" t="str">
            <v>40% Excutive recharge</v>
          </cell>
          <cell r="F674">
            <v>0</v>
          </cell>
          <cell r="G674">
            <v>0</v>
          </cell>
        </row>
        <row r="675">
          <cell r="A675" t="str">
            <v>145-10-080</v>
          </cell>
          <cell r="B675">
            <v>140</v>
          </cell>
          <cell r="C675" t="str">
            <v xml:space="preserve">Recharges: 10% recharge to Corporate </v>
          </cell>
          <cell r="E675">
            <v>0</v>
          </cell>
          <cell r="G675">
            <v>0</v>
          </cell>
        </row>
        <row r="676">
          <cell r="A676" t="str">
            <v>145-10-100</v>
          </cell>
          <cell r="B676">
            <v>140</v>
          </cell>
          <cell r="E676">
            <v>0</v>
          </cell>
          <cell r="G676">
            <v>0</v>
          </cell>
        </row>
        <row r="677">
          <cell r="A677" t="str">
            <v>155-10-007</v>
          </cell>
          <cell r="B677">
            <v>140</v>
          </cell>
          <cell r="C677" t="str">
            <v>NEWSPAPERS &amp; JOURNALS</v>
          </cell>
          <cell r="D677">
            <v>10560</v>
          </cell>
          <cell r="E677">
            <v>6000</v>
          </cell>
          <cell r="F677">
            <v>10285.714285714286</v>
          </cell>
          <cell r="G677">
            <v>1.0266666666666666</v>
          </cell>
          <cell r="H677" t="str">
            <v>An addition of the starndard newspapers</v>
          </cell>
        </row>
        <row r="678">
          <cell r="A678" t="str">
            <v>155-10-008</v>
          </cell>
          <cell r="B678">
            <v>140</v>
          </cell>
          <cell r="C678" t="str">
            <v>ENTERTAINMENT &amp; DONATIONS</v>
          </cell>
          <cell r="D678">
            <v>20000</v>
          </cell>
          <cell r="E678">
            <v>6000</v>
          </cell>
          <cell r="F678">
            <v>10285.714285714286</v>
          </cell>
          <cell r="G678">
            <v>1.9444444444444444</v>
          </cell>
        </row>
        <row r="679">
          <cell r="A679" t="str">
            <v>155-10-009</v>
          </cell>
          <cell r="B679">
            <v>140</v>
          </cell>
          <cell r="C679" t="str">
            <v>COURIER &amp; FREIGHT CHARGES</v>
          </cell>
          <cell r="E679">
            <v>45000</v>
          </cell>
          <cell r="F679">
            <v>77142.857142857145</v>
          </cell>
          <cell r="G679">
            <v>0.46666666666666667</v>
          </cell>
        </row>
        <row r="680">
          <cell r="A680" t="str">
            <v>155-10-010</v>
          </cell>
          <cell r="B680">
            <v>140</v>
          </cell>
          <cell r="C680" t="str">
            <v>ADVERTISING &amp; PUBLICITY</v>
          </cell>
          <cell r="D680">
            <v>0</v>
          </cell>
          <cell r="E680">
            <v>0</v>
          </cell>
          <cell r="F680">
            <v>0</v>
          </cell>
          <cell r="G680">
            <v>0</v>
          </cell>
        </row>
        <row r="681">
          <cell r="A681" t="str">
            <v>155-10-012</v>
          </cell>
          <cell r="B681">
            <v>140</v>
          </cell>
          <cell r="C681" t="str">
            <v>TRADE LICENCES</v>
          </cell>
          <cell r="D681">
            <v>30000</v>
          </cell>
          <cell r="E681">
            <v>17000</v>
          </cell>
          <cell r="F681">
            <v>17000</v>
          </cell>
          <cell r="G681">
            <v>1.7647058823529411</v>
          </cell>
        </row>
        <row r="682">
          <cell r="A682" t="str">
            <v>155-10-013</v>
          </cell>
          <cell r="B682">
            <v>140</v>
          </cell>
          <cell r="C682" t="str">
            <v>INSURANCES</v>
          </cell>
          <cell r="D682">
            <v>0</v>
          </cell>
          <cell r="E682">
            <v>0</v>
          </cell>
          <cell r="F682">
            <v>0</v>
          </cell>
          <cell r="G682">
            <v>0</v>
          </cell>
        </row>
        <row r="683">
          <cell r="A683" t="str">
            <v>155-10-014</v>
          </cell>
          <cell r="B683">
            <v>140</v>
          </cell>
          <cell r="C683" t="str">
            <v>PHOTOCOPY</v>
          </cell>
          <cell r="D683">
            <v>0</v>
          </cell>
          <cell r="E683">
            <v>0</v>
          </cell>
          <cell r="F683">
            <v>0</v>
          </cell>
          <cell r="G683">
            <v>0</v>
          </cell>
        </row>
        <row r="684">
          <cell r="A684" t="str">
            <v>155-10-015</v>
          </cell>
          <cell r="B684">
            <v>140</v>
          </cell>
          <cell r="C684" t="str">
            <v>COMPUTER MAINTAINANCE</v>
          </cell>
          <cell r="D684">
            <v>12500</v>
          </cell>
          <cell r="E684">
            <v>4000</v>
          </cell>
          <cell r="F684">
            <v>6857.1428571428569</v>
          </cell>
          <cell r="G684">
            <v>1.8229166666666667</v>
          </cell>
        </row>
        <row r="685">
          <cell r="A685" t="str">
            <v>155-10-016</v>
          </cell>
          <cell r="B685">
            <v>140</v>
          </cell>
          <cell r="C685" t="str">
            <v>EQUIPMENT&amp; FURNITURE REPAIRS &amp; MAINTENANCE</v>
          </cell>
          <cell r="D685">
            <v>9600</v>
          </cell>
          <cell r="E685">
            <v>3000</v>
          </cell>
          <cell r="F685">
            <v>5142.8571428571431</v>
          </cell>
          <cell r="G685">
            <v>1.8666666666666665</v>
          </cell>
          <cell r="H685" t="str">
            <v>Photocopier and Glass wall partioning anticipated repair incase of breakage has incrased this cost.</v>
          </cell>
        </row>
        <row r="686">
          <cell r="A686" t="str">
            <v>155-10-017</v>
          </cell>
          <cell r="B686">
            <v>140</v>
          </cell>
          <cell r="C686" t="str">
            <v>SEMINARS &amp; SHORT TERM COURSES</v>
          </cell>
          <cell r="D686">
            <v>17500</v>
          </cell>
          <cell r="E686">
            <v>6000</v>
          </cell>
          <cell r="F686">
            <v>10285.714285714286</v>
          </cell>
          <cell r="G686">
            <v>1.7013888888888888</v>
          </cell>
          <cell r="H686" t="str">
            <v>Both me and Josinta need the computer courses .I have budgeted oft agents motivation and consultant trainer I.e D.Mogere</v>
          </cell>
        </row>
        <row r="687">
          <cell r="A687" t="str">
            <v>155-10-022</v>
          </cell>
          <cell r="B687">
            <v>140</v>
          </cell>
          <cell r="C687" t="str">
            <v>PRINTING &amp; STATIONERY</v>
          </cell>
          <cell r="D687">
            <v>186317</v>
          </cell>
          <cell r="E687">
            <v>73000</v>
          </cell>
          <cell r="F687">
            <v>125142.85714285716</v>
          </cell>
          <cell r="G687">
            <v>1.4888344748858446</v>
          </cell>
          <cell r="H687" t="str">
            <v>Incrased number of sales and office has budgeted for items that were not in last years budget but needed.</v>
          </cell>
        </row>
        <row r="688">
          <cell r="A688" t="str">
            <v>155-10-025</v>
          </cell>
          <cell r="B688">
            <v>140</v>
          </cell>
          <cell r="C688" t="str">
            <v>STRATEGIC PLANNING</v>
          </cell>
          <cell r="D688">
            <v>0</v>
          </cell>
          <cell r="E688">
            <v>0</v>
          </cell>
          <cell r="F688">
            <v>0</v>
          </cell>
          <cell r="G688">
            <v>0</v>
          </cell>
        </row>
        <row r="689">
          <cell r="A689" t="str">
            <v>155-10-027</v>
          </cell>
          <cell r="B689">
            <v>140</v>
          </cell>
          <cell r="C689" t="str">
            <v>PROFESSIONAL SUBSCRIPTIONS</v>
          </cell>
          <cell r="D689">
            <v>0</v>
          </cell>
          <cell r="E689">
            <v>0</v>
          </cell>
          <cell r="F689">
            <v>0</v>
          </cell>
          <cell r="G689">
            <v>0</v>
          </cell>
        </row>
        <row r="690">
          <cell r="A690" t="str">
            <v>155-10-028</v>
          </cell>
          <cell r="B690">
            <v>140</v>
          </cell>
          <cell r="C690" t="str">
            <v xml:space="preserve"> SUBSCRIPTIONS -COMPANY MEMBERSHIP</v>
          </cell>
          <cell r="D690">
            <v>0</v>
          </cell>
          <cell r="E690">
            <v>0</v>
          </cell>
          <cell r="F690">
            <v>0</v>
          </cell>
          <cell r="G690">
            <v>0</v>
          </cell>
        </row>
        <row r="691">
          <cell r="A691" t="str">
            <v>155-10-030</v>
          </cell>
          <cell r="B691">
            <v>140</v>
          </cell>
          <cell r="C691" t="str">
            <v>TRAVELLING &amp; ACCOMMODATION</v>
          </cell>
          <cell r="D691">
            <v>90114.4</v>
          </cell>
          <cell r="E691">
            <v>29000</v>
          </cell>
          <cell r="F691">
            <v>49714.285714285717</v>
          </cell>
          <cell r="G691">
            <v>1.812645977011494</v>
          </cell>
          <cell r="H691" t="str">
            <v>Budgeted as per the number of trainings provided for for 2005</v>
          </cell>
        </row>
        <row r="692">
          <cell r="A692" t="str">
            <v>155-10-032</v>
          </cell>
          <cell r="B692">
            <v>140</v>
          </cell>
          <cell r="C692" t="str">
            <v xml:space="preserve">MOTOR CAR EXPENSES </v>
          </cell>
          <cell r="D692">
            <v>0</v>
          </cell>
          <cell r="E692">
            <v>0</v>
          </cell>
          <cell r="F692">
            <v>0</v>
          </cell>
          <cell r="G692">
            <v>0</v>
          </cell>
        </row>
        <row r="693">
          <cell r="A693" t="str">
            <v>155-10-040</v>
          </cell>
          <cell r="B693">
            <v>140</v>
          </cell>
          <cell r="C693" t="str">
            <v>POSTAGE</v>
          </cell>
          <cell r="D693">
            <v>10080</v>
          </cell>
          <cell r="E693">
            <v>6000</v>
          </cell>
          <cell r="F693">
            <v>10285.714285714286</v>
          </cell>
          <cell r="G693">
            <v>0.98</v>
          </cell>
        </row>
        <row r="694">
          <cell r="A694" t="str">
            <v>155-10-041</v>
          </cell>
          <cell r="B694">
            <v>140</v>
          </cell>
          <cell r="C694" t="str">
            <v>TELEPHONE &amp; FAX</v>
          </cell>
          <cell r="D694">
            <v>110000</v>
          </cell>
          <cell r="E694">
            <v>80000</v>
          </cell>
          <cell r="F694">
            <v>137142.85714285716</v>
          </cell>
          <cell r="G694">
            <v>0.80208333333333326</v>
          </cell>
          <cell r="H694" t="str">
            <v>Incrased number of sales and office has budgeted for items that were not in last years budget but needed.</v>
          </cell>
        </row>
        <row r="695">
          <cell r="A695" t="str">
            <v>155-10-044</v>
          </cell>
          <cell r="B695">
            <v>140</v>
          </cell>
          <cell r="C695" t="str">
            <v>PROFFESSIONAL TRAINING</v>
          </cell>
          <cell r="D695">
            <v>16625</v>
          </cell>
          <cell r="E695">
            <v>5000</v>
          </cell>
          <cell r="F695">
            <v>8571.4285714285725</v>
          </cell>
          <cell r="G695">
            <v>1.939583333333333</v>
          </cell>
          <cell r="H695" t="str">
            <v>We did not subscribe last year so % is up due to new entry</v>
          </cell>
        </row>
        <row r="696">
          <cell r="A696" t="str">
            <v>155-10-046</v>
          </cell>
          <cell r="B696">
            <v>140</v>
          </cell>
          <cell r="C696" t="str">
            <v xml:space="preserve">SUBSCRIPTION- STAFF CLUB MEMBERSHIP </v>
          </cell>
          <cell r="D696">
            <v>5000</v>
          </cell>
          <cell r="E696">
            <v>57000</v>
          </cell>
          <cell r="F696">
            <v>97714.28571428571</v>
          </cell>
          <cell r="G696">
            <v>5.1169590643274858E-2</v>
          </cell>
        </row>
        <row r="697">
          <cell r="A697" t="str">
            <v>155-10-054</v>
          </cell>
          <cell r="B697">
            <v>140</v>
          </cell>
          <cell r="C697" t="str">
            <v>LEASED LINES-INTERNET SERVICES</v>
          </cell>
          <cell r="D697">
            <v>0</v>
          </cell>
          <cell r="E697">
            <v>0</v>
          </cell>
          <cell r="F697">
            <v>0</v>
          </cell>
          <cell r="G697">
            <v>0</v>
          </cell>
        </row>
        <row r="698">
          <cell r="A698" t="str">
            <v>155-10-057</v>
          </cell>
          <cell r="B698">
            <v>140</v>
          </cell>
          <cell r="C698" t="str">
            <v>SOFTWARE LICENCES</v>
          </cell>
          <cell r="D698">
            <v>0</v>
          </cell>
          <cell r="E698">
            <v>0</v>
          </cell>
          <cell r="F698">
            <v>0</v>
          </cell>
          <cell r="G698">
            <v>0</v>
          </cell>
        </row>
        <row r="699">
          <cell r="A699" t="str">
            <v>155-10-059</v>
          </cell>
          <cell r="B699">
            <v>140</v>
          </cell>
          <cell r="E699">
            <v>0</v>
          </cell>
          <cell r="G699">
            <v>0</v>
          </cell>
        </row>
        <row r="700">
          <cell r="A700" t="str">
            <v>155-10-060</v>
          </cell>
          <cell r="B700">
            <v>140</v>
          </cell>
          <cell r="E700">
            <v>0</v>
          </cell>
          <cell r="G700">
            <v>0</v>
          </cell>
        </row>
        <row r="701">
          <cell r="A701" t="str">
            <v>155-10-062</v>
          </cell>
          <cell r="B701">
            <v>140</v>
          </cell>
          <cell r="C701" t="str">
            <v>EDUCATION EXPENSES</v>
          </cell>
          <cell r="D701">
            <v>0</v>
          </cell>
          <cell r="E701">
            <v>0</v>
          </cell>
          <cell r="F701">
            <v>0</v>
          </cell>
          <cell r="G701">
            <v>0</v>
          </cell>
        </row>
        <row r="702">
          <cell r="A702" t="str">
            <v>160-10-010</v>
          </cell>
          <cell r="B702">
            <v>140</v>
          </cell>
          <cell r="E702">
            <v>0</v>
          </cell>
          <cell r="G702">
            <v>0</v>
          </cell>
        </row>
        <row r="703">
          <cell r="A703" t="str">
            <v>105-10-010</v>
          </cell>
          <cell r="B703">
            <v>150</v>
          </cell>
          <cell r="C703" t="str">
            <v>BASIC SALARY</v>
          </cell>
          <cell r="D703">
            <v>609423.96</v>
          </cell>
          <cell r="E703">
            <v>312000</v>
          </cell>
          <cell r="F703">
            <v>535000</v>
          </cell>
          <cell r="G703">
            <v>1.1391102056074769</v>
          </cell>
          <cell r="H703" t="str">
            <v>Anticipated 10% pay increase.</v>
          </cell>
        </row>
        <row r="704">
          <cell r="A704" t="str">
            <v>105-10-012</v>
          </cell>
          <cell r="B704">
            <v>150</v>
          </cell>
          <cell r="C704" t="str">
            <v>PROVISION FOR MORT. RATE ADJUSTMENTS</v>
          </cell>
          <cell r="D704">
            <v>0</v>
          </cell>
          <cell r="E704">
            <v>0</v>
          </cell>
          <cell r="F704">
            <v>0</v>
          </cell>
          <cell r="G704">
            <v>0</v>
          </cell>
        </row>
        <row r="705">
          <cell r="A705" t="str">
            <v>105-10-020</v>
          </cell>
          <cell r="B705">
            <v>150</v>
          </cell>
          <cell r="C705" t="str">
            <v>HOUSE ALLOWANCE</v>
          </cell>
          <cell r="D705">
            <v>78000</v>
          </cell>
          <cell r="E705">
            <v>46000</v>
          </cell>
          <cell r="F705">
            <v>78500</v>
          </cell>
          <cell r="G705">
            <v>0.99363057324840764</v>
          </cell>
        </row>
        <row r="706">
          <cell r="A706" t="str">
            <v>105-10-030</v>
          </cell>
          <cell r="B706">
            <v>150</v>
          </cell>
          <cell r="C706" t="str">
            <v>TELEPHONE ALLOWANCE</v>
          </cell>
          <cell r="D706">
            <v>0</v>
          </cell>
          <cell r="E706">
            <v>0</v>
          </cell>
          <cell r="F706">
            <v>0</v>
          </cell>
          <cell r="G706">
            <v>0</v>
          </cell>
        </row>
        <row r="707">
          <cell r="A707" t="str">
            <v>105-10-040</v>
          </cell>
          <cell r="B707">
            <v>150</v>
          </cell>
          <cell r="C707" t="str">
            <v>SECURITY ALLOWANCE</v>
          </cell>
          <cell r="D707">
            <v>0</v>
          </cell>
          <cell r="E707">
            <v>0</v>
          </cell>
          <cell r="F707">
            <v>0</v>
          </cell>
          <cell r="G707">
            <v>0</v>
          </cell>
        </row>
        <row r="708">
          <cell r="A708" t="str">
            <v>105-10-050</v>
          </cell>
          <cell r="B708">
            <v>150</v>
          </cell>
          <cell r="C708" t="str">
            <v>EDUCATION ALLOWANCE</v>
          </cell>
          <cell r="D708">
            <v>0</v>
          </cell>
          <cell r="E708">
            <v>0</v>
          </cell>
          <cell r="F708">
            <v>0</v>
          </cell>
          <cell r="G708">
            <v>0</v>
          </cell>
        </row>
        <row r="709">
          <cell r="A709" t="str">
            <v>105-10-060</v>
          </cell>
          <cell r="B709">
            <v>150</v>
          </cell>
          <cell r="C709" t="str">
            <v>TRAVEL ALLOWANCE</v>
          </cell>
          <cell r="D709">
            <v>0</v>
          </cell>
          <cell r="E709">
            <v>0</v>
          </cell>
          <cell r="F709">
            <v>0</v>
          </cell>
          <cell r="G709">
            <v>0</v>
          </cell>
        </row>
        <row r="710">
          <cell r="A710" t="str">
            <v>105-20-010</v>
          </cell>
          <cell r="B710">
            <v>150</v>
          </cell>
          <cell r="C710" t="str">
            <v>NSSF</v>
          </cell>
          <cell r="D710">
            <v>2400</v>
          </cell>
          <cell r="E710">
            <v>1000</v>
          </cell>
          <cell r="F710">
            <v>2000</v>
          </cell>
          <cell r="G710">
            <v>1.2</v>
          </cell>
        </row>
        <row r="711">
          <cell r="A711" t="str">
            <v>105-20-020</v>
          </cell>
          <cell r="B711">
            <v>150</v>
          </cell>
          <cell r="C711" t="str">
            <v>NHIF</v>
          </cell>
          <cell r="D711">
            <v>2880</v>
          </cell>
          <cell r="E711">
            <v>1000</v>
          </cell>
          <cell r="F711">
            <v>2200</v>
          </cell>
          <cell r="G711">
            <v>1.3090909090909091</v>
          </cell>
        </row>
        <row r="712">
          <cell r="A712" t="str">
            <v>105-30-010</v>
          </cell>
          <cell r="B712">
            <v>150</v>
          </cell>
          <cell r="C712" t="str">
            <v xml:space="preserve">PENSION </v>
          </cell>
          <cell r="D712">
            <v>74928</v>
          </cell>
          <cell r="E712">
            <v>39000</v>
          </cell>
          <cell r="F712">
            <v>70220</v>
          </cell>
          <cell r="G712">
            <v>1.0670464255197951</v>
          </cell>
        </row>
        <row r="713">
          <cell r="A713" t="str">
            <v>105-30-020</v>
          </cell>
          <cell r="B713">
            <v>150</v>
          </cell>
          <cell r="C713" t="str">
            <v>LAST EXPENSE</v>
          </cell>
          <cell r="D713">
            <v>0</v>
          </cell>
          <cell r="E713">
            <v>0</v>
          </cell>
          <cell r="F713">
            <v>0</v>
          </cell>
          <cell r="G713">
            <v>0</v>
          </cell>
        </row>
        <row r="714">
          <cell r="A714" t="str">
            <v>105-30-030</v>
          </cell>
          <cell r="B714">
            <v>150</v>
          </cell>
          <cell r="C714" t="str">
            <v>GROUP LIFE ASSURANCE</v>
          </cell>
          <cell r="D714">
            <v>3600</v>
          </cell>
          <cell r="E714">
            <v>2041</v>
          </cell>
          <cell r="F714">
            <v>3498.8571428571427</v>
          </cell>
          <cell r="G714">
            <v>1.0289073983341499</v>
          </cell>
        </row>
        <row r="715">
          <cell r="A715" t="str">
            <v>105-30-040</v>
          </cell>
          <cell r="B715">
            <v>150</v>
          </cell>
          <cell r="C715" t="str">
            <v>STAFF MEDICAL</v>
          </cell>
          <cell r="D715">
            <v>0</v>
          </cell>
          <cell r="E715">
            <v>0</v>
          </cell>
          <cell r="F715">
            <v>0</v>
          </cell>
          <cell r="G715">
            <v>0</v>
          </cell>
        </row>
        <row r="716">
          <cell r="A716" t="str">
            <v>105-30-050</v>
          </cell>
          <cell r="B716">
            <v>150</v>
          </cell>
          <cell r="C716" t="str">
            <v>CASH IN LIEU OF LEAVE</v>
          </cell>
          <cell r="D716">
            <v>14985.6</v>
          </cell>
          <cell r="E716">
            <v>37000</v>
          </cell>
          <cell r="F716">
            <v>63428.57142857142</v>
          </cell>
          <cell r="G716">
            <v>0.23625945945945953</v>
          </cell>
        </row>
        <row r="717">
          <cell r="A717" t="str">
            <v>105-30-060</v>
          </cell>
          <cell r="B717">
            <v>150</v>
          </cell>
          <cell r="C717" t="str">
            <v>GRATUITY</v>
          </cell>
          <cell r="E717">
            <v>0</v>
          </cell>
          <cell r="F717">
            <v>0</v>
          </cell>
          <cell r="G717">
            <v>0</v>
          </cell>
        </row>
        <row r="718">
          <cell r="A718" t="str">
            <v>105-30-070</v>
          </cell>
          <cell r="B718">
            <v>150</v>
          </cell>
          <cell r="C718" t="str">
            <v>LONG SERVICE AWARDS</v>
          </cell>
          <cell r="D718">
            <v>0</v>
          </cell>
          <cell r="E718">
            <v>0</v>
          </cell>
          <cell r="F718">
            <v>0</v>
          </cell>
          <cell r="G718">
            <v>0</v>
          </cell>
        </row>
        <row r="719">
          <cell r="A719" t="str">
            <v>105-30-080</v>
          </cell>
          <cell r="B719">
            <v>150</v>
          </cell>
          <cell r="C719" t="str">
            <v>STAFF RECRUITMENT &amp; REMOVALS</v>
          </cell>
          <cell r="D719">
            <v>0</v>
          </cell>
          <cell r="E719">
            <v>0</v>
          </cell>
          <cell r="F719">
            <v>0</v>
          </cell>
          <cell r="G719">
            <v>0</v>
          </cell>
        </row>
        <row r="720">
          <cell r="A720" t="str">
            <v>115-10-010</v>
          </cell>
          <cell r="B720">
            <v>150</v>
          </cell>
          <cell r="D720">
            <v>0</v>
          </cell>
          <cell r="E720">
            <v>0</v>
          </cell>
          <cell r="F720">
            <v>0</v>
          </cell>
          <cell r="G720">
            <v>0</v>
          </cell>
        </row>
        <row r="721">
          <cell r="A721" t="str">
            <v>115-10-010</v>
          </cell>
          <cell r="B721">
            <v>150</v>
          </cell>
          <cell r="D721">
            <v>0</v>
          </cell>
          <cell r="F721">
            <v>0</v>
          </cell>
          <cell r="G721">
            <v>0</v>
          </cell>
        </row>
        <row r="722">
          <cell r="A722" t="str">
            <v>115-10-020</v>
          </cell>
          <cell r="B722">
            <v>150</v>
          </cell>
          <cell r="D722">
            <v>0</v>
          </cell>
          <cell r="E722">
            <v>0</v>
          </cell>
          <cell r="F722">
            <v>0</v>
          </cell>
          <cell r="G722">
            <v>0</v>
          </cell>
        </row>
        <row r="723">
          <cell r="A723" t="str">
            <v>115-10-020</v>
          </cell>
          <cell r="B723">
            <v>150</v>
          </cell>
          <cell r="D723">
            <v>0</v>
          </cell>
          <cell r="G723">
            <v>0</v>
          </cell>
        </row>
        <row r="724">
          <cell r="A724" t="str">
            <v>115-10-030</v>
          </cell>
          <cell r="B724">
            <v>150</v>
          </cell>
          <cell r="D724">
            <v>0</v>
          </cell>
          <cell r="E724">
            <v>0</v>
          </cell>
          <cell r="F724">
            <v>0</v>
          </cell>
          <cell r="G724">
            <v>0</v>
          </cell>
        </row>
        <row r="725">
          <cell r="A725" t="str">
            <v>115-10-030</v>
          </cell>
          <cell r="B725">
            <v>150</v>
          </cell>
          <cell r="D725">
            <v>0</v>
          </cell>
          <cell r="F725">
            <v>0</v>
          </cell>
          <cell r="G725">
            <v>0</v>
          </cell>
        </row>
        <row r="726">
          <cell r="A726" t="str">
            <v>115-10-040</v>
          </cell>
          <cell r="B726">
            <v>150</v>
          </cell>
          <cell r="D726">
            <v>1287936</v>
          </cell>
          <cell r="E726">
            <v>261000</v>
          </cell>
          <cell r="F726">
            <v>447428.57142857136</v>
          </cell>
          <cell r="G726">
            <v>2.8785287356321843</v>
          </cell>
          <cell r="H726" t="str">
            <v>For actual space occupied</v>
          </cell>
        </row>
        <row r="727">
          <cell r="A727" t="str">
            <v>115-10-040</v>
          </cell>
          <cell r="B727">
            <v>150</v>
          </cell>
          <cell r="D727">
            <v>0</v>
          </cell>
          <cell r="F727">
            <v>0</v>
          </cell>
          <cell r="G727">
            <v>0</v>
          </cell>
        </row>
        <row r="728">
          <cell r="A728" t="str">
            <v>115-10-050</v>
          </cell>
          <cell r="B728">
            <v>150</v>
          </cell>
          <cell r="C728" t="str">
            <v>OFFICE CATERING &amp; STAFF WELFARE</v>
          </cell>
          <cell r="D728">
            <v>62400</v>
          </cell>
          <cell r="E728">
            <v>28250</v>
          </cell>
          <cell r="F728">
            <v>48428.571428571428</v>
          </cell>
          <cell r="G728">
            <v>1.288495575221239</v>
          </cell>
        </row>
        <row r="729">
          <cell r="A729" t="str">
            <v>115-10-051</v>
          </cell>
          <cell r="B729">
            <v>150</v>
          </cell>
          <cell r="C729" t="str">
            <v>OFFICE CLEANING</v>
          </cell>
          <cell r="D729">
            <v>0</v>
          </cell>
          <cell r="E729">
            <v>0</v>
          </cell>
          <cell r="F729">
            <v>0</v>
          </cell>
          <cell r="G729">
            <v>0</v>
          </cell>
        </row>
        <row r="730">
          <cell r="A730" t="str">
            <v>115-10-060</v>
          </cell>
          <cell r="B730">
            <v>150</v>
          </cell>
          <cell r="C730" t="str">
            <v>OFFICE WATER</v>
          </cell>
          <cell r="D730">
            <v>0</v>
          </cell>
          <cell r="E730">
            <v>0</v>
          </cell>
          <cell r="F730">
            <v>0</v>
          </cell>
          <cell r="G730">
            <v>0</v>
          </cell>
        </row>
        <row r="731">
          <cell r="A731" t="str">
            <v>115-10-070</v>
          </cell>
          <cell r="B731">
            <v>150</v>
          </cell>
          <cell r="C731" t="str">
            <v>OFFICE ELECTRICITY</v>
          </cell>
          <cell r="D731">
            <v>0</v>
          </cell>
          <cell r="E731">
            <v>0</v>
          </cell>
          <cell r="F731">
            <v>0</v>
          </cell>
          <cell r="G731">
            <v>0</v>
          </cell>
        </row>
        <row r="732">
          <cell r="A732" t="str">
            <v>115-10-080</v>
          </cell>
          <cell r="B732">
            <v>150</v>
          </cell>
          <cell r="C732" t="str">
            <v>OFFICE SECURITY</v>
          </cell>
          <cell r="D732">
            <v>0</v>
          </cell>
          <cell r="E732">
            <v>0</v>
          </cell>
          <cell r="F732">
            <v>0</v>
          </cell>
          <cell r="G732">
            <v>0</v>
          </cell>
        </row>
        <row r="733">
          <cell r="A733" t="str">
            <v>125-10-010</v>
          </cell>
          <cell r="B733">
            <v>150</v>
          </cell>
          <cell r="C733" t="str">
            <v>BANK CHARGES</v>
          </cell>
          <cell r="D733">
            <v>12000</v>
          </cell>
          <cell r="E733">
            <v>1200</v>
          </cell>
          <cell r="F733">
            <v>2057.1428571428569</v>
          </cell>
          <cell r="G733">
            <v>5.8333333333333339</v>
          </cell>
        </row>
        <row r="734">
          <cell r="A734" t="str">
            <v>125-10-020</v>
          </cell>
          <cell r="B734">
            <v>150</v>
          </cell>
          <cell r="C734" t="str">
            <v>BANK OVERDRART CHARGES</v>
          </cell>
          <cell r="E734">
            <v>0</v>
          </cell>
          <cell r="F734">
            <v>0</v>
          </cell>
          <cell r="G734">
            <v>0</v>
          </cell>
        </row>
        <row r="735">
          <cell r="A735" t="str">
            <v>135-60-030</v>
          </cell>
          <cell r="B735">
            <v>150</v>
          </cell>
          <cell r="C735" t="str">
            <v>SALES PROMOTIONS &amp; COMPETITION</v>
          </cell>
          <cell r="D735">
            <v>0</v>
          </cell>
          <cell r="E735">
            <v>0</v>
          </cell>
          <cell r="F735">
            <v>0</v>
          </cell>
          <cell r="G735">
            <v>0</v>
          </cell>
        </row>
        <row r="736">
          <cell r="A736" t="str">
            <v>135-70-010</v>
          </cell>
          <cell r="B736">
            <v>150</v>
          </cell>
          <cell r="C736" t="str">
            <v>AGENCY PENSION</v>
          </cell>
          <cell r="D736">
            <v>0</v>
          </cell>
          <cell r="E736">
            <v>0</v>
          </cell>
          <cell r="F736">
            <v>0</v>
          </cell>
          <cell r="G736">
            <v>0</v>
          </cell>
        </row>
        <row r="737">
          <cell r="A737" t="str">
            <v>135-70-020</v>
          </cell>
          <cell r="B737">
            <v>150</v>
          </cell>
          <cell r="C737" t="str">
            <v>AGENCY GLA</v>
          </cell>
          <cell r="D737">
            <v>0</v>
          </cell>
          <cell r="E737">
            <v>0</v>
          </cell>
          <cell r="F737">
            <v>0</v>
          </cell>
          <cell r="G737">
            <v>0</v>
          </cell>
        </row>
        <row r="738">
          <cell r="A738" t="str">
            <v>135-70-030</v>
          </cell>
          <cell r="B738">
            <v>150</v>
          </cell>
          <cell r="C738" t="str">
            <v>AGENCY MEDICAL</v>
          </cell>
          <cell r="D738">
            <v>0</v>
          </cell>
          <cell r="E738">
            <v>0</v>
          </cell>
          <cell r="F738">
            <v>0</v>
          </cell>
          <cell r="G738">
            <v>0</v>
          </cell>
        </row>
        <row r="739">
          <cell r="A739" t="str">
            <v>135-70-040</v>
          </cell>
          <cell r="B739">
            <v>150</v>
          </cell>
          <cell r="C739" t="str">
            <v>AGENCY LAST EXPENSE</v>
          </cell>
          <cell r="D739">
            <v>0</v>
          </cell>
          <cell r="E739">
            <v>0</v>
          </cell>
          <cell r="F739">
            <v>0</v>
          </cell>
          <cell r="G739">
            <v>0</v>
          </cell>
        </row>
        <row r="740">
          <cell r="A740" t="str">
            <v>145-10-030</v>
          </cell>
          <cell r="B740">
            <v>150</v>
          </cell>
          <cell r="C740" t="str">
            <v>Audit fee -individual life</v>
          </cell>
          <cell r="D740">
            <v>0</v>
          </cell>
          <cell r="E740">
            <v>0</v>
          </cell>
          <cell r="F740">
            <v>0</v>
          </cell>
          <cell r="G740">
            <v>0</v>
          </cell>
        </row>
        <row r="741">
          <cell r="A741" t="str">
            <v>145-10-031</v>
          </cell>
          <cell r="B741">
            <v>150</v>
          </cell>
          <cell r="C741" t="str">
            <v>Tax filing returns</v>
          </cell>
          <cell r="D741">
            <v>0</v>
          </cell>
          <cell r="E741">
            <v>0</v>
          </cell>
          <cell r="F741">
            <v>0</v>
          </cell>
          <cell r="G741">
            <v>0</v>
          </cell>
        </row>
        <row r="742">
          <cell r="A742" t="str">
            <v>145-10-060</v>
          </cell>
          <cell r="B742">
            <v>150</v>
          </cell>
          <cell r="C742" t="str">
            <v>Intra company charges- individual life</v>
          </cell>
          <cell r="G742">
            <v>0</v>
          </cell>
        </row>
        <row r="743">
          <cell r="A743" t="str">
            <v>145-10-060</v>
          </cell>
          <cell r="B743">
            <v>150</v>
          </cell>
          <cell r="E743">
            <v>0</v>
          </cell>
          <cell r="G743">
            <v>0</v>
          </cell>
        </row>
        <row r="744">
          <cell r="A744" t="str">
            <v>145-10-080</v>
          </cell>
          <cell r="B744">
            <v>150</v>
          </cell>
          <cell r="C744" t="str">
            <v>40% Excutive recharge</v>
          </cell>
          <cell r="F744">
            <v>0</v>
          </cell>
          <cell r="G744">
            <v>0</v>
          </cell>
        </row>
        <row r="745">
          <cell r="A745" t="str">
            <v>145-10-080</v>
          </cell>
          <cell r="B745">
            <v>150</v>
          </cell>
          <cell r="C745" t="str">
            <v xml:space="preserve">Recharges: 10% recharge to Corporate </v>
          </cell>
          <cell r="E745">
            <v>0</v>
          </cell>
          <cell r="G745">
            <v>0</v>
          </cell>
        </row>
        <row r="746">
          <cell r="A746" t="str">
            <v>145-10-100</v>
          </cell>
          <cell r="B746">
            <v>150</v>
          </cell>
          <cell r="E746">
            <v>0</v>
          </cell>
          <cell r="G746">
            <v>0</v>
          </cell>
        </row>
        <row r="747">
          <cell r="A747" t="str">
            <v>155-10-007</v>
          </cell>
          <cell r="B747">
            <v>150</v>
          </cell>
          <cell r="C747" t="str">
            <v>NEWSPAPERS &amp; JOURNALS</v>
          </cell>
          <cell r="D747">
            <v>10560</v>
          </cell>
          <cell r="E747">
            <v>6000</v>
          </cell>
          <cell r="F747">
            <v>10285.714285714286</v>
          </cell>
          <cell r="G747">
            <v>1.0266666666666666</v>
          </cell>
          <cell r="H747" t="str">
            <v>This will be the cost of one newspaper for the branch in the entire year.</v>
          </cell>
        </row>
        <row r="748">
          <cell r="A748" t="str">
            <v>155-10-008</v>
          </cell>
          <cell r="B748">
            <v>150</v>
          </cell>
          <cell r="C748" t="str">
            <v>ENTERTAINMENT &amp; DONATIONS</v>
          </cell>
          <cell r="D748">
            <v>12000</v>
          </cell>
          <cell r="E748">
            <v>7000</v>
          </cell>
          <cell r="F748">
            <v>12000</v>
          </cell>
          <cell r="G748">
            <v>1</v>
          </cell>
          <cell r="H748" t="str">
            <v>because I want to maximize public relations with our main check offs, in order to cash in on more sales.</v>
          </cell>
        </row>
        <row r="749">
          <cell r="A749" t="str">
            <v>155-10-009</v>
          </cell>
          <cell r="B749">
            <v>150</v>
          </cell>
          <cell r="C749" t="str">
            <v>COURIER &amp; FREIGHT CHARGES</v>
          </cell>
          <cell r="D749">
            <v>0</v>
          </cell>
          <cell r="F749">
            <v>0</v>
          </cell>
          <cell r="G749">
            <v>0</v>
          </cell>
        </row>
        <row r="750">
          <cell r="A750" t="str">
            <v>155-10-010</v>
          </cell>
          <cell r="B750">
            <v>150</v>
          </cell>
          <cell r="C750" t="str">
            <v>ADVERTISING &amp; PUBLICITY</v>
          </cell>
          <cell r="D750">
            <v>0</v>
          </cell>
          <cell r="E750">
            <v>0</v>
          </cell>
          <cell r="F750">
            <v>0</v>
          </cell>
          <cell r="G750">
            <v>0</v>
          </cell>
        </row>
        <row r="751">
          <cell r="A751" t="str">
            <v>155-10-012</v>
          </cell>
          <cell r="B751">
            <v>150</v>
          </cell>
          <cell r="C751" t="str">
            <v>TRADE LICENCES</v>
          </cell>
          <cell r="D751">
            <v>0</v>
          </cell>
          <cell r="E751">
            <v>0</v>
          </cell>
          <cell r="F751">
            <v>0</v>
          </cell>
          <cell r="G751">
            <v>0</v>
          </cell>
        </row>
        <row r="752">
          <cell r="A752" t="str">
            <v>155-10-013</v>
          </cell>
          <cell r="B752">
            <v>150</v>
          </cell>
          <cell r="C752" t="str">
            <v>INSURANCES</v>
          </cell>
          <cell r="D752">
            <v>0</v>
          </cell>
          <cell r="E752">
            <v>0</v>
          </cell>
          <cell r="F752">
            <v>0</v>
          </cell>
          <cell r="G752">
            <v>0</v>
          </cell>
        </row>
        <row r="753">
          <cell r="A753" t="str">
            <v>155-10-014</v>
          </cell>
          <cell r="B753">
            <v>150</v>
          </cell>
          <cell r="C753" t="str">
            <v>PHOTOCOPY</v>
          </cell>
          <cell r="D753">
            <v>0</v>
          </cell>
          <cell r="E753">
            <v>0</v>
          </cell>
          <cell r="F753">
            <v>0</v>
          </cell>
          <cell r="G753">
            <v>0</v>
          </cell>
        </row>
        <row r="754">
          <cell r="A754" t="str">
            <v>155-10-015</v>
          </cell>
          <cell r="B754">
            <v>150</v>
          </cell>
          <cell r="C754" t="str">
            <v>COMPUTER MAINTAINANCE</v>
          </cell>
          <cell r="D754">
            <v>10500</v>
          </cell>
          <cell r="E754">
            <v>5000</v>
          </cell>
          <cell r="F754">
            <v>8571.4285714285725</v>
          </cell>
          <cell r="G754">
            <v>1.2250000000000001</v>
          </cell>
        </row>
        <row r="755">
          <cell r="A755" t="str">
            <v>155-10-016</v>
          </cell>
          <cell r="B755">
            <v>150</v>
          </cell>
          <cell r="C755" t="str">
            <v>EQUIPMENT&amp; FURNITURE REPAIRS &amp; MAINTENANCE</v>
          </cell>
          <cell r="D755">
            <v>4800</v>
          </cell>
          <cell r="E755">
            <v>4000</v>
          </cell>
          <cell r="F755">
            <v>6857.1428571428569</v>
          </cell>
          <cell r="G755">
            <v>0.7</v>
          </cell>
        </row>
        <row r="756">
          <cell r="A756" t="str">
            <v>155-10-017</v>
          </cell>
          <cell r="B756">
            <v>150</v>
          </cell>
          <cell r="C756" t="str">
            <v>SEMINARS &amp; SHORT TERM COURSES</v>
          </cell>
          <cell r="D756">
            <v>0</v>
          </cell>
          <cell r="E756">
            <v>0</v>
          </cell>
          <cell r="F756">
            <v>0</v>
          </cell>
          <cell r="G756">
            <v>0</v>
          </cell>
        </row>
        <row r="757">
          <cell r="A757" t="str">
            <v>155-10-022</v>
          </cell>
          <cell r="B757">
            <v>150</v>
          </cell>
          <cell r="C757" t="str">
            <v>PRINTING &amp; STATIONERY</v>
          </cell>
          <cell r="D757">
            <v>129593</v>
          </cell>
          <cell r="E757">
            <v>36000</v>
          </cell>
          <cell r="F757">
            <v>61714.285714285717</v>
          </cell>
          <cell r="G757">
            <v>2.0998865740740738</v>
          </cell>
          <cell r="H757" t="str">
            <v>The branch initially used stationery that was existing and thus the YTgo estimate may not be accurate</v>
          </cell>
        </row>
        <row r="758">
          <cell r="A758" t="str">
            <v>155-10-025</v>
          </cell>
          <cell r="B758">
            <v>150</v>
          </cell>
          <cell r="C758" t="str">
            <v>STRATEGIC PLANNING</v>
          </cell>
          <cell r="D758">
            <v>0</v>
          </cell>
          <cell r="E758">
            <v>0</v>
          </cell>
          <cell r="F758">
            <v>0</v>
          </cell>
          <cell r="G758">
            <v>0</v>
          </cell>
        </row>
        <row r="759">
          <cell r="A759" t="str">
            <v>155-10-027</v>
          </cell>
          <cell r="B759">
            <v>150</v>
          </cell>
          <cell r="C759" t="str">
            <v>PROFESSIONAL SUBSCRIPTIONS</v>
          </cell>
          <cell r="D759">
            <v>0</v>
          </cell>
          <cell r="E759">
            <v>0</v>
          </cell>
          <cell r="F759">
            <v>0</v>
          </cell>
          <cell r="G759">
            <v>0</v>
          </cell>
        </row>
        <row r="760">
          <cell r="A760" t="str">
            <v>155-10-028</v>
          </cell>
          <cell r="B760">
            <v>150</v>
          </cell>
          <cell r="C760" t="str">
            <v xml:space="preserve"> SUBSCRIPTIONS -COMPANY MEMBERSHIP</v>
          </cell>
          <cell r="D760">
            <v>0</v>
          </cell>
          <cell r="E760">
            <v>0</v>
          </cell>
          <cell r="F760">
            <v>0</v>
          </cell>
          <cell r="G760">
            <v>0</v>
          </cell>
        </row>
        <row r="761">
          <cell r="A761" t="str">
            <v>155-10-030</v>
          </cell>
          <cell r="B761">
            <v>150</v>
          </cell>
          <cell r="C761" t="str">
            <v>TRAVELLING &amp; ACCOMMODATION</v>
          </cell>
          <cell r="D761">
            <v>35800</v>
          </cell>
          <cell r="E761">
            <v>13000</v>
          </cell>
          <cell r="F761">
            <v>26000</v>
          </cell>
          <cell r="G761">
            <v>1.3769230769230769</v>
          </cell>
          <cell r="H761" t="str">
            <v>budgeted for accomodation on 3 branch visits.</v>
          </cell>
        </row>
        <row r="762">
          <cell r="A762" t="str">
            <v>155-10-032</v>
          </cell>
          <cell r="B762">
            <v>150</v>
          </cell>
          <cell r="C762" t="str">
            <v xml:space="preserve">MOTOR CAR EXPENSES </v>
          </cell>
          <cell r="D762">
            <v>0</v>
          </cell>
          <cell r="E762">
            <v>0</v>
          </cell>
          <cell r="F762">
            <v>0</v>
          </cell>
          <cell r="G762">
            <v>0</v>
          </cell>
        </row>
        <row r="763">
          <cell r="A763" t="str">
            <v>155-10-040</v>
          </cell>
          <cell r="B763">
            <v>150</v>
          </cell>
          <cell r="C763" t="str">
            <v>POSTAGE</v>
          </cell>
          <cell r="D763">
            <v>1200</v>
          </cell>
          <cell r="E763">
            <v>1000</v>
          </cell>
          <cell r="F763">
            <v>1714.2857142857142</v>
          </cell>
          <cell r="G763">
            <v>0.7</v>
          </cell>
        </row>
        <row r="764">
          <cell r="A764" t="str">
            <v>155-10-041</v>
          </cell>
          <cell r="B764">
            <v>150</v>
          </cell>
          <cell r="C764" t="str">
            <v>TELEPHONE &amp; FAX</v>
          </cell>
          <cell r="D764">
            <v>96000</v>
          </cell>
          <cell r="E764">
            <v>47000</v>
          </cell>
          <cell r="F764">
            <v>80000</v>
          </cell>
          <cell r="G764">
            <v>1.2</v>
          </cell>
          <cell r="H764" t="str">
            <v>Intend to facilitate the branch to reach more local check offs and enhance communication</v>
          </cell>
        </row>
        <row r="765">
          <cell r="A765" t="str">
            <v>155-10-044</v>
          </cell>
          <cell r="B765">
            <v>150</v>
          </cell>
          <cell r="C765" t="str">
            <v>PROFFESSIONAL TRAINING</v>
          </cell>
          <cell r="D765">
            <v>0</v>
          </cell>
          <cell r="E765">
            <v>0</v>
          </cell>
          <cell r="F765">
            <v>0</v>
          </cell>
          <cell r="G765">
            <v>0</v>
          </cell>
        </row>
        <row r="766">
          <cell r="A766" t="str">
            <v>155-10-046</v>
          </cell>
          <cell r="B766">
            <v>150</v>
          </cell>
          <cell r="C766" t="str">
            <v xml:space="preserve">SUBSCRIPTION- STAFF CLUB MEMBERSHIP </v>
          </cell>
          <cell r="D766">
            <v>0</v>
          </cell>
          <cell r="E766">
            <v>0</v>
          </cell>
          <cell r="F766">
            <v>0</v>
          </cell>
          <cell r="G766">
            <v>0</v>
          </cell>
        </row>
        <row r="767">
          <cell r="A767" t="str">
            <v>155-10-054</v>
          </cell>
          <cell r="B767">
            <v>150</v>
          </cell>
          <cell r="C767" t="str">
            <v>LEASED LINES-INTERNET SERVICES</v>
          </cell>
          <cell r="D767">
            <v>0</v>
          </cell>
          <cell r="E767">
            <v>0</v>
          </cell>
          <cell r="F767">
            <v>0</v>
          </cell>
          <cell r="G767">
            <v>0</v>
          </cell>
        </row>
        <row r="768">
          <cell r="A768" t="str">
            <v>155-10-057</v>
          </cell>
          <cell r="B768">
            <v>150</v>
          </cell>
          <cell r="C768" t="str">
            <v>SOFTWARE LICENCES</v>
          </cell>
          <cell r="D768">
            <v>0</v>
          </cell>
          <cell r="E768">
            <v>0</v>
          </cell>
          <cell r="F768">
            <v>0</v>
          </cell>
          <cell r="G768">
            <v>0</v>
          </cell>
        </row>
        <row r="769">
          <cell r="A769" t="str">
            <v>155-10-059</v>
          </cell>
          <cell r="B769">
            <v>150</v>
          </cell>
          <cell r="E769">
            <v>0</v>
          </cell>
          <cell r="G769">
            <v>0</v>
          </cell>
        </row>
        <row r="770">
          <cell r="A770" t="str">
            <v>155-10-060</v>
          </cell>
          <cell r="B770">
            <v>150</v>
          </cell>
          <cell r="E770">
            <v>0</v>
          </cell>
          <cell r="G770">
            <v>0</v>
          </cell>
        </row>
        <row r="771">
          <cell r="A771" t="str">
            <v>155-10-062</v>
          </cell>
          <cell r="B771">
            <v>150</v>
          </cell>
          <cell r="C771" t="str">
            <v>EDUCATION EXPENSES</v>
          </cell>
          <cell r="D771">
            <v>0</v>
          </cell>
          <cell r="E771">
            <v>0</v>
          </cell>
          <cell r="F771">
            <v>0</v>
          </cell>
          <cell r="G771">
            <v>0</v>
          </cell>
        </row>
        <row r="772">
          <cell r="A772" t="str">
            <v>160-10-010</v>
          </cell>
          <cell r="B772">
            <v>150</v>
          </cell>
          <cell r="E772">
            <v>0</v>
          </cell>
          <cell r="G772">
            <v>0</v>
          </cell>
        </row>
        <row r="773">
          <cell r="A773" t="str">
            <v>105-10-010</v>
          </cell>
          <cell r="B773">
            <v>160</v>
          </cell>
          <cell r="C773" t="str">
            <v>BASIC SALARY</v>
          </cell>
          <cell r="D773">
            <v>401103.96</v>
          </cell>
          <cell r="E773">
            <v>204000</v>
          </cell>
          <cell r="F773">
            <v>349500</v>
          </cell>
          <cell r="G773">
            <v>1.147650815450644</v>
          </cell>
        </row>
        <row r="774">
          <cell r="A774" t="str">
            <v>105-10-012</v>
          </cell>
          <cell r="B774">
            <v>160</v>
          </cell>
          <cell r="C774" t="str">
            <v>PROVISION FOR MORT. RATE ADJUSTMENTS</v>
          </cell>
          <cell r="D774">
            <v>0</v>
          </cell>
          <cell r="E774">
            <v>0</v>
          </cell>
          <cell r="F774">
            <v>0</v>
          </cell>
          <cell r="G774">
            <v>0</v>
          </cell>
        </row>
        <row r="775">
          <cell r="A775" t="str">
            <v>105-10-020</v>
          </cell>
          <cell r="B775">
            <v>160</v>
          </cell>
          <cell r="C775" t="str">
            <v>HOUSE ALLOWANCE</v>
          </cell>
          <cell r="D775">
            <v>62400</v>
          </cell>
          <cell r="E775">
            <v>36000</v>
          </cell>
          <cell r="F775">
            <v>62000</v>
          </cell>
          <cell r="G775">
            <v>1.0064516129032257</v>
          </cell>
        </row>
        <row r="776">
          <cell r="A776" t="str">
            <v>105-10-030</v>
          </cell>
          <cell r="B776">
            <v>160</v>
          </cell>
          <cell r="C776" t="str">
            <v>TELEPHONE ALLOWANCE</v>
          </cell>
          <cell r="D776">
            <v>0</v>
          </cell>
          <cell r="E776">
            <v>0</v>
          </cell>
          <cell r="F776">
            <v>0</v>
          </cell>
          <cell r="G776">
            <v>0</v>
          </cell>
        </row>
        <row r="777">
          <cell r="A777" t="str">
            <v>105-10-040</v>
          </cell>
          <cell r="B777">
            <v>160</v>
          </cell>
          <cell r="C777" t="str">
            <v>SECURITY ALLOWANCE</v>
          </cell>
          <cell r="D777">
            <v>0</v>
          </cell>
          <cell r="E777">
            <v>0</v>
          </cell>
          <cell r="F777">
            <v>0</v>
          </cell>
          <cell r="G777">
            <v>0</v>
          </cell>
        </row>
        <row r="778">
          <cell r="A778" t="str">
            <v>105-10-050</v>
          </cell>
          <cell r="B778">
            <v>160</v>
          </cell>
          <cell r="C778" t="str">
            <v>EDUCATION ALLOWANCE</v>
          </cell>
          <cell r="D778">
            <v>0</v>
          </cell>
          <cell r="E778">
            <v>0</v>
          </cell>
          <cell r="F778">
            <v>0</v>
          </cell>
          <cell r="G778">
            <v>0</v>
          </cell>
        </row>
        <row r="779">
          <cell r="A779" t="str">
            <v>105-10-060</v>
          </cell>
          <cell r="B779">
            <v>160</v>
          </cell>
          <cell r="C779" t="str">
            <v>TRAVEL ALLOWANCE</v>
          </cell>
          <cell r="D779">
            <v>0</v>
          </cell>
          <cell r="E779">
            <v>0</v>
          </cell>
          <cell r="F779">
            <v>0</v>
          </cell>
          <cell r="G779">
            <v>0</v>
          </cell>
        </row>
        <row r="780">
          <cell r="A780" t="str">
            <v>105-20-010</v>
          </cell>
          <cell r="B780">
            <v>160</v>
          </cell>
          <cell r="C780" t="str">
            <v>NSSF</v>
          </cell>
          <cell r="D780">
            <v>2400</v>
          </cell>
          <cell r="E780">
            <v>1000</v>
          </cell>
          <cell r="F780">
            <v>2000</v>
          </cell>
          <cell r="G780">
            <v>1.2</v>
          </cell>
        </row>
        <row r="781">
          <cell r="A781" t="str">
            <v>105-20-020</v>
          </cell>
          <cell r="B781">
            <v>160</v>
          </cell>
          <cell r="C781" t="str">
            <v>NHIF</v>
          </cell>
          <cell r="D781">
            <v>2880</v>
          </cell>
          <cell r="E781">
            <v>2000</v>
          </cell>
          <cell r="F781">
            <v>3200</v>
          </cell>
          <cell r="G781">
            <v>0.9</v>
          </cell>
        </row>
        <row r="782">
          <cell r="A782" t="str">
            <v>105-30-010</v>
          </cell>
          <cell r="B782">
            <v>160</v>
          </cell>
          <cell r="C782" t="str">
            <v xml:space="preserve">PENSION </v>
          </cell>
          <cell r="D782">
            <v>48888</v>
          </cell>
          <cell r="E782">
            <v>25000</v>
          </cell>
          <cell r="F782">
            <v>45370</v>
          </cell>
          <cell r="G782">
            <v>1.077540224818162</v>
          </cell>
        </row>
        <row r="783">
          <cell r="A783" t="str">
            <v>105-30-020</v>
          </cell>
          <cell r="B783">
            <v>160</v>
          </cell>
          <cell r="C783" t="str">
            <v>LAST EXPENSE</v>
          </cell>
          <cell r="D783">
            <v>2400</v>
          </cell>
          <cell r="E783">
            <v>2400</v>
          </cell>
          <cell r="F783">
            <v>2400</v>
          </cell>
          <cell r="G783">
            <v>1</v>
          </cell>
        </row>
        <row r="784">
          <cell r="A784" t="str">
            <v>105-30-030</v>
          </cell>
          <cell r="B784">
            <v>160</v>
          </cell>
          <cell r="C784" t="str">
            <v>GROUP LIFE ASSURANCE</v>
          </cell>
          <cell r="D784">
            <v>9000</v>
          </cell>
          <cell r="E784">
            <v>5000</v>
          </cell>
          <cell r="F784">
            <v>8571.4285714285725</v>
          </cell>
          <cell r="G784">
            <v>1.05</v>
          </cell>
        </row>
        <row r="785">
          <cell r="A785" t="str">
            <v>105-30-040</v>
          </cell>
          <cell r="B785">
            <v>160</v>
          </cell>
          <cell r="C785" t="str">
            <v>STAFF MEDICAL</v>
          </cell>
          <cell r="D785">
            <v>3000</v>
          </cell>
          <cell r="E785">
            <v>3000</v>
          </cell>
          <cell r="F785">
            <v>3000</v>
          </cell>
          <cell r="G785">
            <v>1</v>
          </cell>
        </row>
        <row r="786">
          <cell r="A786" t="str">
            <v>105-30-050</v>
          </cell>
          <cell r="B786">
            <v>160</v>
          </cell>
          <cell r="C786" t="str">
            <v>CASH IN LIEU OF LEAVE</v>
          </cell>
          <cell r="D786">
            <v>9777.6</v>
          </cell>
          <cell r="E786">
            <v>30000</v>
          </cell>
          <cell r="F786">
            <v>51428.57142857142</v>
          </cell>
          <cell r="G786">
            <v>0.19012000000000004</v>
          </cell>
        </row>
        <row r="787">
          <cell r="A787" t="str">
            <v>105-30-060</v>
          </cell>
          <cell r="B787">
            <v>160</v>
          </cell>
          <cell r="C787" t="str">
            <v>GRATUITY</v>
          </cell>
          <cell r="E787">
            <v>0</v>
          </cell>
          <cell r="F787">
            <v>0</v>
          </cell>
          <cell r="G787">
            <v>0</v>
          </cell>
        </row>
        <row r="788">
          <cell r="A788" t="str">
            <v>105-30-070</v>
          </cell>
          <cell r="B788">
            <v>160</v>
          </cell>
          <cell r="C788" t="str">
            <v>LONG SERVICE AWARDS</v>
          </cell>
          <cell r="D788">
            <v>0</v>
          </cell>
          <cell r="E788">
            <v>0</v>
          </cell>
          <cell r="F788">
            <v>0</v>
          </cell>
          <cell r="G788">
            <v>0</v>
          </cell>
        </row>
        <row r="789">
          <cell r="A789" t="str">
            <v>105-30-080</v>
          </cell>
          <cell r="B789">
            <v>160</v>
          </cell>
          <cell r="C789" t="str">
            <v>STAFF RECRUITMENT &amp; REMOVALS</v>
          </cell>
          <cell r="D789">
            <v>0</v>
          </cell>
          <cell r="E789">
            <v>0</v>
          </cell>
          <cell r="F789">
            <v>0</v>
          </cell>
          <cell r="G789">
            <v>0</v>
          </cell>
        </row>
        <row r="790">
          <cell r="A790" t="str">
            <v>115-10-010</v>
          </cell>
          <cell r="B790">
            <v>160</v>
          </cell>
          <cell r="D790">
            <v>0</v>
          </cell>
          <cell r="E790">
            <v>0</v>
          </cell>
          <cell r="F790">
            <v>0</v>
          </cell>
          <cell r="G790">
            <v>0</v>
          </cell>
        </row>
        <row r="791">
          <cell r="A791" t="str">
            <v>115-10-010</v>
          </cell>
          <cell r="B791">
            <v>160</v>
          </cell>
          <cell r="D791">
            <v>0</v>
          </cell>
          <cell r="F791">
            <v>0</v>
          </cell>
          <cell r="G791">
            <v>0</v>
          </cell>
        </row>
        <row r="792">
          <cell r="A792" t="str">
            <v>115-10-020</v>
          </cell>
          <cell r="B792">
            <v>160</v>
          </cell>
          <cell r="D792">
            <v>0</v>
          </cell>
          <cell r="E792">
            <v>0</v>
          </cell>
          <cell r="F792">
            <v>0</v>
          </cell>
          <cell r="G792">
            <v>0</v>
          </cell>
        </row>
        <row r="793">
          <cell r="A793" t="str">
            <v>115-10-020</v>
          </cell>
          <cell r="B793">
            <v>160</v>
          </cell>
          <cell r="D793">
            <v>0</v>
          </cell>
          <cell r="G793">
            <v>0</v>
          </cell>
        </row>
        <row r="794">
          <cell r="A794" t="str">
            <v>115-10-030</v>
          </cell>
          <cell r="B794">
            <v>160</v>
          </cell>
          <cell r="D794">
            <v>0</v>
          </cell>
          <cell r="E794">
            <v>0</v>
          </cell>
          <cell r="F794">
            <v>0</v>
          </cell>
          <cell r="G794">
            <v>0</v>
          </cell>
        </row>
        <row r="795">
          <cell r="A795" t="str">
            <v>115-10-030</v>
          </cell>
          <cell r="B795">
            <v>160</v>
          </cell>
          <cell r="D795">
            <v>0</v>
          </cell>
          <cell r="F795">
            <v>0</v>
          </cell>
          <cell r="G795">
            <v>0</v>
          </cell>
        </row>
        <row r="796">
          <cell r="A796" t="str">
            <v>115-10-040</v>
          </cell>
          <cell r="B796">
            <v>160</v>
          </cell>
          <cell r="D796">
            <v>864000</v>
          </cell>
          <cell r="E796">
            <v>261000</v>
          </cell>
          <cell r="F796">
            <v>447428.57142857136</v>
          </cell>
          <cell r="G796">
            <v>1.931034482758621</v>
          </cell>
        </row>
        <row r="797">
          <cell r="A797" t="str">
            <v>115-10-040</v>
          </cell>
          <cell r="B797">
            <v>160</v>
          </cell>
          <cell r="D797">
            <v>0</v>
          </cell>
          <cell r="F797">
            <v>0</v>
          </cell>
          <cell r="G797">
            <v>0</v>
          </cell>
        </row>
        <row r="798">
          <cell r="A798" t="str">
            <v>115-10-050</v>
          </cell>
          <cell r="B798">
            <v>160</v>
          </cell>
          <cell r="C798" t="str">
            <v>OFFICE CATERING &amp; STAFF WELFARE</v>
          </cell>
          <cell r="D798">
            <v>48800</v>
          </cell>
          <cell r="E798">
            <v>23250</v>
          </cell>
          <cell r="F798">
            <v>39857.142857142855</v>
          </cell>
          <cell r="G798">
            <v>1.224372759856631</v>
          </cell>
          <cell r="H798" t="str">
            <v>CURRENT YEAR ANNUAL PARTY NOT CONSIDERED, AND EXTRA COST FOR NEXT YEAR  2 DAYS TRAINING (SIMPLE LUNCH) FACTERED IN.</v>
          </cell>
        </row>
        <row r="799">
          <cell r="A799" t="str">
            <v>115-10-051</v>
          </cell>
          <cell r="B799">
            <v>160</v>
          </cell>
          <cell r="C799" t="str">
            <v>OFFICE CLEANING</v>
          </cell>
          <cell r="D799">
            <v>0</v>
          </cell>
          <cell r="E799">
            <v>0</v>
          </cell>
          <cell r="F799">
            <v>0</v>
          </cell>
          <cell r="G799">
            <v>0</v>
          </cell>
        </row>
        <row r="800">
          <cell r="A800" t="str">
            <v>115-10-060</v>
          </cell>
          <cell r="B800">
            <v>160</v>
          </cell>
          <cell r="C800" t="str">
            <v>OFFICE WATER</v>
          </cell>
          <cell r="D800">
            <v>0</v>
          </cell>
          <cell r="E800">
            <v>0</v>
          </cell>
          <cell r="F800">
            <v>0</v>
          </cell>
          <cell r="G800">
            <v>0</v>
          </cell>
        </row>
        <row r="801">
          <cell r="A801" t="str">
            <v>115-10-070</v>
          </cell>
          <cell r="B801">
            <v>160</v>
          </cell>
          <cell r="C801" t="str">
            <v>OFFICE ELECTRICITY</v>
          </cell>
          <cell r="D801">
            <v>0</v>
          </cell>
          <cell r="E801">
            <v>0</v>
          </cell>
          <cell r="F801">
            <v>0</v>
          </cell>
          <cell r="G801">
            <v>0</v>
          </cell>
        </row>
        <row r="802">
          <cell r="A802" t="str">
            <v>115-10-080</v>
          </cell>
          <cell r="B802">
            <v>160</v>
          </cell>
          <cell r="C802" t="str">
            <v>OFFICE SECURITY</v>
          </cell>
          <cell r="D802">
            <v>0</v>
          </cell>
          <cell r="E802">
            <v>0</v>
          </cell>
          <cell r="F802">
            <v>0</v>
          </cell>
          <cell r="G802">
            <v>0</v>
          </cell>
        </row>
        <row r="803">
          <cell r="A803" t="str">
            <v>125-10-010</v>
          </cell>
          <cell r="B803">
            <v>160</v>
          </cell>
          <cell r="C803" t="str">
            <v>BANK CHARGES</v>
          </cell>
          <cell r="D803">
            <v>0</v>
          </cell>
          <cell r="E803">
            <v>0</v>
          </cell>
          <cell r="F803">
            <v>0</v>
          </cell>
          <cell r="G803">
            <v>0</v>
          </cell>
        </row>
        <row r="804">
          <cell r="A804" t="str">
            <v>125-10-020</v>
          </cell>
          <cell r="B804">
            <v>160</v>
          </cell>
          <cell r="C804" t="str">
            <v>BANK OVERDRART CHARGES</v>
          </cell>
          <cell r="E804">
            <v>0</v>
          </cell>
          <cell r="F804">
            <v>0</v>
          </cell>
          <cell r="G804">
            <v>0</v>
          </cell>
        </row>
        <row r="805">
          <cell r="A805" t="str">
            <v>135-60-030</v>
          </cell>
          <cell r="B805">
            <v>160</v>
          </cell>
          <cell r="C805" t="str">
            <v>SALES PROMOTIONS &amp; COMPETITION</v>
          </cell>
          <cell r="D805">
            <v>0</v>
          </cell>
          <cell r="E805">
            <v>0</v>
          </cell>
          <cell r="F805">
            <v>0</v>
          </cell>
          <cell r="G805">
            <v>0</v>
          </cell>
        </row>
        <row r="806">
          <cell r="A806" t="str">
            <v>135-70-010</v>
          </cell>
          <cell r="B806">
            <v>160</v>
          </cell>
          <cell r="C806" t="str">
            <v>AGENCY PENSION</v>
          </cell>
          <cell r="D806">
            <v>0</v>
          </cell>
          <cell r="E806">
            <v>0</v>
          </cell>
          <cell r="F806">
            <v>0</v>
          </cell>
          <cell r="G806">
            <v>0</v>
          </cell>
        </row>
        <row r="807">
          <cell r="A807" t="str">
            <v>135-70-020</v>
          </cell>
          <cell r="B807">
            <v>160</v>
          </cell>
          <cell r="C807" t="str">
            <v>AGENCY GLA</v>
          </cell>
          <cell r="D807">
            <v>0</v>
          </cell>
          <cell r="E807">
            <v>0</v>
          </cell>
          <cell r="F807">
            <v>0</v>
          </cell>
          <cell r="G807">
            <v>0</v>
          </cell>
        </row>
        <row r="808">
          <cell r="A808" t="str">
            <v>135-70-030</v>
          </cell>
          <cell r="B808">
            <v>160</v>
          </cell>
          <cell r="C808" t="str">
            <v>AGENCY MEDICAL</v>
          </cell>
          <cell r="D808">
            <v>0</v>
          </cell>
          <cell r="E808">
            <v>0</v>
          </cell>
          <cell r="F808">
            <v>0</v>
          </cell>
          <cell r="G808">
            <v>0</v>
          </cell>
        </row>
        <row r="809">
          <cell r="A809" t="str">
            <v>135-70-040</v>
          </cell>
          <cell r="B809">
            <v>160</v>
          </cell>
          <cell r="C809" t="str">
            <v>AGENCY LAST EXPENSE</v>
          </cell>
          <cell r="D809">
            <v>0</v>
          </cell>
          <cell r="E809">
            <v>0</v>
          </cell>
          <cell r="F809">
            <v>0</v>
          </cell>
          <cell r="G809">
            <v>0</v>
          </cell>
        </row>
        <row r="810">
          <cell r="A810" t="str">
            <v>145-10-030</v>
          </cell>
          <cell r="B810">
            <v>160</v>
          </cell>
          <cell r="C810" t="str">
            <v>Audit fee -individual life</v>
          </cell>
          <cell r="D810">
            <v>0</v>
          </cell>
          <cell r="E810">
            <v>0</v>
          </cell>
          <cell r="F810">
            <v>0</v>
          </cell>
          <cell r="G810">
            <v>0</v>
          </cell>
        </row>
        <row r="811">
          <cell r="A811" t="str">
            <v>145-10-031</v>
          </cell>
          <cell r="B811">
            <v>160</v>
          </cell>
          <cell r="C811" t="str">
            <v>Tax filing returns</v>
          </cell>
          <cell r="D811">
            <v>0</v>
          </cell>
          <cell r="E811">
            <v>0</v>
          </cell>
          <cell r="F811">
            <v>0</v>
          </cell>
          <cell r="G811">
            <v>0</v>
          </cell>
        </row>
        <row r="812">
          <cell r="A812" t="str">
            <v>145-10-060</v>
          </cell>
          <cell r="B812">
            <v>160</v>
          </cell>
          <cell r="C812" t="str">
            <v>Intra company charges- individual life</v>
          </cell>
          <cell r="G812">
            <v>0</v>
          </cell>
        </row>
        <row r="813">
          <cell r="A813" t="str">
            <v>145-10-060</v>
          </cell>
          <cell r="B813">
            <v>160</v>
          </cell>
          <cell r="E813">
            <v>0</v>
          </cell>
          <cell r="G813">
            <v>0</v>
          </cell>
        </row>
        <row r="814">
          <cell r="A814" t="str">
            <v>145-10-080</v>
          </cell>
          <cell r="B814">
            <v>160</v>
          </cell>
          <cell r="C814" t="str">
            <v>40% Excutive recharge</v>
          </cell>
          <cell r="F814">
            <v>0</v>
          </cell>
          <cell r="G814">
            <v>0</v>
          </cell>
        </row>
        <row r="815">
          <cell r="A815" t="str">
            <v>145-10-080</v>
          </cell>
          <cell r="B815">
            <v>160</v>
          </cell>
          <cell r="C815" t="str">
            <v xml:space="preserve">Recharges: 10% recharge to Corporate </v>
          </cell>
          <cell r="E815">
            <v>0</v>
          </cell>
          <cell r="G815">
            <v>0</v>
          </cell>
        </row>
        <row r="816">
          <cell r="A816" t="str">
            <v>145-10-100</v>
          </cell>
          <cell r="B816">
            <v>160</v>
          </cell>
          <cell r="E816">
            <v>0</v>
          </cell>
          <cell r="G816">
            <v>0</v>
          </cell>
        </row>
        <row r="817">
          <cell r="A817" t="str">
            <v>155-10-007</v>
          </cell>
          <cell r="B817">
            <v>160</v>
          </cell>
          <cell r="C817" t="str">
            <v>NEWSPAPERS &amp; JOURNALS</v>
          </cell>
          <cell r="D817">
            <v>10560</v>
          </cell>
          <cell r="E817">
            <v>6000</v>
          </cell>
          <cell r="F817">
            <v>10285.714285714286</v>
          </cell>
          <cell r="G817">
            <v>1.0266666666666666</v>
          </cell>
          <cell r="H817" t="str">
            <v>CURRENT YEAR EXPENDITURE NOT UPDATED,(SALES MANAGER TO SORT OUT WITH ACCOUNTS DEPARTMENT)</v>
          </cell>
        </row>
        <row r="818">
          <cell r="A818" t="str">
            <v>155-10-008</v>
          </cell>
          <cell r="B818">
            <v>160</v>
          </cell>
          <cell r="C818" t="str">
            <v>ENTERTAINMENT &amp; DONATIONS</v>
          </cell>
          <cell r="D818">
            <v>13500</v>
          </cell>
          <cell r="E818">
            <v>3000</v>
          </cell>
          <cell r="F818">
            <v>5142.8571428571431</v>
          </cell>
          <cell r="G818">
            <v>2.625</v>
          </cell>
          <cell r="H818" t="str">
            <v>Does not pick new cost from Exp. Details sheet.</v>
          </cell>
        </row>
        <row r="819">
          <cell r="A819" t="str">
            <v>155-10-009</v>
          </cell>
          <cell r="B819">
            <v>160</v>
          </cell>
          <cell r="C819" t="str">
            <v>COURIER &amp; FREIGHT CHARGES</v>
          </cell>
          <cell r="D819">
            <v>0</v>
          </cell>
          <cell r="E819">
            <v>0</v>
          </cell>
          <cell r="F819">
            <v>0</v>
          </cell>
          <cell r="G819">
            <v>0</v>
          </cell>
        </row>
        <row r="820">
          <cell r="A820" t="str">
            <v>155-10-010</v>
          </cell>
          <cell r="B820">
            <v>160</v>
          </cell>
          <cell r="C820" t="str">
            <v>ADVERTISING &amp; PUBLICITY</v>
          </cell>
          <cell r="D820">
            <v>0</v>
          </cell>
          <cell r="E820">
            <v>0</v>
          </cell>
          <cell r="F820">
            <v>0</v>
          </cell>
          <cell r="G820">
            <v>0</v>
          </cell>
        </row>
        <row r="821">
          <cell r="A821" t="str">
            <v>155-10-012</v>
          </cell>
          <cell r="B821">
            <v>160</v>
          </cell>
          <cell r="C821" t="str">
            <v>TRADE LICENCES</v>
          </cell>
          <cell r="D821">
            <v>95000</v>
          </cell>
          <cell r="E821">
            <v>0</v>
          </cell>
          <cell r="F821">
            <v>0</v>
          </cell>
          <cell r="G821">
            <v>0</v>
          </cell>
        </row>
        <row r="822">
          <cell r="A822" t="str">
            <v>155-10-013</v>
          </cell>
          <cell r="B822">
            <v>160</v>
          </cell>
          <cell r="C822" t="str">
            <v>INSURANCES</v>
          </cell>
          <cell r="D822">
            <v>0</v>
          </cell>
          <cell r="E822">
            <v>0</v>
          </cell>
          <cell r="F822">
            <v>0</v>
          </cell>
          <cell r="G822">
            <v>0</v>
          </cell>
        </row>
        <row r="823">
          <cell r="A823" t="str">
            <v>155-10-014</v>
          </cell>
          <cell r="B823">
            <v>160</v>
          </cell>
          <cell r="C823" t="str">
            <v>PHOTOCOPY</v>
          </cell>
          <cell r="D823">
            <v>0</v>
          </cell>
          <cell r="E823">
            <v>0</v>
          </cell>
          <cell r="F823">
            <v>0</v>
          </cell>
          <cell r="G823">
            <v>0</v>
          </cell>
        </row>
        <row r="824">
          <cell r="A824" t="str">
            <v>155-10-015</v>
          </cell>
          <cell r="B824">
            <v>160</v>
          </cell>
          <cell r="C824" t="str">
            <v>COMPUTER MAINTAINANCE</v>
          </cell>
          <cell r="D824">
            <v>7000</v>
          </cell>
          <cell r="E824">
            <v>4500</v>
          </cell>
          <cell r="F824">
            <v>5500</v>
          </cell>
          <cell r="G824">
            <v>1.2727272727272727</v>
          </cell>
        </row>
        <row r="825">
          <cell r="A825" t="str">
            <v>155-10-016</v>
          </cell>
          <cell r="B825">
            <v>160</v>
          </cell>
          <cell r="C825" t="str">
            <v>EQUIPMENT&amp; FURNITURE REPAIRS &amp; MAINTENANCE</v>
          </cell>
          <cell r="D825">
            <v>3120</v>
          </cell>
          <cell r="E825">
            <v>3000</v>
          </cell>
          <cell r="F825">
            <v>5142.8571428571431</v>
          </cell>
          <cell r="G825">
            <v>0.60666666666666669</v>
          </cell>
        </row>
        <row r="826">
          <cell r="A826" t="str">
            <v>155-10-017</v>
          </cell>
          <cell r="B826">
            <v>160</v>
          </cell>
          <cell r="C826" t="str">
            <v>SEMINARS &amp; SHORT TERM COURSES</v>
          </cell>
          <cell r="D826">
            <v>50000</v>
          </cell>
          <cell r="E826">
            <v>2000</v>
          </cell>
          <cell r="F826">
            <v>3428.5714285714284</v>
          </cell>
          <cell r="G826">
            <v>14.583333333333334</v>
          </cell>
          <cell r="H826" t="str">
            <v>G.KARANJA TO PERSUE A DIPLOMA, AFTER COMPLETING THE CERTIFICATE COURSE</v>
          </cell>
        </row>
        <row r="827">
          <cell r="A827" t="str">
            <v>155-10-022</v>
          </cell>
          <cell r="B827">
            <v>160</v>
          </cell>
          <cell r="C827" t="str">
            <v>PRINTING &amp; STATIONERY</v>
          </cell>
          <cell r="D827">
            <v>92914</v>
          </cell>
          <cell r="E827">
            <v>18000</v>
          </cell>
          <cell r="F827">
            <v>30857.142857142859</v>
          </cell>
          <cell r="G827">
            <v>3.0111018518518518</v>
          </cell>
          <cell r="H827" t="str">
            <v>FLIP CHARTS,BUSINESS CARDS AND FULLSCAPS WERE NOT BUDGETED FOR IN CURRENT YEAR BUDGET.</v>
          </cell>
        </row>
        <row r="828">
          <cell r="A828" t="str">
            <v>155-10-025</v>
          </cell>
          <cell r="B828">
            <v>160</v>
          </cell>
          <cell r="C828" t="str">
            <v>STRATEGIC PLANNING</v>
          </cell>
          <cell r="D828">
            <v>0</v>
          </cell>
          <cell r="E828">
            <v>0</v>
          </cell>
          <cell r="F828">
            <v>0</v>
          </cell>
          <cell r="G828">
            <v>0</v>
          </cell>
        </row>
        <row r="829">
          <cell r="A829" t="str">
            <v>155-10-027</v>
          </cell>
          <cell r="B829">
            <v>160</v>
          </cell>
          <cell r="C829" t="str">
            <v>PROFESSIONAL SUBSCRIPTIONS</v>
          </cell>
          <cell r="D829">
            <v>0</v>
          </cell>
          <cell r="E829">
            <v>0</v>
          </cell>
          <cell r="F829">
            <v>0</v>
          </cell>
          <cell r="G829">
            <v>0</v>
          </cell>
        </row>
        <row r="830">
          <cell r="A830" t="str">
            <v>155-10-028</v>
          </cell>
          <cell r="B830">
            <v>160</v>
          </cell>
          <cell r="C830" t="str">
            <v xml:space="preserve"> SUBSCRIPTIONS -COMPANY MEMBERSHIP</v>
          </cell>
          <cell r="D830">
            <v>0</v>
          </cell>
          <cell r="E830">
            <v>0</v>
          </cell>
          <cell r="F830">
            <v>0</v>
          </cell>
          <cell r="G830">
            <v>0</v>
          </cell>
        </row>
        <row r="831">
          <cell r="A831" t="str">
            <v>155-10-030</v>
          </cell>
          <cell r="B831">
            <v>160</v>
          </cell>
          <cell r="C831" t="str">
            <v>TRAVELLING &amp; ACCOMMODATION</v>
          </cell>
          <cell r="D831">
            <v>18762.5</v>
          </cell>
          <cell r="E831">
            <v>7500</v>
          </cell>
          <cell r="F831">
            <v>15500</v>
          </cell>
          <cell r="G831">
            <v>1.2104838709677419</v>
          </cell>
          <cell r="H831" t="str">
            <v>BUDGETED FOR THE 4 ZONAL MEETING S IN THE YEAR WHICH WERE NOT IN CURRENT YEAR BUDGET.</v>
          </cell>
        </row>
        <row r="832">
          <cell r="A832" t="str">
            <v>155-10-032</v>
          </cell>
          <cell r="B832">
            <v>160</v>
          </cell>
          <cell r="C832" t="str">
            <v xml:space="preserve">MOTOR CAR EXPENSES </v>
          </cell>
          <cell r="D832">
            <v>0</v>
          </cell>
          <cell r="E832">
            <v>0</v>
          </cell>
          <cell r="F832">
            <v>0</v>
          </cell>
          <cell r="G832">
            <v>0</v>
          </cell>
        </row>
        <row r="833">
          <cell r="A833" t="str">
            <v>155-10-040</v>
          </cell>
          <cell r="B833">
            <v>160</v>
          </cell>
          <cell r="C833" t="str">
            <v>POSTAGE</v>
          </cell>
          <cell r="D833">
            <v>0</v>
          </cell>
          <cell r="E833">
            <v>1000</v>
          </cell>
          <cell r="F833">
            <v>1714.2857142857142</v>
          </cell>
          <cell r="G833">
            <v>0</v>
          </cell>
        </row>
        <row r="834">
          <cell r="A834" t="str">
            <v>155-10-041</v>
          </cell>
          <cell r="B834">
            <v>160</v>
          </cell>
          <cell r="C834" t="str">
            <v>TELEPHONE &amp; FAX</v>
          </cell>
          <cell r="D834">
            <v>60000</v>
          </cell>
          <cell r="E834">
            <v>41000</v>
          </cell>
          <cell r="F834">
            <v>70285.71428571429</v>
          </cell>
          <cell r="G834">
            <v>0.85365853658536583</v>
          </cell>
        </row>
        <row r="835">
          <cell r="A835" t="str">
            <v>155-10-044</v>
          </cell>
          <cell r="B835">
            <v>160</v>
          </cell>
          <cell r="C835" t="str">
            <v>PROFFESSIONAL TRAINING</v>
          </cell>
          <cell r="D835">
            <v>10625</v>
          </cell>
          <cell r="E835">
            <v>19000</v>
          </cell>
          <cell r="F835">
            <v>32571.428571428572</v>
          </cell>
          <cell r="G835">
            <v>0.32620614035087719</v>
          </cell>
        </row>
        <row r="836">
          <cell r="A836" t="str">
            <v>155-10-046</v>
          </cell>
          <cell r="B836">
            <v>160</v>
          </cell>
          <cell r="C836" t="str">
            <v xml:space="preserve">SUBSCRIPTION- STAFF CLUB MEMBERSHIP </v>
          </cell>
          <cell r="D836">
            <v>0</v>
          </cell>
          <cell r="E836">
            <v>15000</v>
          </cell>
          <cell r="F836">
            <v>25714.28571428571</v>
          </cell>
          <cell r="G836">
            <v>0</v>
          </cell>
          <cell r="H836" t="str">
            <v>Assumes that the cost already paid will double in the year which is false.</v>
          </cell>
        </row>
        <row r="837">
          <cell r="A837" t="str">
            <v>155-10-054</v>
          </cell>
          <cell r="B837">
            <v>160</v>
          </cell>
          <cell r="C837" t="str">
            <v>LEASED LINES-INTERNET SERVICES</v>
          </cell>
          <cell r="D837">
            <v>0</v>
          </cell>
          <cell r="E837">
            <v>0</v>
          </cell>
          <cell r="F837">
            <v>0</v>
          </cell>
          <cell r="G837">
            <v>0</v>
          </cell>
        </row>
        <row r="838">
          <cell r="A838" t="str">
            <v>155-10-057</v>
          </cell>
          <cell r="B838">
            <v>160</v>
          </cell>
          <cell r="C838" t="str">
            <v>SOFTWARE LICENCES</v>
          </cell>
          <cell r="D838">
            <v>0</v>
          </cell>
          <cell r="E838">
            <v>0</v>
          </cell>
          <cell r="F838">
            <v>0</v>
          </cell>
          <cell r="G838">
            <v>0</v>
          </cell>
          <cell r="H838" t="str">
            <v>Total cost for the course above not posted.</v>
          </cell>
        </row>
        <row r="839">
          <cell r="A839" t="str">
            <v>155-10-059</v>
          </cell>
          <cell r="B839">
            <v>160</v>
          </cell>
          <cell r="E839">
            <v>0</v>
          </cell>
          <cell r="G839">
            <v>0</v>
          </cell>
        </row>
        <row r="840">
          <cell r="A840" t="str">
            <v>155-10-060</v>
          </cell>
          <cell r="B840">
            <v>160</v>
          </cell>
          <cell r="E840">
            <v>0</v>
          </cell>
          <cell r="G840">
            <v>0</v>
          </cell>
        </row>
        <row r="841">
          <cell r="A841" t="str">
            <v>155-10-062</v>
          </cell>
          <cell r="B841">
            <v>160</v>
          </cell>
          <cell r="C841" t="str">
            <v>EDUCATION EXPENSES</v>
          </cell>
          <cell r="D841">
            <v>0</v>
          </cell>
          <cell r="E841">
            <v>0</v>
          </cell>
          <cell r="F841">
            <v>0</v>
          </cell>
          <cell r="G841">
            <v>0</v>
          </cell>
        </row>
        <row r="842">
          <cell r="A842" t="str">
            <v>160-10-010</v>
          </cell>
          <cell r="B842">
            <v>160</v>
          </cell>
          <cell r="E842">
            <v>0</v>
          </cell>
          <cell r="G842">
            <v>0</v>
          </cell>
        </row>
        <row r="843">
          <cell r="A843" t="str">
            <v>105-10-010</v>
          </cell>
          <cell r="B843">
            <v>170</v>
          </cell>
          <cell r="C843" t="str">
            <v>BASIC SALARY</v>
          </cell>
          <cell r="D843">
            <v>15185203.200000003</v>
          </cell>
          <cell r="E843">
            <v>7381000</v>
          </cell>
          <cell r="F843">
            <v>12653025</v>
          </cell>
          <cell r="G843">
            <v>1.2001243339043433</v>
          </cell>
        </row>
        <row r="844">
          <cell r="A844" t="str">
            <v>105-10-012</v>
          </cell>
          <cell r="B844">
            <v>170</v>
          </cell>
          <cell r="C844" t="str">
            <v>PROVISION FOR MORT. RATE ADJUSTMENTS</v>
          </cell>
          <cell r="D844">
            <v>245940</v>
          </cell>
          <cell r="E844">
            <v>143000</v>
          </cell>
          <cell r="F844">
            <v>245475</v>
          </cell>
          <cell r="G844">
            <v>1.0018942865872289</v>
          </cell>
        </row>
        <row r="845">
          <cell r="A845" t="str">
            <v>105-10-020</v>
          </cell>
          <cell r="B845">
            <v>170</v>
          </cell>
          <cell r="C845" t="str">
            <v>HOUSE ALLOWANCE</v>
          </cell>
          <cell r="D845">
            <v>2527200</v>
          </cell>
          <cell r="E845">
            <v>988000</v>
          </cell>
          <cell r="F845">
            <v>1993500</v>
          </cell>
          <cell r="G845">
            <v>1.2677200902934538</v>
          </cell>
        </row>
        <row r="846">
          <cell r="A846" t="str">
            <v>105-10-030</v>
          </cell>
          <cell r="B846">
            <v>170</v>
          </cell>
          <cell r="C846" t="str">
            <v>TELEPHONE ALLOWANCE</v>
          </cell>
          <cell r="D846">
            <v>270000</v>
          </cell>
          <cell r="E846">
            <v>18000</v>
          </cell>
          <cell r="F846">
            <v>130500</v>
          </cell>
          <cell r="G846">
            <v>2.0689655172413794</v>
          </cell>
        </row>
        <row r="847">
          <cell r="A847" t="str">
            <v>105-10-040</v>
          </cell>
          <cell r="B847">
            <v>170</v>
          </cell>
          <cell r="C847" t="str">
            <v>SECURITY ALLOWANCE</v>
          </cell>
          <cell r="D847">
            <v>300000</v>
          </cell>
          <cell r="E847">
            <v>0</v>
          </cell>
          <cell r="F847">
            <v>125000</v>
          </cell>
          <cell r="G847">
            <v>2.4</v>
          </cell>
        </row>
        <row r="848">
          <cell r="A848" t="str">
            <v>105-10-050</v>
          </cell>
          <cell r="B848">
            <v>170</v>
          </cell>
          <cell r="C848" t="str">
            <v>EDUCATION ALLOWANCE</v>
          </cell>
          <cell r="D848">
            <v>0</v>
          </cell>
          <cell r="E848">
            <v>0</v>
          </cell>
          <cell r="F848">
            <v>0</v>
          </cell>
          <cell r="G848">
            <v>0</v>
          </cell>
        </row>
        <row r="849">
          <cell r="A849" t="str">
            <v>105-10-060</v>
          </cell>
          <cell r="B849">
            <v>170</v>
          </cell>
          <cell r="C849" t="str">
            <v>TRAVEL ALLOWANCE</v>
          </cell>
          <cell r="D849">
            <v>2506560</v>
          </cell>
          <cell r="E849">
            <v>880000</v>
          </cell>
          <cell r="F849">
            <v>1894400</v>
          </cell>
          <cell r="G849">
            <v>1.3231418918918918</v>
          </cell>
        </row>
        <row r="850">
          <cell r="A850" t="str">
            <v>105-20-010</v>
          </cell>
          <cell r="B850">
            <v>170</v>
          </cell>
          <cell r="C850" t="str">
            <v>NSSF</v>
          </cell>
          <cell r="D850">
            <v>16800</v>
          </cell>
          <cell r="E850">
            <v>7000</v>
          </cell>
          <cell r="F850">
            <v>13000</v>
          </cell>
          <cell r="G850">
            <v>1.2923076923076924</v>
          </cell>
        </row>
        <row r="851">
          <cell r="A851" t="str">
            <v>105-20-020</v>
          </cell>
          <cell r="B851">
            <v>170</v>
          </cell>
          <cell r="C851" t="str">
            <v>NHIF</v>
          </cell>
          <cell r="D851">
            <v>20160</v>
          </cell>
          <cell r="E851">
            <v>8000</v>
          </cell>
          <cell r="F851">
            <v>15200</v>
          </cell>
          <cell r="G851">
            <v>1.3263157894736841</v>
          </cell>
        </row>
        <row r="852">
          <cell r="A852" t="str">
            <v>105-30-010</v>
          </cell>
          <cell r="B852">
            <v>170</v>
          </cell>
          <cell r="C852" t="str">
            <v xml:space="preserve">PENSION </v>
          </cell>
          <cell r="D852">
            <v>836390.40000000002</v>
          </cell>
          <cell r="E852">
            <v>369000</v>
          </cell>
          <cell r="F852">
            <v>664683.5</v>
          </cell>
          <cell r="G852">
            <v>1.258328813638371</v>
          </cell>
        </row>
        <row r="853">
          <cell r="A853" t="str">
            <v>105-30-020</v>
          </cell>
          <cell r="B853">
            <v>170</v>
          </cell>
          <cell r="C853" t="str">
            <v>LAST EXPENSE</v>
          </cell>
          <cell r="D853">
            <v>15000</v>
          </cell>
          <cell r="E853">
            <v>8000</v>
          </cell>
          <cell r="F853">
            <v>13714.285714285714</v>
          </cell>
          <cell r="G853">
            <v>1.09375</v>
          </cell>
        </row>
        <row r="854">
          <cell r="A854" t="str">
            <v>105-30-030</v>
          </cell>
          <cell r="B854">
            <v>170</v>
          </cell>
          <cell r="C854" t="str">
            <v>GROUP LIFE ASSURANCE</v>
          </cell>
          <cell r="D854">
            <v>79000.12</v>
          </cell>
          <cell r="E854">
            <v>155000</v>
          </cell>
          <cell r="F854">
            <v>265714.28571428568</v>
          </cell>
          <cell r="G854">
            <v>0.29731227956989248</v>
          </cell>
        </row>
        <row r="855">
          <cell r="A855" t="str">
            <v>105-30-040</v>
          </cell>
          <cell r="B855">
            <v>170</v>
          </cell>
          <cell r="C855" t="str">
            <v>STAFF MEDICAL</v>
          </cell>
          <cell r="D855">
            <v>0</v>
          </cell>
          <cell r="E855">
            <v>0</v>
          </cell>
          <cell r="F855">
            <v>0</v>
          </cell>
          <cell r="G855">
            <v>0</v>
          </cell>
        </row>
        <row r="856">
          <cell r="A856" t="str">
            <v>105-30-050</v>
          </cell>
          <cell r="B856">
            <v>170</v>
          </cell>
          <cell r="C856" t="str">
            <v>CASH IN LIEU OF LEAVE</v>
          </cell>
          <cell r="D856">
            <v>379630.08000000002</v>
          </cell>
          <cell r="E856">
            <v>193000</v>
          </cell>
          <cell r="F856">
            <v>330857.14285714284</v>
          </cell>
          <cell r="G856">
            <v>1.1474138860103629</v>
          </cell>
        </row>
        <row r="857">
          <cell r="A857" t="str">
            <v>105-30-060</v>
          </cell>
          <cell r="B857">
            <v>170</v>
          </cell>
          <cell r="C857" t="str">
            <v>GRATUITY</v>
          </cell>
          <cell r="D857">
            <v>2123520</v>
          </cell>
          <cell r="E857">
            <v>1434000</v>
          </cell>
          <cell r="F857">
            <v>2458285.7142857146</v>
          </cell>
          <cell r="G857">
            <v>0.86382147838214796</v>
          </cell>
        </row>
        <row r="858">
          <cell r="A858" t="str">
            <v>105-30-070</v>
          </cell>
          <cell r="B858">
            <v>170</v>
          </cell>
          <cell r="C858" t="str">
            <v>LONG SERVICE AWARDS</v>
          </cell>
          <cell r="D858">
            <v>0</v>
          </cell>
          <cell r="E858">
            <v>0</v>
          </cell>
          <cell r="F858">
            <v>0</v>
          </cell>
          <cell r="G858">
            <v>0</v>
          </cell>
        </row>
        <row r="859">
          <cell r="A859" t="str">
            <v>105-30-080</v>
          </cell>
          <cell r="B859">
            <v>170</v>
          </cell>
          <cell r="C859" t="str">
            <v>STAFF RECRUITMENT &amp; REMOVALS</v>
          </cell>
          <cell r="D859">
            <v>0</v>
          </cell>
          <cell r="E859">
            <v>30000</v>
          </cell>
          <cell r="F859">
            <v>400000</v>
          </cell>
          <cell r="G859">
            <v>0</v>
          </cell>
        </row>
        <row r="860">
          <cell r="A860" t="str">
            <v>115-10-010</v>
          </cell>
          <cell r="B860">
            <v>170</v>
          </cell>
          <cell r="D860">
            <v>0</v>
          </cell>
          <cell r="E860">
            <v>0</v>
          </cell>
          <cell r="F860">
            <v>0</v>
          </cell>
          <cell r="G860">
            <v>0</v>
          </cell>
        </row>
        <row r="861">
          <cell r="A861" t="str">
            <v>115-10-010</v>
          </cell>
          <cell r="B861">
            <v>170</v>
          </cell>
          <cell r="D861">
            <v>0</v>
          </cell>
          <cell r="F861">
            <v>0</v>
          </cell>
          <cell r="G861">
            <v>0</v>
          </cell>
        </row>
        <row r="862">
          <cell r="A862" t="str">
            <v>115-10-020</v>
          </cell>
          <cell r="B862">
            <v>170</v>
          </cell>
          <cell r="D862">
            <v>0</v>
          </cell>
          <cell r="E862">
            <v>0</v>
          </cell>
          <cell r="F862">
            <v>0</v>
          </cell>
          <cell r="G862">
            <v>0</v>
          </cell>
        </row>
        <row r="863">
          <cell r="A863" t="str">
            <v>115-10-020</v>
          </cell>
          <cell r="B863">
            <v>170</v>
          </cell>
          <cell r="D863">
            <v>0</v>
          </cell>
          <cell r="G863">
            <v>0</v>
          </cell>
        </row>
        <row r="864">
          <cell r="A864" t="str">
            <v>115-10-030</v>
          </cell>
          <cell r="B864">
            <v>170</v>
          </cell>
          <cell r="D864">
            <v>0</v>
          </cell>
          <cell r="E864">
            <v>0</v>
          </cell>
          <cell r="F864">
            <v>0</v>
          </cell>
          <cell r="G864">
            <v>0</v>
          </cell>
        </row>
        <row r="865">
          <cell r="A865" t="str">
            <v>115-10-030</v>
          </cell>
          <cell r="B865">
            <v>170</v>
          </cell>
          <cell r="D865">
            <v>0</v>
          </cell>
          <cell r="F865">
            <v>0</v>
          </cell>
          <cell r="G865">
            <v>0</v>
          </cell>
        </row>
        <row r="866">
          <cell r="A866" t="str">
            <v>115-10-040</v>
          </cell>
          <cell r="B866">
            <v>170</v>
          </cell>
          <cell r="D866">
            <v>581184</v>
          </cell>
          <cell r="E866">
            <v>361000</v>
          </cell>
          <cell r="F866">
            <v>618857.14285714284</v>
          </cell>
          <cell r="G866">
            <v>0.93912465373961218</v>
          </cell>
        </row>
        <row r="867">
          <cell r="A867" t="str">
            <v>115-10-040</v>
          </cell>
          <cell r="B867">
            <v>170</v>
          </cell>
          <cell r="D867">
            <v>300000</v>
          </cell>
          <cell r="E867">
            <v>175000</v>
          </cell>
          <cell r="F867">
            <v>300000</v>
          </cell>
          <cell r="G867">
            <v>1</v>
          </cell>
        </row>
        <row r="868">
          <cell r="A868" t="str">
            <v>115-10-050</v>
          </cell>
          <cell r="B868">
            <v>170</v>
          </cell>
          <cell r="C868" t="str">
            <v>OFFICE CATERING &amp; STAFF WELFARE</v>
          </cell>
          <cell r="D868">
            <v>0</v>
          </cell>
          <cell r="F868">
            <v>0</v>
          </cell>
          <cell r="G868">
            <v>0</v>
          </cell>
        </row>
        <row r="869">
          <cell r="A869" t="str">
            <v>115-10-051</v>
          </cell>
          <cell r="B869">
            <v>170</v>
          </cell>
          <cell r="C869" t="str">
            <v>OFFICE CLEANING</v>
          </cell>
          <cell r="D869">
            <v>0</v>
          </cell>
          <cell r="E869">
            <v>0</v>
          </cell>
          <cell r="F869">
            <v>0</v>
          </cell>
          <cell r="G869">
            <v>0</v>
          </cell>
        </row>
        <row r="870">
          <cell r="A870" t="str">
            <v>115-10-060</v>
          </cell>
          <cell r="B870">
            <v>170</v>
          </cell>
          <cell r="C870" t="str">
            <v>OFFICE WATER</v>
          </cell>
          <cell r="D870">
            <v>0</v>
          </cell>
          <cell r="E870">
            <v>0</v>
          </cell>
          <cell r="F870">
            <v>0</v>
          </cell>
          <cell r="G870">
            <v>0</v>
          </cell>
        </row>
        <row r="871">
          <cell r="A871" t="str">
            <v>115-10-070</v>
          </cell>
          <cell r="B871">
            <v>170</v>
          </cell>
          <cell r="C871" t="str">
            <v>OFFICE ELECTRICITY</v>
          </cell>
          <cell r="D871">
            <v>0</v>
          </cell>
          <cell r="E871">
            <v>0</v>
          </cell>
          <cell r="F871">
            <v>0</v>
          </cell>
          <cell r="G871">
            <v>0</v>
          </cell>
        </row>
        <row r="872">
          <cell r="A872" t="str">
            <v>115-10-080</v>
          </cell>
          <cell r="B872">
            <v>170</v>
          </cell>
          <cell r="C872" t="str">
            <v>OFFICE SECURITY</v>
          </cell>
          <cell r="D872">
            <v>0</v>
          </cell>
          <cell r="E872">
            <v>0</v>
          </cell>
          <cell r="F872">
            <v>0</v>
          </cell>
          <cell r="G872">
            <v>0</v>
          </cell>
        </row>
        <row r="873">
          <cell r="A873" t="str">
            <v>125-10-010</v>
          </cell>
          <cell r="B873">
            <v>170</v>
          </cell>
          <cell r="C873" t="str">
            <v>BANK CHARGES</v>
          </cell>
          <cell r="D873">
            <v>954000</v>
          </cell>
          <cell r="E873">
            <v>420000</v>
          </cell>
          <cell r="F873">
            <v>720000</v>
          </cell>
          <cell r="G873">
            <v>1.325</v>
          </cell>
        </row>
        <row r="874">
          <cell r="A874" t="str">
            <v>135-38-040</v>
          </cell>
          <cell r="B874">
            <v>170</v>
          </cell>
          <cell r="C874" t="str">
            <v>Staff Bonus</v>
          </cell>
          <cell r="D874">
            <v>24000000</v>
          </cell>
          <cell r="E874">
            <v>13416666.666666668</v>
          </cell>
          <cell r="F874">
            <v>23000000</v>
          </cell>
          <cell r="G874">
            <v>1.0434782608695652</v>
          </cell>
        </row>
        <row r="875">
          <cell r="A875" t="str">
            <v>135-40-010</v>
          </cell>
          <cell r="B875">
            <v>170</v>
          </cell>
          <cell r="C875" t="str">
            <v>Agency subsidy</v>
          </cell>
          <cell r="D875">
            <v>6000000</v>
          </cell>
          <cell r="E875">
            <v>3483000</v>
          </cell>
          <cell r="F875">
            <v>5970857.1428571427</v>
          </cell>
          <cell r="G875">
            <v>1.0048808498420903</v>
          </cell>
        </row>
        <row r="876">
          <cell r="A876" t="str">
            <v>135-60-030</v>
          </cell>
          <cell r="B876">
            <v>170</v>
          </cell>
          <cell r="C876" t="str">
            <v>SALES PROMOTIONS &amp; COMPETITION</v>
          </cell>
          <cell r="D876">
            <v>3500000</v>
          </cell>
          <cell r="E876">
            <v>1850500</v>
          </cell>
          <cell r="F876">
            <v>3172285.7142857141</v>
          </cell>
          <cell r="G876">
            <v>1.1033054129514546</v>
          </cell>
        </row>
        <row r="877">
          <cell r="A877" t="str">
            <v>135-70-010</v>
          </cell>
          <cell r="B877">
            <v>170</v>
          </cell>
          <cell r="C877" t="str">
            <v>AGENCY PENSION</v>
          </cell>
          <cell r="D877">
            <v>5400000</v>
          </cell>
          <cell r="E877">
            <v>1748190</v>
          </cell>
          <cell r="F877">
            <v>3496380</v>
          </cell>
          <cell r="G877">
            <v>1.5444545501347107</v>
          </cell>
        </row>
        <row r="878">
          <cell r="A878" t="str">
            <v>135-70-020</v>
          </cell>
          <cell r="B878">
            <v>170</v>
          </cell>
          <cell r="C878" t="str">
            <v>AGENCY GLA</v>
          </cell>
          <cell r="D878">
            <v>1150685.02</v>
          </cell>
          <cell r="E878">
            <v>220000</v>
          </cell>
          <cell r="F878">
            <v>377142.85714285716</v>
          </cell>
          <cell r="G878">
            <v>3.0510587651515149</v>
          </cell>
        </row>
        <row r="879">
          <cell r="A879" t="str">
            <v>135-70-030</v>
          </cell>
          <cell r="B879">
            <v>170</v>
          </cell>
          <cell r="C879" t="str">
            <v>AGENCY MEDICAL</v>
          </cell>
          <cell r="D879">
            <v>650000</v>
          </cell>
          <cell r="E879">
            <v>214000</v>
          </cell>
          <cell r="F879">
            <v>366857.14285714284</v>
          </cell>
          <cell r="G879">
            <v>1.7718068535825546</v>
          </cell>
        </row>
        <row r="880">
          <cell r="A880" t="str">
            <v>135-70-040</v>
          </cell>
          <cell r="B880">
            <v>170</v>
          </cell>
          <cell r="C880" t="str">
            <v>AGENCY LAST EXPENSE</v>
          </cell>
          <cell r="D880">
            <v>107900</v>
          </cell>
          <cell r="E880">
            <v>655000</v>
          </cell>
          <cell r="F880">
            <v>1310000</v>
          </cell>
          <cell r="G880">
            <v>8.2366412213740456E-2</v>
          </cell>
        </row>
        <row r="881">
          <cell r="A881" t="str">
            <v>145-10-030</v>
          </cell>
          <cell r="B881">
            <v>170</v>
          </cell>
          <cell r="C881" t="str">
            <v>Audit fee -individual life</v>
          </cell>
          <cell r="D881">
            <v>0</v>
          </cell>
          <cell r="E881">
            <v>0</v>
          </cell>
          <cell r="F881">
            <v>0</v>
          </cell>
          <cell r="G881">
            <v>0</v>
          </cell>
        </row>
        <row r="882">
          <cell r="A882" t="str">
            <v>145-10-031</v>
          </cell>
          <cell r="B882">
            <v>170</v>
          </cell>
          <cell r="C882" t="str">
            <v>Tax filing returns</v>
          </cell>
          <cell r="D882">
            <v>0</v>
          </cell>
          <cell r="E882">
            <v>0</v>
          </cell>
          <cell r="F882">
            <v>0</v>
          </cell>
          <cell r="G882">
            <v>0</v>
          </cell>
        </row>
        <row r="883">
          <cell r="A883" t="str">
            <v>145-10-060</v>
          </cell>
          <cell r="B883">
            <v>170</v>
          </cell>
          <cell r="E883">
            <v>0</v>
          </cell>
          <cell r="G883">
            <v>0</v>
          </cell>
        </row>
        <row r="884">
          <cell r="A884" t="str">
            <v>145-10-080</v>
          </cell>
          <cell r="B884">
            <v>170</v>
          </cell>
          <cell r="C884" t="str">
            <v xml:space="preserve">Recharges: 10% recharge to Corporate </v>
          </cell>
          <cell r="E884">
            <v>0</v>
          </cell>
          <cell r="G884">
            <v>0</v>
          </cell>
        </row>
        <row r="885">
          <cell r="A885" t="str">
            <v>145-10-100</v>
          </cell>
          <cell r="B885">
            <v>170</v>
          </cell>
          <cell r="E885">
            <v>0</v>
          </cell>
          <cell r="G885">
            <v>0</v>
          </cell>
        </row>
        <row r="886">
          <cell r="A886" t="str">
            <v>145-10-200</v>
          </cell>
          <cell r="B886">
            <v>170</v>
          </cell>
          <cell r="C886" t="str">
            <v>Recharge to ALA</v>
          </cell>
          <cell r="D886">
            <v>-707834.96250000014</v>
          </cell>
          <cell r="F886">
            <v>0</v>
          </cell>
          <cell r="G886">
            <v>0</v>
          </cell>
          <cell r="H886" t="str">
            <v>Recharge to ALA</v>
          </cell>
        </row>
        <row r="887">
          <cell r="A887" t="str">
            <v>155-10-007</v>
          </cell>
          <cell r="B887">
            <v>170</v>
          </cell>
          <cell r="C887" t="str">
            <v>NEWSPAPERS &amp; JOURNALS</v>
          </cell>
          <cell r="D887">
            <v>61440</v>
          </cell>
          <cell r="E887">
            <v>28000</v>
          </cell>
          <cell r="F887">
            <v>48000</v>
          </cell>
          <cell r="G887">
            <v>1.28</v>
          </cell>
        </row>
        <row r="888">
          <cell r="A888" t="str">
            <v>155-10-008</v>
          </cell>
          <cell r="B888">
            <v>170</v>
          </cell>
          <cell r="C888" t="str">
            <v>ENTERTAINMENT &amp; DONATIONS</v>
          </cell>
          <cell r="D888">
            <v>284000</v>
          </cell>
          <cell r="E888">
            <v>52000</v>
          </cell>
          <cell r="F888">
            <v>189142.85714285716</v>
          </cell>
          <cell r="G888">
            <v>1.5015105740181267</v>
          </cell>
        </row>
        <row r="889">
          <cell r="A889" t="str">
            <v>155-10-009</v>
          </cell>
          <cell r="B889">
            <v>170</v>
          </cell>
          <cell r="C889" t="str">
            <v>COURIER &amp; FREIGHT CHARGES</v>
          </cell>
          <cell r="D889">
            <v>53205</v>
          </cell>
          <cell r="E889">
            <v>0</v>
          </cell>
          <cell r="F889">
            <v>45000</v>
          </cell>
          <cell r="G889">
            <v>1.1823333333333332</v>
          </cell>
        </row>
        <row r="890">
          <cell r="A890" t="str">
            <v>155-10-010</v>
          </cell>
          <cell r="B890">
            <v>170</v>
          </cell>
          <cell r="C890" t="str">
            <v>ADVERTISING &amp; PUBLICITY</v>
          </cell>
          <cell r="D890">
            <v>1494648</v>
          </cell>
          <cell r="E890">
            <v>1897000</v>
          </cell>
          <cell r="F890">
            <v>1950000</v>
          </cell>
          <cell r="G890">
            <v>0.76648615384615382</v>
          </cell>
        </row>
        <row r="891">
          <cell r="A891" t="str">
            <v>155-10-012</v>
          </cell>
          <cell r="B891">
            <v>170</v>
          </cell>
          <cell r="C891" t="str">
            <v>TRADE LICENCES</v>
          </cell>
          <cell r="D891">
            <v>0</v>
          </cell>
          <cell r="E891">
            <v>0</v>
          </cell>
          <cell r="F891">
            <v>0</v>
          </cell>
          <cell r="G891">
            <v>0</v>
          </cell>
        </row>
        <row r="892">
          <cell r="A892" t="str">
            <v>155-10-013</v>
          </cell>
          <cell r="B892">
            <v>170</v>
          </cell>
          <cell r="C892" t="str">
            <v>INSURANCES</v>
          </cell>
          <cell r="D892">
            <v>0</v>
          </cell>
          <cell r="E892">
            <v>0</v>
          </cell>
          <cell r="F892">
            <v>0</v>
          </cell>
          <cell r="G892">
            <v>0</v>
          </cell>
        </row>
        <row r="893">
          <cell r="A893" t="str">
            <v>155-10-014</v>
          </cell>
          <cell r="B893">
            <v>170</v>
          </cell>
          <cell r="C893" t="str">
            <v>PHOTOCOPY</v>
          </cell>
          <cell r="D893">
            <v>0</v>
          </cell>
          <cell r="E893">
            <v>0</v>
          </cell>
          <cell r="F893">
            <v>0</v>
          </cell>
          <cell r="G893">
            <v>0</v>
          </cell>
        </row>
        <row r="894">
          <cell r="A894" t="str">
            <v>155-10-016</v>
          </cell>
          <cell r="B894">
            <v>170</v>
          </cell>
          <cell r="C894" t="str">
            <v>EQUIPMENT&amp; FURNITURE REPAIRS &amp; MAINTENANCE</v>
          </cell>
          <cell r="D894">
            <v>36000</v>
          </cell>
          <cell r="E894">
            <v>24000</v>
          </cell>
          <cell r="F894">
            <v>41142.857142857145</v>
          </cell>
          <cell r="G894">
            <v>0.875</v>
          </cell>
        </row>
        <row r="895">
          <cell r="A895" t="str">
            <v>155-10-017</v>
          </cell>
          <cell r="B895">
            <v>170</v>
          </cell>
          <cell r="C895" t="str">
            <v>SEMINARS &amp; SHORT TERM COURSES</v>
          </cell>
          <cell r="D895">
            <v>60000</v>
          </cell>
          <cell r="E895">
            <v>0</v>
          </cell>
          <cell r="F895">
            <v>0</v>
          </cell>
          <cell r="G895">
            <v>0</v>
          </cell>
        </row>
        <row r="896">
          <cell r="A896" t="str">
            <v>155-10-020</v>
          </cell>
          <cell r="B896">
            <v>170</v>
          </cell>
          <cell r="C896" t="str">
            <v>COMPUTER MAINTAINANCE</v>
          </cell>
          <cell r="D896">
            <v>53500</v>
          </cell>
          <cell r="E896">
            <v>18000</v>
          </cell>
          <cell r="F896">
            <v>30857.142857142859</v>
          </cell>
          <cell r="G896">
            <v>1.7337962962962963</v>
          </cell>
        </row>
        <row r="897">
          <cell r="A897" t="str">
            <v>155-10-022</v>
          </cell>
          <cell r="B897">
            <v>170</v>
          </cell>
          <cell r="C897" t="str">
            <v>PRINTING &amp; STATIONERY</v>
          </cell>
          <cell r="D897">
            <v>153389</v>
          </cell>
          <cell r="E897">
            <v>86916.666666666657</v>
          </cell>
          <cell r="F897">
            <v>149000</v>
          </cell>
          <cell r="G897">
            <v>1.0294563758389261</v>
          </cell>
        </row>
        <row r="898">
          <cell r="A898" t="str">
            <v>155-10-025</v>
          </cell>
          <cell r="B898">
            <v>170</v>
          </cell>
          <cell r="C898" t="str">
            <v>STRATEGIC PLANNING</v>
          </cell>
          <cell r="D898">
            <v>0</v>
          </cell>
          <cell r="E898">
            <v>0</v>
          </cell>
          <cell r="F898">
            <v>0</v>
          </cell>
          <cell r="G898">
            <v>0</v>
          </cell>
        </row>
        <row r="899">
          <cell r="A899" t="str">
            <v>155-10-027</v>
          </cell>
          <cell r="B899">
            <v>170</v>
          </cell>
          <cell r="C899" t="str">
            <v>PROFESSIONAL SUBSCRIPTIONS</v>
          </cell>
          <cell r="D899">
            <v>37750</v>
          </cell>
          <cell r="E899">
            <v>4000</v>
          </cell>
          <cell r="F899">
            <v>6857.1428571428569</v>
          </cell>
          <cell r="G899">
            <v>5.5052083333333339</v>
          </cell>
        </row>
        <row r="900">
          <cell r="A900" t="str">
            <v>155-10-028</v>
          </cell>
          <cell r="B900">
            <v>170</v>
          </cell>
          <cell r="C900" t="str">
            <v xml:space="preserve"> SUBSCRIPTIONS -COMPANY MEMBERSHIP</v>
          </cell>
          <cell r="D900">
            <v>0</v>
          </cell>
          <cell r="E900">
            <v>0</v>
          </cell>
          <cell r="F900">
            <v>0</v>
          </cell>
          <cell r="G900">
            <v>0</v>
          </cell>
        </row>
        <row r="901">
          <cell r="A901" t="str">
            <v>155-10-030</v>
          </cell>
          <cell r="B901">
            <v>170</v>
          </cell>
          <cell r="C901" t="str">
            <v>TRAVELLING &amp; ACCOMMODATION</v>
          </cell>
          <cell r="D901">
            <v>1280805</v>
          </cell>
          <cell r="E901">
            <v>308000</v>
          </cell>
          <cell r="F901">
            <v>728000</v>
          </cell>
          <cell r="G901">
            <v>1.7593475274725274</v>
          </cell>
        </row>
        <row r="902">
          <cell r="A902" t="str">
            <v>155-10-032</v>
          </cell>
          <cell r="B902">
            <v>170</v>
          </cell>
          <cell r="C902" t="str">
            <v xml:space="preserve">MOTOR CAR EXPENSES </v>
          </cell>
          <cell r="D902">
            <v>471000</v>
          </cell>
          <cell r="E902">
            <v>443000</v>
          </cell>
          <cell r="F902">
            <v>759428.57142857136</v>
          </cell>
          <cell r="G902">
            <v>0.6202031602708804</v>
          </cell>
        </row>
        <row r="903">
          <cell r="A903" t="str">
            <v>155-10-040</v>
          </cell>
          <cell r="B903">
            <v>170</v>
          </cell>
          <cell r="C903" t="str">
            <v>POSTAGE</v>
          </cell>
          <cell r="D903">
            <v>4800</v>
          </cell>
          <cell r="E903">
            <v>0</v>
          </cell>
          <cell r="F903">
            <v>0</v>
          </cell>
          <cell r="G903">
            <v>0</v>
          </cell>
        </row>
        <row r="904">
          <cell r="A904" t="str">
            <v>155-10-041</v>
          </cell>
          <cell r="B904">
            <v>170</v>
          </cell>
          <cell r="C904" t="str">
            <v>TELEPHONE &amp; FAX</v>
          </cell>
          <cell r="D904">
            <v>437220</v>
          </cell>
          <cell r="E904">
            <v>449000</v>
          </cell>
          <cell r="F904">
            <v>550000</v>
          </cell>
          <cell r="G904">
            <v>0.79494545454545451</v>
          </cell>
        </row>
        <row r="905">
          <cell r="A905" t="str">
            <v>155-10-044</v>
          </cell>
          <cell r="B905">
            <v>170</v>
          </cell>
          <cell r="C905" t="str">
            <v>PROFFESSIONAL TRAINING</v>
          </cell>
          <cell r="D905">
            <v>43500</v>
          </cell>
          <cell r="E905">
            <v>2000</v>
          </cell>
          <cell r="F905">
            <v>25000</v>
          </cell>
          <cell r="G905">
            <v>1.74</v>
          </cell>
        </row>
        <row r="906">
          <cell r="A906" t="str">
            <v>155-10-046</v>
          </cell>
          <cell r="B906">
            <v>170</v>
          </cell>
          <cell r="C906" t="str">
            <v xml:space="preserve">SUBSCRIPTION- STAFF CLUB MEMBERSHIP </v>
          </cell>
          <cell r="D906">
            <v>468000</v>
          </cell>
          <cell r="E906">
            <v>276000</v>
          </cell>
          <cell r="F906">
            <v>473142.85714285716</v>
          </cell>
          <cell r="G906">
            <v>0.98913043478260865</v>
          </cell>
        </row>
        <row r="907">
          <cell r="A907" t="str">
            <v>155-10-054</v>
          </cell>
          <cell r="B907">
            <v>170</v>
          </cell>
          <cell r="C907" t="str">
            <v>LEASED LINES-INTERNET SERVICES</v>
          </cell>
          <cell r="D907">
            <v>0</v>
          </cell>
          <cell r="E907">
            <v>0</v>
          </cell>
          <cell r="F907">
            <v>0</v>
          </cell>
          <cell r="G907">
            <v>0</v>
          </cell>
        </row>
        <row r="908">
          <cell r="A908" t="str">
            <v>155-10-057</v>
          </cell>
          <cell r="B908">
            <v>170</v>
          </cell>
          <cell r="C908" t="str">
            <v>SOFTWARE LICENCES</v>
          </cell>
          <cell r="D908">
            <v>0</v>
          </cell>
          <cell r="E908">
            <v>0</v>
          </cell>
          <cell r="F908">
            <v>0</v>
          </cell>
          <cell r="G908">
            <v>0</v>
          </cell>
        </row>
        <row r="909">
          <cell r="A909" t="str">
            <v>155-10-059</v>
          </cell>
          <cell r="B909">
            <v>170</v>
          </cell>
          <cell r="E909">
            <v>0</v>
          </cell>
          <cell r="G909">
            <v>0</v>
          </cell>
        </row>
        <row r="910">
          <cell r="A910" t="str">
            <v>155-10-060</v>
          </cell>
          <cell r="B910">
            <v>170</v>
          </cell>
          <cell r="E910">
            <v>0</v>
          </cell>
          <cell r="G910">
            <v>0</v>
          </cell>
        </row>
        <row r="911">
          <cell r="A911" t="str">
            <v>155-10-062</v>
          </cell>
          <cell r="B911">
            <v>170</v>
          </cell>
          <cell r="C911" t="str">
            <v>EDUCATION EXPENSES</v>
          </cell>
          <cell r="D911">
            <v>615000</v>
          </cell>
          <cell r="E911">
            <v>645000</v>
          </cell>
          <cell r="F911">
            <v>1105714.2857142857</v>
          </cell>
          <cell r="G911">
            <v>0.55620155038759689</v>
          </cell>
        </row>
        <row r="912">
          <cell r="A912" t="str">
            <v>160-10-010</v>
          </cell>
          <cell r="B912">
            <v>170</v>
          </cell>
          <cell r="E912">
            <v>17000</v>
          </cell>
          <cell r="G912">
            <v>0</v>
          </cell>
        </row>
        <row r="913">
          <cell r="A913" t="str">
            <v>105-10-010</v>
          </cell>
          <cell r="B913">
            <v>180</v>
          </cell>
          <cell r="C913" t="str">
            <v>BASIC SALARY</v>
          </cell>
          <cell r="D913">
            <v>262671.96000000002</v>
          </cell>
          <cell r="E913">
            <v>138000</v>
          </cell>
          <cell r="F913">
            <v>232000</v>
          </cell>
          <cell r="G913">
            <v>1.1322067241379314</v>
          </cell>
          <cell r="H913" t="str">
            <v>Relievers payment when sales surport on leave</v>
          </cell>
        </row>
        <row r="914">
          <cell r="A914" t="str">
            <v>105-10-012</v>
          </cell>
          <cell r="B914">
            <v>180</v>
          </cell>
          <cell r="C914" t="str">
            <v>PROVISION FOR MORT. RATE ADJUSTMENTS</v>
          </cell>
          <cell r="D914">
            <v>0</v>
          </cell>
          <cell r="E914">
            <v>0</v>
          </cell>
          <cell r="F914">
            <v>0</v>
          </cell>
          <cell r="G914">
            <v>0</v>
          </cell>
        </row>
        <row r="915">
          <cell r="A915" t="str">
            <v>105-10-020</v>
          </cell>
          <cell r="B915">
            <v>180</v>
          </cell>
          <cell r="C915" t="str">
            <v>HOUSE ALLOWANCE</v>
          </cell>
          <cell r="D915">
            <v>31200</v>
          </cell>
          <cell r="E915">
            <v>18000</v>
          </cell>
          <cell r="F915">
            <v>31000</v>
          </cell>
          <cell r="G915">
            <v>1.0064516129032257</v>
          </cell>
          <cell r="H915" t="str">
            <v>Under budgeted</v>
          </cell>
        </row>
        <row r="916">
          <cell r="A916" t="str">
            <v>105-10-030</v>
          </cell>
          <cell r="B916">
            <v>180</v>
          </cell>
          <cell r="C916" t="str">
            <v>TELEPHONE ALLOWANCE</v>
          </cell>
          <cell r="D916">
            <v>0</v>
          </cell>
          <cell r="E916">
            <v>0</v>
          </cell>
          <cell r="F916">
            <v>0</v>
          </cell>
          <cell r="G916">
            <v>0</v>
          </cell>
        </row>
        <row r="917">
          <cell r="A917" t="str">
            <v>105-10-040</v>
          </cell>
          <cell r="B917">
            <v>180</v>
          </cell>
          <cell r="C917" t="str">
            <v>SECURITY ALLOWANCE</v>
          </cell>
          <cell r="D917">
            <v>0</v>
          </cell>
          <cell r="E917">
            <v>0</v>
          </cell>
          <cell r="F917">
            <v>0</v>
          </cell>
          <cell r="G917">
            <v>0</v>
          </cell>
        </row>
        <row r="918">
          <cell r="A918" t="str">
            <v>105-10-050</v>
          </cell>
          <cell r="B918">
            <v>180</v>
          </cell>
          <cell r="C918" t="str">
            <v>EDUCATION ALLOWANCE</v>
          </cell>
          <cell r="D918">
            <v>0</v>
          </cell>
          <cell r="E918">
            <v>0</v>
          </cell>
          <cell r="F918">
            <v>0</v>
          </cell>
          <cell r="G918">
            <v>0</v>
          </cell>
        </row>
        <row r="919">
          <cell r="A919" t="str">
            <v>105-10-060</v>
          </cell>
          <cell r="B919">
            <v>180</v>
          </cell>
          <cell r="C919" t="str">
            <v>TRAVEL ALLOWANCE</v>
          </cell>
          <cell r="D919">
            <v>0</v>
          </cell>
          <cell r="E919">
            <v>0</v>
          </cell>
          <cell r="F919">
            <v>0</v>
          </cell>
          <cell r="G919">
            <v>0</v>
          </cell>
        </row>
        <row r="920">
          <cell r="A920" t="str">
            <v>105-20-010</v>
          </cell>
          <cell r="B920">
            <v>180</v>
          </cell>
          <cell r="C920" t="str">
            <v>NSSF</v>
          </cell>
          <cell r="D920">
            <v>2400</v>
          </cell>
          <cell r="E920">
            <v>1000</v>
          </cell>
          <cell r="F920">
            <v>2000</v>
          </cell>
          <cell r="G920">
            <v>1.2</v>
          </cell>
        </row>
        <row r="921">
          <cell r="A921" t="str">
            <v>105-20-020</v>
          </cell>
          <cell r="B921">
            <v>180</v>
          </cell>
          <cell r="C921" t="str">
            <v>NHIF</v>
          </cell>
          <cell r="D921">
            <v>2880</v>
          </cell>
          <cell r="E921">
            <v>2000</v>
          </cell>
          <cell r="F921">
            <v>3200</v>
          </cell>
          <cell r="G921">
            <v>0.9</v>
          </cell>
        </row>
        <row r="922">
          <cell r="A922" t="str">
            <v>105-30-010</v>
          </cell>
          <cell r="B922">
            <v>180</v>
          </cell>
          <cell r="C922" t="str">
            <v xml:space="preserve">PENSION </v>
          </cell>
          <cell r="D922">
            <v>31584</v>
          </cell>
          <cell r="E922">
            <v>16000</v>
          </cell>
          <cell r="F922">
            <v>29160</v>
          </cell>
          <cell r="G922">
            <v>1.0831275720164613</v>
          </cell>
        </row>
        <row r="923">
          <cell r="A923" t="str">
            <v>105-30-020</v>
          </cell>
          <cell r="B923">
            <v>180</v>
          </cell>
          <cell r="C923" t="str">
            <v>LAST EXPENSE</v>
          </cell>
          <cell r="D923">
            <v>0</v>
          </cell>
          <cell r="E923">
            <v>0</v>
          </cell>
          <cell r="F923">
            <v>0</v>
          </cell>
          <cell r="G923">
            <v>0</v>
          </cell>
        </row>
        <row r="924">
          <cell r="A924" t="str">
            <v>105-30-030</v>
          </cell>
          <cell r="B924">
            <v>180</v>
          </cell>
          <cell r="C924" t="str">
            <v>GROUP LIFE ASSURANCE</v>
          </cell>
          <cell r="D924">
            <v>0</v>
          </cell>
          <cell r="E924">
            <v>2000</v>
          </cell>
          <cell r="F924">
            <v>3428.5714285714284</v>
          </cell>
          <cell r="G924">
            <v>0</v>
          </cell>
        </row>
        <row r="925">
          <cell r="A925" t="str">
            <v>105-30-040</v>
          </cell>
          <cell r="B925">
            <v>180</v>
          </cell>
          <cell r="C925" t="str">
            <v>STAFF MEDICAL</v>
          </cell>
          <cell r="D925">
            <v>0</v>
          </cell>
          <cell r="E925">
            <v>0</v>
          </cell>
          <cell r="F925">
            <v>0</v>
          </cell>
          <cell r="G925">
            <v>0</v>
          </cell>
        </row>
        <row r="926">
          <cell r="A926" t="str">
            <v>105-30-050</v>
          </cell>
          <cell r="B926">
            <v>180</v>
          </cell>
          <cell r="C926" t="str">
            <v>CASH IN LIEU OF LEAVE</v>
          </cell>
          <cell r="D926">
            <v>6316.8</v>
          </cell>
          <cell r="E926">
            <v>-1000</v>
          </cell>
          <cell r="F926">
            <v>-1714.2857142857142</v>
          </cell>
          <cell r="G926">
            <v>-3.684800000000001</v>
          </cell>
        </row>
        <row r="927">
          <cell r="A927" t="str">
            <v>105-30-060</v>
          </cell>
          <cell r="B927">
            <v>180</v>
          </cell>
          <cell r="C927" t="str">
            <v>GRATUITY</v>
          </cell>
          <cell r="E927">
            <v>0</v>
          </cell>
          <cell r="F927">
            <v>0</v>
          </cell>
          <cell r="G927">
            <v>0</v>
          </cell>
        </row>
        <row r="928">
          <cell r="A928" t="str">
            <v>105-30-070</v>
          </cell>
          <cell r="B928">
            <v>180</v>
          </cell>
          <cell r="C928" t="str">
            <v>LONG SERVICE AWARDS</v>
          </cell>
          <cell r="D928">
            <v>0</v>
          </cell>
          <cell r="E928">
            <v>0</v>
          </cell>
          <cell r="F928">
            <v>0</v>
          </cell>
          <cell r="G928">
            <v>0</v>
          </cell>
        </row>
        <row r="929">
          <cell r="A929" t="str">
            <v>105-30-080</v>
          </cell>
          <cell r="B929">
            <v>180</v>
          </cell>
          <cell r="C929" t="str">
            <v>STAFF RECRUITMENT &amp; REMOVALS</v>
          </cell>
          <cell r="D929">
            <v>0</v>
          </cell>
          <cell r="E929">
            <v>0</v>
          </cell>
          <cell r="F929">
            <v>0</v>
          </cell>
          <cell r="G929">
            <v>0</v>
          </cell>
        </row>
        <row r="930">
          <cell r="A930" t="str">
            <v>115-10-010</v>
          </cell>
          <cell r="B930">
            <v>180</v>
          </cell>
          <cell r="D930">
            <v>0</v>
          </cell>
          <cell r="E930">
            <v>0</v>
          </cell>
          <cell r="F930">
            <v>0</v>
          </cell>
          <cell r="G930">
            <v>0</v>
          </cell>
        </row>
        <row r="931">
          <cell r="A931" t="str">
            <v>115-10-010</v>
          </cell>
          <cell r="B931">
            <v>180</v>
          </cell>
          <cell r="D931">
            <v>0</v>
          </cell>
          <cell r="F931">
            <v>0</v>
          </cell>
          <cell r="G931">
            <v>0</v>
          </cell>
        </row>
        <row r="932">
          <cell r="A932" t="str">
            <v>115-10-020</v>
          </cell>
          <cell r="B932">
            <v>180</v>
          </cell>
          <cell r="D932">
            <v>0</v>
          </cell>
          <cell r="E932">
            <v>0</v>
          </cell>
          <cell r="F932">
            <v>0</v>
          </cell>
          <cell r="G932">
            <v>0</v>
          </cell>
        </row>
        <row r="933">
          <cell r="A933" t="str">
            <v>115-10-020</v>
          </cell>
          <cell r="B933">
            <v>180</v>
          </cell>
          <cell r="D933">
            <v>0</v>
          </cell>
          <cell r="G933">
            <v>0</v>
          </cell>
        </row>
        <row r="934">
          <cell r="A934" t="str">
            <v>115-10-030</v>
          </cell>
          <cell r="B934">
            <v>180</v>
          </cell>
          <cell r="D934">
            <v>0</v>
          </cell>
          <cell r="E934">
            <v>0</v>
          </cell>
          <cell r="F934">
            <v>0</v>
          </cell>
          <cell r="G934">
            <v>0</v>
          </cell>
        </row>
        <row r="935">
          <cell r="A935" t="str">
            <v>115-10-030</v>
          </cell>
          <cell r="B935">
            <v>180</v>
          </cell>
          <cell r="D935">
            <v>0</v>
          </cell>
          <cell r="F935">
            <v>0</v>
          </cell>
          <cell r="G935">
            <v>0</v>
          </cell>
        </row>
        <row r="936">
          <cell r="A936" t="str">
            <v>115-10-040</v>
          </cell>
          <cell r="B936">
            <v>180</v>
          </cell>
          <cell r="D936">
            <v>372690</v>
          </cell>
          <cell r="E936">
            <v>196000</v>
          </cell>
          <cell r="F936">
            <v>336000</v>
          </cell>
          <cell r="G936">
            <v>1.1091964285714286</v>
          </cell>
          <cell r="H936" t="str">
            <v>Anticipated increase in rent according the lease.</v>
          </cell>
        </row>
        <row r="937">
          <cell r="A937" t="str">
            <v>115-10-040</v>
          </cell>
          <cell r="B937">
            <v>180</v>
          </cell>
          <cell r="D937">
            <v>0</v>
          </cell>
          <cell r="F937">
            <v>0</v>
          </cell>
          <cell r="G937">
            <v>0</v>
          </cell>
        </row>
        <row r="938">
          <cell r="A938" t="str">
            <v>115-10-050</v>
          </cell>
          <cell r="B938">
            <v>180</v>
          </cell>
          <cell r="C938" t="str">
            <v>OFFICE CATERING &amp; STAFF WELFARE</v>
          </cell>
          <cell r="D938">
            <v>62100</v>
          </cell>
          <cell r="E938">
            <v>64250</v>
          </cell>
          <cell r="F938">
            <v>110142.85714285716</v>
          </cell>
          <cell r="G938">
            <v>0.56381322957198432</v>
          </cell>
        </row>
        <row r="939">
          <cell r="A939" t="str">
            <v>115-10-051</v>
          </cell>
          <cell r="B939">
            <v>180</v>
          </cell>
          <cell r="C939" t="str">
            <v>OFFICE CLEANING</v>
          </cell>
          <cell r="D939">
            <v>36000</v>
          </cell>
          <cell r="E939">
            <v>0</v>
          </cell>
          <cell r="F939">
            <v>0</v>
          </cell>
          <cell r="G939">
            <v>0</v>
          </cell>
          <cell r="H939" t="str">
            <v>Office cleaning currently not posted</v>
          </cell>
        </row>
        <row r="940">
          <cell r="A940" t="str">
            <v>115-10-060</v>
          </cell>
          <cell r="B940">
            <v>180</v>
          </cell>
          <cell r="C940" t="str">
            <v>OFFICE WATER</v>
          </cell>
          <cell r="D940">
            <v>0</v>
          </cell>
          <cell r="E940">
            <v>0</v>
          </cell>
          <cell r="F940">
            <v>0</v>
          </cell>
          <cell r="G940">
            <v>0</v>
          </cell>
        </row>
        <row r="941">
          <cell r="A941" t="str">
            <v>115-10-070</v>
          </cell>
          <cell r="B941">
            <v>180</v>
          </cell>
          <cell r="C941" t="str">
            <v>OFFICE ELECTRICITY</v>
          </cell>
          <cell r="D941">
            <v>0</v>
          </cell>
          <cell r="E941">
            <v>7000</v>
          </cell>
          <cell r="F941">
            <v>12000</v>
          </cell>
          <cell r="G941">
            <v>0</v>
          </cell>
        </row>
        <row r="942">
          <cell r="A942" t="str">
            <v>115-10-080</v>
          </cell>
          <cell r="B942">
            <v>180</v>
          </cell>
          <cell r="C942" t="str">
            <v>OFFICE SECURITY</v>
          </cell>
          <cell r="D942">
            <v>0</v>
          </cell>
          <cell r="E942">
            <v>0</v>
          </cell>
          <cell r="F942">
            <v>0</v>
          </cell>
          <cell r="G942">
            <v>0</v>
          </cell>
        </row>
        <row r="943">
          <cell r="A943" t="str">
            <v>125-10-010</v>
          </cell>
          <cell r="B943">
            <v>180</v>
          </cell>
          <cell r="C943" t="str">
            <v>BANK CHARGES</v>
          </cell>
          <cell r="D943">
            <v>24000</v>
          </cell>
          <cell r="E943">
            <v>0</v>
          </cell>
          <cell r="F943">
            <v>0</v>
          </cell>
          <cell r="G943">
            <v>0</v>
          </cell>
        </row>
        <row r="944">
          <cell r="A944" t="str">
            <v>125-10-020</v>
          </cell>
          <cell r="B944">
            <v>180</v>
          </cell>
          <cell r="C944" t="str">
            <v>BANK OVERDRART CHARGES</v>
          </cell>
          <cell r="E944">
            <v>0</v>
          </cell>
          <cell r="F944">
            <v>0</v>
          </cell>
          <cell r="G944">
            <v>0</v>
          </cell>
        </row>
        <row r="945">
          <cell r="A945" t="str">
            <v>135-60-030</v>
          </cell>
          <cell r="B945">
            <v>180</v>
          </cell>
          <cell r="C945" t="str">
            <v>SALES PROMOTIONS &amp; COMPETITION</v>
          </cell>
          <cell r="D945">
            <v>0</v>
          </cell>
          <cell r="E945">
            <v>0</v>
          </cell>
          <cell r="F945">
            <v>0</v>
          </cell>
          <cell r="G945">
            <v>0</v>
          </cell>
        </row>
        <row r="946">
          <cell r="A946" t="str">
            <v>135-70-010</v>
          </cell>
          <cell r="B946">
            <v>180</v>
          </cell>
          <cell r="C946" t="str">
            <v>AGENCY PENSION</v>
          </cell>
          <cell r="D946">
            <v>0</v>
          </cell>
          <cell r="E946">
            <v>0</v>
          </cell>
          <cell r="F946">
            <v>0</v>
          </cell>
          <cell r="G946">
            <v>0</v>
          </cell>
        </row>
        <row r="947">
          <cell r="A947" t="str">
            <v>135-70-020</v>
          </cell>
          <cell r="B947">
            <v>180</v>
          </cell>
          <cell r="C947" t="str">
            <v>AGENCY GLA</v>
          </cell>
          <cell r="D947">
            <v>0</v>
          </cell>
          <cell r="E947">
            <v>0</v>
          </cell>
          <cell r="F947">
            <v>0</v>
          </cell>
          <cell r="G947">
            <v>0</v>
          </cell>
        </row>
        <row r="948">
          <cell r="A948" t="str">
            <v>135-70-030</v>
          </cell>
          <cell r="B948">
            <v>180</v>
          </cell>
          <cell r="C948" t="str">
            <v>AGENCY MEDICAL</v>
          </cell>
          <cell r="D948">
            <v>0</v>
          </cell>
          <cell r="E948">
            <v>0</v>
          </cell>
          <cell r="F948">
            <v>0</v>
          </cell>
          <cell r="G948">
            <v>0</v>
          </cell>
        </row>
        <row r="949">
          <cell r="A949" t="str">
            <v>135-70-040</v>
          </cell>
          <cell r="B949">
            <v>180</v>
          </cell>
          <cell r="C949" t="str">
            <v>AGENCY LAST EXPENSE</v>
          </cell>
          <cell r="D949">
            <v>0</v>
          </cell>
          <cell r="E949">
            <v>0</v>
          </cell>
          <cell r="F949">
            <v>0</v>
          </cell>
          <cell r="G949">
            <v>0</v>
          </cell>
        </row>
        <row r="950">
          <cell r="A950" t="str">
            <v>145-10-030</v>
          </cell>
          <cell r="B950">
            <v>180</v>
          </cell>
          <cell r="C950" t="str">
            <v>Audit fee -individual life</v>
          </cell>
          <cell r="D950">
            <v>0</v>
          </cell>
          <cell r="E950">
            <v>0</v>
          </cell>
          <cell r="F950">
            <v>0</v>
          </cell>
          <cell r="G950">
            <v>0</v>
          </cell>
        </row>
        <row r="951">
          <cell r="A951" t="str">
            <v>145-10-031</v>
          </cell>
          <cell r="B951">
            <v>180</v>
          </cell>
          <cell r="C951" t="str">
            <v>Tax filing returns</v>
          </cell>
          <cell r="D951">
            <v>0</v>
          </cell>
          <cell r="E951">
            <v>0</v>
          </cell>
          <cell r="F951">
            <v>0</v>
          </cell>
          <cell r="G951">
            <v>0</v>
          </cell>
        </row>
        <row r="952">
          <cell r="A952" t="str">
            <v>145-10-060</v>
          </cell>
          <cell r="B952">
            <v>180</v>
          </cell>
          <cell r="C952" t="str">
            <v>Intra company charges- individual life</v>
          </cell>
          <cell r="G952">
            <v>0</v>
          </cell>
        </row>
        <row r="953">
          <cell r="A953" t="str">
            <v>145-10-060</v>
          </cell>
          <cell r="B953">
            <v>180</v>
          </cell>
          <cell r="E953">
            <v>0</v>
          </cell>
          <cell r="G953">
            <v>0</v>
          </cell>
        </row>
        <row r="954">
          <cell r="A954" t="str">
            <v>145-10-080</v>
          </cell>
          <cell r="B954">
            <v>180</v>
          </cell>
          <cell r="C954" t="str">
            <v>40% Excutive recharge</v>
          </cell>
          <cell r="F954">
            <v>0</v>
          </cell>
          <cell r="G954">
            <v>0</v>
          </cell>
        </row>
        <row r="955">
          <cell r="A955" t="str">
            <v>145-10-080</v>
          </cell>
          <cell r="B955">
            <v>180</v>
          </cell>
          <cell r="C955" t="str">
            <v xml:space="preserve">Recharges: 10% recharge to Corporate </v>
          </cell>
          <cell r="E955">
            <v>0</v>
          </cell>
          <cell r="G955">
            <v>0</v>
          </cell>
        </row>
        <row r="956">
          <cell r="A956" t="str">
            <v>145-10-100</v>
          </cell>
          <cell r="B956">
            <v>180</v>
          </cell>
          <cell r="E956">
            <v>0</v>
          </cell>
          <cell r="G956">
            <v>0</v>
          </cell>
        </row>
        <row r="957">
          <cell r="A957" t="str">
            <v>155-10-007</v>
          </cell>
          <cell r="B957">
            <v>180</v>
          </cell>
          <cell r="C957" t="str">
            <v>NEWSPAPERS &amp; JOURNALS</v>
          </cell>
          <cell r="D957">
            <v>10560</v>
          </cell>
          <cell r="E957">
            <v>6000</v>
          </cell>
          <cell r="F957">
            <v>10285.714285714286</v>
          </cell>
          <cell r="G957">
            <v>1.0266666666666666</v>
          </cell>
        </row>
        <row r="958">
          <cell r="A958" t="str">
            <v>155-10-008</v>
          </cell>
          <cell r="B958">
            <v>180</v>
          </cell>
          <cell r="C958" t="str">
            <v>ENTERTAINMENT &amp; DONATIONS</v>
          </cell>
          <cell r="D958">
            <v>18000</v>
          </cell>
          <cell r="E958">
            <v>3000</v>
          </cell>
          <cell r="F958">
            <v>5142.8571428571431</v>
          </cell>
          <cell r="G958">
            <v>3.5</v>
          </cell>
          <cell r="H958" t="str">
            <v>Need to focus more on local check offs.</v>
          </cell>
        </row>
        <row r="959">
          <cell r="A959" t="str">
            <v>155-10-009</v>
          </cell>
          <cell r="B959">
            <v>180</v>
          </cell>
          <cell r="C959" t="str">
            <v>COURIER &amp; FREIGHT CHARGES</v>
          </cell>
          <cell r="D959">
            <v>17332</v>
          </cell>
          <cell r="E959">
            <v>11000</v>
          </cell>
          <cell r="F959">
            <v>18857.142857142855</v>
          </cell>
          <cell r="G959">
            <v>0.91912121212121223</v>
          </cell>
        </row>
        <row r="960">
          <cell r="A960" t="str">
            <v>155-10-010</v>
          </cell>
          <cell r="B960">
            <v>180</v>
          </cell>
          <cell r="C960" t="str">
            <v>ADVERTISING &amp; PUBLICITY</v>
          </cell>
          <cell r="D960">
            <v>0</v>
          </cell>
          <cell r="E960">
            <v>0</v>
          </cell>
          <cell r="F960">
            <v>0</v>
          </cell>
          <cell r="G960">
            <v>0</v>
          </cell>
        </row>
        <row r="961">
          <cell r="A961" t="str">
            <v>155-10-012</v>
          </cell>
          <cell r="B961">
            <v>180</v>
          </cell>
          <cell r="C961" t="str">
            <v>TRADE LICENCES</v>
          </cell>
          <cell r="D961">
            <v>20000</v>
          </cell>
          <cell r="E961">
            <v>14000</v>
          </cell>
          <cell r="F961">
            <v>14000</v>
          </cell>
          <cell r="G961">
            <v>1.4285714285714286</v>
          </cell>
        </row>
        <row r="962">
          <cell r="A962" t="str">
            <v>155-10-013</v>
          </cell>
          <cell r="B962">
            <v>180</v>
          </cell>
          <cell r="C962" t="str">
            <v>INSURANCES</v>
          </cell>
          <cell r="D962">
            <v>0</v>
          </cell>
          <cell r="E962">
            <v>0</v>
          </cell>
          <cell r="F962">
            <v>0</v>
          </cell>
          <cell r="G962">
            <v>0</v>
          </cell>
        </row>
        <row r="963">
          <cell r="A963" t="str">
            <v>155-10-014</v>
          </cell>
          <cell r="B963">
            <v>180</v>
          </cell>
          <cell r="C963" t="str">
            <v>PHOTOCOPY</v>
          </cell>
          <cell r="D963">
            <v>14400</v>
          </cell>
          <cell r="E963">
            <v>0</v>
          </cell>
          <cell r="F963">
            <v>0</v>
          </cell>
          <cell r="G963">
            <v>0</v>
          </cell>
        </row>
        <row r="964">
          <cell r="A964" t="str">
            <v>155-10-015</v>
          </cell>
          <cell r="B964">
            <v>180</v>
          </cell>
          <cell r="C964" t="str">
            <v>COMPUTER MAINTAINANCE</v>
          </cell>
          <cell r="D964">
            <v>12500</v>
          </cell>
          <cell r="E964">
            <v>0</v>
          </cell>
          <cell r="F964">
            <v>0</v>
          </cell>
          <cell r="G964">
            <v>0</v>
          </cell>
        </row>
        <row r="965">
          <cell r="A965" t="str">
            <v>155-10-016</v>
          </cell>
          <cell r="B965">
            <v>180</v>
          </cell>
          <cell r="C965" t="str">
            <v>EQUIPMENT&amp; FURNITURE REPAIRS &amp; MAINTENANCE</v>
          </cell>
          <cell r="D965">
            <v>4200</v>
          </cell>
          <cell r="E965">
            <v>2000</v>
          </cell>
          <cell r="F965">
            <v>3428.5714285714284</v>
          </cell>
          <cell r="G965">
            <v>1.2250000000000001</v>
          </cell>
        </row>
        <row r="966">
          <cell r="A966" t="str">
            <v>155-10-017</v>
          </cell>
          <cell r="B966">
            <v>180</v>
          </cell>
          <cell r="C966" t="str">
            <v>SEMINARS &amp; SHORT TERM COURSES</v>
          </cell>
          <cell r="D966">
            <v>0</v>
          </cell>
          <cell r="E966">
            <v>6000</v>
          </cell>
          <cell r="F966">
            <v>10285.714285714286</v>
          </cell>
          <cell r="G966">
            <v>0</v>
          </cell>
        </row>
        <row r="967">
          <cell r="A967" t="str">
            <v>155-10-022</v>
          </cell>
          <cell r="B967">
            <v>180</v>
          </cell>
          <cell r="C967" t="str">
            <v>PRINTING &amp; STATIONERY</v>
          </cell>
          <cell r="D967">
            <v>120093</v>
          </cell>
          <cell r="E967">
            <v>23000</v>
          </cell>
          <cell r="F967">
            <v>39428.571428571428</v>
          </cell>
          <cell r="G967">
            <v>3.0458369565217391</v>
          </cell>
          <cell r="H967" t="str">
            <v>Initial stationery used by the branch was that which carried over into the year thus the lower amount spent in the year.</v>
          </cell>
        </row>
        <row r="968">
          <cell r="A968" t="str">
            <v>155-10-025</v>
          </cell>
          <cell r="B968">
            <v>180</v>
          </cell>
          <cell r="C968" t="str">
            <v>STRATEGIC PLANNING</v>
          </cell>
          <cell r="D968">
            <v>0</v>
          </cell>
          <cell r="E968">
            <v>0</v>
          </cell>
          <cell r="F968">
            <v>0</v>
          </cell>
          <cell r="G968">
            <v>0</v>
          </cell>
        </row>
        <row r="969">
          <cell r="A969" t="str">
            <v>155-10-027</v>
          </cell>
          <cell r="B969">
            <v>180</v>
          </cell>
          <cell r="C969" t="str">
            <v>PROFESSIONAL SUBSCRIPTIONS</v>
          </cell>
          <cell r="D969">
            <v>0</v>
          </cell>
          <cell r="E969">
            <v>0</v>
          </cell>
          <cell r="F969">
            <v>0</v>
          </cell>
          <cell r="G969">
            <v>0</v>
          </cell>
        </row>
        <row r="970">
          <cell r="A970" t="str">
            <v>155-10-028</v>
          </cell>
          <cell r="B970">
            <v>180</v>
          </cell>
          <cell r="C970" t="str">
            <v xml:space="preserve"> SUBSCRIPTIONS -COMPANY MEMBERSHIP</v>
          </cell>
          <cell r="D970">
            <v>0</v>
          </cell>
          <cell r="E970">
            <v>0</v>
          </cell>
          <cell r="F970">
            <v>0</v>
          </cell>
          <cell r="G970">
            <v>0</v>
          </cell>
        </row>
        <row r="971">
          <cell r="A971" t="str">
            <v>155-10-030</v>
          </cell>
          <cell r="B971">
            <v>180</v>
          </cell>
          <cell r="C971" t="str">
            <v>TRAVELLING &amp; ACCOMMODATION</v>
          </cell>
          <cell r="D971">
            <v>30820</v>
          </cell>
          <cell r="E971">
            <v>16000</v>
          </cell>
          <cell r="F971">
            <v>27428.571428571428</v>
          </cell>
          <cell r="G971">
            <v>1.1236458333333335</v>
          </cell>
          <cell r="H971" t="str">
            <v>Budgeted for zone meetings and head office management training in the year.</v>
          </cell>
        </row>
        <row r="972">
          <cell r="A972" t="str">
            <v>155-10-032</v>
          </cell>
          <cell r="B972">
            <v>180</v>
          </cell>
          <cell r="C972" t="str">
            <v xml:space="preserve">MOTOR CAR EXPENSES </v>
          </cell>
          <cell r="D972">
            <v>0</v>
          </cell>
          <cell r="E972">
            <v>0</v>
          </cell>
          <cell r="F972">
            <v>0</v>
          </cell>
          <cell r="G972">
            <v>0</v>
          </cell>
        </row>
        <row r="973">
          <cell r="A973" t="str">
            <v>155-10-040</v>
          </cell>
          <cell r="B973">
            <v>180</v>
          </cell>
          <cell r="C973" t="str">
            <v>POSTAGE</v>
          </cell>
          <cell r="D973">
            <v>3000</v>
          </cell>
          <cell r="E973">
            <v>0</v>
          </cell>
          <cell r="F973">
            <v>0</v>
          </cell>
          <cell r="G973">
            <v>0</v>
          </cell>
          <cell r="H973" t="str">
            <v>Current cost of postage not posted</v>
          </cell>
        </row>
        <row r="974">
          <cell r="A974" t="str">
            <v>155-10-041</v>
          </cell>
          <cell r="B974">
            <v>180</v>
          </cell>
          <cell r="C974" t="str">
            <v>TELEPHONE &amp; FAX</v>
          </cell>
          <cell r="D974">
            <v>108000</v>
          </cell>
          <cell r="E974">
            <v>65000</v>
          </cell>
          <cell r="F974">
            <v>111428.57142857143</v>
          </cell>
          <cell r="G974">
            <v>0.96923076923076923</v>
          </cell>
          <cell r="H974" t="str">
            <v>Anticipates more communication with LCO's in the year</v>
          </cell>
        </row>
        <row r="975">
          <cell r="A975" t="str">
            <v>155-10-044</v>
          </cell>
          <cell r="B975">
            <v>180</v>
          </cell>
          <cell r="C975" t="str">
            <v>PROFFESSIONAL TRAINING</v>
          </cell>
          <cell r="D975">
            <v>15625</v>
          </cell>
          <cell r="E975">
            <v>0</v>
          </cell>
          <cell r="F975">
            <v>0</v>
          </cell>
          <cell r="G975">
            <v>0</v>
          </cell>
        </row>
        <row r="976">
          <cell r="A976" t="str">
            <v>155-10-046</v>
          </cell>
          <cell r="B976">
            <v>180</v>
          </cell>
          <cell r="C976" t="str">
            <v xml:space="preserve">SUBSCRIPTION- STAFF CLUB MEMBERSHIP </v>
          </cell>
          <cell r="D976">
            <v>20000</v>
          </cell>
          <cell r="E976">
            <v>0</v>
          </cell>
          <cell r="F976">
            <v>0</v>
          </cell>
          <cell r="G976">
            <v>0</v>
          </cell>
        </row>
        <row r="977">
          <cell r="A977" t="str">
            <v>155-10-054</v>
          </cell>
          <cell r="B977">
            <v>180</v>
          </cell>
          <cell r="C977" t="str">
            <v>LEASED LINES-INTERNET SERVICES</v>
          </cell>
          <cell r="D977">
            <v>0</v>
          </cell>
          <cell r="E977">
            <v>0</v>
          </cell>
          <cell r="F977">
            <v>0</v>
          </cell>
          <cell r="G977">
            <v>0</v>
          </cell>
        </row>
        <row r="978">
          <cell r="A978" t="str">
            <v>155-10-057</v>
          </cell>
          <cell r="B978">
            <v>180</v>
          </cell>
          <cell r="C978" t="str">
            <v>SOFTWARE LICENCES</v>
          </cell>
          <cell r="D978">
            <v>0</v>
          </cell>
          <cell r="E978">
            <v>0</v>
          </cell>
          <cell r="F978">
            <v>0</v>
          </cell>
          <cell r="G978">
            <v>0</v>
          </cell>
        </row>
        <row r="979">
          <cell r="A979" t="str">
            <v>155-10-059</v>
          </cell>
          <cell r="B979">
            <v>180</v>
          </cell>
          <cell r="E979">
            <v>0</v>
          </cell>
          <cell r="G979">
            <v>0</v>
          </cell>
        </row>
        <row r="980">
          <cell r="A980" t="str">
            <v>155-10-060</v>
          </cell>
          <cell r="B980">
            <v>180</v>
          </cell>
          <cell r="E980">
            <v>0</v>
          </cell>
          <cell r="G980">
            <v>0</v>
          </cell>
        </row>
        <row r="981">
          <cell r="A981" t="str">
            <v>155-10-062</v>
          </cell>
          <cell r="B981">
            <v>180</v>
          </cell>
          <cell r="C981" t="str">
            <v>EDUCATION EXPENSES</v>
          </cell>
          <cell r="D981">
            <v>0</v>
          </cell>
          <cell r="E981">
            <v>0</v>
          </cell>
          <cell r="F981">
            <v>0</v>
          </cell>
          <cell r="G981">
            <v>0</v>
          </cell>
        </row>
        <row r="982">
          <cell r="A982" t="str">
            <v>160-10-010</v>
          </cell>
          <cell r="B982">
            <v>180</v>
          </cell>
          <cell r="E982">
            <v>0</v>
          </cell>
          <cell r="G982">
            <v>0</v>
          </cell>
        </row>
        <row r="983">
          <cell r="A983" t="str">
            <v>605-10-010</v>
          </cell>
          <cell r="B983">
            <v>200</v>
          </cell>
          <cell r="C983" t="str">
            <v>BASIC SALARY</v>
          </cell>
          <cell r="D983">
            <v>5334240</v>
          </cell>
          <cell r="E983">
            <v>2975917</v>
          </cell>
          <cell r="F983">
            <v>4737167</v>
          </cell>
          <cell r="G983">
            <v>1.1260400994940649</v>
          </cell>
        </row>
        <row r="984">
          <cell r="A984" t="str">
            <v>605-10-012</v>
          </cell>
          <cell r="B984">
            <v>200</v>
          </cell>
          <cell r="C984" t="str">
            <v>PROVISION FOR MORT. RATE ADJUSTMENTS</v>
          </cell>
          <cell r="D984">
            <v>0</v>
          </cell>
          <cell r="E984">
            <v>0</v>
          </cell>
          <cell r="F984">
            <v>0</v>
          </cell>
          <cell r="G984">
            <v>0</v>
          </cell>
        </row>
        <row r="985">
          <cell r="A985" t="str">
            <v>605-10-020</v>
          </cell>
          <cell r="B985">
            <v>200</v>
          </cell>
          <cell r="C985" t="str">
            <v>HOUSE ALLOWANCE</v>
          </cell>
          <cell r="D985">
            <v>831000</v>
          </cell>
          <cell r="E985">
            <v>200850</v>
          </cell>
          <cell r="F985">
            <v>547100</v>
          </cell>
          <cell r="G985">
            <v>1.5189179309084262</v>
          </cell>
        </row>
        <row r="986">
          <cell r="A986" t="str">
            <v>605-10-030</v>
          </cell>
          <cell r="B986">
            <v>200</v>
          </cell>
          <cell r="C986" t="str">
            <v>TELEPHONE ALLOWANCE</v>
          </cell>
          <cell r="D986">
            <v>30000</v>
          </cell>
          <cell r="E986">
            <v>17500</v>
          </cell>
          <cell r="F986">
            <v>30000</v>
          </cell>
          <cell r="G986">
            <v>1</v>
          </cell>
        </row>
        <row r="987">
          <cell r="A987" t="str">
            <v>605-10-040</v>
          </cell>
          <cell r="B987">
            <v>200</v>
          </cell>
          <cell r="C987" t="str">
            <v>SECURITY ALLOWANCE</v>
          </cell>
          <cell r="D987">
            <v>0</v>
          </cell>
          <cell r="E987">
            <v>0</v>
          </cell>
          <cell r="F987">
            <v>0</v>
          </cell>
          <cell r="G987">
            <v>0</v>
          </cell>
        </row>
        <row r="988">
          <cell r="A988" t="str">
            <v>605-10-050</v>
          </cell>
          <cell r="B988">
            <v>200</v>
          </cell>
          <cell r="C988" t="str">
            <v>EDUCATION ALLOWANCE</v>
          </cell>
          <cell r="D988">
            <v>120000</v>
          </cell>
          <cell r="E988">
            <v>70000</v>
          </cell>
          <cell r="F988">
            <v>157500</v>
          </cell>
          <cell r="G988">
            <v>0.76190476190476186</v>
          </cell>
        </row>
        <row r="989">
          <cell r="A989" t="str">
            <v>605-10-060</v>
          </cell>
          <cell r="B989">
            <v>200</v>
          </cell>
          <cell r="C989" t="str">
            <v>TRAVEL ALLOWANCE</v>
          </cell>
          <cell r="D989">
            <v>210000</v>
          </cell>
          <cell r="E989">
            <v>0</v>
          </cell>
          <cell r="F989">
            <v>87500</v>
          </cell>
          <cell r="G989">
            <v>2.4</v>
          </cell>
        </row>
        <row r="990">
          <cell r="A990" t="str">
            <v>605-20-010</v>
          </cell>
          <cell r="B990">
            <v>200</v>
          </cell>
          <cell r="C990" t="str">
            <v>NSSF</v>
          </cell>
          <cell r="D990">
            <v>12000</v>
          </cell>
          <cell r="E990">
            <v>6600</v>
          </cell>
          <cell r="F990">
            <v>11600</v>
          </cell>
          <cell r="G990">
            <v>1.0344827586206897</v>
          </cell>
        </row>
        <row r="991">
          <cell r="A991" t="str">
            <v>605-20-020</v>
          </cell>
          <cell r="B991">
            <v>200</v>
          </cell>
          <cell r="C991" t="str">
            <v>NHIF</v>
          </cell>
          <cell r="D991">
            <v>14400</v>
          </cell>
          <cell r="E991">
            <v>8160</v>
          </cell>
          <cell r="F991">
            <v>14160</v>
          </cell>
          <cell r="G991">
            <v>1.0169491525423728</v>
          </cell>
        </row>
        <row r="992">
          <cell r="A992" t="str">
            <v>605-30-010</v>
          </cell>
          <cell r="B992">
            <v>200</v>
          </cell>
          <cell r="C992" t="str">
            <v xml:space="preserve">PENSION </v>
          </cell>
          <cell r="D992">
            <v>666780</v>
          </cell>
          <cell r="E992">
            <v>217048.33</v>
          </cell>
          <cell r="F992">
            <v>463623.33</v>
          </cell>
          <cell r="G992">
            <v>1.4381933713301271</v>
          </cell>
        </row>
        <row r="993">
          <cell r="A993" t="str">
            <v>605-30-020</v>
          </cell>
          <cell r="B993">
            <v>200</v>
          </cell>
          <cell r="C993" t="str">
            <v>LAST EXPENSE</v>
          </cell>
          <cell r="D993">
            <v>12600</v>
          </cell>
          <cell r="E993">
            <v>1750</v>
          </cell>
          <cell r="F993">
            <v>10500</v>
          </cell>
          <cell r="G993">
            <v>1.2</v>
          </cell>
        </row>
        <row r="994">
          <cell r="A994" t="str">
            <v>605-30-030</v>
          </cell>
          <cell r="B994">
            <v>200</v>
          </cell>
          <cell r="C994" t="str">
            <v>GROUP LIFE ASSURANCE</v>
          </cell>
          <cell r="D994">
            <v>82368</v>
          </cell>
          <cell r="E994">
            <v>76144.070000000007</v>
          </cell>
          <cell r="F994">
            <v>130532.69142857144</v>
          </cell>
          <cell r="G994">
            <v>0.63101433900236736</v>
          </cell>
        </row>
        <row r="995">
          <cell r="A995" t="str">
            <v>605-30-040</v>
          </cell>
          <cell r="B995">
            <v>200</v>
          </cell>
          <cell r="C995" t="str">
            <v>STAFF MEDICAL</v>
          </cell>
          <cell r="D995">
            <v>0</v>
          </cell>
          <cell r="E995">
            <v>0</v>
          </cell>
          <cell r="F995">
            <v>0</v>
          </cell>
          <cell r="G995">
            <v>0</v>
          </cell>
        </row>
        <row r="996">
          <cell r="A996" t="str">
            <v>605-30-050</v>
          </cell>
          <cell r="B996">
            <v>200</v>
          </cell>
          <cell r="C996" t="str">
            <v>CASH IN LIEU OF LEAVE</v>
          </cell>
          <cell r="D996">
            <v>130856</v>
          </cell>
          <cell r="E996">
            <v>50000</v>
          </cell>
          <cell r="F996">
            <v>70000</v>
          </cell>
          <cell r="G996">
            <v>1.8693714285714285</v>
          </cell>
        </row>
        <row r="997">
          <cell r="A997" t="str">
            <v>605-30-060</v>
          </cell>
          <cell r="B997">
            <v>200</v>
          </cell>
          <cell r="C997" t="str">
            <v>GRATUITY</v>
          </cell>
          <cell r="E997">
            <v>0</v>
          </cell>
          <cell r="F997">
            <v>0</v>
          </cell>
          <cell r="G997">
            <v>0</v>
          </cell>
        </row>
        <row r="998">
          <cell r="A998" t="str">
            <v>605-30-070</v>
          </cell>
          <cell r="B998">
            <v>200</v>
          </cell>
          <cell r="C998" t="str">
            <v>LONG SERVICE AWARDS</v>
          </cell>
          <cell r="D998">
            <v>0</v>
          </cell>
          <cell r="E998">
            <v>0</v>
          </cell>
          <cell r="F998">
            <v>0</v>
          </cell>
          <cell r="G998">
            <v>0</v>
          </cell>
        </row>
        <row r="999">
          <cell r="A999" t="str">
            <v>605-30-080</v>
          </cell>
          <cell r="B999">
            <v>200</v>
          </cell>
          <cell r="C999" t="str">
            <v>STAFF RECRUITMENT &amp; REMOVALS</v>
          </cell>
          <cell r="D999">
            <v>0</v>
          </cell>
          <cell r="E999">
            <v>3800</v>
          </cell>
          <cell r="F999">
            <v>6514.2857142857147</v>
          </cell>
          <cell r="G999">
            <v>0</v>
          </cell>
        </row>
        <row r="1000">
          <cell r="A1000" t="str">
            <v>615-10-010</v>
          </cell>
          <cell r="B1000">
            <v>200</v>
          </cell>
          <cell r="D1000">
            <v>0</v>
          </cell>
          <cell r="E1000">
            <v>0</v>
          </cell>
          <cell r="F1000">
            <v>0</v>
          </cell>
          <cell r="G1000">
            <v>0</v>
          </cell>
        </row>
        <row r="1001">
          <cell r="A1001" t="str">
            <v>615-10-010</v>
          </cell>
          <cell r="B1001">
            <v>200</v>
          </cell>
          <cell r="D1001">
            <v>0</v>
          </cell>
          <cell r="F1001">
            <v>0</v>
          </cell>
          <cell r="G1001">
            <v>0</v>
          </cell>
        </row>
        <row r="1002">
          <cell r="A1002" t="str">
            <v>615-10-020</v>
          </cell>
          <cell r="B1002">
            <v>200</v>
          </cell>
          <cell r="D1002">
            <v>0</v>
          </cell>
          <cell r="E1002">
            <v>0</v>
          </cell>
          <cell r="F1002">
            <v>0</v>
          </cell>
          <cell r="G1002">
            <v>0</v>
          </cell>
        </row>
        <row r="1003">
          <cell r="A1003" t="str">
            <v>615-10-020</v>
          </cell>
          <cell r="B1003">
            <v>200</v>
          </cell>
          <cell r="D1003">
            <v>0</v>
          </cell>
          <cell r="G1003">
            <v>0</v>
          </cell>
        </row>
        <row r="1004">
          <cell r="A1004" t="str">
            <v>615-10-030</v>
          </cell>
          <cell r="B1004">
            <v>200</v>
          </cell>
          <cell r="D1004">
            <v>0</v>
          </cell>
          <cell r="E1004">
            <v>0</v>
          </cell>
          <cell r="F1004">
            <v>0</v>
          </cell>
          <cell r="G1004">
            <v>0</v>
          </cell>
        </row>
        <row r="1005">
          <cell r="A1005" t="str">
            <v>615-10-030</v>
          </cell>
          <cell r="B1005">
            <v>200</v>
          </cell>
          <cell r="D1005">
            <v>0</v>
          </cell>
          <cell r="F1005">
            <v>0</v>
          </cell>
          <cell r="G1005">
            <v>0</v>
          </cell>
        </row>
        <row r="1006">
          <cell r="A1006" t="str">
            <v>615-10-040</v>
          </cell>
          <cell r="B1006">
            <v>200</v>
          </cell>
          <cell r="D1006">
            <v>479808</v>
          </cell>
          <cell r="E1006">
            <v>223301.92</v>
          </cell>
          <cell r="F1006">
            <v>442803.29142857145</v>
          </cell>
          <cell r="G1006">
            <v>1.083569181367293</v>
          </cell>
        </row>
        <row r="1007">
          <cell r="A1007" t="str">
            <v>615-10-040</v>
          </cell>
          <cell r="B1007">
            <v>200</v>
          </cell>
          <cell r="D1007">
            <v>60000</v>
          </cell>
          <cell r="G1007">
            <v>0</v>
          </cell>
        </row>
        <row r="1008">
          <cell r="A1008" t="str">
            <v>615-10-050</v>
          </cell>
          <cell r="B1008">
            <v>200</v>
          </cell>
          <cell r="C1008" t="str">
            <v>OFFICE CATERING &amp; STAFF WELFARE</v>
          </cell>
          <cell r="D1008">
            <v>0</v>
          </cell>
          <cell r="G1008">
            <v>0</v>
          </cell>
        </row>
        <row r="1009">
          <cell r="A1009" t="str">
            <v>615-10-051</v>
          </cell>
          <cell r="B1009">
            <v>200</v>
          </cell>
          <cell r="C1009" t="str">
            <v>OFFICE CLEANING</v>
          </cell>
          <cell r="D1009">
            <v>0</v>
          </cell>
          <cell r="E1009">
            <v>0</v>
          </cell>
          <cell r="F1009">
            <v>0</v>
          </cell>
          <cell r="G1009">
            <v>0</v>
          </cell>
        </row>
        <row r="1010">
          <cell r="A1010" t="str">
            <v>615-10-060</v>
          </cell>
          <cell r="B1010">
            <v>200</v>
          </cell>
          <cell r="C1010" t="str">
            <v>OFFICE WATER</v>
          </cell>
          <cell r="D1010">
            <v>0</v>
          </cell>
          <cell r="E1010">
            <v>0</v>
          </cell>
          <cell r="F1010">
            <v>0</v>
          </cell>
          <cell r="G1010">
            <v>0</v>
          </cell>
        </row>
        <row r="1011">
          <cell r="A1011" t="str">
            <v>615-10-070</v>
          </cell>
          <cell r="B1011">
            <v>200</v>
          </cell>
          <cell r="C1011" t="str">
            <v>OFFICE ELECTRICITY</v>
          </cell>
          <cell r="D1011">
            <v>0</v>
          </cell>
          <cell r="E1011">
            <v>0</v>
          </cell>
          <cell r="F1011">
            <v>0</v>
          </cell>
          <cell r="G1011">
            <v>0</v>
          </cell>
        </row>
        <row r="1012">
          <cell r="A1012" t="str">
            <v>615-10-080</v>
          </cell>
          <cell r="B1012">
            <v>200</v>
          </cell>
          <cell r="C1012" t="str">
            <v>OFFICE SECURITY</v>
          </cell>
          <cell r="D1012">
            <v>0</v>
          </cell>
          <cell r="E1012">
            <v>0</v>
          </cell>
          <cell r="F1012">
            <v>0</v>
          </cell>
          <cell r="G1012">
            <v>0</v>
          </cell>
        </row>
        <row r="1013">
          <cell r="A1013" t="str">
            <v>625-10-010</v>
          </cell>
          <cell r="B1013">
            <v>200</v>
          </cell>
          <cell r="C1013" t="str">
            <v>BANK CHARGES</v>
          </cell>
          <cell r="D1013">
            <v>200000</v>
          </cell>
          <cell r="E1013">
            <v>145000</v>
          </cell>
          <cell r="F1013">
            <v>185000</v>
          </cell>
          <cell r="G1013">
            <v>1.0810810810810811</v>
          </cell>
        </row>
        <row r="1014">
          <cell r="A1014" t="str">
            <v>635-10-011</v>
          </cell>
          <cell r="B1014">
            <v>200</v>
          </cell>
          <cell r="C1014" t="str">
            <v>Staff Bonus</v>
          </cell>
          <cell r="D1014">
            <v>3000000</v>
          </cell>
          <cell r="E1014">
            <v>1750000</v>
          </cell>
          <cell r="F1014">
            <v>3000000</v>
          </cell>
          <cell r="G1014">
            <v>1</v>
          </cell>
        </row>
        <row r="1015">
          <cell r="A1015" t="str">
            <v>645-10-010</v>
          </cell>
          <cell r="B1015">
            <v>200</v>
          </cell>
          <cell r="C1015" t="str">
            <v>ALA Group charges- Individual life</v>
          </cell>
          <cell r="F1015">
            <v>0</v>
          </cell>
          <cell r="G1015">
            <v>0</v>
          </cell>
        </row>
        <row r="1016">
          <cell r="A1016" t="str">
            <v>645-10-010</v>
          </cell>
          <cell r="B1016">
            <v>200</v>
          </cell>
          <cell r="C1016" t="str">
            <v>ALA Group charges- corporate Business</v>
          </cell>
          <cell r="D1016">
            <v>2050000</v>
          </cell>
          <cell r="E1016">
            <v>1070105</v>
          </cell>
          <cell r="F1016">
            <v>1834465.7142857146</v>
          </cell>
          <cell r="G1016">
            <v>1.1174915857166663</v>
          </cell>
        </row>
        <row r="1017">
          <cell r="A1017" t="str">
            <v>645-10-020</v>
          </cell>
          <cell r="B1017">
            <v>200</v>
          </cell>
          <cell r="D1017">
            <v>3235508.9853750002</v>
          </cell>
          <cell r="E1017">
            <v>1509760</v>
          </cell>
          <cell r="F1017">
            <v>2588160</v>
          </cell>
          <cell r="G1017">
            <v>1.2501193841860627</v>
          </cell>
        </row>
        <row r="1018">
          <cell r="A1018" t="str">
            <v>645-10-030</v>
          </cell>
          <cell r="B1018">
            <v>200</v>
          </cell>
          <cell r="C1018" t="str">
            <v>Audit fee -individual life</v>
          </cell>
          <cell r="D1018">
            <v>0</v>
          </cell>
          <cell r="E1018">
            <v>0</v>
          </cell>
          <cell r="F1018">
            <v>0</v>
          </cell>
          <cell r="G1018">
            <v>0</v>
          </cell>
        </row>
        <row r="1019">
          <cell r="A1019" t="str">
            <v>645-10-031</v>
          </cell>
          <cell r="B1019">
            <v>200</v>
          </cell>
          <cell r="C1019" t="str">
            <v>Tax filing returns</v>
          </cell>
          <cell r="D1019">
            <v>0</v>
          </cell>
          <cell r="E1019">
            <v>0</v>
          </cell>
          <cell r="F1019">
            <v>0</v>
          </cell>
          <cell r="G1019">
            <v>0</v>
          </cell>
        </row>
        <row r="1020">
          <cell r="A1020" t="str">
            <v>645-10-040</v>
          </cell>
          <cell r="B1020">
            <v>200</v>
          </cell>
          <cell r="C1020" t="str">
            <v>Recharges</v>
          </cell>
          <cell r="D1020">
            <v>6445782.2219458334</v>
          </cell>
          <cell r="E1020">
            <v>2596524.17</v>
          </cell>
          <cell r="F1020">
            <v>4451184.2914285716</v>
          </cell>
          <cell r="G1020">
            <v>1.4481049985636771</v>
          </cell>
        </row>
        <row r="1021">
          <cell r="A1021" t="str">
            <v>645-10-050</v>
          </cell>
          <cell r="B1021">
            <v>200</v>
          </cell>
          <cell r="C1021" t="str">
            <v>40% Excutive recharge</v>
          </cell>
          <cell r="G1021">
            <v>0</v>
          </cell>
        </row>
        <row r="1022">
          <cell r="A1022" t="str">
            <v>645-10-050</v>
          </cell>
          <cell r="B1022">
            <v>200</v>
          </cell>
          <cell r="D1022">
            <v>7453954.7800000012</v>
          </cell>
          <cell r="E1022">
            <v>4182276.42</v>
          </cell>
          <cell r="F1022">
            <v>7169616.7199999988</v>
          </cell>
          <cell r="G1022">
            <v>1.0396587531948294</v>
          </cell>
        </row>
        <row r="1023">
          <cell r="A1023" t="str">
            <v>645-10-055</v>
          </cell>
          <cell r="B1023">
            <v>200</v>
          </cell>
          <cell r="C1023" t="str">
            <v>Legal fees</v>
          </cell>
          <cell r="D1023">
            <v>0</v>
          </cell>
          <cell r="E1023">
            <v>0</v>
          </cell>
          <cell r="F1023">
            <v>0</v>
          </cell>
          <cell r="G1023">
            <v>0</v>
          </cell>
        </row>
        <row r="1024">
          <cell r="A1024" t="str">
            <v>645-10-060</v>
          </cell>
          <cell r="B1024">
            <v>200</v>
          </cell>
          <cell r="C1024" t="str">
            <v>Intra company charges- individual life</v>
          </cell>
          <cell r="E1024">
            <v>0</v>
          </cell>
          <cell r="G1024">
            <v>0</v>
          </cell>
        </row>
        <row r="1025">
          <cell r="A1025" t="str">
            <v>645-10-065</v>
          </cell>
          <cell r="B1025">
            <v>200</v>
          </cell>
          <cell r="C1025" t="str">
            <v>Actuarial fees- Individual life</v>
          </cell>
          <cell r="G1025">
            <v>0</v>
          </cell>
        </row>
        <row r="1026">
          <cell r="A1026" t="str">
            <v>645-10-065</v>
          </cell>
          <cell r="B1026">
            <v>200</v>
          </cell>
          <cell r="C1026" t="str">
            <v>Actuarial fees- Corporate Business</v>
          </cell>
          <cell r="D1026">
            <v>200000</v>
          </cell>
          <cell r="E1026">
            <v>1070105</v>
          </cell>
          <cell r="F1026">
            <v>1834465.7142857146</v>
          </cell>
          <cell r="G1026">
            <v>0.10902356933821135</v>
          </cell>
        </row>
        <row r="1027">
          <cell r="A1027" t="str">
            <v>645-10-090</v>
          </cell>
          <cell r="B1027">
            <v>200</v>
          </cell>
          <cell r="D1027">
            <v>936073.48842500011</v>
          </cell>
          <cell r="F1027">
            <v>848239.28585714288</v>
          </cell>
          <cell r="G1027">
            <v>1.1035488499911921</v>
          </cell>
        </row>
        <row r="1028">
          <cell r="A1028" t="str">
            <v>645-10-100</v>
          </cell>
          <cell r="B1028">
            <v>200</v>
          </cell>
          <cell r="D1028">
            <v>1617736.1634</v>
          </cell>
          <cell r="E1028">
            <v>0</v>
          </cell>
          <cell r="F1028">
            <v>1419122.08</v>
          </cell>
          <cell r="G1028">
            <v>1.1399556008599343</v>
          </cell>
        </row>
        <row r="1029">
          <cell r="A1029" t="str">
            <v>655-10-007</v>
          </cell>
          <cell r="B1029">
            <v>200</v>
          </cell>
          <cell r="C1029" t="str">
            <v>NEWSPAPERS &amp; JOURNALS</v>
          </cell>
          <cell r="D1029">
            <v>9360</v>
          </cell>
          <cell r="E1029">
            <v>8745</v>
          </cell>
          <cell r="F1029">
            <v>14991.428571428571</v>
          </cell>
          <cell r="G1029">
            <v>0.62435677530017153</v>
          </cell>
        </row>
        <row r="1030">
          <cell r="A1030" t="str">
            <v>655-10-008</v>
          </cell>
          <cell r="B1030">
            <v>200</v>
          </cell>
          <cell r="C1030" t="str">
            <v>ENTERTAINMENT &amp; DONATIONS</v>
          </cell>
          <cell r="D1030">
            <v>70000</v>
          </cell>
          <cell r="E1030">
            <v>7277.38</v>
          </cell>
          <cell r="F1030">
            <v>25000</v>
          </cell>
          <cell r="G1030">
            <v>2.8</v>
          </cell>
        </row>
        <row r="1031">
          <cell r="A1031" t="str">
            <v>655-10-009</v>
          </cell>
          <cell r="B1031">
            <v>200</v>
          </cell>
          <cell r="C1031" t="str">
            <v>COURIER &amp; FREIGHT CHARGES</v>
          </cell>
          <cell r="D1031">
            <v>0</v>
          </cell>
          <cell r="E1031">
            <v>0</v>
          </cell>
          <cell r="F1031">
            <v>0</v>
          </cell>
          <cell r="G1031">
            <v>0</v>
          </cell>
        </row>
        <row r="1032">
          <cell r="A1032" t="str">
            <v>655-10-010</v>
          </cell>
          <cell r="B1032">
            <v>200</v>
          </cell>
          <cell r="C1032" t="str">
            <v>ADVERTISING &amp; PUBLICITY</v>
          </cell>
          <cell r="D1032">
            <v>85000</v>
          </cell>
          <cell r="E1032">
            <v>33367.199999999997</v>
          </cell>
          <cell r="F1032">
            <v>50000</v>
          </cell>
          <cell r="G1032">
            <v>1.7</v>
          </cell>
        </row>
        <row r="1033">
          <cell r="A1033" t="str">
            <v>655-10-012</v>
          </cell>
          <cell r="B1033">
            <v>200</v>
          </cell>
          <cell r="C1033" t="str">
            <v>TRADE LICENCES</v>
          </cell>
          <cell r="D1033">
            <v>0</v>
          </cell>
          <cell r="E1033">
            <v>0</v>
          </cell>
          <cell r="F1033">
            <v>0</v>
          </cell>
          <cell r="G1033">
            <v>0</v>
          </cell>
        </row>
        <row r="1034">
          <cell r="A1034" t="str">
            <v>655-10-013</v>
          </cell>
          <cell r="B1034">
            <v>200</v>
          </cell>
          <cell r="C1034" t="str">
            <v>INSURANCES</v>
          </cell>
          <cell r="D1034">
            <v>0</v>
          </cell>
          <cell r="E1034">
            <v>0</v>
          </cell>
          <cell r="F1034">
            <v>0</v>
          </cell>
          <cell r="G1034">
            <v>0</v>
          </cell>
        </row>
        <row r="1035">
          <cell r="A1035" t="str">
            <v>655-10-014</v>
          </cell>
          <cell r="B1035">
            <v>200</v>
          </cell>
          <cell r="C1035" t="str">
            <v>PHOTOCOPY</v>
          </cell>
          <cell r="D1035">
            <v>0</v>
          </cell>
          <cell r="E1035">
            <v>0</v>
          </cell>
          <cell r="F1035">
            <v>0</v>
          </cell>
          <cell r="G1035">
            <v>0</v>
          </cell>
        </row>
        <row r="1036">
          <cell r="A1036" t="str">
            <v>655-10-015</v>
          </cell>
          <cell r="B1036">
            <v>200</v>
          </cell>
          <cell r="C1036" t="str">
            <v>COMPUTER MAINTAINANCE</v>
          </cell>
          <cell r="D1036">
            <v>0</v>
          </cell>
          <cell r="E1036">
            <v>0</v>
          </cell>
          <cell r="F1036">
            <v>0</v>
          </cell>
          <cell r="G1036">
            <v>0</v>
          </cell>
        </row>
        <row r="1037">
          <cell r="A1037" t="str">
            <v>655-10-016</v>
          </cell>
          <cell r="B1037">
            <v>200</v>
          </cell>
          <cell r="C1037" t="str">
            <v>EQUIPMENT&amp; FURNITURE REPAIRS &amp; MAINTENANCE</v>
          </cell>
          <cell r="D1037">
            <v>0</v>
          </cell>
          <cell r="E1037">
            <v>356</v>
          </cell>
          <cell r="F1037">
            <v>610.28571428571422</v>
          </cell>
          <cell r="G1037">
            <v>0</v>
          </cell>
        </row>
        <row r="1038">
          <cell r="A1038" t="str">
            <v>655-10-017</v>
          </cell>
          <cell r="B1038">
            <v>200</v>
          </cell>
          <cell r="C1038" t="str">
            <v>SEMINARS &amp; SHORT TERM COURSES</v>
          </cell>
          <cell r="D1038">
            <v>45000</v>
          </cell>
          <cell r="E1038">
            <v>82500</v>
          </cell>
          <cell r="F1038">
            <v>141428.57142857142</v>
          </cell>
          <cell r="G1038">
            <v>0.31818181818181818</v>
          </cell>
        </row>
        <row r="1039">
          <cell r="A1039" t="str">
            <v>655-10-022</v>
          </cell>
          <cell r="B1039">
            <v>200</v>
          </cell>
          <cell r="C1039" t="str">
            <v>PRINTING &amp; STATIONERY</v>
          </cell>
          <cell r="D1039">
            <v>263490.5</v>
          </cell>
          <cell r="E1039">
            <v>86385.5</v>
          </cell>
          <cell r="F1039">
            <v>148089.42857142858</v>
          </cell>
          <cell r="G1039">
            <v>1.7792660998277101</v>
          </cell>
        </row>
        <row r="1040">
          <cell r="A1040" t="str">
            <v>655-10-025</v>
          </cell>
          <cell r="B1040">
            <v>200</v>
          </cell>
          <cell r="C1040" t="str">
            <v>STRATEGIC PLANNING</v>
          </cell>
          <cell r="D1040">
            <v>0</v>
          </cell>
          <cell r="E1040">
            <v>0</v>
          </cell>
          <cell r="F1040">
            <v>0</v>
          </cell>
          <cell r="G1040">
            <v>0</v>
          </cell>
        </row>
        <row r="1041">
          <cell r="A1041" t="str">
            <v>655-10-027</v>
          </cell>
          <cell r="B1041">
            <v>200</v>
          </cell>
          <cell r="C1041" t="str">
            <v>PROFESSIONAL SUBSCRIPTIONS</v>
          </cell>
          <cell r="D1041">
            <v>30500</v>
          </cell>
          <cell r="E1041">
            <v>32787.300000000003</v>
          </cell>
          <cell r="F1041">
            <v>56206.8</v>
          </cell>
          <cell r="G1041">
            <v>0.54263896895037611</v>
          </cell>
        </row>
        <row r="1042">
          <cell r="A1042" t="str">
            <v>655-10-028</v>
          </cell>
          <cell r="B1042">
            <v>200</v>
          </cell>
          <cell r="C1042" t="str">
            <v xml:space="preserve"> SUBSCRIPTIONS -COMPANY MEMBERSHIP</v>
          </cell>
          <cell r="D1042">
            <v>0</v>
          </cell>
          <cell r="E1042">
            <v>0</v>
          </cell>
          <cell r="F1042">
            <v>0</v>
          </cell>
          <cell r="G1042">
            <v>0</v>
          </cell>
        </row>
        <row r="1043">
          <cell r="A1043" t="str">
            <v>655-10-030</v>
          </cell>
          <cell r="B1043">
            <v>200</v>
          </cell>
          <cell r="C1043" t="str">
            <v>TRAVELLING &amp; ACCOMMODATION</v>
          </cell>
          <cell r="D1043">
            <v>185475</v>
          </cell>
          <cell r="E1043">
            <v>600</v>
          </cell>
          <cell r="F1043">
            <v>150000</v>
          </cell>
          <cell r="G1043">
            <v>1.2364999999999999</v>
          </cell>
        </row>
        <row r="1044">
          <cell r="A1044" t="str">
            <v>655-10-032</v>
          </cell>
          <cell r="B1044">
            <v>200</v>
          </cell>
          <cell r="C1044" t="str">
            <v xml:space="preserve">MOTOR CAR EXPENSES </v>
          </cell>
          <cell r="D1044">
            <v>0</v>
          </cell>
          <cell r="E1044">
            <v>7500</v>
          </cell>
          <cell r="F1044">
            <v>12500</v>
          </cell>
          <cell r="G1044">
            <v>0</v>
          </cell>
        </row>
        <row r="1045">
          <cell r="A1045" t="str">
            <v>655-10-040</v>
          </cell>
          <cell r="B1045">
            <v>200</v>
          </cell>
          <cell r="C1045" t="str">
            <v>POSTAGE</v>
          </cell>
          <cell r="D1045">
            <v>5155</v>
          </cell>
          <cell r="E1045">
            <v>14700</v>
          </cell>
          <cell r="F1045">
            <v>25200</v>
          </cell>
          <cell r="G1045">
            <v>0.20456349206349206</v>
          </cell>
        </row>
        <row r="1046">
          <cell r="A1046" t="str">
            <v>655-10-041</v>
          </cell>
          <cell r="B1046">
            <v>200</v>
          </cell>
          <cell r="C1046" t="str">
            <v>TELEPHONE &amp; FAX</v>
          </cell>
          <cell r="D1046">
            <v>148800</v>
          </cell>
          <cell r="E1046">
            <v>66697.02</v>
          </cell>
          <cell r="F1046">
            <v>114337.74857142857</v>
          </cell>
          <cell r="G1046">
            <v>1.3014074691792827</v>
          </cell>
        </row>
        <row r="1047">
          <cell r="A1047" t="str">
            <v>655-10-044</v>
          </cell>
          <cell r="B1047">
            <v>200</v>
          </cell>
          <cell r="C1047" t="str">
            <v>PROFFESSIONAL TRAINING</v>
          </cell>
          <cell r="D1047">
            <v>180400</v>
          </cell>
          <cell r="E1047">
            <v>12108.25</v>
          </cell>
          <cell r="F1047">
            <v>88757</v>
          </cell>
          <cell r="G1047">
            <v>2.0325157452369953</v>
          </cell>
        </row>
        <row r="1048">
          <cell r="A1048" t="str">
            <v>655-10-046</v>
          </cell>
          <cell r="B1048">
            <v>200</v>
          </cell>
          <cell r="C1048" t="str">
            <v xml:space="preserve">SUBSCRIPTION- STAFF CLUB MEMBERSHIP </v>
          </cell>
          <cell r="D1048">
            <v>40000</v>
          </cell>
          <cell r="E1048">
            <v>99250</v>
          </cell>
          <cell r="F1048">
            <v>170142.85714285716</v>
          </cell>
          <cell r="G1048">
            <v>0.23509655751469352</v>
          </cell>
        </row>
        <row r="1049">
          <cell r="A1049" t="str">
            <v>655-10-054</v>
          </cell>
          <cell r="B1049">
            <v>200</v>
          </cell>
          <cell r="C1049" t="str">
            <v>LEASED LINES-INTERNET SERVICES</v>
          </cell>
          <cell r="D1049">
            <v>0</v>
          </cell>
          <cell r="E1049">
            <v>0</v>
          </cell>
          <cell r="F1049">
            <v>0</v>
          </cell>
          <cell r="G1049">
            <v>0</v>
          </cell>
        </row>
        <row r="1050">
          <cell r="A1050" t="str">
            <v>655-10-057</v>
          </cell>
          <cell r="B1050">
            <v>200</v>
          </cell>
          <cell r="C1050" t="str">
            <v>SOFTWARE LICENCES</v>
          </cell>
          <cell r="D1050">
            <v>0</v>
          </cell>
          <cell r="E1050">
            <v>0</v>
          </cell>
          <cell r="F1050">
            <v>0</v>
          </cell>
          <cell r="G1050">
            <v>0</v>
          </cell>
        </row>
        <row r="1051">
          <cell r="A1051" t="str">
            <v>655-10-059</v>
          </cell>
          <cell r="B1051">
            <v>200</v>
          </cell>
          <cell r="E1051">
            <v>0</v>
          </cell>
          <cell r="G1051">
            <v>0</v>
          </cell>
        </row>
        <row r="1052">
          <cell r="A1052" t="str">
            <v>655-10-060</v>
          </cell>
          <cell r="B1052">
            <v>200</v>
          </cell>
          <cell r="E1052">
            <v>0</v>
          </cell>
          <cell r="G1052">
            <v>0</v>
          </cell>
        </row>
        <row r="1053">
          <cell r="A1053" t="str">
            <v>655-10-062</v>
          </cell>
          <cell r="B1053">
            <v>200</v>
          </cell>
          <cell r="C1053" t="str">
            <v>EDUCATION EXPENSES</v>
          </cell>
          <cell r="D1053">
            <v>0</v>
          </cell>
          <cell r="E1053">
            <v>0</v>
          </cell>
          <cell r="F1053">
            <v>0</v>
          </cell>
          <cell r="G1053">
            <v>0</v>
          </cell>
        </row>
        <row r="1054">
          <cell r="A1054" t="str">
            <v>665-10-070</v>
          </cell>
          <cell r="B1054">
            <v>200</v>
          </cell>
          <cell r="C1054" t="str">
            <v>STAFF BONUS</v>
          </cell>
          <cell r="D1054">
            <v>0</v>
          </cell>
          <cell r="E1054">
            <v>0</v>
          </cell>
          <cell r="F1054">
            <v>0</v>
          </cell>
          <cell r="G1054">
            <v>0</v>
          </cell>
        </row>
        <row r="1055">
          <cell r="B1055" t="str">
            <v/>
          </cell>
          <cell r="G1055">
            <v>0</v>
          </cell>
        </row>
        <row r="1056">
          <cell r="B1056" t="str">
            <v/>
          </cell>
          <cell r="D1056">
            <v>24240998.400000002</v>
          </cell>
          <cell r="E1056">
            <v>13360000</v>
          </cell>
          <cell r="F1056">
            <v>22412550</v>
          </cell>
          <cell r="G1056">
            <v>1.0815814532482917</v>
          </cell>
        </row>
        <row r="1057">
          <cell r="B1057" t="str">
            <v/>
          </cell>
          <cell r="G1057">
            <v>0</v>
          </cell>
        </row>
        <row r="1058">
          <cell r="B1058" t="str">
            <v/>
          </cell>
          <cell r="G1058">
            <v>0</v>
          </cell>
        </row>
        <row r="1059">
          <cell r="B1059" t="str">
            <v/>
          </cell>
          <cell r="G1059">
            <v>0</v>
          </cell>
        </row>
        <row r="1060">
          <cell r="A1060" t="str">
            <v>GL code</v>
          </cell>
          <cell r="B1060" t="str">
            <v>Uint Code</v>
          </cell>
          <cell r="E1060">
            <v>38168</v>
          </cell>
          <cell r="F1060">
            <v>38352</v>
          </cell>
          <cell r="H1060" t="str">
            <v>Explain Variance</v>
          </cell>
        </row>
        <row r="1061">
          <cell r="A1061" t="str">
            <v>GL code</v>
          </cell>
          <cell r="B1061" t="str">
            <v>Uint Code</v>
          </cell>
          <cell r="E1061">
            <v>38168</v>
          </cell>
          <cell r="F1061">
            <v>38352</v>
          </cell>
          <cell r="H1061" t="str">
            <v>Explain Variance</v>
          </cell>
        </row>
        <row r="1062">
          <cell r="A1062" t="str">
            <v>GL code</v>
          </cell>
          <cell r="B1062" t="str">
            <v>Uint Code</v>
          </cell>
          <cell r="E1062">
            <v>38168</v>
          </cell>
          <cell r="F1062">
            <v>38352</v>
          </cell>
          <cell r="H1062" t="str">
            <v>Explain Variance</v>
          </cell>
        </row>
        <row r="1063">
          <cell r="A1063" t="str">
            <v>GL code</v>
          </cell>
          <cell r="B1063" t="str">
            <v>Uint Code</v>
          </cell>
          <cell r="E1063">
            <v>38168</v>
          </cell>
          <cell r="F1063">
            <v>38352</v>
          </cell>
          <cell r="H1063" t="str">
            <v>Explain Variance</v>
          </cell>
        </row>
        <row r="1064">
          <cell r="A1064" t="str">
            <v>GL code</v>
          </cell>
          <cell r="B1064" t="str">
            <v>Uint Code</v>
          </cell>
          <cell r="E1064">
            <v>38168</v>
          </cell>
          <cell r="F1064">
            <v>38352</v>
          </cell>
          <cell r="H1064" t="str">
            <v>Explain Variance</v>
          </cell>
        </row>
        <row r="1065">
          <cell r="A1065" t="str">
            <v>GL code</v>
          </cell>
          <cell r="B1065" t="str">
            <v>Uint Code</v>
          </cell>
          <cell r="E1065">
            <v>38168</v>
          </cell>
          <cell r="F1065">
            <v>38352</v>
          </cell>
          <cell r="H1065" t="str">
            <v>Explain Variance</v>
          </cell>
        </row>
        <row r="1066">
          <cell r="A1066" t="str">
            <v>GL code</v>
          </cell>
          <cell r="B1066" t="str">
            <v>Uint Code</v>
          </cell>
          <cell r="E1066">
            <v>38168</v>
          </cell>
          <cell r="F1066">
            <v>38352</v>
          </cell>
          <cell r="H1066" t="str">
            <v>Explain Variance</v>
          </cell>
        </row>
        <row r="1067">
          <cell r="A1067" t="str">
            <v>GL code</v>
          </cell>
          <cell r="B1067" t="str">
            <v>Uint Code</v>
          </cell>
          <cell r="E1067">
            <v>38168</v>
          </cell>
          <cell r="F1067">
            <v>38352</v>
          </cell>
          <cell r="H1067" t="str">
            <v>Explain Variance</v>
          </cell>
        </row>
        <row r="1068">
          <cell r="A1068" t="str">
            <v>GL code</v>
          </cell>
          <cell r="B1068" t="str">
            <v>Uint Code</v>
          </cell>
          <cell r="E1068">
            <v>38168</v>
          </cell>
          <cell r="F1068">
            <v>38352</v>
          </cell>
          <cell r="H1068" t="str">
            <v>Explain Variance</v>
          </cell>
        </row>
        <row r="1069">
          <cell r="A1069" t="str">
            <v>GL code</v>
          </cell>
          <cell r="B1069" t="str">
            <v>Uint Code</v>
          </cell>
          <cell r="E1069">
            <v>38168</v>
          </cell>
          <cell r="F1069">
            <v>38352</v>
          </cell>
          <cell r="H1069" t="str">
            <v>Explain Variance</v>
          </cell>
        </row>
        <row r="1070">
          <cell r="A1070" t="str">
            <v>GL code</v>
          </cell>
          <cell r="B1070" t="str">
            <v>Uint Code</v>
          </cell>
          <cell r="E1070">
            <v>38168</v>
          </cell>
          <cell r="F1070">
            <v>38352</v>
          </cell>
          <cell r="H1070" t="str">
            <v>Explain Variance</v>
          </cell>
        </row>
        <row r="1071">
          <cell r="A1071" t="str">
            <v>GL code</v>
          </cell>
          <cell r="B1071" t="str">
            <v>Uint Code</v>
          </cell>
          <cell r="E1071">
            <v>38168</v>
          </cell>
          <cell r="F1071">
            <v>38352</v>
          </cell>
          <cell r="H1071" t="str">
            <v>Explain Variance</v>
          </cell>
        </row>
        <row r="1072">
          <cell r="A1072" t="str">
            <v>GL code</v>
          </cell>
          <cell r="B1072" t="str">
            <v>Uint Code</v>
          </cell>
          <cell r="E1072">
            <v>38168</v>
          </cell>
          <cell r="F1072">
            <v>38352</v>
          </cell>
          <cell r="H1072" t="str">
            <v>Explain Variance</v>
          </cell>
        </row>
        <row r="1073">
          <cell r="A1073" t="str">
            <v>GL code</v>
          </cell>
          <cell r="B1073" t="str">
            <v>Uint Code</v>
          </cell>
          <cell r="E1073">
            <v>38168</v>
          </cell>
          <cell r="F1073">
            <v>38352</v>
          </cell>
          <cell r="H1073" t="str">
            <v>Explain Variance</v>
          </cell>
        </row>
        <row r="1074">
          <cell r="A1074" t="str">
            <v>GL code</v>
          </cell>
          <cell r="B1074" t="str">
            <v>Uint Code</v>
          </cell>
          <cell r="E1074">
            <v>38168</v>
          </cell>
          <cell r="F1074">
            <v>38352</v>
          </cell>
          <cell r="H1074" t="str">
            <v>Explain Variance</v>
          </cell>
        </row>
        <row r="1075">
          <cell r="A1075" t="str">
            <v>GL code</v>
          </cell>
          <cell r="B1075" t="str">
            <v>Uint Code</v>
          </cell>
          <cell r="E1075">
            <v>38168</v>
          </cell>
          <cell r="F1075">
            <v>38352</v>
          </cell>
          <cell r="H1075" t="str">
            <v>Explain Variance</v>
          </cell>
        </row>
        <row r="1076">
          <cell r="A1076" t="str">
            <v>GL code</v>
          </cell>
          <cell r="B1076" t="str">
            <v>Uint Code</v>
          </cell>
          <cell r="E1076">
            <v>38168</v>
          </cell>
          <cell r="F1076">
            <v>38352</v>
          </cell>
          <cell r="H1076" t="str">
            <v>Explain Variance</v>
          </cell>
        </row>
        <row r="1077">
          <cell r="A1077" t="str">
            <v>GL code</v>
          </cell>
          <cell r="B1077" t="str">
            <v>Uint Code</v>
          </cell>
          <cell r="E1077">
            <v>38168</v>
          </cell>
          <cell r="F1077">
            <v>38352</v>
          </cell>
          <cell r="H1077" t="str">
            <v>Explain Variance</v>
          </cell>
        </row>
      </sheetData>
      <sheetData sheetId="33" refreshError="1">
        <row r="2">
          <cell r="A2" t="str">
            <v>Month</v>
          </cell>
          <cell r="B2" t="str">
            <v>Policies</v>
          </cell>
          <cell r="C2" t="str">
            <v>API-Sept</v>
          </cell>
          <cell r="D2" t="str">
            <v>Pro_add_units</v>
          </cell>
          <cell r="E2" t="str">
            <v>Pro_add_api</v>
          </cell>
          <cell r="F2" t="str">
            <v>Pro_exit_units</v>
          </cell>
          <cell r="G2" t="str">
            <v>Pro_Exit_api</v>
          </cell>
          <cell r="H2" t="str">
            <v>Pro_Units</v>
          </cell>
          <cell r="I2" t="str">
            <v>Pro_API</v>
          </cell>
          <cell r="J2" t="str">
            <v>Exit Units</v>
          </cell>
          <cell r="K2" t="str">
            <v>Exit API</v>
          </cell>
          <cell r="L2" t="str">
            <v>Units</v>
          </cell>
          <cell r="M2" t="str">
            <v>API</v>
          </cell>
          <cell r="N2" t="str">
            <v>UPI</v>
          </cell>
          <cell r="O2" t="str">
            <v>DIA</v>
          </cell>
        </row>
        <row r="3">
          <cell r="A3">
            <v>1</v>
          </cell>
          <cell r="B3">
            <v>5240</v>
          </cell>
          <cell r="C3">
            <v>51832006.600000001</v>
          </cell>
          <cell r="H3">
            <v>5240</v>
          </cell>
          <cell r="I3">
            <v>51832006.600000001</v>
          </cell>
          <cell r="J3">
            <v>-922.52083333333337</v>
          </cell>
          <cell r="K3">
            <v>-11056578.291666668</v>
          </cell>
          <cell r="L3">
            <v>4317.479166666667</v>
          </cell>
          <cell r="M3">
            <v>40775428.308333337</v>
          </cell>
          <cell r="N3">
            <v>40775428.308333337</v>
          </cell>
          <cell r="O3">
            <v>0</v>
          </cell>
        </row>
        <row r="4">
          <cell r="A4">
            <v>2</v>
          </cell>
          <cell r="B4">
            <v>5266</v>
          </cell>
          <cell r="C4">
            <v>50191426.200000003</v>
          </cell>
          <cell r="H4">
            <v>5266</v>
          </cell>
          <cell r="I4">
            <v>50191426.200000003</v>
          </cell>
          <cell r="J4">
            <v>-917.52083333333337</v>
          </cell>
          <cell r="K4">
            <v>-10992707.291666668</v>
          </cell>
          <cell r="L4">
            <v>4348.479166666667</v>
          </cell>
          <cell r="M4">
            <v>39198718.908333331</v>
          </cell>
          <cell r="N4">
            <v>35932158.999305554</v>
          </cell>
          <cell r="O4">
            <v>3266559.9090277776</v>
          </cell>
        </row>
        <row r="5">
          <cell r="A5">
            <v>3</v>
          </cell>
          <cell r="B5">
            <v>2433</v>
          </cell>
          <cell r="C5">
            <v>24521956.600000001</v>
          </cell>
          <cell r="H5">
            <v>2433</v>
          </cell>
          <cell r="I5">
            <v>24521956.600000001</v>
          </cell>
          <cell r="J5">
            <v>-912.52083333333337</v>
          </cell>
          <cell r="K5">
            <v>-10931143.291666668</v>
          </cell>
          <cell r="L5">
            <v>1520.4791666666665</v>
          </cell>
          <cell r="M5">
            <v>13590813.308333334</v>
          </cell>
          <cell r="N5">
            <v>11325677.756944446</v>
          </cell>
          <cell r="O5">
            <v>2265135.5513888877</v>
          </cell>
        </row>
        <row r="6">
          <cell r="A6">
            <v>4</v>
          </cell>
          <cell r="B6">
            <v>4324</v>
          </cell>
          <cell r="C6">
            <v>46816237.200000003</v>
          </cell>
          <cell r="H6">
            <v>4324</v>
          </cell>
          <cell r="I6">
            <v>46816237.200000003</v>
          </cell>
          <cell r="J6">
            <v>-907.52083333333337</v>
          </cell>
          <cell r="K6">
            <v>-10867272.291666668</v>
          </cell>
          <cell r="L6">
            <v>3416.4791666666665</v>
          </cell>
          <cell r="M6">
            <v>35948964.908333331</v>
          </cell>
          <cell r="N6">
            <v>26961723.681249999</v>
          </cell>
          <cell r="O6">
            <v>8987241.2270833328</v>
          </cell>
        </row>
        <row r="7">
          <cell r="A7">
            <v>5</v>
          </cell>
          <cell r="B7">
            <v>5896</v>
          </cell>
          <cell r="C7">
            <v>64219023</v>
          </cell>
          <cell r="H7">
            <v>5896</v>
          </cell>
          <cell r="I7">
            <v>64219023</v>
          </cell>
          <cell r="J7">
            <v>-903.52083333333337</v>
          </cell>
          <cell r="K7">
            <v>-10817098.291666668</v>
          </cell>
          <cell r="L7">
            <v>4992.479166666667</v>
          </cell>
          <cell r="M7">
            <v>53401924.708333328</v>
          </cell>
          <cell r="N7">
            <v>35601283.138888881</v>
          </cell>
          <cell r="O7">
            <v>17800641.569444448</v>
          </cell>
        </row>
        <row r="8">
          <cell r="A8">
            <v>6</v>
          </cell>
          <cell r="B8">
            <v>5719</v>
          </cell>
          <cell r="C8">
            <v>64724987.399999999</v>
          </cell>
          <cell r="H8">
            <v>5719</v>
          </cell>
          <cell r="I8">
            <v>64724987.399999999</v>
          </cell>
          <cell r="J8">
            <v>-898.52083333333337</v>
          </cell>
          <cell r="K8">
            <v>-10753227.291666668</v>
          </cell>
          <cell r="L8">
            <v>4820.479166666667</v>
          </cell>
          <cell r="M8">
            <v>53971760.108333334</v>
          </cell>
          <cell r="N8">
            <v>31483526.729861114</v>
          </cell>
          <cell r="O8">
            <v>22488233.37847222</v>
          </cell>
        </row>
        <row r="9">
          <cell r="A9">
            <v>7</v>
          </cell>
          <cell r="B9">
            <v>4402</v>
          </cell>
          <cell r="C9">
            <v>48369015.399999999</v>
          </cell>
          <cell r="H9">
            <v>4402</v>
          </cell>
          <cell r="I9">
            <v>48369015.399999999</v>
          </cell>
          <cell r="J9">
            <v>-894.52083333333337</v>
          </cell>
          <cell r="K9">
            <v>-10703053.291666668</v>
          </cell>
          <cell r="L9">
            <v>3507.4791666666665</v>
          </cell>
          <cell r="M9">
            <v>37665962.108333334</v>
          </cell>
          <cell r="N9">
            <v>18832981.054166667</v>
          </cell>
          <cell r="O9">
            <v>18832981.054166667</v>
          </cell>
        </row>
        <row r="10">
          <cell r="A10">
            <v>8</v>
          </cell>
          <cell r="B10">
            <v>6586</v>
          </cell>
          <cell r="C10">
            <v>76498227.799999997</v>
          </cell>
          <cell r="H10">
            <v>6586</v>
          </cell>
          <cell r="I10">
            <v>76498227.799999997</v>
          </cell>
          <cell r="J10">
            <v>-890.52083333333337</v>
          </cell>
          <cell r="K10">
            <v>-10652879.291666668</v>
          </cell>
          <cell r="L10">
            <v>5695.479166666667</v>
          </cell>
          <cell r="M10">
            <v>65845348.508333325</v>
          </cell>
          <cell r="N10">
            <v>27435561.87847222</v>
          </cell>
          <cell r="O10">
            <v>38409786.629861102</v>
          </cell>
        </row>
        <row r="11">
          <cell r="A11">
            <v>9</v>
          </cell>
          <cell r="B11">
            <v>6922</v>
          </cell>
          <cell r="C11">
            <v>78539068.719999999</v>
          </cell>
          <cell r="H11">
            <v>6922</v>
          </cell>
          <cell r="I11">
            <v>78539068.719999999</v>
          </cell>
          <cell r="J11">
            <v>-885.52083333333337</v>
          </cell>
          <cell r="K11">
            <v>-10589008.291666668</v>
          </cell>
          <cell r="L11">
            <v>6036.479166666667</v>
          </cell>
          <cell r="M11">
            <v>67950060.428333327</v>
          </cell>
          <cell r="N11">
            <v>22650020.142777774</v>
          </cell>
          <cell r="O11">
            <v>45300040.285555556</v>
          </cell>
        </row>
        <row r="12">
          <cell r="A12">
            <v>10</v>
          </cell>
          <cell r="B12">
            <v>5578</v>
          </cell>
          <cell r="C12">
            <v>58282693.420000002</v>
          </cell>
          <cell r="D12">
            <v>1961.2</v>
          </cell>
          <cell r="E12">
            <v>26206763.520000003</v>
          </cell>
          <cell r="F12">
            <v>-961</v>
          </cell>
          <cell r="G12">
            <v>-8848600</v>
          </cell>
          <cell r="H12">
            <v>6578.2</v>
          </cell>
          <cell r="I12">
            <v>75640856.939999998</v>
          </cell>
          <cell r="J12">
            <v>-881.52083333333337</v>
          </cell>
          <cell r="K12">
            <v>-10538834.291666668</v>
          </cell>
          <cell r="L12">
            <v>5696.6791666666668</v>
          </cell>
          <cell r="M12">
            <v>65102022.648333326</v>
          </cell>
          <cell r="N12">
            <v>16275505.662083331</v>
          </cell>
          <cell r="O12">
            <v>48826516.986249998</v>
          </cell>
        </row>
        <row r="13">
          <cell r="A13">
            <v>11</v>
          </cell>
          <cell r="B13">
            <v>4011</v>
          </cell>
          <cell r="C13">
            <v>40270035.5</v>
          </cell>
          <cell r="D13">
            <v>2005.68</v>
          </cell>
          <cell r="E13">
            <v>28524361.560000002</v>
          </cell>
          <cell r="F13">
            <v>-961</v>
          </cell>
          <cell r="G13">
            <v>-8848600</v>
          </cell>
          <cell r="H13">
            <v>5055.68</v>
          </cell>
          <cell r="I13">
            <v>59945797.060000002</v>
          </cell>
          <cell r="J13">
            <v>-877.52083333333337</v>
          </cell>
          <cell r="K13">
            <v>-10488660.291666668</v>
          </cell>
          <cell r="L13">
            <v>4178.1591666666673</v>
          </cell>
          <cell r="M13">
            <v>49457136.768333331</v>
          </cell>
          <cell r="N13">
            <v>8242856.1280555548</v>
          </cell>
          <cell r="O13">
            <v>41214280.640277773</v>
          </cell>
        </row>
        <row r="14">
          <cell r="A14">
            <v>12</v>
          </cell>
          <cell r="B14">
            <v>4475</v>
          </cell>
          <cell r="C14">
            <v>44833469.799999997</v>
          </cell>
          <cell r="D14">
            <v>2778</v>
          </cell>
          <cell r="E14">
            <v>38237679.789999999</v>
          </cell>
          <cell r="F14">
            <v>-961</v>
          </cell>
          <cell r="G14">
            <v>-8848600</v>
          </cell>
          <cell r="H14">
            <v>6292</v>
          </cell>
          <cell r="I14">
            <v>74222549.590000004</v>
          </cell>
          <cell r="J14">
            <v>-873.52083333333337</v>
          </cell>
          <cell r="K14">
            <v>-10438486.291666668</v>
          </cell>
          <cell r="L14">
            <v>5418.479166666667</v>
          </cell>
          <cell r="M14">
            <v>63784063.298333332</v>
          </cell>
          <cell r="N14">
            <v>5315338.6081944443</v>
          </cell>
          <cell r="O14">
            <v>58468724.690138891</v>
          </cell>
        </row>
        <row r="15">
          <cell r="B15">
            <v>60852</v>
          </cell>
          <cell r="C15">
            <v>649098147.63999987</v>
          </cell>
          <cell r="D15">
            <v>6744.88</v>
          </cell>
          <cell r="E15">
            <v>92968804.870000005</v>
          </cell>
          <cell r="F15">
            <v>-2883</v>
          </cell>
          <cell r="G15">
            <v>-26545800</v>
          </cell>
          <cell r="H15">
            <v>64713.88</v>
          </cell>
          <cell r="I15">
            <v>715521152.50999987</v>
          </cell>
          <cell r="J15">
            <v>-10765.25</v>
          </cell>
          <cell r="K15">
            <v>-128828948.50000004</v>
          </cell>
          <cell r="L15">
            <v>53948.63</v>
          </cell>
          <cell r="M15">
            <v>586692204.00999999</v>
          </cell>
          <cell r="N15">
            <v>280832062.08833337</v>
          </cell>
          <cell r="O15">
            <v>305860141.92166668</v>
          </cell>
        </row>
        <row r="61">
          <cell r="A61" t="str">
            <v>Account</v>
          </cell>
          <cell r="B61" t="str">
            <v>Month</v>
          </cell>
          <cell r="C61">
            <v>1</v>
          </cell>
          <cell r="D61">
            <v>2</v>
          </cell>
          <cell r="E61">
            <v>3</v>
          </cell>
          <cell r="F61">
            <v>4</v>
          </cell>
          <cell r="G61">
            <v>5</v>
          </cell>
          <cell r="H61">
            <v>6</v>
          </cell>
          <cell r="I61">
            <v>7</v>
          </cell>
          <cell r="J61">
            <v>8</v>
          </cell>
          <cell r="K61">
            <v>9</v>
          </cell>
          <cell r="L61">
            <v>10</v>
          </cell>
          <cell r="M61">
            <v>11</v>
          </cell>
          <cell r="N61">
            <v>12</v>
          </cell>
          <cell r="O61" t="str">
            <v>Total</v>
          </cell>
          <cell r="S61" t="str">
            <v>Budget 2004</v>
          </cell>
          <cell r="U61" t="str">
            <v>*EA 2004</v>
          </cell>
        </row>
        <row r="62">
          <cell r="A62" t="str">
            <v>090-10-010</v>
          </cell>
          <cell r="B62" t="str">
            <v>Full maturities</v>
          </cell>
          <cell r="C62">
            <v>4490442.25</v>
          </cell>
          <cell r="D62">
            <v>5642516</v>
          </cell>
          <cell r="E62">
            <v>4041414.75</v>
          </cell>
          <cell r="F62">
            <v>5586982.5</v>
          </cell>
          <cell r="G62">
            <v>3593425</v>
          </cell>
          <cell r="H62">
            <v>2236196</v>
          </cell>
          <cell r="I62">
            <v>3129414</v>
          </cell>
          <cell r="J62">
            <v>4314235</v>
          </cell>
          <cell r="K62">
            <v>2958940</v>
          </cell>
          <cell r="L62">
            <v>4672014.75</v>
          </cell>
          <cell r="M62">
            <v>4533613</v>
          </cell>
          <cell r="N62">
            <v>6625842</v>
          </cell>
          <cell r="O62">
            <v>51825035.25</v>
          </cell>
          <cell r="S62">
            <v>30858000</v>
          </cell>
          <cell r="U62">
            <v>31930285.714285713</v>
          </cell>
        </row>
        <row r="63">
          <cell r="A63" t="str">
            <v>090-10-015</v>
          </cell>
          <cell r="B63" t="str">
            <v>Partial maturities</v>
          </cell>
          <cell r="C63">
            <v>1063823.75</v>
          </cell>
          <cell r="D63">
            <v>2158535.75</v>
          </cell>
          <cell r="E63">
            <v>1726034</v>
          </cell>
          <cell r="F63">
            <v>2105057</v>
          </cell>
          <cell r="G63">
            <v>2524543</v>
          </cell>
          <cell r="H63">
            <v>2623656.75</v>
          </cell>
          <cell r="I63">
            <v>1745856.75</v>
          </cell>
          <cell r="J63">
            <v>1772239.25</v>
          </cell>
          <cell r="K63">
            <v>3608196</v>
          </cell>
          <cell r="L63">
            <v>3930848.75</v>
          </cell>
          <cell r="M63">
            <v>2736379.75</v>
          </cell>
          <cell r="N63">
            <v>3789796.5</v>
          </cell>
          <cell r="O63">
            <v>29784967.25</v>
          </cell>
          <cell r="S63">
            <v>56279000</v>
          </cell>
          <cell r="U63">
            <v>29322857.142857067</v>
          </cell>
        </row>
        <row r="64">
          <cell r="A64" t="str">
            <v>090-10-035</v>
          </cell>
          <cell r="B64" t="str">
            <v>Annuities</v>
          </cell>
          <cell r="C64">
            <v>2222433.2000000002</v>
          </cell>
          <cell r="D64">
            <v>3140054.9</v>
          </cell>
          <cell r="E64">
            <v>2040884.35</v>
          </cell>
          <cell r="F64">
            <v>2696833.62</v>
          </cell>
          <cell r="G64">
            <v>2580830.0699999998</v>
          </cell>
          <cell r="H64">
            <v>2021579.22</v>
          </cell>
          <cell r="I64">
            <v>1319161.48</v>
          </cell>
          <cell r="J64">
            <v>1406650.78</v>
          </cell>
          <cell r="K64">
            <v>3584688.97</v>
          </cell>
          <cell r="L64">
            <v>4256310.5199999996</v>
          </cell>
          <cell r="M64">
            <v>2752359.17</v>
          </cell>
          <cell r="N64">
            <v>3155817.33</v>
          </cell>
          <cell r="O64">
            <v>31177603.609999999</v>
          </cell>
          <cell r="S64">
            <v>27871000</v>
          </cell>
          <cell r="U64">
            <v>57046285.714285567</v>
          </cell>
        </row>
        <row r="65">
          <cell r="A65" t="str">
            <v>090-10-020</v>
          </cell>
          <cell r="B65" t="str">
            <v>Death (PAIC)</v>
          </cell>
          <cell r="C65">
            <v>2062500</v>
          </cell>
          <cell r="D65">
            <v>2062500</v>
          </cell>
          <cell r="E65">
            <v>2062500</v>
          </cell>
          <cell r="F65">
            <v>2062500</v>
          </cell>
          <cell r="G65">
            <v>2062500</v>
          </cell>
          <cell r="H65">
            <v>2062500</v>
          </cell>
          <cell r="I65">
            <v>2062500</v>
          </cell>
          <cell r="J65">
            <v>2062500</v>
          </cell>
          <cell r="K65">
            <v>2062500</v>
          </cell>
          <cell r="L65">
            <v>2062500</v>
          </cell>
          <cell r="M65">
            <v>2062500</v>
          </cell>
          <cell r="N65">
            <v>2062500</v>
          </cell>
          <cell r="O65">
            <v>24750000</v>
          </cell>
          <cell r="S65">
            <v>24750000</v>
          </cell>
          <cell r="U65">
            <v>5667428.5714285709</v>
          </cell>
        </row>
        <row r="66">
          <cell r="A66" t="str">
            <v>090-10-050</v>
          </cell>
          <cell r="B66" t="str">
            <v>Death (FFFP)</v>
          </cell>
          <cell r="C66">
            <v>1000000</v>
          </cell>
          <cell r="D66">
            <v>1000000</v>
          </cell>
          <cell r="E66">
            <v>1000000</v>
          </cell>
          <cell r="F66">
            <v>1000000</v>
          </cell>
          <cell r="G66">
            <v>1000000</v>
          </cell>
          <cell r="H66">
            <v>1000000</v>
          </cell>
          <cell r="I66">
            <v>1000000</v>
          </cell>
          <cell r="J66">
            <v>1000000</v>
          </cell>
          <cell r="K66">
            <v>1000000</v>
          </cell>
          <cell r="L66">
            <v>1000000</v>
          </cell>
          <cell r="M66">
            <v>1000000</v>
          </cell>
          <cell r="N66">
            <v>1000000</v>
          </cell>
          <cell r="O66">
            <v>12000000</v>
          </cell>
          <cell r="S66">
            <v>8000000</v>
          </cell>
          <cell r="U66">
            <v>9311999.9999999758</v>
          </cell>
        </row>
        <row r="67">
          <cell r="A67" t="str">
            <v>090-10-070</v>
          </cell>
          <cell r="B67" t="str">
            <v>Cash bonus (FFP)</v>
          </cell>
          <cell r="C67">
            <v>500000</v>
          </cell>
          <cell r="D67">
            <v>500000</v>
          </cell>
          <cell r="E67">
            <v>500000</v>
          </cell>
          <cell r="F67">
            <v>500000</v>
          </cell>
          <cell r="G67">
            <v>500000</v>
          </cell>
          <cell r="H67">
            <v>500000</v>
          </cell>
          <cell r="I67">
            <v>500000</v>
          </cell>
          <cell r="J67">
            <v>500000</v>
          </cell>
          <cell r="K67">
            <v>500000</v>
          </cell>
          <cell r="L67">
            <v>500000</v>
          </cell>
          <cell r="M67">
            <v>500000</v>
          </cell>
          <cell r="N67">
            <v>500000</v>
          </cell>
          <cell r="O67">
            <v>6000000</v>
          </cell>
          <cell r="S67">
            <v>2000000</v>
          </cell>
          <cell r="U67">
            <v>282857.14285714214</v>
          </cell>
        </row>
        <row r="68">
          <cell r="A68" t="str">
            <v>090-10-090</v>
          </cell>
          <cell r="B68" t="str">
            <v>Death (WP)</v>
          </cell>
          <cell r="C68">
            <v>1000000</v>
          </cell>
          <cell r="D68">
            <v>1000000</v>
          </cell>
          <cell r="E68">
            <v>1000000</v>
          </cell>
          <cell r="F68">
            <v>1000000</v>
          </cell>
          <cell r="G68">
            <v>1000000</v>
          </cell>
          <cell r="H68">
            <v>1000000</v>
          </cell>
          <cell r="I68">
            <v>1000000</v>
          </cell>
          <cell r="J68">
            <v>1000000</v>
          </cell>
          <cell r="K68">
            <v>1000000</v>
          </cell>
          <cell r="L68">
            <v>1000000</v>
          </cell>
          <cell r="M68">
            <v>1000000</v>
          </cell>
          <cell r="N68">
            <v>1000000</v>
          </cell>
          <cell r="O68">
            <v>12000000</v>
          </cell>
          <cell r="S68">
            <v>10500000</v>
          </cell>
          <cell r="U68">
            <v>1169142.8571428542</v>
          </cell>
        </row>
        <row r="69">
          <cell r="A69" t="str">
            <v>090-10-040</v>
          </cell>
          <cell r="B69" t="str">
            <v>Surrenders</v>
          </cell>
          <cell r="C69">
            <v>3000000</v>
          </cell>
          <cell r="D69">
            <v>3000000</v>
          </cell>
          <cell r="E69">
            <v>3000000</v>
          </cell>
          <cell r="F69">
            <v>3000000</v>
          </cell>
          <cell r="G69">
            <v>3000000</v>
          </cell>
          <cell r="H69">
            <v>3000000</v>
          </cell>
          <cell r="I69">
            <v>3000000</v>
          </cell>
          <cell r="J69">
            <v>3000000</v>
          </cell>
          <cell r="K69">
            <v>3000000</v>
          </cell>
          <cell r="L69">
            <v>3000000</v>
          </cell>
          <cell r="M69">
            <v>3000000</v>
          </cell>
          <cell r="N69">
            <v>3000000</v>
          </cell>
          <cell r="O69">
            <v>36000000</v>
          </cell>
          <cell r="S69">
            <v>25000000</v>
          </cell>
          <cell r="U69">
            <v>38893714.285714187</v>
          </cell>
        </row>
        <row r="70">
          <cell r="A70" t="str">
            <v>090-10-017</v>
          </cell>
          <cell r="B70" t="str">
            <v>Claim expenses</v>
          </cell>
          <cell r="C70">
            <v>83333.333333333328</v>
          </cell>
          <cell r="D70">
            <v>83333.333333333328</v>
          </cell>
          <cell r="E70">
            <v>83333.333333333328</v>
          </cell>
          <cell r="F70">
            <v>83333.333333333328</v>
          </cell>
          <cell r="G70">
            <v>83333.333333333328</v>
          </cell>
          <cell r="H70">
            <v>83333.333333333328</v>
          </cell>
          <cell r="I70">
            <v>83333.333333333328</v>
          </cell>
          <cell r="J70">
            <v>83333.333333333328</v>
          </cell>
          <cell r="K70">
            <v>83333.333333333328</v>
          </cell>
          <cell r="L70">
            <v>83333.333333333328</v>
          </cell>
          <cell r="M70">
            <v>83333.333333333328</v>
          </cell>
          <cell r="N70">
            <v>83333.333333333328</v>
          </cell>
          <cell r="O70">
            <v>1000000.0000000001</v>
          </cell>
          <cell r="S70">
            <v>360000</v>
          </cell>
          <cell r="U70">
            <v>176571.42857142855</v>
          </cell>
        </row>
        <row r="71">
          <cell r="A71" t="str">
            <v>090-10-065</v>
          </cell>
          <cell r="B71" t="str">
            <v>WOP expenses</v>
          </cell>
          <cell r="C71">
            <v>250000</v>
          </cell>
          <cell r="D71">
            <v>250000</v>
          </cell>
          <cell r="E71">
            <v>250000</v>
          </cell>
          <cell r="F71">
            <v>250000</v>
          </cell>
          <cell r="G71">
            <v>250000</v>
          </cell>
          <cell r="H71">
            <v>250000</v>
          </cell>
          <cell r="I71">
            <v>250000</v>
          </cell>
          <cell r="J71">
            <v>250000</v>
          </cell>
          <cell r="K71">
            <v>250000</v>
          </cell>
          <cell r="L71">
            <v>250000</v>
          </cell>
          <cell r="M71">
            <v>250000</v>
          </cell>
          <cell r="N71">
            <v>250000</v>
          </cell>
          <cell r="O71">
            <v>3000000</v>
          </cell>
          <cell r="S71">
            <v>2000000</v>
          </cell>
          <cell r="U71">
            <v>910285.7142857142</v>
          </cell>
        </row>
        <row r="72">
          <cell r="B72" t="str">
            <v>Total</v>
          </cell>
          <cell r="C72">
            <v>15672532.533333335</v>
          </cell>
          <cell r="D72">
            <v>18836939.983333334</v>
          </cell>
          <cell r="E72">
            <v>15704166.433333334</v>
          </cell>
          <cell r="F72">
            <v>18284706.453333333</v>
          </cell>
          <cell r="G72">
            <v>16594631.403333334</v>
          </cell>
          <cell r="H72">
            <v>14777265.303333335</v>
          </cell>
          <cell r="I72">
            <v>14090265.563333334</v>
          </cell>
          <cell r="J72">
            <v>15388958.363333333</v>
          </cell>
          <cell r="K72">
            <v>18047658.303333335</v>
          </cell>
          <cell r="L72">
            <v>20755007.353333332</v>
          </cell>
          <cell r="M72">
            <v>17918185.253333334</v>
          </cell>
          <cell r="N72">
            <v>21467289.163333334</v>
          </cell>
          <cell r="O72">
            <v>207537606.11000001</v>
          </cell>
          <cell r="S72">
            <v>187618000</v>
          </cell>
          <cell r="U72">
            <v>174711428.57142821</v>
          </cell>
        </row>
      </sheetData>
      <sheetData sheetId="34"/>
      <sheetData sheetId="35"/>
      <sheetData sheetId="36" refreshError="1">
        <row r="120">
          <cell r="A120">
            <v>1</v>
          </cell>
          <cell r="B120" t="str">
            <v>Executive</v>
          </cell>
        </row>
        <row r="121">
          <cell r="A121">
            <v>2</v>
          </cell>
          <cell r="B121" t="str">
            <v>Life Operations</v>
          </cell>
        </row>
        <row r="122">
          <cell r="A122">
            <v>3</v>
          </cell>
          <cell r="B122" t="str">
            <v>Premium  Liason</v>
          </cell>
        </row>
        <row r="123">
          <cell r="A123">
            <v>4</v>
          </cell>
          <cell r="B123" t="str">
            <v>Customer Service</v>
          </cell>
        </row>
        <row r="124">
          <cell r="A124">
            <v>5</v>
          </cell>
          <cell r="B124" t="str">
            <v>Premium  Administration</v>
          </cell>
        </row>
        <row r="125">
          <cell r="A125">
            <v>6</v>
          </cell>
          <cell r="B125" t="str">
            <v>Benefit Payment</v>
          </cell>
        </row>
        <row r="126">
          <cell r="A126">
            <v>7</v>
          </cell>
          <cell r="B126" t="str">
            <v>New Business</v>
          </cell>
        </row>
        <row r="127">
          <cell r="A127">
            <v>8</v>
          </cell>
          <cell r="B127" t="str">
            <v>Finance</v>
          </cell>
        </row>
        <row r="128">
          <cell r="A128">
            <v>9</v>
          </cell>
          <cell r="B128" t="str">
            <v>Information Technology</v>
          </cell>
        </row>
        <row r="129">
          <cell r="A129">
            <v>10</v>
          </cell>
          <cell r="B129" t="str">
            <v>Human resource</v>
          </cell>
        </row>
        <row r="130">
          <cell r="A130">
            <v>30</v>
          </cell>
          <cell r="B130" t="str">
            <v>Mombasa</v>
          </cell>
        </row>
        <row r="131">
          <cell r="A131">
            <v>40</v>
          </cell>
          <cell r="B131" t="str">
            <v>Nyeri</v>
          </cell>
        </row>
        <row r="132">
          <cell r="A132">
            <v>50</v>
          </cell>
          <cell r="B132" t="str">
            <v>Meru</v>
          </cell>
        </row>
        <row r="133">
          <cell r="A133">
            <v>60</v>
          </cell>
          <cell r="B133" t="str">
            <v>Kisumu</v>
          </cell>
        </row>
        <row r="134">
          <cell r="A134">
            <v>70</v>
          </cell>
          <cell r="B134" t="str">
            <v>Eldoret</v>
          </cell>
        </row>
        <row r="135">
          <cell r="A135">
            <v>80</v>
          </cell>
          <cell r="B135" t="str">
            <v>Kisii</v>
          </cell>
        </row>
        <row r="136">
          <cell r="A136">
            <v>90</v>
          </cell>
          <cell r="B136" t="str">
            <v>Capital</v>
          </cell>
        </row>
        <row r="137">
          <cell r="A137">
            <v>110</v>
          </cell>
          <cell r="B137" t="str">
            <v>Machakos</v>
          </cell>
        </row>
        <row r="138">
          <cell r="A138">
            <v>120</v>
          </cell>
          <cell r="B138" t="str">
            <v>Embu</v>
          </cell>
        </row>
        <row r="139">
          <cell r="A139">
            <v>140</v>
          </cell>
          <cell r="B139" t="str">
            <v>Nakuru</v>
          </cell>
        </row>
        <row r="140">
          <cell r="A140">
            <v>150</v>
          </cell>
          <cell r="B140" t="str">
            <v>City Centre</v>
          </cell>
        </row>
        <row r="141">
          <cell r="A141">
            <v>160</v>
          </cell>
          <cell r="B141" t="str">
            <v>Nairobi Metro</v>
          </cell>
        </row>
        <row r="142">
          <cell r="A142">
            <v>170</v>
          </cell>
          <cell r="B142" t="str">
            <v>Life Marketing</v>
          </cell>
        </row>
        <row r="143">
          <cell r="A143">
            <v>180</v>
          </cell>
          <cell r="B143" t="str">
            <v>Thika</v>
          </cell>
        </row>
      </sheetData>
      <sheetData sheetId="37"/>
      <sheetData sheetId="38"/>
      <sheetData sheetId="39" refreshError="1">
        <row r="147">
          <cell r="B147" t="str">
            <v>Account</v>
          </cell>
          <cell r="C147" t="str">
            <v>Particulars</v>
          </cell>
          <cell r="D147" t="str">
            <v>Aims TB</v>
          </cell>
          <cell r="E147" t="str">
            <v>Closing</v>
          </cell>
        </row>
        <row r="148">
          <cell r="B148" t="str">
            <v>090-10-070</v>
          </cell>
        </row>
        <row r="194">
          <cell r="B194" t="str">
            <v>Account</v>
          </cell>
          <cell r="C194" t="str">
            <v>Particulars</v>
          </cell>
          <cell r="D194" t="str">
            <v>Aims TB</v>
          </cell>
          <cell r="E194" t="str">
            <v>Closing</v>
          </cell>
        </row>
        <row r="195">
          <cell r="B195" t="str">
            <v>145-10-130</v>
          </cell>
        </row>
        <row r="196">
          <cell r="B196" t="str">
            <v>Account</v>
          </cell>
          <cell r="C196" t="str">
            <v>Particulars</v>
          </cell>
          <cell r="D196" t="str">
            <v>Aims TB</v>
          </cell>
          <cell r="E196" t="str">
            <v>Closing</v>
          </cell>
        </row>
        <row r="197">
          <cell r="B197" t="str">
            <v>145-10-120</v>
          </cell>
        </row>
        <row r="198">
          <cell r="B198" t="str">
            <v>Account</v>
          </cell>
          <cell r="C198" t="str">
            <v>Particulars</v>
          </cell>
          <cell r="D198" t="str">
            <v>Aims TB</v>
          </cell>
          <cell r="E198" t="str">
            <v>Closing</v>
          </cell>
        </row>
        <row r="199">
          <cell r="B199" t="str">
            <v>145-10-140</v>
          </cell>
        </row>
        <row r="232">
          <cell r="B232" t="str">
            <v>Account</v>
          </cell>
          <cell r="C232" t="str">
            <v>Particulars</v>
          </cell>
          <cell r="D232" t="str">
            <v>Aims TB</v>
          </cell>
          <cell r="E232" t="str">
            <v>Closing</v>
          </cell>
        </row>
        <row r="233">
          <cell r="B233" t="str">
            <v>999-99*</v>
          </cell>
        </row>
        <row r="307">
          <cell r="G307" t="str">
            <v>Account</v>
          </cell>
          <cell r="H307" t="str">
            <v>branch Code</v>
          </cell>
          <cell r="I307" t="str">
            <v>Details</v>
          </cell>
          <cell r="J307" t="str">
            <v>Budget</v>
          </cell>
        </row>
        <row r="308">
          <cell r="G308" t="str">
            <v>105-10-010</v>
          </cell>
          <cell r="H308">
            <v>30</v>
          </cell>
        </row>
        <row r="309">
          <cell r="G309" t="str">
            <v>Account</v>
          </cell>
          <cell r="H309" t="str">
            <v>branch Code</v>
          </cell>
          <cell r="I309" t="str">
            <v>Details</v>
          </cell>
          <cell r="J309" t="str">
            <v>Budget</v>
          </cell>
        </row>
        <row r="310">
          <cell r="G310" t="str">
            <v>105-10-010</v>
          </cell>
          <cell r="H310">
            <v>40</v>
          </cell>
        </row>
        <row r="311">
          <cell r="G311" t="str">
            <v>Account</v>
          </cell>
          <cell r="H311" t="str">
            <v>branch Code</v>
          </cell>
          <cell r="I311" t="str">
            <v>Details</v>
          </cell>
          <cell r="J311" t="str">
            <v>Budget</v>
          </cell>
        </row>
        <row r="312">
          <cell r="G312" t="str">
            <v>105-10-010</v>
          </cell>
          <cell r="H312">
            <v>50</v>
          </cell>
        </row>
        <row r="313">
          <cell r="G313" t="str">
            <v>Account</v>
          </cell>
          <cell r="H313" t="str">
            <v>branch Code</v>
          </cell>
          <cell r="I313" t="str">
            <v>Details</v>
          </cell>
          <cell r="J313" t="str">
            <v>Budget</v>
          </cell>
        </row>
        <row r="314">
          <cell r="G314" t="str">
            <v>105-10-010</v>
          </cell>
          <cell r="H314">
            <v>60</v>
          </cell>
        </row>
        <row r="315">
          <cell r="G315" t="str">
            <v>Account</v>
          </cell>
          <cell r="H315" t="str">
            <v>branch Code</v>
          </cell>
          <cell r="I315" t="str">
            <v>Details</v>
          </cell>
          <cell r="J315" t="str">
            <v>Budget</v>
          </cell>
        </row>
        <row r="316">
          <cell r="G316" t="str">
            <v>105-10-010</v>
          </cell>
          <cell r="H316">
            <v>70</v>
          </cell>
        </row>
        <row r="317">
          <cell r="G317" t="str">
            <v>Account</v>
          </cell>
          <cell r="H317" t="str">
            <v>branch Code</v>
          </cell>
          <cell r="I317" t="str">
            <v>Details</v>
          </cell>
          <cell r="J317" t="str">
            <v>Budget</v>
          </cell>
        </row>
        <row r="318">
          <cell r="G318" t="str">
            <v>105-10-010</v>
          </cell>
          <cell r="H318">
            <v>80</v>
          </cell>
        </row>
        <row r="319">
          <cell r="B319" t="str">
            <v>Account</v>
          </cell>
          <cell r="C319" t="str">
            <v>Particulars</v>
          </cell>
          <cell r="D319" t="str">
            <v>Aims TB</v>
          </cell>
          <cell r="E319" t="str">
            <v>Closing</v>
          </cell>
          <cell r="G319" t="str">
            <v>Account</v>
          </cell>
          <cell r="H319" t="str">
            <v>branch Code</v>
          </cell>
          <cell r="I319" t="str">
            <v>Details</v>
          </cell>
          <cell r="J319" t="str">
            <v>Budget</v>
          </cell>
        </row>
        <row r="320">
          <cell r="B320">
            <v>90</v>
          </cell>
          <cell r="G320" t="str">
            <v>105-10-010</v>
          </cell>
          <cell r="H320">
            <v>90</v>
          </cell>
        </row>
        <row r="321">
          <cell r="G321" t="str">
            <v>Account</v>
          </cell>
          <cell r="H321" t="str">
            <v>branch Code</v>
          </cell>
          <cell r="I321" t="str">
            <v>Details</v>
          </cell>
          <cell r="J321" t="str">
            <v>Budget</v>
          </cell>
        </row>
        <row r="322">
          <cell r="G322" t="str">
            <v>105-10-010</v>
          </cell>
          <cell r="H322">
            <v>110</v>
          </cell>
        </row>
        <row r="323">
          <cell r="G323" t="str">
            <v>Account</v>
          </cell>
          <cell r="H323" t="str">
            <v>branch Code</v>
          </cell>
          <cell r="I323" t="str">
            <v>Details</v>
          </cell>
          <cell r="J323" t="str">
            <v>Budget</v>
          </cell>
        </row>
        <row r="324">
          <cell r="G324" t="str">
            <v>105-10-010</v>
          </cell>
          <cell r="H324">
            <v>120</v>
          </cell>
        </row>
        <row r="325">
          <cell r="G325" t="str">
            <v>Account</v>
          </cell>
          <cell r="H325" t="str">
            <v>branch Code</v>
          </cell>
          <cell r="I325" t="str">
            <v>Details</v>
          </cell>
          <cell r="J325" t="str">
            <v>Budget</v>
          </cell>
        </row>
        <row r="326">
          <cell r="G326" t="str">
            <v>105-10-010</v>
          </cell>
          <cell r="H326">
            <v>140</v>
          </cell>
        </row>
        <row r="327">
          <cell r="G327" t="str">
            <v>Account</v>
          </cell>
          <cell r="H327" t="str">
            <v>branch Code</v>
          </cell>
          <cell r="I327" t="str">
            <v>Details</v>
          </cell>
          <cell r="J327" t="str">
            <v>Budget</v>
          </cell>
        </row>
        <row r="328">
          <cell r="G328" t="str">
            <v>105-10-010</v>
          </cell>
          <cell r="H328">
            <v>150</v>
          </cell>
        </row>
        <row r="329">
          <cell r="G329" t="str">
            <v>Account</v>
          </cell>
          <cell r="H329" t="str">
            <v>branch Code</v>
          </cell>
          <cell r="I329" t="str">
            <v>Details</v>
          </cell>
          <cell r="J329" t="str">
            <v>Budget</v>
          </cell>
        </row>
        <row r="330">
          <cell r="G330" t="str">
            <v>105-10-010</v>
          </cell>
          <cell r="H330">
            <v>160</v>
          </cell>
        </row>
        <row r="331">
          <cell r="G331" t="str">
            <v>Account</v>
          </cell>
          <cell r="H331" t="str">
            <v>branch Code</v>
          </cell>
          <cell r="I331" t="str">
            <v>Details</v>
          </cell>
          <cell r="J331" t="str">
            <v>Budget</v>
          </cell>
        </row>
        <row r="332">
          <cell r="G332" t="str">
            <v>105-10-010</v>
          </cell>
          <cell r="H332">
            <v>170</v>
          </cell>
        </row>
        <row r="333">
          <cell r="G333" t="str">
            <v>Account</v>
          </cell>
          <cell r="H333" t="str">
            <v>branch Code</v>
          </cell>
          <cell r="I333" t="str">
            <v>Details</v>
          </cell>
          <cell r="J333" t="str">
            <v>Budget</v>
          </cell>
        </row>
        <row r="334">
          <cell r="G334" t="str">
            <v>105-10-010</v>
          </cell>
          <cell r="H334">
            <v>180</v>
          </cell>
        </row>
        <row r="335">
          <cell r="G335" t="str">
            <v>Account</v>
          </cell>
          <cell r="H335" t="str">
            <v>branch Code</v>
          </cell>
          <cell r="I335" t="str">
            <v>Details</v>
          </cell>
          <cell r="J335" t="str">
            <v>Budget</v>
          </cell>
        </row>
        <row r="336">
          <cell r="G336" t="str">
            <v>105-10-010</v>
          </cell>
          <cell r="H336">
            <v>1</v>
          </cell>
        </row>
        <row r="337">
          <cell r="G337" t="str">
            <v>Account</v>
          </cell>
          <cell r="H337" t="str">
            <v>branch Code</v>
          </cell>
          <cell r="I337" t="str">
            <v>Details</v>
          </cell>
          <cell r="J337" t="str">
            <v>Budget</v>
          </cell>
        </row>
        <row r="338">
          <cell r="G338" t="str">
            <v>105-10-010</v>
          </cell>
          <cell r="H338">
            <v>2</v>
          </cell>
        </row>
        <row r="339">
          <cell r="G339" t="str">
            <v>Account</v>
          </cell>
          <cell r="H339" t="str">
            <v>branch Code</v>
          </cell>
          <cell r="I339" t="str">
            <v>Details</v>
          </cell>
          <cell r="J339" t="str">
            <v>Budget</v>
          </cell>
        </row>
        <row r="340">
          <cell r="G340" t="str">
            <v>105-10-010</v>
          </cell>
          <cell r="H340">
            <v>3</v>
          </cell>
        </row>
        <row r="341">
          <cell r="G341" t="str">
            <v>Account</v>
          </cell>
          <cell r="H341" t="str">
            <v>branch Code</v>
          </cell>
          <cell r="I341" t="str">
            <v>Details</v>
          </cell>
          <cell r="J341" t="str">
            <v>Budget</v>
          </cell>
        </row>
        <row r="342">
          <cell r="G342" t="str">
            <v>105-10-010</v>
          </cell>
          <cell r="H342">
            <v>4</v>
          </cell>
        </row>
        <row r="343">
          <cell r="G343" t="str">
            <v>Account</v>
          </cell>
          <cell r="H343" t="str">
            <v>branch Code</v>
          </cell>
          <cell r="I343" t="str">
            <v>Details</v>
          </cell>
          <cell r="J343" t="str">
            <v>Budget</v>
          </cell>
        </row>
        <row r="344">
          <cell r="G344" t="str">
            <v>105-10-010</v>
          </cell>
          <cell r="H344">
            <v>5</v>
          </cell>
        </row>
        <row r="345">
          <cell r="G345" t="str">
            <v>Account</v>
          </cell>
          <cell r="H345" t="str">
            <v>branch Code</v>
          </cell>
          <cell r="I345" t="str">
            <v>Details</v>
          </cell>
          <cell r="J345" t="str">
            <v>Budget</v>
          </cell>
        </row>
        <row r="346">
          <cell r="G346" t="str">
            <v>105-10-010</v>
          </cell>
          <cell r="H346">
            <v>6</v>
          </cell>
        </row>
        <row r="347">
          <cell r="G347" t="str">
            <v>Account</v>
          </cell>
          <cell r="H347" t="str">
            <v>branch Code</v>
          </cell>
          <cell r="I347" t="str">
            <v>Details</v>
          </cell>
          <cell r="J347" t="str">
            <v>Budget</v>
          </cell>
        </row>
        <row r="348">
          <cell r="G348" t="str">
            <v>105-10-010</v>
          </cell>
          <cell r="H348">
            <v>7</v>
          </cell>
        </row>
        <row r="349">
          <cell r="G349" t="str">
            <v>Account</v>
          </cell>
          <cell r="H349" t="str">
            <v>branch Code</v>
          </cell>
          <cell r="I349" t="str">
            <v>Details</v>
          </cell>
          <cell r="J349" t="str">
            <v>Budget</v>
          </cell>
        </row>
        <row r="350">
          <cell r="G350" t="str">
            <v>105-10-010</v>
          </cell>
          <cell r="H350">
            <v>8</v>
          </cell>
        </row>
        <row r="353">
          <cell r="G353" t="str">
            <v>Account</v>
          </cell>
          <cell r="H353" t="str">
            <v>branch Code</v>
          </cell>
          <cell r="I353" t="str">
            <v>Details</v>
          </cell>
          <cell r="J353" t="str">
            <v>Budget</v>
          </cell>
        </row>
        <row r="354">
          <cell r="G354" t="str">
            <v>105-10-010</v>
          </cell>
          <cell r="H354">
            <v>10</v>
          </cell>
        </row>
        <row r="361">
          <cell r="H361" t="str">
            <v>branch Code</v>
          </cell>
          <cell r="I361" t="str">
            <v>Details</v>
          </cell>
          <cell r="J361" t="str">
            <v>Budget</v>
          </cell>
          <cell r="K361" t="str">
            <v>Actuals</v>
          </cell>
          <cell r="L361" t="str">
            <v>Projected</v>
          </cell>
          <cell r="M361" t="str">
            <v>% -Age</v>
          </cell>
        </row>
        <row r="362">
          <cell r="H362">
            <v>200</v>
          </cell>
        </row>
        <row r="408">
          <cell r="B408" t="str">
            <v>Account</v>
          </cell>
          <cell r="C408" t="str">
            <v>Particulars</v>
          </cell>
          <cell r="D408" t="str">
            <v>Aims TB</v>
          </cell>
          <cell r="E408" t="str">
            <v>Closing</v>
          </cell>
        </row>
        <row r="409">
          <cell r="B409" t="str">
            <v>165-10-020</v>
          </cell>
        </row>
        <row r="439">
          <cell r="B439" t="str">
            <v>Account</v>
          </cell>
          <cell r="C439" t="str">
            <v>Particulars</v>
          </cell>
          <cell r="D439" t="str">
            <v>Aims TB</v>
          </cell>
          <cell r="E439" t="str">
            <v>Closing</v>
          </cell>
        </row>
        <row r="440">
          <cell r="B440" t="str">
            <v>645-10-040</v>
          </cell>
        </row>
        <row r="552">
          <cell r="B552" t="str">
            <v>Account</v>
          </cell>
          <cell r="C552" t="str">
            <v>Particulars</v>
          </cell>
          <cell r="D552" t="str">
            <v>Aims TB</v>
          </cell>
          <cell r="E552" t="str">
            <v>Closing</v>
          </cell>
        </row>
        <row r="553">
          <cell r="B553" t="str">
            <v>080-55</v>
          </cell>
        </row>
        <row r="721">
          <cell r="B721" t="str">
            <v>Account</v>
          </cell>
          <cell r="C721" t="str">
            <v>Particulars</v>
          </cell>
          <cell r="D721" t="str">
            <v>Aims TB</v>
          </cell>
          <cell r="E721" t="str">
            <v>Closing</v>
          </cell>
        </row>
        <row r="722">
          <cell r="B722" t="str">
            <v>635-10-011</v>
          </cell>
        </row>
        <row r="820">
          <cell r="B820" t="str">
            <v>Account</v>
          </cell>
          <cell r="C820" t="str">
            <v>Particulars</v>
          </cell>
          <cell r="D820" t="str">
            <v>Aims TB</v>
          </cell>
          <cell r="E820" t="str">
            <v>Closing</v>
          </cell>
        </row>
        <row r="821">
          <cell r="B821" t="str">
            <v>155-10-062</v>
          </cell>
        </row>
        <row r="822">
          <cell r="B822" t="str">
            <v>Account</v>
          </cell>
          <cell r="C822" t="str">
            <v>Particulars</v>
          </cell>
          <cell r="D822" t="str">
            <v>Aims TB</v>
          </cell>
          <cell r="E822" t="str">
            <v>Closing</v>
          </cell>
        </row>
        <row r="823">
          <cell r="B823" t="str">
            <v>145-10-200</v>
          </cell>
        </row>
        <row r="864">
          <cell r="B864" t="str">
            <v>Account</v>
          </cell>
          <cell r="C864" t="str">
            <v>Particulars</v>
          </cell>
          <cell r="D864" t="str">
            <v>Aims TB</v>
          </cell>
          <cell r="E864" t="str">
            <v>Closing</v>
          </cell>
        </row>
        <row r="865">
          <cell r="B865" t="str">
            <v>105-10-010</v>
          </cell>
        </row>
        <row r="866">
          <cell r="B866" t="str">
            <v>Account</v>
          </cell>
          <cell r="C866" t="str">
            <v>Particulars</v>
          </cell>
          <cell r="D866" t="str">
            <v>Aims TB</v>
          </cell>
          <cell r="E866" t="str">
            <v>Closing</v>
          </cell>
        </row>
        <row r="867">
          <cell r="B867" t="str">
            <v>105-10-011</v>
          </cell>
        </row>
        <row r="868">
          <cell r="B868" t="str">
            <v>Account</v>
          </cell>
          <cell r="C868" t="str">
            <v>Particulars</v>
          </cell>
          <cell r="D868" t="str">
            <v>Aims TB</v>
          </cell>
          <cell r="E868" t="str">
            <v>Closing</v>
          </cell>
        </row>
        <row r="869">
          <cell r="B869" t="str">
            <v>105-10-012</v>
          </cell>
        </row>
        <row r="870">
          <cell r="B870" t="str">
            <v>Account</v>
          </cell>
          <cell r="C870" t="str">
            <v>Particulars</v>
          </cell>
          <cell r="D870" t="str">
            <v>Aims TB</v>
          </cell>
          <cell r="E870" t="str">
            <v>Closing</v>
          </cell>
        </row>
        <row r="871">
          <cell r="B871" t="str">
            <v>105-10-013</v>
          </cell>
        </row>
        <row r="872">
          <cell r="B872" t="str">
            <v>Account</v>
          </cell>
          <cell r="C872" t="str">
            <v>Particulars</v>
          </cell>
          <cell r="D872" t="str">
            <v>Aims TB</v>
          </cell>
          <cell r="E872" t="str">
            <v>Closing</v>
          </cell>
        </row>
        <row r="873">
          <cell r="B873" t="str">
            <v>105-10-020</v>
          </cell>
        </row>
        <row r="874">
          <cell r="B874" t="str">
            <v>Account</v>
          </cell>
          <cell r="C874" t="str">
            <v>Particulars</v>
          </cell>
          <cell r="D874" t="str">
            <v>Aims TB</v>
          </cell>
          <cell r="E874" t="str">
            <v>Closing</v>
          </cell>
        </row>
        <row r="875">
          <cell r="B875" t="str">
            <v>105-10-030</v>
          </cell>
        </row>
        <row r="876">
          <cell r="B876" t="str">
            <v>Account</v>
          </cell>
          <cell r="C876" t="str">
            <v>Particulars</v>
          </cell>
          <cell r="D876" t="str">
            <v>Aims TB</v>
          </cell>
          <cell r="E876" t="str">
            <v>Closing</v>
          </cell>
        </row>
        <row r="877">
          <cell r="B877" t="str">
            <v>105-10-040</v>
          </cell>
        </row>
        <row r="878">
          <cell r="B878" t="str">
            <v>Account</v>
          </cell>
          <cell r="C878" t="str">
            <v>Particulars</v>
          </cell>
          <cell r="D878" t="str">
            <v>Aims TB</v>
          </cell>
          <cell r="E878" t="str">
            <v>Closing</v>
          </cell>
        </row>
        <row r="879">
          <cell r="B879" t="str">
            <v>105-10-050</v>
          </cell>
        </row>
        <row r="880">
          <cell r="B880" t="str">
            <v>Account</v>
          </cell>
          <cell r="C880" t="str">
            <v>Particulars</v>
          </cell>
          <cell r="D880" t="str">
            <v>Aims TB</v>
          </cell>
          <cell r="E880" t="str">
            <v>Closing</v>
          </cell>
        </row>
        <row r="881">
          <cell r="B881" t="str">
            <v>105-10-060</v>
          </cell>
        </row>
        <row r="882">
          <cell r="B882" t="str">
            <v>Account</v>
          </cell>
          <cell r="C882" t="str">
            <v>Particulars</v>
          </cell>
          <cell r="D882" t="str">
            <v>Aims TB</v>
          </cell>
          <cell r="E882" t="str">
            <v>Closing</v>
          </cell>
        </row>
        <row r="883">
          <cell r="B883" t="str">
            <v>105-20-020</v>
          </cell>
        </row>
        <row r="884">
          <cell r="B884" t="str">
            <v>Account</v>
          </cell>
          <cell r="C884" t="str">
            <v>Particulars</v>
          </cell>
          <cell r="D884" t="str">
            <v>Aims TB</v>
          </cell>
          <cell r="E884" t="str">
            <v>Closing</v>
          </cell>
        </row>
        <row r="885">
          <cell r="B885" t="str">
            <v>105-20-010</v>
          </cell>
        </row>
        <row r="886">
          <cell r="B886" t="str">
            <v>Account</v>
          </cell>
          <cell r="C886" t="str">
            <v>Particulars</v>
          </cell>
          <cell r="D886" t="str">
            <v>Aims TB</v>
          </cell>
          <cell r="E886" t="str">
            <v>Closing</v>
          </cell>
        </row>
        <row r="887">
          <cell r="B887" t="str">
            <v>105-30-010</v>
          </cell>
        </row>
        <row r="888">
          <cell r="B888" t="str">
            <v>Account</v>
          </cell>
          <cell r="C888" t="str">
            <v>Particulars</v>
          </cell>
          <cell r="D888" t="str">
            <v>Aims TB</v>
          </cell>
          <cell r="E888" t="str">
            <v>Closing</v>
          </cell>
        </row>
        <row r="889">
          <cell r="B889" t="str">
            <v>105-30-020</v>
          </cell>
        </row>
        <row r="890">
          <cell r="B890" t="str">
            <v>Account</v>
          </cell>
          <cell r="C890" t="str">
            <v>Particulars</v>
          </cell>
          <cell r="D890" t="str">
            <v>Aims TB</v>
          </cell>
          <cell r="E890" t="str">
            <v>Closing</v>
          </cell>
        </row>
        <row r="891">
          <cell r="B891" t="str">
            <v>105-30-030</v>
          </cell>
        </row>
        <row r="892">
          <cell r="B892" t="str">
            <v>Account</v>
          </cell>
          <cell r="C892" t="str">
            <v>Particulars</v>
          </cell>
          <cell r="D892" t="str">
            <v>Aims TB</v>
          </cell>
          <cell r="E892" t="str">
            <v>Closing</v>
          </cell>
        </row>
        <row r="893">
          <cell r="B893" t="str">
            <v>105-30-040</v>
          </cell>
        </row>
        <row r="894">
          <cell r="B894" t="str">
            <v>Account</v>
          </cell>
          <cell r="C894" t="str">
            <v>Particulars</v>
          </cell>
          <cell r="D894" t="str">
            <v>Aims TB</v>
          </cell>
          <cell r="E894" t="str">
            <v>Closing</v>
          </cell>
        </row>
        <row r="895">
          <cell r="B895" t="str">
            <v>105-30-050</v>
          </cell>
        </row>
        <row r="896">
          <cell r="B896" t="str">
            <v>Account</v>
          </cell>
          <cell r="C896" t="str">
            <v>Particulars</v>
          </cell>
          <cell r="D896" t="str">
            <v>Aims TB</v>
          </cell>
          <cell r="E896" t="str">
            <v>Closing</v>
          </cell>
        </row>
        <row r="897">
          <cell r="B897" t="str">
            <v>105-30-060</v>
          </cell>
        </row>
        <row r="898">
          <cell r="B898" t="str">
            <v>Account</v>
          </cell>
          <cell r="C898" t="str">
            <v>Particulars</v>
          </cell>
          <cell r="D898" t="str">
            <v>Aims TB</v>
          </cell>
          <cell r="E898" t="str">
            <v>Closing</v>
          </cell>
        </row>
        <row r="899">
          <cell r="B899" t="str">
            <v>105-30-070</v>
          </cell>
        </row>
        <row r="900">
          <cell r="B900" t="str">
            <v>Account</v>
          </cell>
          <cell r="C900" t="str">
            <v>Particulars</v>
          </cell>
          <cell r="D900" t="str">
            <v>Aims TB</v>
          </cell>
          <cell r="E900" t="str">
            <v>Closing</v>
          </cell>
        </row>
        <row r="901">
          <cell r="B901" t="str">
            <v>105-30-080</v>
          </cell>
        </row>
        <row r="902">
          <cell r="B902" t="str">
            <v>Account</v>
          </cell>
          <cell r="C902" t="str">
            <v>Particulars</v>
          </cell>
          <cell r="D902" t="str">
            <v>Aims TB</v>
          </cell>
          <cell r="E902" t="str">
            <v>Closing</v>
          </cell>
        </row>
        <row r="903">
          <cell r="B903" t="str">
            <v>115-10-051</v>
          </cell>
        </row>
        <row r="904">
          <cell r="B904" t="str">
            <v>Account</v>
          </cell>
          <cell r="C904" t="str">
            <v>Particulars</v>
          </cell>
          <cell r="D904" t="str">
            <v>Aims TB</v>
          </cell>
          <cell r="E904" t="str">
            <v>Closing</v>
          </cell>
        </row>
        <row r="905">
          <cell r="B905" t="str">
            <v>115-10-008</v>
          </cell>
        </row>
        <row r="907">
          <cell r="B907" t="str">
            <v>Account</v>
          </cell>
          <cell r="C907" t="str">
            <v>Particulars</v>
          </cell>
          <cell r="D907" t="str">
            <v>Aims TB</v>
          </cell>
          <cell r="E907" t="str">
            <v>Closing</v>
          </cell>
        </row>
        <row r="908">
          <cell r="B908" t="str">
            <v>645-10-090</v>
          </cell>
        </row>
        <row r="910">
          <cell r="B910" t="str">
            <v>Account</v>
          </cell>
          <cell r="C910" t="str">
            <v>Particulars</v>
          </cell>
          <cell r="D910" t="str">
            <v>Aims TB</v>
          </cell>
          <cell r="E910" t="str">
            <v>Closing</v>
          </cell>
        </row>
        <row r="911">
          <cell r="B911" t="str">
            <v>645-10-100</v>
          </cell>
        </row>
        <row r="919">
          <cell r="B919" t="str">
            <v>Account</v>
          </cell>
          <cell r="C919" t="str">
            <v>Particulars</v>
          </cell>
          <cell r="D919" t="str">
            <v>Aims TB</v>
          </cell>
          <cell r="E919" t="str">
            <v>Closing</v>
          </cell>
        </row>
        <row r="920">
          <cell r="B920" t="str">
            <v>020-51</v>
          </cell>
        </row>
      </sheetData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ccepted_Sanlam"/>
      <sheetName val="Accepted_Currency"/>
      <sheetName val="Accepted_Incepted_Cases"/>
      <sheetName val="Accepted_API"/>
      <sheetName val="Accepted Biz"/>
      <sheetName val="Filesize Mvt"/>
      <sheetName val="Control Sheet"/>
      <sheetName val="SDM Comp."/>
      <sheetName val="Scorecard"/>
      <sheetName val="Budget"/>
      <sheetName val="COP_Bgt_Rev_AC"/>
      <sheetName val="IL_Bgt_ReV_AC"/>
      <sheetName val="NB-BGT"/>
      <sheetName val="Contents"/>
      <sheetName val="Fsize_Pro"/>
      <sheetName val="PRM_Pro"/>
      <sheetName val="Contol Sheet"/>
      <sheetName val="Staff Bonus Drivers"/>
      <sheetName val="Statistica abstract"/>
      <sheetName val="NB-Premiums"/>
      <sheetName val="Statistics"/>
      <sheetName val="INC. STATE. SUM"/>
      <sheetName val="INC.ST. IND LIFE"/>
      <sheetName val="INC.ST. CB"/>
      <sheetName val="Bgt_summ"/>
      <sheetName val="premium budget"/>
      <sheetName val="P&amp;L"/>
      <sheetName val="BS"/>
      <sheetName val="SOCIE"/>
      <sheetName val="Projection_summary"/>
      <sheetName val="Note1&amp;2"/>
      <sheetName val="Note3"/>
      <sheetName val="Note4"/>
      <sheetName val="note5-7"/>
      <sheetName val="Note8"/>
      <sheetName val="Note 9-10"/>
      <sheetName val="NTU"/>
      <sheetName val="BR_P&amp;L_rank"/>
      <sheetName val="BR_P&amp;L_Annex"/>
      <sheetName val="budget-corporate"/>
      <sheetName val="File size Criteria"/>
      <sheetName val="Company_TB"/>
      <sheetName val="IL_tb"/>
      <sheetName val="GL_Tb"/>
      <sheetName val="UL_TB"/>
      <sheetName val="SH_TB"/>
      <sheetName val="DA_tb"/>
      <sheetName val="unitcost"/>
      <sheetName val="File Size"/>
      <sheetName val="criteria"/>
      <sheetName val="file size -prior year"/>
      <sheetName val="ProD_BUD"/>
      <sheetName val="Production"/>
      <sheetName val="New Business"/>
      <sheetName val="Test CTR"/>
      <sheetName val="Variance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>
        <row r="16">
          <cell r="A16" t="str">
            <v>Index</v>
          </cell>
          <cell r="B16" t="str">
            <v>Month</v>
          </cell>
          <cell r="C16" t="str">
            <v>Current priod</v>
          </cell>
          <cell r="E16" t="str">
            <v>Filesize</v>
          </cell>
          <cell r="G16" t="str">
            <v>Full Month</v>
          </cell>
          <cell r="H16" t="str">
            <v>Quarter</v>
          </cell>
          <cell r="I16" t="str">
            <v>Ctr Month</v>
          </cell>
        </row>
        <row r="17">
          <cell r="A17">
            <v>1</v>
          </cell>
          <cell r="B17" t="str">
            <v>Jan</v>
          </cell>
          <cell r="D17" t="b">
            <v>0</v>
          </cell>
          <cell r="E17" t="str">
            <v>Ok</v>
          </cell>
          <cell r="F17" t="b">
            <v>1</v>
          </cell>
          <cell r="G17" t="str">
            <v>January</v>
          </cell>
          <cell r="H17">
            <v>1</v>
          </cell>
          <cell r="I17">
            <v>3</v>
          </cell>
        </row>
        <row r="18">
          <cell r="A18">
            <v>2</v>
          </cell>
          <cell r="B18" t="str">
            <v>Feb</v>
          </cell>
          <cell r="D18" t="b">
            <v>0</v>
          </cell>
          <cell r="E18" t="str">
            <v>Ok</v>
          </cell>
          <cell r="F18" t="b">
            <v>1</v>
          </cell>
          <cell r="G18" t="str">
            <v>February</v>
          </cell>
          <cell r="H18">
            <v>1</v>
          </cell>
          <cell r="I18">
            <v>3</v>
          </cell>
        </row>
        <row r="19">
          <cell r="A19">
            <v>3</v>
          </cell>
          <cell r="B19" t="str">
            <v>Mar</v>
          </cell>
          <cell r="D19" t="b">
            <v>1</v>
          </cell>
          <cell r="E19" t="str">
            <v>Ok</v>
          </cell>
          <cell r="F19" t="b">
            <v>1</v>
          </cell>
          <cell r="G19" t="str">
            <v>March</v>
          </cell>
          <cell r="H19">
            <v>1</v>
          </cell>
          <cell r="I19">
            <v>3</v>
          </cell>
        </row>
        <row r="20">
          <cell r="A20">
            <v>4</v>
          </cell>
          <cell r="B20" t="str">
            <v>Apr</v>
          </cell>
          <cell r="D20" t="b">
            <v>0</v>
          </cell>
          <cell r="E20" t="str">
            <v>Ok</v>
          </cell>
          <cell r="F20" t="b">
            <v>1</v>
          </cell>
          <cell r="G20" t="str">
            <v>April</v>
          </cell>
          <cell r="H20">
            <v>2</v>
          </cell>
          <cell r="I20">
            <v>6</v>
          </cell>
        </row>
        <row r="21">
          <cell r="A21">
            <v>5</v>
          </cell>
          <cell r="B21" t="str">
            <v>May</v>
          </cell>
          <cell r="D21" t="b">
            <v>0</v>
          </cell>
          <cell r="E21" t="str">
            <v>Ok</v>
          </cell>
          <cell r="F21" t="b">
            <v>1</v>
          </cell>
          <cell r="G21" t="str">
            <v>May</v>
          </cell>
          <cell r="H21">
            <v>2</v>
          </cell>
          <cell r="I21">
            <v>6</v>
          </cell>
        </row>
        <row r="22">
          <cell r="A22">
            <v>6</v>
          </cell>
          <cell r="B22" t="str">
            <v>Jun</v>
          </cell>
          <cell r="D22" t="b">
            <v>0</v>
          </cell>
          <cell r="E22" t="str">
            <v>Ok</v>
          </cell>
          <cell r="F22" t="b">
            <v>1</v>
          </cell>
          <cell r="G22" t="str">
            <v>June</v>
          </cell>
          <cell r="H22">
            <v>2</v>
          </cell>
          <cell r="I22">
            <v>6</v>
          </cell>
        </row>
        <row r="23">
          <cell r="A23">
            <v>7</v>
          </cell>
          <cell r="B23" t="str">
            <v>Jul</v>
          </cell>
          <cell r="D23" t="b">
            <v>0</v>
          </cell>
          <cell r="E23" t="str">
            <v>Ok</v>
          </cell>
          <cell r="F23" t="b">
            <v>1</v>
          </cell>
          <cell r="G23" t="str">
            <v>July</v>
          </cell>
          <cell r="H23">
            <v>3</v>
          </cell>
          <cell r="I23">
            <v>9</v>
          </cell>
        </row>
        <row r="24">
          <cell r="A24">
            <v>8</v>
          </cell>
          <cell r="B24" t="str">
            <v>Aug</v>
          </cell>
          <cell r="D24" t="b">
            <v>0</v>
          </cell>
          <cell r="E24" t="str">
            <v>Ok</v>
          </cell>
          <cell r="F24" t="b">
            <v>1</v>
          </cell>
          <cell r="G24" t="str">
            <v>August</v>
          </cell>
          <cell r="H24">
            <v>3</v>
          </cell>
          <cell r="I24">
            <v>9</v>
          </cell>
        </row>
        <row r="25">
          <cell r="A25">
            <v>9</v>
          </cell>
          <cell r="B25" t="str">
            <v>Sep</v>
          </cell>
          <cell r="D25" t="b">
            <v>0</v>
          </cell>
          <cell r="E25" t="str">
            <v>Ok</v>
          </cell>
          <cell r="F25" t="b">
            <v>1</v>
          </cell>
          <cell r="G25" t="str">
            <v>September</v>
          </cell>
          <cell r="H25">
            <v>3</v>
          </cell>
          <cell r="I25">
            <v>9</v>
          </cell>
        </row>
        <row r="26">
          <cell r="A26">
            <v>10</v>
          </cell>
          <cell r="B26" t="str">
            <v>Oct</v>
          </cell>
          <cell r="D26" t="b">
            <v>0</v>
          </cell>
          <cell r="E26" t="str">
            <v>Ok</v>
          </cell>
          <cell r="F26" t="b">
            <v>1</v>
          </cell>
          <cell r="G26" t="str">
            <v>October</v>
          </cell>
          <cell r="H26">
            <v>4</v>
          </cell>
          <cell r="I26">
            <v>12</v>
          </cell>
        </row>
        <row r="27">
          <cell r="A27">
            <v>11</v>
          </cell>
          <cell r="B27" t="str">
            <v>Nov</v>
          </cell>
          <cell r="D27" t="b">
            <v>0</v>
          </cell>
          <cell r="E27" t="str">
            <v>Ok</v>
          </cell>
          <cell r="F27" t="b">
            <v>1</v>
          </cell>
          <cell r="G27" t="str">
            <v>November</v>
          </cell>
          <cell r="H27">
            <v>4</v>
          </cell>
          <cell r="I27">
            <v>12</v>
          </cell>
        </row>
        <row r="28">
          <cell r="A28">
            <v>12</v>
          </cell>
          <cell r="B28" t="str">
            <v>Dec</v>
          </cell>
          <cell r="D28" t="b">
            <v>0</v>
          </cell>
          <cell r="E28" t="str">
            <v>Ok</v>
          </cell>
          <cell r="F28" t="b">
            <v>1</v>
          </cell>
          <cell r="G28" t="str">
            <v>December</v>
          </cell>
          <cell r="H28">
            <v>4</v>
          </cell>
          <cell r="I28">
            <v>12</v>
          </cell>
        </row>
      </sheetData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>
        <row r="1">
          <cell r="A1" t="str">
            <v>Account</v>
          </cell>
          <cell r="B1" t="str">
            <v>Particulars</v>
          </cell>
          <cell r="C1" t="str">
            <v>Opening</v>
          </cell>
          <cell r="D1" t="str">
            <v>Month</v>
          </cell>
          <cell r="E1" t="str">
            <v>year</v>
          </cell>
          <cell r="F1" t="str">
            <v>Aims TB</v>
          </cell>
          <cell r="G1" t="str">
            <v>Adjustment</v>
          </cell>
          <cell r="H1" t="str">
            <v>Closing</v>
          </cell>
        </row>
        <row r="2">
          <cell r="A2" t="str">
            <v>__________</v>
          </cell>
          <cell r="B2" t="str">
            <v>___________________________________________</v>
          </cell>
          <cell r="C2" t="str">
            <v>___________________</v>
          </cell>
          <cell r="D2" t="e">
            <v>#VALUE!</v>
          </cell>
          <cell r="E2" t="e">
            <v>#VALUE!</v>
          </cell>
          <cell r="F2" t="str">
            <v>____________</v>
          </cell>
          <cell r="H2">
            <v>0</v>
          </cell>
        </row>
        <row r="3">
          <cell r="A3" t="str">
            <v>__________</v>
          </cell>
          <cell r="B3" t="str">
            <v>___________________________________________</v>
          </cell>
          <cell r="C3" t="str">
            <v>___________________</v>
          </cell>
          <cell r="D3" t="e">
            <v>#VALUE!</v>
          </cell>
          <cell r="E3" t="e">
            <v>#VALUE!</v>
          </cell>
          <cell r="F3" t="str">
            <v>____________</v>
          </cell>
          <cell r="H3">
            <v>0</v>
          </cell>
        </row>
        <row r="4">
          <cell r="A4" t="str">
            <v>__________</v>
          </cell>
          <cell r="B4" t="str">
            <v>___________________________________________</v>
          </cell>
          <cell r="C4" t="str">
            <v>___________________</v>
          </cell>
          <cell r="D4" t="e">
            <v>#VALUE!</v>
          </cell>
          <cell r="E4" t="e">
            <v>#VALUE!</v>
          </cell>
          <cell r="F4" t="str">
            <v>____________</v>
          </cell>
          <cell r="H4">
            <v>0</v>
          </cell>
        </row>
        <row r="5">
          <cell r="A5" t="str">
            <v>__________</v>
          </cell>
          <cell r="B5" t="str">
            <v>___________________________________________</v>
          </cell>
          <cell r="C5" t="str">
            <v>___________________</v>
          </cell>
          <cell r="D5" t="e">
            <v>#VALUE!</v>
          </cell>
          <cell r="E5" t="e">
            <v>#VALUE!</v>
          </cell>
          <cell r="F5" t="str">
            <v>____________</v>
          </cell>
          <cell r="H5">
            <v>0</v>
          </cell>
        </row>
        <row r="6">
          <cell r="A6" t="str">
            <v>__________</v>
          </cell>
          <cell r="B6" t="str">
            <v>___________________________________________</v>
          </cell>
          <cell r="C6" t="str">
            <v>___________________</v>
          </cell>
          <cell r="D6" t="e">
            <v>#VALUE!</v>
          </cell>
          <cell r="E6" t="e">
            <v>#VALUE!</v>
          </cell>
          <cell r="F6" t="str">
            <v>____________</v>
          </cell>
          <cell r="H6">
            <v>0</v>
          </cell>
        </row>
        <row r="7">
          <cell r="A7" t="str">
            <v>__________</v>
          </cell>
          <cell r="B7" t="str">
            <v>___________________________________________</v>
          </cell>
          <cell r="C7" t="str">
            <v>___________________</v>
          </cell>
          <cell r="D7" t="e">
            <v>#VALUE!</v>
          </cell>
          <cell r="E7" t="e">
            <v>#VALUE!</v>
          </cell>
          <cell r="F7" t="str">
            <v>____________</v>
          </cell>
          <cell r="H7">
            <v>0</v>
          </cell>
        </row>
        <row r="8">
          <cell r="A8" t="str">
            <v>__________</v>
          </cell>
          <cell r="B8" t="str">
            <v>___________________________________________</v>
          </cell>
          <cell r="C8" t="str">
            <v>___________________</v>
          </cell>
          <cell r="D8" t="e">
            <v>#VALUE!</v>
          </cell>
          <cell r="E8" t="e">
            <v>#VALUE!</v>
          </cell>
          <cell r="F8" t="str">
            <v>____________</v>
          </cell>
          <cell r="G8">
            <v>0</v>
          </cell>
          <cell r="H8">
            <v>0</v>
          </cell>
        </row>
        <row r="9">
          <cell r="A9" t="str">
            <v>__________</v>
          </cell>
          <cell r="B9" t="str">
            <v>___________________________________________</v>
          </cell>
          <cell r="C9" t="str">
            <v>___________________</v>
          </cell>
          <cell r="D9" t="e">
            <v>#VALUE!</v>
          </cell>
          <cell r="E9" t="e">
            <v>#VALUE!</v>
          </cell>
          <cell r="F9" t="str">
            <v>____________</v>
          </cell>
          <cell r="G9">
            <v>0</v>
          </cell>
          <cell r="H9">
            <v>0</v>
          </cell>
        </row>
        <row r="10">
          <cell r="A10" t="str">
            <v>__________</v>
          </cell>
          <cell r="B10" t="str">
            <v>___________________________________________</v>
          </cell>
          <cell r="C10" t="str">
            <v>___________________</v>
          </cell>
          <cell r="D10" t="e">
            <v>#VALUE!</v>
          </cell>
          <cell r="E10" t="e">
            <v>#VALUE!</v>
          </cell>
          <cell r="F10" t="str">
            <v>____________</v>
          </cell>
          <cell r="G10">
            <v>0</v>
          </cell>
          <cell r="H10">
            <v>0</v>
          </cell>
        </row>
        <row r="11">
          <cell r="A11" t="str">
            <v>__________</v>
          </cell>
          <cell r="B11" t="str">
            <v>___________________________________________</v>
          </cell>
          <cell r="C11" t="str">
            <v>___________________</v>
          </cell>
          <cell r="D11" t="e">
            <v>#VALUE!</v>
          </cell>
          <cell r="E11" t="e">
            <v>#VALUE!</v>
          </cell>
          <cell r="F11" t="str">
            <v>____________</v>
          </cell>
          <cell r="G11">
            <v>0</v>
          </cell>
          <cell r="H11">
            <v>0</v>
          </cell>
        </row>
        <row r="12">
          <cell r="A12" t="str">
            <v>100-10-010</v>
          </cell>
          <cell r="B12" t="str">
            <v>NEW BUSINESS PREMIUM PAIC</v>
          </cell>
          <cell r="C12">
            <v>979332.55</v>
          </cell>
          <cell r="D12">
            <v>26307.5</v>
          </cell>
          <cell r="E12">
            <v>1005640.05</v>
          </cell>
          <cell r="F12">
            <v>1005640.05</v>
          </cell>
          <cell r="G12">
            <v>0</v>
          </cell>
          <cell r="H12">
            <v>1005640.05</v>
          </cell>
        </row>
        <row r="13">
          <cell r="A13" t="str">
            <v>100-10-020</v>
          </cell>
          <cell r="B13" t="str">
            <v>NEW BUSINESS FFFP</v>
          </cell>
          <cell r="C13">
            <v>-7197385</v>
          </cell>
          <cell r="D13">
            <v>-1860944.8</v>
          </cell>
          <cell r="E13">
            <v>-9058329.8000000007</v>
          </cell>
          <cell r="F13">
            <v>-9058329.8000000007</v>
          </cell>
          <cell r="H13">
            <v>-9058329.8000000007</v>
          </cell>
        </row>
        <row r="14">
          <cell r="A14" t="str">
            <v>100-10-030</v>
          </cell>
          <cell r="B14" t="str">
            <v>NEW BUSINESS W/P</v>
          </cell>
          <cell r="C14">
            <v>-4395223</v>
          </cell>
          <cell r="D14">
            <v>-689603</v>
          </cell>
          <cell r="E14">
            <v>-5084826</v>
          </cell>
          <cell r="F14">
            <v>-5084826</v>
          </cell>
          <cell r="H14">
            <v>-5084826</v>
          </cell>
        </row>
        <row r="15">
          <cell r="A15" t="str">
            <v>100-10-035</v>
          </cell>
          <cell r="B15" t="str">
            <v>NEW BUSINESS KINGA HALISI</v>
          </cell>
          <cell r="C15">
            <v>-16185183.1</v>
          </cell>
          <cell r="D15">
            <v>-2809715</v>
          </cell>
          <cell r="E15">
            <v>-18994898.100000001</v>
          </cell>
          <cell r="F15">
            <v>-18994898.100000001</v>
          </cell>
          <cell r="H15">
            <v>-18994898.100000001</v>
          </cell>
        </row>
        <row r="16">
          <cell r="A16" t="str">
            <v>100-10-036</v>
          </cell>
          <cell r="B16" t="str">
            <v>NEW BUSINESS FLEXI SAVER</v>
          </cell>
          <cell r="C16">
            <v>-74333736.239999995</v>
          </cell>
          <cell r="D16">
            <v>-19654001</v>
          </cell>
          <cell r="E16">
            <v>-93987737.239999995</v>
          </cell>
          <cell r="F16">
            <v>-93987737.239999995</v>
          </cell>
          <cell r="G16">
            <v>0</v>
          </cell>
          <cell r="H16">
            <v>-93987737.239999995</v>
          </cell>
        </row>
        <row r="17">
          <cell r="A17" t="str">
            <v>100-10-037</v>
          </cell>
          <cell r="B17" t="str">
            <v>NEW BUSINESS EDUCATOR</v>
          </cell>
          <cell r="C17">
            <v>-7709002.7999999998</v>
          </cell>
          <cell r="D17">
            <v>-3425537.15</v>
          </cell>
          <cell r="E17">
            <v>-11134539.949999999</v>
          </cell>
          <cell r="F17">
            <v>-11134539.949999999</v>
          </cell>
          <cell r="G17">
            <v>0</v>
          </cell>
          <cell r="H17">
            <v>-11134539.949999999</v>
          </cell>
        </row>
        <row r="18">
          <cell r="A18" t="str">
            <v>100-10-040</v>
          </cell>
          <cell r="B18" t="str">
            <v>SINGLE PREMIUMS</v>
          </cell>
          <cell r="C18">
            <v>-6862425</v>
          </cell>
          <cell r="D18">
            <v>-66773406</v>
          </cell>
          <cell r="E18">
            <v>-73635831</v>
          </cell>
          <cell r="F18">
            <v>-73635831</v>
          </cell>
          <cell r="G18">
            <v>0</v>
          </cell>
          <cell r="H18">
            <v>-73635831</v>
          </cell>
        </row>
        <row r="19">
          <cell r="A19" t="str">
            <v>100-10-050</v>
          </cell>
          <cell r="B19" t="str">
            <v>PERSONAL ACCIDENT PREMIUMS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</row>
        <row r="20">
          <cell r="A20" t="str">
            <v>100-12-010</v>
          </cell>
          <cell r="B20" t="str">
            <v>INVESTMENT ALLOCATION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</row>
        <row r="21">
          <cell r="A21" t="str">
            <v>100-14-010</v>
          </cell>
          <cell r="B21" t="str">
            <v>PREMIUM UPDATES -FFP</v>
          </cell>
          <cell r="C21">
            <v>-83493</v>
          </cell>
          <cell r="D21">
            <v>-17188</v>
          </cell>
          <cell r="E21">
            <v>-100681</v>
          </cell>
          <cell r="F21">
            <v>-100681</v>
          </cell>
          <cell r="G21">
            <v>0</v>
          </cell>
          <cell r="H21">
            <v>-100681</v>
          </cell>
        </row>
        <row r="22">
          <cell r="A22" t="str">
            <v>100-14-020</v>
          </cell>
          <cell r="B22" t="str">
            <v>PREMIUM UPDATES-WP</v>
          </cell>
          <cell r="C22">
            <v>-1491074</v>
          </cell>
          <cell r="D22">
            <v>-127928</v>
          </cell>
          <cell r="E22">
            <v>-1619002</v>
          </cell>
          <cell r="F22">
            <v>-1619002</v>
          </cell>
          <cell r="G22">
            <v>0</v>
          </cell>
          <cell r="H22">
            <v>-1619002</v>
          </cell>
        </row>
        <row r="23">
          <cell r="A23" t="str">
            <v>100-14-030</v>
          </cell>
          <cell r="B23" t="str">
            <v>PREMIUM UPDATE - KINGA HALISI</v>
          </cell>
          <cell r="C23">
            <v>0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</row>
        <row r="24">
          <cell r="A24" t="str">
            <v>100-15-010</v>
          </cell>
          <cell r="B24" t="str">
            <v>RENEWAL PREMIUMS -PAIC</v>
          </cell>
          <cell r="C24">
            <v>-82686087.329999998</v>
          </cell>
          <cell r="D24">
            <v>-10814218.1</v>
          </cell>
          <cell r="E24">
            <v>-93500305.430000007</v>
          </cell>
          <cell r="F24">
            <v>-93500305.430000007</v>
          </cell>
          <cell r="G24">
            <v>0</v>
          </cell>
          <cell r="H24">
            <v>-93500305.430000007</v>
          </cell>
        </row>
        <row r="25">
          <cell r="A25" t="str">
            <v>100-15-020</v>
          </cell>
          <cell r="B25" t="str">
            <v>RENEWAL PREMIUMS -FFP</v>
          </cell>
          <cell r="C25">
            <v>-77237538.329999998</v>
          </cell>
          <cell r="D25">
            <v>-9170107.0999999996</v>
          </cell>
          <cell r="E25">
            <v>-86407645.430000007</v>
          </cell>
          <cell r="F25">
            <v>-86407645.430000007</v>
          </cell>
          <cell r="G25">
            <v>0</v>
          </cell>
          <cell r="H25">
            <v>-86407645.430000007</v>
          </cell>
        </row>
        <row r="26">
          <cell r="A26" t="str">
            <v>100-15-030</v>
          </cell>
          <cell r="B26" t="str">
            <v>RENEWAL PREMIUMS -WP</v>
          </cell>
          <cell r="C26">
            <v>-622950715.24000001</v>
          </cell>
          <cell r="D26">
            <v>-73914008.769999996</v>
          </cell>
          <cell r="E26">
            <v>-696864724.00999999</v>
          </cell>
          <cell r="F26">
            <v>-696864724.00999999</v>
          </cell>
          <cell r="G26">
            <v>0</v>
          </cell>
          <cell r="H26">
            <v>-696864724.00999999</v>
          </cell>
        </row>
        <row r="27">
          <cell r="A27" t="str">
            <v>100-15-040</v>
          </cell>
          <cell r="B27" t="str">
            <v>RENEWAL PREMIUMS- KINGA HALISI</v>
          </cell>
          <cell r="C27">
            <v>-35537272.200000003</v>
          </cell>
          <cell r="D27">
            <v>-4438280.25</v>
          </cell>
          <cell r="E27">
            <v>-39975552.450000003</v>
          </cell>
          <cell r="F27">
            <v>-39975552.450000003</v>
          </cell>
          <cell r="G27">
            <v>0</v>
          </cell>
          <cell r="H27">
            <v>-39975552.450000003</v>
          </cell>
        </row>
        <row r="28">
          <cell r="A28" t="str">
            <v>100-15-050</v>
          </cell>
          <cell r="B28" t="str">
            <v>RENEWAL PREMIUM - EDUCATOR</v>
          </cell>
          <cell r="C28">
            <v>-31284</v>
          </cell>
          <cell r="D28">
            <v>-15642</v>
          </cell>
          <cell r="E28">
            <v>-46926</v>
          </cell>
          <cell r="F28">
            <v>-46926</v>
          </cell>
          <cell r="G28">
            <v>0</v>
          </cell>
          <cell r="H28">
            <v>-46926</v>
          </cell>
        </row>
        <row r="29">
          <cell r="A29" t="str">
            <v>100-15-060</v>
          </cell>
          <cell r="B29" t="str">
            <v>RENEWAL PREMIUM - FLEXI SAVER</v>
          </cell>
          <cell r="C29">
            <v>-49238396.240000002</v>
          </cell>
          <cell r="D29">
            <v>-6850633.5</v>
          </cell>
          <cell r="E29">
            <v>-56089029.740000002</v>
          </cell>
          <cell r="F29">
            <v>-56089029.740000002</v>
          </cell>
          <cell r="G29">
            <v>0</v>
          </cell>
          <cell r="H29">
            <v>-56089029.740000002</v>
          </cell>
        </row>
        <row r="30">
          <cell r="A30" t="str">
            <v>100-20-010</v>
          </cell>
          <cell r="B30" t="str">
            <v>LAPSES NEW BUSINESS -FFP</v>
          </cell>
          <cell r="C30">
            <v>344088</v>
          </cell>
          <cell r="D30">
            <v>32821</v>
          </cell>
          <cell r="E30">
            <v>376909</v>
          </cell>
          <cell r="F30">
            <v>376909</v>
          </cell>
          <cell r="G30">
            <v>0</v>
          </cell>
          <cell r="H30">
            <v>376909</v>
          </cell>
        </row>
        <row r="31">
          <cell r="A31" t="str">
            <v>100-20-020</v>
          </cell>
          <cell r="B31" t="str">
            <v>LAPSES NEW BUSINESS -WP</v>
          </cell>
          <cell r="C31">
            <v>1474973.8</v>
          </cell>
          <cell r="D31">
            <v>0</v>
          </cell>
          <cell r="E31">
            <v>1474973.8</v>
          </cell>
          <cell r="F31">
            <v>1474973.8</v>
          </cell>
          <cell r="G31">
            <v>0</v>
          </cell>
          <cell r="H31">
            <v>1474973.8</v>
          </cell>
        </row>
        <row r="32">
          <cell r="A32" t="str">
            <v>100-20-025</v>
          </cell>
          <cell r="B32" t="str">
            <v>LAPSES NEW BUSINESS - KINGA HALISI</v>
          </cell>
          <cell r="C32">
            <v>456564.35</v>
          </cell>
          <cell r="D32">
            <v>55027</v>
          </cell>
          <cell r="E32">
            <v>511591.35</v>
          </cell>
          <cell r="F32">
            <v>511591.35</v>
          </cell>
          <cell r="G32">
            <v>0</v>
          </cell>
          <cell r="H32">
            <v>511591.35</v>
          </cell>
        </row>
        <row r="33">
          <cell r="A33" t="str">
            <v>100-20-030</v>
          </cell>
          <cell r="B33" t="str">
            <v>NEW BUSINESS LAPSES - FLEXI SAVER</v>
          </cell>
          <cell r="C33">
            <v>1552936.07</v>
          </cell>
          <cell r="D33">
            <v>302492.5</v>
          </cell>
          <cell r="E33">
            <v>1855428.57</v>
          </cell>
          <cell r="F33">
            <v>1855428.57</v>
          </cell>
          <cell r="G33">
            <v>0</v>
          </cell>
          <cell r="H33">
            <v>1855428.57</v>
          </cell>
        </row>
        <row r="34">
          <cell r="A34" t="str">
            <v>100-20-035</v>
          </cell>
          <cell r="B34" t="str">
            <v>NEW BUSINESS LAPSES - FLEXI EDUCATOR</v>
          </cell>
          <cell r="C34">
            <v>160073.82999999999</v>
          </cell>
          <cell r="D34">
            <v>14440</v>
          </cell>
          <cell r="E34">
            <v>174513.83</v>
          </cell>
          <cell r="F34">
            <v>174513.83</v>
          </cell>
          <cell r="G34">
            <v>0</v>
          </cell>
          <cell r="H34">
            <v>174513.83</v>
          </cell>
        </row>
        <row r="35">
          <cell r="A35" t="str">
            <v>100-20-050</v>
          </cell>
          <cell r="B35" t="str">
            <v>LAPSES RENEWAL -FFP</v>
          </cell>
          <cell r="C35">
            <v>3908799.25</v>
          </cell>
          <cell r="D35">
            <v>479529.18</v>
          </cell>
          <cell r="E35">
            <v>4388328.43</v>
          </cell>
          <cell r="F35">
            <v>4388328.43</v>
          </cell>
          <cell r="G35">
            <v>0</v>
          </cell>
          <cell r="H35">
            <v>4388328.43</v>
          </cell>
        </row>
        <row r="36">
          <cell r="A36" t="str">
            <v>100-20-060</v>
          </cell>
          <cell r="B36" t="str">
            <v>LAPSES RENEWAL -WP</v>
          </cell>
          <cell r="C36">
            <v>35430320.590000004</v>
          </cell>
          <cell r="D36">
            <v>1894579.1</v>
          </cell>
          <cell r="E36">
            <v>37324899.689999998</v>
          </cell>
          <cell r="F36">
            <v>37324899.689999998</v>
          </cell>
          <cell r="G36">
            <v>0</v>
          </cell>
          <cell r="H36">
            <v>37324899.689999998</v>
          </cell>
        </row>
        <row r="37">
          <cell r="A37" t="str">
            <v>100-20-070</v>
          </cell>
          <cell r="B37" t="str">
            <v>LAPSES RENEWAL -PAIC</v>
          </cell>
          <cell r="C37">
            <v>19692470.23</v>
          </cell>
          <cell r="D37">
            <v>466037.87</v>
          </cell>
          <cell r="E37">
            <v>20158508.100000001</v>
          </cell>
          <cell r="F37">
            <v>20158508.100000001</v>
          </cell>
          <cell r="G37">
            <v>0</v>
          </cell>
          <cell r="H37">
            <v>20158508.100000001</v>
          </cell>
        </row>
        <row r="38">
          <cell r="A38" t="str">
            <v>100-20-080</v>
          </cell>
          <cell r="B38" t="str">
            <v>LAPSES RENEWAL - KINGA HALISI</v>
          </cell>
          <cell r="C38">
            <v>3153934.34</v>
          </cell>
          <cell r="D38">
            <v>283554.92</v>
          </cell>
          <cell r="E38">
            <v>3437489.26</v>
          </cell>
          <cell r="F38">
            <v>3437489.26</v>
          </cell>
          <cell r="G38">
            <v>0</v>
          </cell>
          <cell r="H38">
            <v>3437489.26</v>
          </cell>
        </row>
        <row r="39">
          <cell r="A39" t="str">
            <v>100-20-085</v>
          </cell>
          <cell r="B39" t="str">
            <v>RENEWAL BUSINESS LAPSES - FLEXI SAVER</v>
          </cell>
          <cell r="C39">
            <v>760463</v>
          </cell>
          <cell r="D39">
            <v>0</v>
          </cell>
          <cell r="E39">
            <v>760463</v>
          </cell>
          <cell r="F39">
            <v>760463</v>
          </cell>
          <cell r="G39">
            <v>0</v>
          </cell>
          <cell r="H39">
            <v>760463</v>
          </cell>
        </row>
        <row r="40">
          <cell r="A40" t="str">
            <v>100-20-090</v>
          </cell>
          <cell r="B40" t="str">
            <v>RENEWAL  BUSINESS LAPSES - FLEXI EDUCATO</v>
          </cell>
          <cell r="C40">
            <v>390815.01</v>
          </cell>
          <cell r="D40">
            <v>514001</v>
          </cell>
          <cell r="E40">
            <v>904816.01</v>
          </cell>
          <cell r="F40">
            <v>904816.01</v>
          </cell>
          <cell r="G40">
            <v>0</v>
          </cell>
          <cell r="H40">
            <v>904816.01</v>
          </cell>
        </row>
        <row r="41">
          <cell r="A41" t="str">
            <v>100-25-010</v>
          </cell>
          <cell r="B41" t="str">
            <v>SINGLE PREMIUMS</v>
          </cell>
          <cell r="C41">
            <v>0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</row>
        <row r="42">
          <cell r="A42" t="str">
            <v>100-25-020</v>
          </cell>
          <cell r="B42" t="str">
            <v>RENEWAL WP</v>
          </cell>
          <cell r="C42">
            <v>0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</row>
        <row r="43">
          <cell r="A43" t="str">
            <v>100-25-025</v>
          </cell>
          <cell r="B43" t="str">
            <v>PREMIUM INJECTIONS-WP</v>
          </cell>
          <cell r="C43">
            <v>-41850</v>
          </cell>
          <cell r="D43">
            <v>0</v>
          </cell>
          <cell r="E43">
            <v>-41850</v>
          </cell>
          <cell r="F43">
            <v>-41850</v>
          </cell>
          <cell r="G43">
            <v>0</v>
          </cell>
          <cell r="H43">
            <v>-41850</v>
          </cell>
        </row>
        <row r="44">
          <cell r="A44" t="str">
            <v>100-25-030</v>
          </cell>
          <cell r="B44" t="str">
            <v>PREMIUM INJECTIONS-FFP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</row>
        <row r="45">
          <cell r="A45" t="str">
            <v>100-26-010</v>
          </cell>
          <cell r="B45" t="str">
            <v>PREMIUM RECOVERIES</v>
          </cell>
          <cell r="C45">
            <v>-1892493.3</v>
          </cell>
          <cell r="D45">
            <v>-194632.05</v>
          </cell>
          <cell r="E45">
            <v>-2087125.35</v>
          </cell>
          <cell r="F45">
            <v>-2087125.35</v>
          </cell>
          <cell r="G45">
            <v>0</v>
          </cell>
          <cell r="H45">
            <v>-2087125.35</v>
          </cell>
        </row>
        <row r="46">
          <cell r="A46" t="str">
            <v>100-30-010</v>
          </cell>
          <cell r="B46" t="str">
            <v>GROUP LIFE SCHEME</v>
          </cell>
          <cell r="C46">
            <v>0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</row>
        <row r="47">
          <cell r="A47" t="str">
            <v>100-30-020</v>
          </cell>
          <cell r="B47" t="str">
            <v>GROUP DISABILITY SCHEME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</row>
        <row r="48">
          <cell r="A48" t="str">
            <v>100-30-030</v>
          </cell>
          <cell r="B48" t="str">
            <v>GROUP CREDIT SCHEME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</row>
        <row r="49">
          <cell r="A49" t="str">
            <v>100-30-040</v>
          </cell>
          <cell r="B49" t="str">
            <v>GROUP LAST EXPENSE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</row>
        <row r="50">
          <cell r="A50" t="str">
            <v>100-30-050</v>
          </cell>
          <cell r="B50" t="str">
            <v>GROUP MORTGAGE SCHEME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</row>
        <row r="51">
          <cell r="A51" t="str">
            <v>100-30-060</v>
          </cell>
          <cell r="B51" t="str">
            <v>GROUP PENSION SCHEME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</row>
        <row r="52">
          <cell r="A52" t="str">
            <v>100-30-070</v>
          </cell>
          <cell r="B52" t="str">
            <v>HARAMBEE SCHEME</v>
          </cell>
          <cell r="C52">
            <v>0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</row>
        <row r="53">
          <cell r="A53" t="str">
            <v>100-40-010</v>
          </cell>
          <cell r="B53" t="str">
            <v>NEW BUSINESS - GROUP LIFE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</row>
        <row r="54">
          <cell r="A54" t="str">
            <v>100-40-020</v>
          </cell>
          <cell r="B54" t="str">
            <v>NEW BUSINESS - DISABILITY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</row>
        <row r="55">
          <cell r="A55" t="str">
            <v>100-40-030</v>
          </cell>
          <cell r="B55" t="str">
            <v>NWE BUSINESS - GROUP CREDIT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</row>
        <row r="56">
          <cell r="A56" t="str">
            <v>100-40-040</v>
          </cell>
          <cell r="B56" t="str">
            <v>NEW BUSINESS - LAST EXPENSE</v>
          </cell>
          <cell r="C56">
            <v>0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</row>
        <row r="57">
          <cell r="A57" t="str">
            <v>100-40-050</v>
          </cell>
          <cell r="B57" t="str">
            <v>NEW BUSINESS - GROUP MORTGAGE</v>
          </cell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</row>
        <row r="58">
          <cell r="A58" t="str">
            <v>100-40-060</v>
          </cell>
          <cell r="B58" t="str">
            <v>NEW BUSINESS - PENSION</v>
          </cell>
          <cell r="C58">
            <v>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</row>
        <row r="59">
          <cell r="A59" t="str">
            <v>100-40-070</v>
          </cell>
          <cell r="B59" t="str">
            <v>RETIREMENT ANNUITIES</v>
          </cell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</row>
        <row r="60">
          <cell r="A60" t="str">
            <v>200-10-011</v>
          </cell>
          <cell r="B60" t="str">
            <v>REASSURANCE PREM/ENDOWMENT POLICY</v>
          </cell>
          <cell r="C60">
            <v>0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</row>
        <row r="61">
          <cell r="A61" t="str">
            <v>200-10-012</v>
          </cell>
          <cell r="B61" t="str">
            <v>REASSURACE PREM FFFP POLICIES</v>
          </cell>
          <cell r="C61">
            <v>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</row>
        <row r="62">
          <cell r="A62" t="str">
            <v>200-10-013</v>
          </cell>
          <cell r="B62" t="str">
            <v>REASSURANCE PREM WP/POLICIES</v>
          </cell>
          <cell r="C62">
            <v>656075</v>
          </cell>
          <cell r="D62">
            <v>71521</v>
          </cell>
          <cell r="E62">
            <v>727596</v>
          </cell>
          <cell r="F62">
            <v>727596</v>
          </cell>
          <cell r="G62">
            <v>0</v>
          </cell>
          <cell r="H62">
            <v>727596</v>
          </cell>
        </row>
        <row r="63">
          <cell r="A63" t="str">
            <v>200-10-014</v>
          </cell>
          <cell r="B63" t="str">
            <v>REASSURANCE PREMIUMS- KINGA HALISI</v>
          </cell>
          <cell r="C63">
            <v>5849467</v>
          </cell>
          <cell r="D63">
            <v>1062349</v>
          </cell>
          <cell r="E63">
            <v>6911816</v>
          </cell>
          <cell r="F63">
            <v>6911816</v>
          </cell>
          <cell r="G63">
            <v>0</v>
          </cell>
          <cell r="H63">
            <v>6911816</v>
          </cell>
        </row>
        <row r="64">
          <cell r="A64" t="str">
            <v>200-10-015</v>
          </cell>
          <cell r="B64" t="str">
            <v>NEW BUSINESS REINSURANCE PREMIUM-KINGA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</row>
        <row r="65">
          <cell r="A65" t="str">
            <v>200-10-016</v>
          </cell>
          <cell r="B65" t="str">
            <v>NEW BUSINESS REINSURANCE-WP</v>
          </cell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</row>
        <row r="66">
          <cell r="A66" t="str">
            <v>200-15-011</v>
          </cell>
          <cell r="B66" t="str">
            <v>REASSURANCE PREMIUMS -GROUP LIFE</v>
          </cell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</row>
        <row r="67">
          <cell r="A67" t="str">
            <v>200-15-012</v>
          </cell>
          <cell r="B67" t="str">
            <v>REASSURANCE PREMIUMS-GROUP MORTGAGE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</row>
        <row r="68">
          <cell r="A68" t="str">
            <v>200-15-013</v>
          </cell>
          <cell r="B68" t="str">
            <v>REASSURANCE PREMIUMS-GROUP CREDIT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</row>
        <row r="69">
          <cell r="A69" t="str">
            <v>200-15-014</v>
          </cell>
          <cell r="B69" t="str">
            <v>REASSURANCE PREMIUMS -GROUP DISABILITY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</row>
        <row r="70">
          <cell r="A70" t="str">
            <v>200-15-015</v>
          </cell>
          <cell r="B70" t="str">
            <v>REASSURANCE PREMIUMS- GROUP LAST EXPENSE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</row>
        <row r="71">
          <cell r="A71" t="str">
            <v>200-15-016</v>
          </cell>
          <cell r="B71" t="str">
            <v>REASSURANCE PREMIUMS - CATASTROPHE COVER</v>
          </cell>
          <cell r="C71">
            <v>666771</v>
          </cell>
          <cell r="D71">
            <v>0</v>
          </cell>
          <cell r="E71">
            <v>666771</v>
          </cell>
          <cell r="F71">
            <v>666771</v>
          </cell>
          <cell r="G71">
            <v>0</v>
          </cell>
          <cell r="H71">
            <v>666771</v>
          </cell>
        </row>
        <row r="72">
          <cell r="A72" t="str">
            <v>200-15-017</v>
          </cell>
          <cell r="B72" t="str">
            <v>GROUP HARAMBEE SCHEMES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</row>
        <row r="73">
          <cell r="A73" t="str">
            <v>200-16-011</v>
          </cell>
          <cell r="B73" t="str">
            <v>NEW BUSINESS - REASS.PREM - G LIFE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</row>
        <row r="74">
          <cell r="A74" t="str">
            <v>200-16-012</v>
          </cell>
          <cell r="B74" t="str">
            <v>NEW BUSINESS - REASS. PREM - G MORTGAGE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</row>
        <row r="75">
          <cell r="A75" t="str">
            <v>200-16-013</v>
          </cell>
          <cell r="B75" t="str">
            <v>NEW BUSINESS - RAESS. PREM. - G CREDIT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</row>
        <row r="76">
          <cell r="A76" t="str">
            <v>200-16-014</v>
          </cell>
          <cell r="B76" t="str">
            <v>NEW BUSINESS - REASS.PREM - G DISABILITY</v>
          </cell>
          <cell r="C76">
            <v>0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</row>
        <row r="77">
          <cell r="A77" t="str">
            <v>200-16-015</v>
          </cell>
          <cell r="B77" t="str">
            <v>NEW BUSINESS - REASS.PREM - G LAST EXP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</row>
        <row r="78">
          <cell r="A78" t="str">
            <v>200-20-011</v>
          </cell>
          <cell r="B78" t="str">
            <v>REASSURANCE COMM.WP</v>
          </cell>
          <cell r="C78">
            <v>-56893</v>
          </cell>
          <cell r="D78">
            <v>-5445</v>
          </cell>
          <cell r="E78">
            <v>-62338</v>
          </cell>
          <cell r="F78">
            <v>-62338</v>
          </cell>
          <cell r="G78">
            <v>0</v>
          </cell>
          <cell r="H78">
            <v>-62338</v>
          </cell>
        </row>
        <row r="79">
          <cell r="A79" t="str">
            <v>200-20-012</v>
          </cell>
          <cell r="B79" t="str">
            <v>REASSURANCE COMM.FFFP</v>
          </cell>
          <cell r="C79">
            <v>0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</row>
        <row r="80">
          <cell r="A80" t="str">
            <v>200-20-013</v>
          </cell>
          <cell r="B80" t="str">
            <v>REASSURANCE COMMISSION-GROUP LIFE</v>
          </cell>
          <cell r="C80">
            <v>0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</row>
        <row r="81">
          <cell r="A81" t="str">
            <v>200-20-014</v>
          </cell>
          <cell r="B81" t="str">
            <v>REASSUARANCE COMMISSION-GROUP MORTGAGE</v>
          </cell>
          <cell r="C81">
            <v>0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</row>
        <row r="82">
          <cell r="A82" t="str">
            <v>200-20-015</v>
          </cell>
          <cell r="B82" t="str">
            <v>REASSURANCE COMM-GROUP CREDIT</v>
          </cell>
          <cell r="C82">
            <v>0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</row>
        <row r="83">
          <cell r="A83" t="str">
            <v>200-20-016</v>
          </cell>
          <cell r="B83" t="str">
            <v>REASSURANCE COMM-GROUP DISABILITY</v>
          </cell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</row>
        <row r="84">
          <cell r="A84" t="str">
            <v>200-20-017</v>
          </cell>
          <cell r="B84" t="str">
            <v>REASSURANCE COMMISSION - LAST EXPENSE</v>
          </cell>
          <cell r="C84">
            <v>0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</row>
        <row r="85">
          <cell r="A85" t="str">
            <v>200-20-018</v>
          </cell>
          <cell r="B85" t="str">
            <v>REASSURANCE COMMISSION - KINGA HALISI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</row>
        <row r="86">
          <cell r="A86" t="str">
            <v>200-25-013</v>
          </cell>
          <cell r="B86" t="str">
            <v>NEW BUSINESS - REASS.COMM - G LIFE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</row>
        <row r="87">
          <cell r="A87" t="str">
            <v>200-25-014</v>
          </cell>
          <cell r="B87" t="str">
            <v>NEW BUSINESS - REASS. COMM - G MORTGAGE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</row>
        <row r="88">
          <cell r="A88" t="str">
            <v>200-25-015</v>
          </cell>
          <cell r="B88" t="str">
            <v>NEW BUSINESS - REASS. COMM - G CREDIT</v>
          </cell>
          <cell r="C88">
            <v>0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</row>
        <row r="89">
          <cell r="A89" t="str">
            <v>200-25-016</v>
          </cell>
          <cell r="B89" t="str">
            <v>NEW BUSINESS - REASS. COMM - G DISABILIT</v>
          </cell>
          <cell r="C89">
            <v>0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</row>
        <row r="90">
          <cell r="A90" t="str">
            <v>200-25-017</v>
          </cell>
          <cell r="B90" t="str">
            <v>NEW BUSINESS - REASS. COMM - G LAST EXP</v>
          </cell>
          <cell r="C90">
            <v>0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</row>
        <row r="91">
          <cell r="A91" t="str">
            <v>200-25-018</v>
          </cell>
          <cell r="B91" t="str">
            <v>NEW BUSINESS REINSURANCE COMM-KINGAHALI</v>
          </cell>
          <cell r="C91">
            <v>0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</row>
        <row r="92">
          <cell r="A92" t="str">
            <v>200-25-019</v>
          </cell>
          <cell r="B92" t="str">
            <v>NEW BUSINESS REINSURANCE COMMISSION-WP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</row>
        <row r="93">
          <cell r="A93" t="str">
            <v>200-30-011</v>
          </cell>
          <cell r="B93" t="str">
            <v>CLAIMS RECOVERED -GROUP LIFE ASSURANCE</v>
          </cell>
          <cell r="C93">
            <v>0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</row>
        <row r="94">
          <cell r="A94" t="str">
            <v>200-30-012</v>
          </cell>
          <cell r="B94" t="str">
            <v>CLAIMS RECOVERED GROUP MORTGAGE</v>
          </cell>
          <cell r="C94">
            <v>0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</row>
        <row r="95">
          <cell r="A95" t="str">
            <v>200-30-013</v>
          </cell>
          <cell r="B95" t="str">
            <v>CLAIMS RECOVERED-GROUP LAST EXPENSE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</row>
        <row r="96">
          <cell r="A96" t="str">
            <v>200-30-014</v>
          </cell>
          <cell r="B96" t="str">
            <v>CLAIMS RECOVERED -GROUP CREDIT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</row>
        <row r="97">
          <cell r="A97" t="str">
            <v>200-30-015</v>
          </cell>
          <cell r="B97" t="str">
            <v>CLAIMS RECOVERED -GROUP DISABILITY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</row>
        <row r="98">
          <cell r="A98" t="str">
            <v>300-10-010</v>
          </cell>
          <cell r="B98" t="str">
            <v>LORESHO HOUSE</v>
          </cell>
          <cell r="C98">
            <v>320185.61</v>
          </cell>
          <cell r="D98">
            <v>-126567.5</v>
          </cell>
          <cell r="E98">
            <v>193618.11</v>
          </cell>
          <cell r="F98">
            <v>193618.11</v>
          </cell>
          <cell r="G98">
            <v>0</v>
          </cell>
          <cell r="H98">
            <v>193618.11</v>
          </cell>
        </row>
        <row r="99">
          <cell r="A99" t="str">
            <v>300-10-020</v>
          </cell>
          <cell r="B99" t="str">
            <v>RETREAT VILLAS</v>
          </cell>
          <cell r="C99">
            <v>0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</row>
        <row r="100">
          <cell r="A100" t="str">
            <v>300-10-030</v>
          </cell>
          <cell r="B100" t="str">
            <v>ARCADE PETROL STATION</v>
          </cell>
          <cell r="C100">
            <v>21460</v>
          </cell>
          <cell r="D100">
            <v>0</v>
          </cell>
          <cell r="E100">
            <v>21460</v>
          </cell>
          <cell r="F100">
            <v>21460</v>
          </cell>
          <cell r="G100">
            <v>0</v>
          </cell>
          <cell r="H100">
            <v>21460</v>
          </cell>
        </row>
        <row r="101">
          <cell r="A101" t="str">
            <v>300-10-040</v>
          </cell>
          <cell r="B101" t="str">
            <v>AMBALAL HOUSE</v>
          </cell>
          <cell r="C101">
            <v>0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</row>
        <row r="102">
          <cell r="A102" t="str">
            <v>300-10-050</v>
          </cell>
          <cell r="B102" t="str">
            <v>PAN AFRICA HOUSE NBI</v>
          </cell>
          <cell r="C102">
            <v>-10399136.699999999</v>
          </cell>
          <cell r="D102">
            <v>-1355857.57</v>
          </cell>
          <cell r="E102">
            <v>-11754994.27</v>
          </cell>
          <cell r="F102">
            <v>-11754994.27</v>
          </cell>
          <cell r="G102">
            <v>0</v>
          </cell>
          <cell r="H102">
            <v>-11754994.27</v>
          </cell>
        </row>
        <row r="103">
          <cell r="A103" t="str">
            <v>300-10-060</v>
          </cell>
          <cell r="B103" t="str">
            <v>AMMORTIZATION OF LAND AND BUILDINGS</v>
          </cell>
          <cell r="C103">
            <v>-35462</v>
          </cell>
          <cell r="D103">
            <v>0</v>
          </cell>
          <cell r="E103">
            <v>-35462</v>
          </cell>
          <cell r="F103">
            <v>-35462</v>
          </cell>
          <cell r="G103">
            <v>0</v>
          </cell>
          <cell r="H103">
            <v>-35462</v>
          </cell>
        </row>
        <row r="104">
          <cell r="A104" t="str">
            <v>300-10-070</v>
          </cell>
          <cell r="B104" t="str">
            <v>INVESTMENT INCOME</v>
          </cell>
          <cell r="C104">
            <v>9280</v>
          </cell>
          <cell r="D104">
            <v>0</v>
          </cell>
          <cell r="E104">
            <v>9280</v>
          </cell>
          <cell r="F104">
            <v>9280</v>
          </cell>
          <cell r="G104">
            <v>0</v>
          </cell>
          <cell r="H104">
            <v>9280</v>
          </cell>
        </row>
        <row r="105">
          <cell r="A105" t="str">
            <v>300-14-010</v>
          </cell>
          <cell r="B105" t="str">
            <v>LOSS ON DISPOSAL OF PROPERTIES</v>
          </cell>
          <cell r="C105">
            <v>33480</v>
          </cell>
          <cell r="D105">
            <v>0</v>
          </cell>
          <cell r="E105">
            <v>33480</v>
          </cell>
          <cell r="F105">
            <v>33480</v>
          </cell>
          <cell r="G105">
            <v>0</v>
          </cell>
          <cell r="H105">
            <v>33480</v>
          </cell>
        </row>
        <row r="106">
          <cell r="A106" t="str">
            <v>300-14-040</v>
          </cell>
          <cell r="B106" t="str">
            <v>LOSS/PROFIT DISPOSAL OF MOTOR VEHICLE</v>
          </cell>
          <cell r="C106">
            <v>-1741666.67</v>
          </cell>
          <cell r="D106">
            <v>0</v>
          </cell>
          <cell r="E106">
            <v>-1741666.67</v>
          </cell>
          <cell r="F106">
            <v>-1741666.67</v>
          </cell>
          <cell r="G106">
            <v>0</v>
          </cell>
          <cell r="H106">
            <v>-1741666.67</v>
          </cell>
        </row>
        <row r="107">
          <cell r="A107" t="str">
            <v>300-15-010</v>
          </cell>
          <cell r="B107" t="str">
            <v>MISC INCOMES</v>
          </cell>
          <cell r="C107">
            <v>-2109421.5299999998</v>
          </cell>
          <cell r="D107">
            <v>-194489.78</v>
          </cell>
          <cell r="E107">
            <v>-2303911.31</v>
          </cell>
          <cell r="F107">
            <v>-2303911.31</v>
          </cell>
          <cell r="G107">
            <v>0</v>
          </cell>
          <cell r="H107">
            <v>-2303911.31</v>
          </cell>
        </row>
        <row r="108">
          <cell r="A108" t="str">
            <v>300-15-015</v>
          </cell>
          <cell r="B108" t="str">
            <v>GAIN/LOSS ON FEREIGN EXCHAGE</v>
          </cell>
          <cell r="C108">
            <v>0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</row>
        <row r="109">
          <cell r="A109" t="str">
            <v>300-15-020</v>
          </cell>
          <cell r="B109" t="str">
            <v>MORTAGE INTEREST STAFF</v>
          </cell>
          <cell r="C109">
            <v>-3720660.27</v>
          </cell>
          <cell r="D109">
            <v>-479736.3</v>
          </cell>
          <cell r="E109">
            <v>-4200396.57</v>
          </cell>
          <cell r="F109">
            <v>-4200396.57</v>
          </cell>
          <cell r="G109">
            <v>0</v>
          </cell>
          <cell r="H109">
            <v>-4200396.57</v>
          </cell>
        </row>
        <row r="110">
          <cell r="A110" t="str">
            <v>300-15-021</v>
          </cell>
          <cell r="B110" t="str">
            <v>STAFF INTEREST ON ADVANCES,N/L,CARLOANS</v>
          </cell>
          <cell r="C110">
            <v>-616116.6</v>
          </cell>
          <cell r="D110">
            <v>-85060</v>
          </cell>
          <cell r="E110">
            <v>-701176.6</v>
          </cell>
          <cell r="F110">
            <v>-701176.6</v>
          </cell>
          <cell r="G110">
            <v>0</v>
          </cell>
          <cell r="H110">
            <v>-701176.6</v>
          </cell>
        </row>
        <row r="111">
          <cell r="A111" t="str">
            <v>300-15-025</v>
          </cell>
          <cell r="B111" t="str">
            <v>PROFIT SHARE-REINSURANCE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</row>
        <row r="112">
          <cell r="A112" t="str">
            <v>300-15-026</v>
          </cell>
          <cell r="B112" t="str">
            <v>GAIN OR LOSS ON VALUATION</v>
          </cell>
          <cell r="C112">
            <v>0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</row>
        <row r="113">
          <cell r="A113" t="str">
            <v>300-20-030</v>
          </cell>
          <cell r="B113" t="str">
            <v>DIVIDENED INCOME</v>
          </cell>
          <cell r="C113">
            <v>-370474.8</v>
          </cell>
          <cell r="D113">
            <v>0</v>
          </cell>
          <cell r="E113">
            <v>-370474.8</v>
          </cell>
          <cell r="F113">
            <v>-370474.8</v>
          </cell>
          <cell r="G113">
            <v>0</v>
          </cell>
          <cell r="H113">
            <v>-370474.8</v>
          </cell>
        </row>
        <row r="114">
          <cell r="A114" t="str">
            <v>300-30-010</v>
          </cell>
          <cell r="B114" t="str">
            <v>SERVICE CHARGE LOAN ON POLICY</v>
          </cell>
          <cell r="C114">
            <v>-921000</v>
          </cell>
          <cell r="D114">
            <v>-322500</v>
          </cell>
          <cell r="E114">
            <v>-1243500</v>
          </cell>
          <cell r="F114">
            <v>-1243500</v>
          </cell>
          <cell r="G114">
            <v>0</v>
          </cell>
          <cell r="H114">
            <v>-1243500</v>
          </cell>
        </row>
        <row r="115">
          <cell r="A115" t="str">
            <v>300-30-020</v>
          </cell>
          <cell r="B115" t="str">
            <v>INTEREST ON LOAN ON POLICY</v>
          </cell>
          <cell r="C115">
            <v>-8504253.6999999993</v>
          </cell>
          <cell r="D115">
            <v>-1177451</v>
          </cell>
          <cell r="E115">
            <v>-9681704.6999999993</v>
          </cell>
          <cell r="F115">
            <v>-9681704.6999999993</v>
          </cell>
          <cell r="G115">
            <v>0</v>
          </cell>
          <cell r="H115">
            <v>-9681704.6999999993</v>
          </cell>
        </row>
        <row r="116">
          <cell r="A116" t="str">
            <v>300-30-030</v>
          </cell>
          <cell r="B116" t="str">
            <v>INTEREST ON COMMERCIAL PAPER</v>
          </cell>
          <cell r="C116">
            <v>0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</row>
        <row r="117">
          <cell r="A117" t="str">
            <v>300-30-040</v>
          </cell>
          <cell r="B117" t="str">
            <v>PREMIUM ON BONDS</v>
          </cell>
          <cell r="C117">
            <v>-4717840</v>
          </cell>
          <cell r="D117">
            <v>0</v>
          </cell>
          <cell r="E117">
            <v>-4717840</v>
          </cell>
          <cell r="F117">
            <v>-4717840</v>
          </cell>
          <cell r="G117">
            <v>0</v>
          </cell>
          <cell r="H117">
            <v>-4717840</v>
          </cell>
        </row>
        <row r="118">
          <cell r="A118" t="str">
            <v>300-30-050</v>
          </cell>
          <cell r="B118" t="str">
            <v>INTEREST ON FD</v>
          </cell>
          <cell r="C118">
            <v>0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</row>
        <row r="119">
          <cell r="A119" t="str">
            <v>300-30-060</v>
          </cell>
          <cell r="B119" t="str">
            <v>INTEREST ON TB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</row>
        <row r="120">
          <cell r="A120" t="str">
            <v>300-30-062</v>
          </cell>
          <cell r="B120" t="str">
            <v>INTEREST ON BONDS UNDER LIEN</v>
          </cell>
          <cell r="C120">
            <v>-4641530</v>
          </cell>
          <cell r="D120">
            <v>-5237111</v>
          </cell>
          <cell r="E120">
            <v>-9878641</v>
          </cell>
          <cell r="F120">
            <v>-9878641</v>
          </cell>
          <cell r="G120">
            <v>0</v>
          </cell>
          <cell r="H120">
            <v>-9878641</v>
          </cell>
        </row>
        <row r="121">
          <cell r="A121" t="str">
            <v>300-30-065</v>
          </cell>
          <cell r="B121" t="str">
            <v>FUND MANAGEMENT FEES</v>
          </cell>
          <cell r="C121">
            <v>6311000.0999999996</v>
          </cell>
          <cell r="D121">
            <v>41325.800000000003</v>
          </cell>
          <cell r="E121">
            <v>6352325.9000000004</v>
          </cell>
          <cell r="F121">
            <v>6352325.9000000004</v>
          </cell>
          <cell r="G121">
            <v>0</v>
          </cell>
          <cell r="H121">
            <v>6352325.9000000004</v>
          </cell>
        </row>
        <row r="122">
          <cell r="A122" t="str">
            <v>300-30-070</v>
          </cell>
          <cell r="B122" t="str">
            <v>FUND CUSTODIAL FEES</v>
          </cell>
          <cell r="C122">
            <v>192659.1</v>
          </cell>
          <cell r="D122">
            <v>970429.8</v>
          </cell>
          <cell r="E122">
            <v>1163088.8999999999</v>
          </cell>
          <cell r="F122">
            <v>1163088.8999999999</v>
          </cell>
          <cell r="G122">
            <v>0</v>
          </cell>
          <cell r="H122">
            <v>1163088.8999999999</v>
          </cell>
        </row>
        <row r="123">
          <cell r="A123" t="str">
            <v>300-30-075</v>
          </cell>
          <cell r="B123" t="str">
            <v>UNREALISED GAIN/LOSS BOND FUND</v>
          </cell>
          <cell r="C123">
            <v>0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</row>
        <row r="124">
          <cell r="A124" t="str">
            <v>300-30-076</v>
          </cell>
          <cell r="B124" t="str">
            <v>UNREALISED GAIN/LOSS MONEY MARKET FUND</v>
          </cell>
          <cell r="C124">
            <v>0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</row>
        <row r="125">
          <cell r="A125" t="str">
            <v>300-30-080</v>
          </cell>
          <cell r="B125" t="str">
            <v>ADVERTISING(UNIT PRICE)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</row>
        <row r="126">
          <cell r="A126" t="str">
            <v>300-85-010</v>
          </cell>
          <cell r="B126" t="str">
            <v>REALIZED GAINS ON SHARES</v>
          </cell>
          <cell r="C126">
            <v>0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</row>
        <row r="127">
          <cell r="A127" t="str">
            <v>300-85-015</v>
          </cell>
          <cell r="B127" t="str">
            <v>REALISED GAIN/LOSS ON SALE OF CP</v>
          </cell>
          <cell r="C127">
            <v>0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</row>
        <row r="128">
          <cell r="A128" t="str">
            <v>300-86-010</v>
          </cell>
          <cell r="B128" t="str">
            <v>REALISED GAIN/LOSS BONDS&amp;TBILLS</v>
          </cell>
          <cell r="C128">
            <v>0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</row>
        <row r="129">
          <cell r="A129" t="str">
            <v>300-95-010</v>
          </cell>
          <cell r="B129" t="str">
            <v>UNREALISED GAIN/LOSS ON EQUITIES</v>
          </cell>
          <cell r="C129">
            <v>0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</row>
        <row r="130">
          <cell r="A130" t="str">
            <v>300-99-100</v>
          </cell>
          <cell r="B130" t="str">
            <v>INVESTMENT INCOME AS PER FUND MANAGERS</v>
          </cell>
          <cell r="C130">
            <v>0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</row>
        <row r="131">
          <cell r="A131" t="str">
            <v>300-99-110</v>
          </cell>
          <cell r="B131" t="str">
            <v>INCOME ON BOND FUND</v>
          </cell>
          <cell r="C131">
            <v>-14696543</v>
          </cell>
          <cell r="D131">
            <v>-2549958</v>
          </cell>
          <cell r="E131">
            <v>-17246501</v>
          </cell>
          <cell r="F131">
            <v>-17246501</v>
          </cell>
          <cell r="G131">
            <v>0</v>
          </cell>
          <cell r="H131">
            <v>-17246501</v>
          </cell>
        </row>
        <row r="132">
          <cell r="A132" t="str">
            <v>300-99-120</v>
          </cell>
          <cell r="B132" t="str">
            <v>INCOME ON MONEY MARKET</v>
          </cell>
          <cell r="C132">
            <v>-4181367</v>
          </cell>
          <cell r="D132">
            <v>-276321</v>
          </cell>
          <cell r="E132">
            <v>-4457688</v>
          </cell>
          <cell r="F132">
            <v>-4457688</v>
          </cell>
          <cell r="G132">
            <v>0</v>
          </cell>
          <cell r="H132">
            <v>-4457688</v>
          </cell>
        </row>
        <row r="133">
          <cell r="A133" t="str">
            <v>300-99-130</v>
          </cell>
          <cell r="B133" t="str">
            <v>INCOME ON EQUITY FUND</v>
          </cell>
          <cell r="C133">
            <v>-16621059</v>
          </cell>
          <cell r="D133">
            <v>13740770</v>
          </cell>
          <cell r="E133">
            <v>-2880289</v>
          </cell>
          <cell r="F133">
            <v>-2880289</v>
          </cell>
          <cell r="G133">
            <v>0</v>
          </cell>
          <cell r="H133">
            <v>-2880289</v>
          </cell>
        </row>
        <row r="134">
          <cell r="A134" t="str">
            <v>300-99-140</v>
          </cell>
          <cell r="B134" t="str">
            <v>INCOME ON SPECULATIVE FUND</v>
          </cell>
          <cell r="C134">
            <v>-11083632</v>
          </cell>
          <cell r="D134">
            <v>-161499</v>
          </cell>
          <cell r="E134">
            <v>-11245131</v>
          </cell>
          <cell r="F134">
            <v>-11245131</v>
          </cell>
          <cell r="G134">
            <v>0</v>
          </cell>
          <cell r="H134">
            <v>-11245131</v>
          </cell>
        </row>
        <row r="135">
          <cell r="A135" t="str">
            <v>400-10-010</v>
          </cell>
          <cell r="B135" t="str">
            <v>BASIC SALARY</v>
          </cell>
          <cell r="C135">
            <v>79067637.989999995</v>
          </cell>
          <cell r="D135">
            <v>8523443.1500000004</v>
          </cell>
          <cell r="E135">
            <v>87591081.140000001</v>
          </cell>
          <cell r="F135">
            <v>87591081.140000001</v>
          </cell>
          <cell r="G135">
            <v>0</v>
          </cell>
          <cell r="H135">
            <v>87591081.140000001</v>
          </cell>
        </row>
        <row r="136">
          <cell r="A136" t="str">
            <v>400-10-012</v>
          </cell>
          <cell r="B136" t="str">
            <v>PROVISION FOR MORT.RATE</v>
          </cell>
          <cell r="C136">
            <v>0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</row>
        <row r="137">
          <cell r="A137" t="str">
            <v>400-10-020</v>
          </cell>
          <cell r="B137" t="str">
            <v>OTHER BENEFITS</v>
          </cell>
          <cell r="C137">
            <v>9595551.0500000007</v>
          </cell>
          <cell r="D137">
            <v>1187722.73</v>
          </cell>
          <cell r="E137">
            <v>10783273.779999999</v>
          </cell>
          <cell r="F137">
            <v>10783273.779999999</v>
          </cell>
          <cell r="G137">
            <v>0</v>
          </cell>
          <cell r="H137">
            <v>10783273.779999999</v>
          </cell>
        </row>
        <row r="138">
          <cell r="A138" t="str">
            <v>400-10-030</v>
          </cell>
          <cell r="B138" t="str">
            <v>TELEPHONE ALLOWANCE</v>
          </cell>
          <cell r="C138">
            <v>412167</v>
          </cell>
          <cell r="D138">
            <v>40333</v>
          </cell>
          <cell r="E138">
            <v>452500</v>
          </cell>
          <cell r="F138">
            <v>452500</v>
          </cell>
          <cell r="G138">
            <v>0</v>
          </cell>
          <cell r="H138">
            <v>452500</v>
          </cell>
        </row>
        <row r="139">
          <cell r="A139" t="str">
            <v>400-10-040</v>
          </cell>
          <cell r="B139" t="str">
            <v>SECURITY ALLOWANCE</v>
          </cell>
          <cell r="C139">
            <v>445000</v>
          </cell>
          <cell r="D139">
            <v>40000</v>
          </cell>
          <cell r="E139">
            <v>485000</v>
          </cell>
          <cell r="F139">
            <v>485000</v>
          </cell>
          <cell r="G139">
            <v>0</v>
          </cell>
          <cell r="H139">
            <v>485000</v>
          </cell>
        </row>
        <row r="140">
          <cell r="A140" t="str">
            <v>400-10-050</v>
          </cell>
          <cell r="B140" t="str">
            <v>EDUCATION ALLOWANCE</v>
          </cell>
          <cell r="C140">
            <v>206560</v>
          </cell>
          <cell r="D140">
            <v>17500</v>
          </cell>
          <cell r="E140">
            <v>224060</v>
          </cell>
          <cell r="F140">
            <v>224060</v>
          </cell>
          <cell r="G140">
            <v>0</v>
          </cell>
          <cell r="H140">
            <v>224060</v>
          </cell>
        </row>
        <row r="141">
          <cell r="A141" t="str">
            <v>400-10-060</v>
          </cell>
          <cell r="B141" t="str">
            <v>TRAVEL ALLOWANCE</v>
          </cell>
          <cell r="C141">
            <v>4287869</v>
          </cell>
          <cell r="D141">
            <v>2845354</v>
          </cell>
          <cell r="E141">
            <v>7133223</v>
          </cell>
          <cell r="F141">
            <v>7133223</v>
          </cell>
          <cell r="G141">
            <v>0</v>
          </cell>
          <cell r="H141">
            <v>7133223</v>
          </cell>
        </row>
        <row r="142">
          <cell r="A142" t="str">
            <v>400-10-065</v>
          </cell>
          <cell r="B142" t="str">
            <v>CLUB SUBSCRIPTION</v>
          </cell>
          <cell r="C142">
            <v>623750</v>
          </cell>
          <cell r="D142">
            <v>327000</v>
          </cell>
          <cell r="E142">
            <v>950750</v>
          </cell>
          <cell r="F142">
            <v>950750</v>
          </cell>
          <cell r="G142">
            <v>0</v>
          </cell>
          <cell r="H142">
            <v>950750</v>
          </cell>
        </row>
        <row r="143">
          <cell r="A143" t="str">
            <v>400-10-070</v>
          </cell>
          <cell r="B143" t="str">
            <v>PENSION</v>
          </cell>
          <cell r="C143">
            <v>9503012.5500000007</v>
          </cell>
          <cell r="D143">
            <v>1272886.5</v>
          </cell>
          <cell r="E143">
            <v>10775899.050000001</v>
          </cell>
          <cell r="F143">
            <v>10775899.050000001</v>
          </cell>
          <cell r="G143">
            <v>0</v>
          </cell>
          <cell r="H143">
            <v>10775899.050000001</v>
          </cell>
        </row>
        <row r="144">
          <cell r="A144" t="str">
            <v>400-10-075</v>
          </cell>
          <cell r="B144" t="str">
            <v>LONG SERVICE AWARDS</v>
          </cell>
          <cell r="C144">
            <v>46666.720000000001</v>
          </cell>
          <cell r="D144">
            <v>0</v>
          </cell>
          <cell r="E144">
            <v>46666.720000000001</v>
          </cell>
          <cell r="F144">
            <v>46666.720000000001</v>
          </cell>
          <cell r="G144">
            <v>0</v>
          </cell>
          <cell r="H144">
            <v>46666.720000000001</v>
          </cell>
        </row>
        <row r="145">
          <cell r="A145" t="str">
            <v>400-10-080</v>
          </cell>
          <cell r="B145" t="str">
            <v>LAST EXPENSE</v>
          </cell>
          <cell r="C145">
            <v>50625</v>
          </cell>
          <cell r="D145">
            <v>0</v>
          </cell>
          <cell r="E145">
            <v>50625</v>
          </cell>
          <cell r="F145">
            <v>50625</v>
          </cell>
          <cell r="G145">
            <v>0</v>
          </cell>
          <cell r="H145">
            <v>50625</v>
          </cell>
        </row>
        <row r="146">
          <cell r="A146" t="str">
            <v>400-10-085</v>
          </cell>
          <cell r="B146" t="str">
            <v>ACADEMIC ACHIEVEMENTS</v>
          </cell>
          <cell r="C146">
            <v>0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</row>
        <row r="147">
          <cell r="A147" t="str">
            <v>400-10-090</v>
          </cell>
          <cell r="B147" t="str">
            <v>GROUP LIFE ASSURANCE</v>
          </cell>
          <cell r="C147">
            <v>1478338.15</v>
          </cell>
          <cell r="D147">
            <v>184792.27</v>
          </cell>
          <cell r="E147">
            <v>1663130.42</v>
          </cell>
          <cell r="F147">
            <v>1663130.42</v>
          </cell>
          <cell r="G147">
            <v>0</v>
          </cell>
          <cell r="H147">
            <v>1663130.42</v>
          </cell>
        </row>
        <row r="148">
          <cell r="A148" t="str">
            <v>400-10-100</v>
          </cell>
          <cell r="B148" t="str">
            <v>STAFF MEDICAL</v>
          </cell>
          <cell r="C148">
            <v>5784984.5999999996</v>
          </cell>
          <cell r="D148">
            <v>622154</v>
          </cell>
          <cell r="E148">
            <v>6407138.5999999996</v>
          </cell>
          <cell r="F148">
            <v>6407138.5999999996</v>
          </cell>
          <cell r="G148">
            <v>0</v>
          </cell>
          <cell r="H148">
            <v>6407138.5999999996</v>
          </cell>
        </row>
        <row r="149">
          <cell r="A149" t="str">
            <v>400-10-110</v>
          </cell>
          <cell r="B149" t="str">
            <v>CASH IN LIUE OF LEAVE</v>
          </cell>
          <cell r="C149">
            <v>3902782.23</v>
          </cell>
          <cell r="D149">
            <v>0</v>
          </cell>
          <cell r="E149">
            <v>3902782.23</v>
          </cell>
          <cell r="F149">
            <v>3902782.23</v>
          </cell>
          <cell r="G149">
            <v>0</v>
          </cell>
          <cell r="H149">
            <v>3902782.23</v>
          </cell>
        </row>
        <row r="150">
          <cell r="A150" t="str">
            <v>400-10-120</v>
          </cell>
          <cell r="B150" t="str">
            <v>GRATUITY</v>
          </cell>
          <cell r="C150">
            <v>1961572.22</v>
          </cell>
          <cell r="D150">
            <v>0</v>
          </cell>
          <cell r="E150">
            <v>1961572.22</v>
          </cell>
          <cell r="F150">
            <v>1961572.22</v>
          </cell>
          <cell r="G150">
            <v>0</v>
          </cell>
          <cell r="H150">
            <v>1961572.22</v>
          </cell>
        </row>
        <row r="151">
          <cell r="A151" t="str">
            <v>400-10-130</v>
          </cell>
          <cell r="B151" t="str">
            <v>STAFF RECRUTMENT &amp; REMOVAL</v>
          </cell>
          <cell r="C151">
            <v>114280</v>
          </cell>
          <cell r="D151">
            <v>120000</v>
          </cell>
          <cell r="E151">
            <v>234280</v>
          </cell>
          <cell r="F151">
            <v>234280</v>
          </cell>
          <cell r="G151">
            <v>0</v>
          </cell>
          <cell r="H151">
            <v>234280</v>
          </cell>
        </row>
        <row r="152">
          <cell r="A152" t="str">
            <v>400-10-140</v>
          </cell>
          <cell r="B152" t="str">
            <v>TERMINAL DUES</v>
          </cell>
          <cell r="C152">
            <v>0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</row>
        <row r="153">
          <cell r="A153" t="str">
            <v>400-20-010</v>
          </cell>
          <cell r="B153" t="str">
            <v>N.S.S.F</v>
          </cell>
          <cell r="C153">
            <v>130200</v>
          </cell>
          <cell r="D153">
            <v>3950</v>
          </cell>
          <cell r="E153">
            <v>134150</v>
          </cell>
          <cell r="F153">
            <v>134150</v>
          </cell>
          <cell r="G153">
            <v>0</v>
          </cell>
          <cell r="H153">
            <v>134150</v>
          </cell>
        </row>
        <row r="154">
          <cell r="A154" t="str">
            <v>400-20-020</v>
          </cell>
          <cell r="B154" t="str">
            <v>N.H.I.F.</v>
          </cell>
          <cell r="C154">
            <v>124520</v>
          </cell>
          <cell r="D154">
            <v>0</v>
          </cell>
          <cell r="E154">
            <v>124520</v>
          </cell>
          <cell r="F154">
            <v>124520</v>
          </cell>
          <cell r="G154">
            <v>0</v>
          </cell>
          <cell r="H154">
            <v>124520</v>
          </cell>
        </row>
        <row r="155">
          <cell r="A155" t="str">
            <v>400-30-010</v>
          </cell>
          <cell r="B155" t="str">
            <v>DEPRECIATION-FURNITURE</v>
          </cell>
          <cell r="C155">
            <v>4759920.91</v>
          </cell>
          <cell r="D155">
            <v>635899.01</v>
          </cell>
          <cell r="E155">
            <v>5395819.9199999999</v>
          </cell>
          <cell r="F155">
            <v>5395819.9199999999</v>
          </cell>
          <cell r="G155">
            <v>0</v>
          </cell>
          <cell r="H155">
            <v>5395819.9199999999</v>
          </cell>
        </row>
        <row r="156">
          <cell r="A156" t="str">
            <v>400-30-020</v>
          </cell>
          <cell r="B156" t="str">
            <v>DEPRECIATION COMPUTER</v>
          </cell>
          <cell r="C156">
            <v>7664373.5599999996</v>
          </cell>
          <cell r="D156">
            <v>1123441.75</v>
          </cell>
          <cell r="E156">
            <v>8787815.3100000005</v>
          </cell>
          <cell r="F156">
            <v>8787815.3100000005</v>
          </cell>
          <cell r="G156">
            <v>0</v>
          </cell>
          <cell r="H156">
            <v>8787815.3100000005</v>
          </cell>
        </row>
        <row r="157">
          <cell r="A157" t="str">
            <v>400-30-030</v>
          </cell>
          <cell r="B157" t="str">
            <v>DEPRECIATION MOTOR VEHICLE</v>
          </cell>
          <cell r="C157">
            <v>1750583.3</v>
          </cell>
          <cell r="D157">
            <v>185281.25</v>
          </cell>
          <cell r="E157">
            <v>1935864.55</v>
          </cell>
          <cell r="F157">
            <v>1935864.55</v>
          </cell>
          <cell r="G157">
            <v>0</v>
          </cell>
          <cell r="H157">
            <v>1935864.55</v>
          </cell>
        </row>
        <row r="158">
          <cell r="A158" t="str">
            <v>400-30-035</v>
          </cell>
          <cell r="B158" t="str">
            <v>AMORTISATION CHARGE-INTANGIBLE ASSET</v>
          </cell>
          <cell r="C158">
            <v>1926558.8</v>
          </cell>
          <cell r="D158">
            <v>243928.05</v>
          </cell>
          <cell r="E158">
            <v>2170486.85</v>
          </cell>
          <cell r="F158">
            <v>2170486.85</v>
          </cell>
          <cell r="G158">
            <v>0</v>
          </cell>
          <cell r="H158">
            <v>2170486.85</v>
          </cell>
        </row>
        <row r="159">
          <cell r="A159" t="str">
            <v>400-30-040</v>
          </cell>
          <cell r="B159" t="str">
            <v>OFFICE RENT</v>
          </cell>
          <cell r="C159">
            <v>12511799.42</v>
          </cell>
          <cell r="D159">
            <v>1588840.04</v>
          </cell>
          <cell r="E159">
            <v>14100639.460000001</v>
          </cell>
          <cell r="F159">
            <v>14100639.460000001</v>
          </cell>
          <cell r="G159">
            <v>0</v>
          </cell>
          <cell r="H159">
            <v>14100639.460000001</v>
          </cell>
        </row>
        <row r="160">
          <cell r="A160" t="str">
            <v>400-30-050</v>
          </cell>
          <cell r="B160" t="str">
            <v>OFFICE CATERING</v>
          </cell>
          <cell r="C160">
            <v>3978288.36</v>
          </cell>
          <cell r="D160">
            <v>510189</v>
          </cell>
          <cell r="E160">
            <v>4488477.3600000003</v>
          </cell>
          <cell r="F160">
            <v>4488477.3600000003</v>
          </cell>
          <cell r="G160">
            <v>0</v>
          </cell>
          <cell r="H160">
            <v>4488477.3600000003</v>
          </cell>
        </row>
        <row r="161">
          <cell r="A161" t="str">
            <v>400-30-060</v>
          </cell>
          <cell r="B161" t="str">
            <v>OFFICE WATER</v>
          </cell>
          <cell r="C161">
            <v>94399</v>
          </cell>
          <cell r="D161">
            <v>8810</v>
          </cell>
          <cell r="E161">
            <v>103209</v>
          </cell>
          <cell r="F161">
            <v>103209</v>
          </cell>
          <cell r="G161">
            <v>0</v>
          </cell>
          <cell r="H161">
            <v>103209</v>
          </cell>
        </row>
        <row r="162">
          <cell r="A162" t="str">
            <v>400-30-070</v>
          </cell>
          <cell r="B162" t="str">
            <v>OFFICE ELECTRICITY</v>
          </cell>
          <cell r="C162">
            <v>358589.69</v>
          </cell>
          <cell r="D162">
            <v>31657</v>
          </cell>
          <cell r="E162">
            <v>390246.69</v>
          </cell>
          <cell r="F162">
            <v>390246.69</v>
          </cell>
          <cell r="G162">
            <v>0</v>
          </cell>
          <cell r="H162">
            <v>390246.69</v>
          </cell>
        </row>
        <row r="163">
          <cell r="A163" t="str">
            <v>400-30-080</v>
          </cell>
          <cell r="B163" t="str">
            <v>OFFICE SECURITY</v>
          </cell>
          <cell r="C163">
            <v>0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</row>
        <row r="164">
          <cell r="A164" t="str">
            <v>400-40-005</v>
          </cell>
          <cell r="B164" t="str">
            <v>BANK CHARGES</v>
          </cell>
          <cell r="C164">
            <v>1302168.96</v>
          </cell>
          <cell r="D164">
            <v>58212.5</v>
          </cell>
          <cell r="E164">
            <v>1360381.46</v>
          </cell>
          <cell r="F164">
            <v>1360381.46</v>
          </cell>
          <cell r="G164">
            <v>0</v>
          </cell>
          <cell r="H164">
            <v>1360381.46</v>
          </cell>
        </row>
        <row r="165">
          <cell r="A165" t="str">
            <v>400-40-006</v>
          </cell>
          <cell r="B165" t="str">
            <v>DONATIONS</v>
          </cell>
          <cell r="C165">
            <v>124000</v>
          </cell>
          <cell r="D165">
            <v>2500</v>
          </cell>
          <cell r="E165">
            <v>126500</v>
          </cell>
          <cell r="F165">
            <v>126500</v>
          </cell>
          <cell r="G165">
            <v>0</v>
          </cell>
          <cell r="H165">
            <v>126500</v>
          </cell>
        </row>
        <row r="166">
          <cell r="A166" t="str">
            <v>400-40-007</v>
          </cell>
          <cell r="B166" t="str">
            <v>NEWSPAPERS &amp; JOURNALS</v>
          </cell>
          <cell r="C166">
            <v>298640</v>
          </cell>
          <cell r="D166">
            <v>41658</v>
          </cell>
          <cell r="E166">
            <v>340298</v>
          </cell>
          <cell r="F166">
            <v>340298</v>
          </cell>
          <cell r="G166">
            <v>0</v>
          </cell>
          <cell r="H166">
            <v>340298</v>
          </cell>
        </row>
        <row r="167">
          <cell r="A167" t="str">
            <v>400-40-008</v>
          </cell>
          <cell r="B167" t="str">
            <v>ENTERTAINMENT</v>
          </cell>
          <cell r="C167">
            <v>1919033.9</v>
          </cell>
          <cell r="D167">
            <v>130544</v>
          </cell>
          <cell r="E167">
            <v>2049577.9</v>
          </cell>
          <cell r="F167">
            <v>2049577.9</v>
          </cell>
          <cell r="G167">
            <v>0</v>
          </cell>
          <cell r="H167">
            <v>2049577.9</v>
          </cell>
        </row>
        <row r="168">
          <cell r="A168" t="str">
            <v>400-40-009</v>
          </cell>
          <cell r="B168" t="str">
            <v>COURIER &amp; FREIGHT CHARGES</v>
          </cell>
          <cell r="C168">
            <v>1411806.18</v>
          </cell>
          <cell r="D168">
            <v>156901.84</v>
          </cell>
          <cell r="E168">
            <v>1568708.02</v>
          </cell>
          <cell r="F168">
            <v>1568708.02</v>
          </cell>
          <cell r="G168">
            <v>0</v>
          </cell>
          <cell r="H168">
            <v>1568708.02</v>
          </cell>
        </row>
        <row r="169">
          <cell r="A169" t="str">
            <v>400-40-010</v>
          </cell>
          <cell r="B169" t="str">
            <v>ALA GROUP CHARGES</v>
          </cell>
          <cell r="C169">
            <v>7410887.3600000003</v>
          </cell>
          <cell r="D169">
            <v>911999.67</v>
          </cell>
          <cell r="E169">
            <v>8322887.0300000003</v>
          </cell>
          <cell r="F169">
            <v>8322887.0300000003</v>
          </cell>
          <cell r="G169">
            <v>0</v>
          </cell>
          <cell r="H169">
            <v>8322887.0300000003</v>
          </cell>
        </row>
        <row r="170">
          <cell r="A170" t="str">
            <v>400-40-011</v>
          </cell>
          <cell r="B170" t="str">
            <v>ADVERTISING &amp; PUBLICITY</v>
          </cell>
          <cell r="C170">
            <v>6416107.25</v>
          </cell>
          <cell r="D170">
            <v>488435</v>
          </cell>
          <cell r="E170">
            <v>6904542.25</v>
          </cell>
          <cell r="F170">
            <v>6904542.25</v>
          </cell>
          <cell r="G170">
            <v>0</v>
          </cell>
          <cell r="H170">
            <v>6904542.25</v>
          </cell>
        </row>
        <row r="171">
          <cell r="A171" t="str">
            <v>400-40-012</v>
          </cell>
          <cell r="B171" t="str">
            <v>TRADE LICENCES</v>
          </cell>
          <cell r="C171">
            <v>471280</v>
          </cell>
          <cell r="D171">
            <v>0</v>
          </cell>
          <cell r="E171">
            <v>471280</v>
          </cell>
          <cell r="F171">
            <v>471280</v>
          </cell>
          <cell r="G171">
            <v>0</v>
          </cell>
          <cell r="H171">
            <v>471280</v>
          </cell>
        </row>
        <row r="172">
          <cell r="A172" t="str">
            <v>400-40-013</v>
          </cell>
          <cell r="B172" t="str">
            <v>INSURANCES</v>
          </cell>
          <cell r="C172">
            <v>1685961.67</v>
          </cell>
          <cell r="D172">
            <v>184353.13</v>
          </cell>
          <cell r="E172">
            <v>1870314.8</v>
          </cell>
          <cell r="F172">
            <v>1870314.8</v>
          </cell>
          <cell r="G172">
            <v>0</v>
          </cell>
          <cell r="H172">
            <v>1870314.8</v>
          </cell>
        </row>
        <row r="173">
          <cell r="A173" t="str">
            <v>400-40-014</v>
          </cell>
          <cell r="B173" t="str">
            <v>PHOTOCOPY</v>
          </cell>
          <cell r="C173">
            <v>0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</row>
        <row r="174">
          <cell r="A174" t="str">
            <v>400-40-015</v>
          </cell>
          <cell r="B174" t="str">
            <v>COMPUTER MAINTENANCE</v>
          </cell>
          <cell r="C174">
            <v>363586</v>
          </cell>
          <cell r="D174">
            <v>344556.75</v>
          </cell>
          <cell r="E174">
            <v>708142.75</v>
          </cell>
          <cell r="F174">
            <v>708142.75</v>
          </cell>
          <cell r="G174">
            <v>0</v>
          </cell>
          <cell r="H174">
            <v>708142.75</v>
          </cell>
        </row>
        <row r="175">
          <cell r="A175" t="str">
            <v>400-40-016</v>
          </cell>
          <cell r="B175" t="str">
            <v>EQUIPMENT MAINTENANCE</v>
          </cell>
          <cell r="C175">
            <v>1797605.38</v>
          </cell>
          <cell r="D175">
            <v>249542.28</v>
          </cell>
          <cell r="E175">
            <v>2047147.66</v>
          </cell>
          <cell r="F175">
            <v>2047147.66</v>
          </cell>
          <cell r="G175">
            <v>0</v>
          </cell>
          <cell r="H175">
            <v>2047147.66</v>
          </cell>
        </row>
        <row r="176">
          <cell r="A176" t="str">
            <v>400-40-017</v>
          </cell>
          <cell r="B176" t="str">
            <v>SEMINARS &amp; SHORT TERM COURSES</v>
          </cell>
          <cell r="C176">
            <v>4628886.6500000004</v>
          </cell>
          <cell r="D176">
            <v>327920</v>
          </cell>
          <cell r="E176">
            <v>4956806.6500000004</v>
          </cell>
          <cell r="F176">
            <v>4956806.6500000004</v>
          </cell>
          <cell r="G176">
            <v>0</v>
          </cell>
          <cell r="H176">
            <v>4956806.6500000004</v>
          </cell>
        </row>
        <row r="177">
          <cell r="A177" t="str">
            <v>400-40-018</v>
          </cell>
          <cell r="B177" t="str">
            <v>SALES PROMOTION</v>
          </cell>
          <cell r="C177">
            <v>657914</v>
          </cell>
          <cell r="D177">
            <v>83333</v>
          </cell>
          <cell r="E177">
            <v>741247</v>
          </cell>
          <cell r="F177">
            <v>741247</v>
          </cell>
          <cell r="G177">
            <v>0</v>
          </cell>
          <cell r="H177">
            <v>741247</v>
          </cell>
        </row>
        <row r="178">
          <cell r="A178" t="str">
            <v>400-40-019</v>
          </cell>
          <cell r="B178" t="str">
            <v>COMPUTER CONSUMABLES</v>
          </cell>
          <cell r="C178">
            <v>0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</row>
        <row r="179">
          <cell r="A179" t="str">
            <v>400-40-020</v>
          </cell>
          <cell r="B179" t="str">
            <v>ACTURIAL FEES</v>
          </cell>
          <cell r="C179">
            <v>3093333.36</v>
          </cell>
          <cell r="D179">
            <v>386666.67</v>
          </cell>
          <cell r="E179">
            <v>3480000.03</v>
          </cell>
          <cell r="F179">
            <v>3480000.03</v>
          </cell>
          <cell r="G179">
            <v>0</v>
          </cell>
          <cell r="H179">
            <v>3480000.03</v>
          </cell>
        </row>
        <row r="180">
          <cell r="A180" t="str">
            <v>400-40-021</v>
          </cell>
          <cell r="B180" t="str">
            <v>PRINTING &amp; STATIONERY</v>
          </cell>
          <cell r="C180">
            <v>10338847.109999999</v>
          </cell>
          <cell r="D180">
            <v>988332.2</v>
          </cell>
          <cell r="E180">
            <v>11327179.310000001</v>
          </cell>
          <cell r="F180">
            <v>11327179.310000001</v>
          </cell>
          <cell r="G180">
            <v>0</v>
          </cell>
          <cell r="H180">
            <v>11327179.310000001</v>
          </cell>
        </row>
        <row r="181">
          <cell r="A181" t="str">
            <v>400-40-022</v>
          </cell>
          <cell r="B181" t="str">
            <v>STRATEGIC PLANNING</v>
          </cell>
          <cell r="C181">
            <v>742688</v>
          </cell>
          <cell r="D181">
            <v>0</v>
          </cell>
          <cell r="E181">
            <v>742688</v>
          </cell>
          <cell r="F181">
            <v>742688</v>
          </cell>
          <cell r="G181">
            <v>0</v>
          </cell>
          <cell r="H181">
            <v>742688</v>
          </cell>
        </row>
        <row r="182">
          <cell r="A182" t="str">
            <v>400-40-023</v>
          </cell>
          <cell r="B182" t="str">
            <v>PROFESSIONAL SUBSCRIPTION</v>
          </cell>
          <cell r="C182">
            <v>627929</v>
          </cell>
          <cell r="D182">
            <v>212367</v>
          </cell>
          <cell r="E182">
            <v>840296</v>
          </cell>
          <cell r="F182">
            <v>840296</v>
          </cell>
          <cell r="G182">
            <v>0</v>
          </cell>
          <cell r="H182">
            <v>840296</v>
          </cell>
        </row>
        <row r="183">
          <cell r="A183" t="str">
            <v>400-40-024</v>
          </cell>
          <cell r="B183" t="str">
            <v>SUBSCRIPTION-COMPANY</v>
          </cell>
          <cell r="C183">
            <v>637539.46</v>
          </cell>
          <cell r="D183">
            <v>576617.21</v>
          </cell>
          <cell r="E183">
            <v>1214156.67</v>
          </cell>
          <cell r="F183">
            <v>1214156.67</v>
          </cell>
          <cell r="G183">
            <v>0</v>
          </cell>
          <cell r="H183">
            <v>1214156.67</v>
          </cell>
        </row>
        <row r="184">
          <cell r="A184" t="str">
            <v>400-40-025</v>
          </cell>
          <cell r="B184" t="str">
            <v>TRAVEL &amp; ACCOMODATION</v>
          </cell>
          <cell r="C184">
            <v>5067056.25</v>
          </cell>
          <cell r="D184">
            <v>485844.6</v>
          </cell>
          <cell r="E184">
            <v>5552900.8499999996</v>
          </cell>
          <cell r="F184">
            <v>5552900.8499999996</v>
          </cell>
          <cell r="G184">
            <v>0</v>
          </cell>
          <cell r="H184">
            <v>5552900.8499999996</v>
          </cell>
        </row>
        <row r="185">
          <cell r="A185" t="str">
            <v>400-40-026</v>
          </cell>
          <cell r="B185" t="str">
            <v>MOTOR VEHICLE EXPENSES</v>
          </cell>
          <cell r="C185">
            <v>923548.58</v>
          </cell>
          <cell r="D185">
            <v>100066.69</v>
          </cell>
          <cell r="E185">
            <v>1023615.27</v>
          </cell>
          <cell r="F185">
            <v>1023615.27</v>
          </cell>
          <cell r="G185">
            <v>0</v>
          </cell>
          <cell r="H185">
            <v>1023615.27</v>
          </cell>
        </row>
        <row r="186">
          <cell r="A186" t="str">
            <v>400-40-027</v>
          </cell>
          <cell r="B186" t="str">
            <v>POSTAGE</v>
          </cell>
          <cell r="C186">
            <v>6471000</v>
          </cell>
          <cell r="D186">
            <v>1329752</v>
          </cell>
          <cell r="E186">
            <v>7800752</v>
          </cell>
          <cell r="F186">
            <v>7800752</v>
          </cell>
          <cell r="G186">
            <v>0</v>
          </cell>
          <cell r="H186">
            <v>7800752</v>
          </cell>
        </row>
        <row r="187">
          <cell r="A187" t="str">
            <v>400-40-028</v>
          </cell>
          <cell r="B187" t="str">
            <v>TELEPHONE &amp; FAX</v>
          </cell>
          <cell r="C187">
            <v>4087500.17</v>
          </cell>
          <cell r="D187">
            <v>956566.62</v>
          </cell>
          <cell r="E187">
            <v>5044066.79</v>
          </cell>
          <cell r="F187">
            <v>5044066.79</v>
          </cell>
          <cell r="G187">
            <v>0</v>
          </cell>
          <cell r="H187">
            <v>5044066.79</v>
          </cell>
        </row>
        <row r="188">
          <cell r="A188" t="str">
            <v>400-40-029</v>
          </cell>
          <cell r="B188" t="str">
            <v>PROFESSIONAL TRAINING</v>
          </cell>
          <cell r="C188">
            <v>1426590.33</v>
          </cell>
          <cell r="D188">
            <v>265175</v>
          </cell>
          <cell r="E188">
            <v>1691765.33</v>
          </cell>
          <cell r="F188">
            <v>1691765.33</v>
          </cell>
          <cell r="G188">
            <v>0</v>
          </cell>
          <cell r="H188">
            <v>1691765.33</v>
          </cell>
        </row>
        <row r="189">
          <cell r="A189" t="str">
            <v>400-40-030</v>
          </cell>
          <cell r="B189" t="str">
            <v>AUDIT FEES</v>
          </cell>
          <cell r="C189">
            <v>1339800</v>
          </cell>
          <cell r="D189">
            <v>167475</v>
          </cell>
          <cell r="E189">
            <v>1507275</v>
          </cell>
          <cell r="F189">
            <v>1507275</v>
          </cell>
          <cell r="G189">
            <v>0</v>
          </cell>
          <cell r="H189">
            <v>1507275</v>
          </cell>
        </row>
        <row r="190">
          <cell r="A190" t="str">
            <v>400-40-031</v>
          </cell>
          <cell r="B190" t="str">
            <v>STAFF SOCIAL CLUB</v>
          </cell>
          <cell r="C190">
            <v>0</v>
          </cell>
          <cell r="D190">
            <v>0</v>
          </cell>
          <cell r="E190">
            <v>0</v>
          </cell>
          <cell r="F190">
            <v>0</v>
          </cell>
          <cell r="G190">
            <v>0</v>
          </cell>
          <cell r="H190">
            <v>0</v>
          </cell>
        </row>
        <row r="191">
          <cell r="A191" t="str">
            <v>400-40-032</v>
          </cell>
          <cell r="B191" t="str">
            <v>LEASED LINES-INTERNET SERVICES</v>
          </cell>
          <cell r="C191">
            <v>5434674.5599999996</v>
          </cell>
          <cell r="D191">
            <v>571152.25</v>
          </cell>
          <cell r="E191">
            <v>6005826.8099999996</v>
          </cell>
          <cell r="F191">
            <v>6005826.8099999996</v>
          </cell>
          <cell r="G191">
            <v>0</v>
          </cell>
          <cell r="H191">
            <v>6005826.8099999996</v>
          </cell>
        </row>
        <row r="192">
          <cell r="A192" t="str">
            <v>400-40-033</v>
          </cell>
          <cell r="B192" t="str">
            <v>SOFTWARE LICENCES</v>
          </cell>
          <cell r="C192">
            <v>4606299.7699999996</v>
          </cell>
          <cell r="D192">
            <v>285999.84000000003</v>
          </cell>
          <cell r="E192">
            <v>4892299.6100000003</v>
          </cell>
          <cell r="F192">
            <v>4892299.6100000003</v>
          </cell>
          <cell r="G192">
            <v>0</v>
          </cell>
          <cell r="H192">
            <v>4892299.6100000003</v>
          </cell>
        </row>
        <row r="193">
          <cell r="A193" t="str">
            <v>400-40-034</v>
          </cell>
          <cell r="B193" t="str">
            <v>DEPRECIATION OF BUILDING</v>
          </cell>
          <cell r="C193">
            <v>0</v>
          </cell>
          <cell r="D193">
            <v>0</v>
          </cell>
          <cell r="E193">
            <v>0</v>
          </cell>
          <cell r="F193">
            <v>0</v>
          </cell>
          <cell r="G193">
            <v>0</v>
          </cell>
          <cell r="H193">
            <v>0</v>
          </cell>
        </row>
        <row r="194">
          <cell r="A194" t="str">
            <v>400-40-035</v>
          </cell>
          <cell r="B194" t="str">
            <v>EDUCATION EXPENSES</v>
          </cell>
          <cell r="C194">
            <v>3018364.36</v>
          </cell>
          <cell r="D194">
            <v>340891.92</v>
          </cell>
          <cell r="E194">
            <v>3359256.28</v>
          </cell>
          <cell r="F194">
            <v>3359256.28</v>
          </cell>
          <cell r="G194">
            <v>0</v>
          </cell>
          <cell r="H194">
            <v>3359256.28</v>
          </cell>
        </row>
        <row r="195">
          <cell r="A195" t="str">
            <v>400-40-036</v>
          </cell>
          <cell r="B195" t="str">
            <v>TRAVEL AND ACCOMODATION - ALA</v>
          </cell>
          <cell r="C195">
            <v>448402.3</v>
          </cell>
          <cell r="D195">
            <v>0</v>
          </cell>
          <cell r="E195">
            <v>448402.3</v>
          </cell>
          <cell r="F195">
            <v>448402.3</v>
          </cell>
          <cell r="G195">
            <v>0</v>
          </cell>
          <cell r="H195">
            <v>448402.3</v>
          </cell>
        </row>
        <row r="196">
          <cell r="A196" t="str">
            <v>400-40-040</v>
          </cell>
          <cell r="B196" t="str">
            <v>LEGAL FEES</v>
          </cell>
          <cell r="C196">
            <v>6149595.8700000001</v>
          </cell>
          <cell r="D196">
            <v>1078467</v>
          </cell>
          <cell r="E196">
            <v>7228062.8700000001</v>
          </cell>
          <cell r="F196">
            <v>7228062.8700000001</v>
          </cell>
          <cell r="G196">
            <v>0</v>
          </cell>
          <cell r="H196">
            <v>7228062.8700000001</v>
          </cell>
        </row>
        <row r="197">
          <cell r="A197" t="str">
            <v>400-40-050</v>
          </cell>
          <cell r="B197" t="str">
            <v>TAX CONSULTATION FEES</v>
          </cell>
          <cell r="C197">
            <v>166666.64000000001</v>
          </cell>
          <cell r="D197">
            <v>20833.330000000002</v>
          </cell>
          <cell r="E197">
            <v>187499.97</v>
          </cell>
          <cell r="F197">
            <v>187499.97</v>
          </cell>
          <cell r="G197">
            <v>0</v>
          </cell>
          <cell r="H197">
            <v>187499.97</v>
          </cell>
        </row>
        <row r="198">
          <cell r="A198" t="str">
            <v>400-40-060</v>
          </cell>
          <cell r="B198" t="str">
            <v>INTRA-COMPANY -INDIVIDUAL</v>
          </cell>
          <cell r="C198">
            <v>869838.46</v>
          </cell>
          <cell r="D198">
            <v>108729.81</v>
          </cell>
          <cell r="E198">
            <v>978568.27</v>
          </cell>
          <cell r="F198">
            <v>978568.27</v>
          </cell>
          <cell r="G198">
            <v>0</v>
          </cell>
          <cell r="H198">
            <v>978568.27</v>
          </cell>
        </row>
        <row r="199">
          <cell r="A199" t="str">
            <v>400-40-065</v>
          </cell>
          <cell r="B199" t="str">
            <v>RECHARGE FROM IT</v>
          </cell>
          <cell r="C199">
            <v>0</v>
          </cell>
          <cell r="D199">
            <v>0</v>
          </cell>
          <cell r="E199">
            <v>0</v>
          </cell>
          <cell r="F199">
            <v>0</v>
          </cell>
          <cell r="G199">
            <v>0</v>
          </cell>
          <cell r="H199">
            <v>0</v>
          </cell>
        </row>
        <row r="200">
          <cell r="A200" t="str">
            <v>400-40-070</v>
          </cell>
          <cell r="B200" t="str">
            <v>RECHARGE TO CORPORATE BUSINESS</v>
          </cell>
          <cell r="C200">
            <v>-19244412.539999999</v>
          </cell>
          <cell r="D200">
            <v>-2455864.73</v>
          </cell>
          <cell r="E200">
            <v>-21700277.27</v>
          </cell>
          <cell r="F200">
            <v>-21700277.27</v>
          </cell>
          <cell r="G200">
            <v>0</v>
          </cell>
          <cell r="H200">
            <v>-21700277.27</v>
          </cell>
        </row>
        <row r="201">
          <cell r="A201" t="str">
            <v>400-40-075</v>
          </cell>
          <cell r="B201" t="str">
            <v>RECHARGE FROM HR</v>
          </cell>
          <cell r="C201">
            <v>0</v>
          </cell>
          <cell r="D201">
            <v>0</v>
          </cell>
          <cell r="E201">
            <v>0</v>
          </cell>
          <cell r="F201">
            <v>0</v>
          </cell>
          <cell r="G201">
            <v>0</v>
          </cell>
          <cell r="H201">
            <v>0</v>
          </cell>
        </row>
        <row r="202">
          <cell r="A202" t="str">
            <v>400-40-080</v>
          </cell>
          <cell r="B202" t="str">
            <v>EXECUTIVE RECHARGE TO HR &amp; CORPORATE</v>
          </cell>
          <cell r="C202">
            <v>0</v>
          </cell>
          <cell r="D202">
            <v>0</v>
          </cell>
          <cell r="E202">
            <v>0</v>
          </cell>
          <cell r="F202">
            <v>0</v>
          </cell>
          <cell r="G202">
            <v>0</v>
          </cell>
          <cell r="H202">
            <v>0</v>
          </cell>
        </row>
        <row r="203">
          <cell r="A203" t="str">
            <v>400-40-090</v>
          </cell>
          <cell r="B203" t="str">
            <v>RECHARGE FOR HOLDINGS</v>
          </cell>
          <cell r="C203">
            <v>-14226088.99</v>
          </cell>
          <cell r="D203">
            <v>-1811165.06</v>
          </cell>
          <cell r="E203">
            <v>-16037254.050000001</v>
          </cell>
          <cell r="F203">
            <v>-16037254.050000001</v>
          </cell>
          <cell r="G203">
            <v>0</v>
          </cell>
          <cell r="H203">
            <v>-16037254.050000001</v>
          </cell>
        </row>
        <row r="204">
          <cell r="A204" t="str">
            <v>400-40-095</v>
          </cell>
          <cell r="B204" t="str">
            <v>RECHARGE TO SIM</v>
          </cell>
          <cell r="C204">
            <v>0</v>
          </cell>
          <cell r="D204">
            <v>0</v>
          </cell>
          <cell r="E204">
            <v>0</v>
          </cell>
          <cell r="F204">
            <v>0</v>
          </cell>
          <cell r="G204">
            <v>0</v>
          </cell>
          <cell r="H204">
            <v>0</v>
          </cell>
        </row>
        <row r="205">
          <cell r="A205" t="str">
            <v>400-40-100</v>
          </cell>
          <cell r="B205" t="str">
            <v>PROFESSIONAL FEES</v>
          </cell>
          <cell r="C205">
            <v>337891.76</v>
          </cell>
          <cell r="D205">
            <v>0</v>
          </cell>
          <cell r="E205">
            <v>337891.76</v>
          </cell>
          <cell r="F205">
            <v>337891.76</v>
          </cell>
          <cell r="G205">
            <v>0</v>
          </cell>
          <cell r="H205">
            <v>337891.76</v>
          </cell>
        </row>
        <row r="206">
          <cell r="A206" t="str">
            <v>400-40-110</v>
          </cell>
          <cell r="B206" t="str">
            <v>RECHARGE TO PA SECURITIES</v>
          </cell>
          <cell r="C206">
            <v>0</v>
          </cell>
          <cell r="D206">
            <v>0</v>
          </cell>
          <cell r="E206">
            <v>0</v>
          </cell>
          <cell r="F206">
            <v>0</v>
          </cell>
          <cell r="G206">
            <v>0</v>
          </cell>
          <cell r="H206">
            <v>0</v>
          </cell>
        </row>
        <row r="207">
          <cell r="A207" t="str">
            <v>400-40-115</v>
          </cell>
          <cell r="B207" t="str">
            <v>RECHARGE FROM LIFE OPS</v>
          </cell>
          <cell r="C207">
            <v>0</v>
          </cell>
          <cell r="D207">
            <v>0</v>
          </cell>
          <cell r="E207">
            <v>0</v>
          </cell>
          <cell r="F207">
            <v>0</v>
          </cell>
          <cell r="G207">
            <v>0</v>
          </cell>
          <cell r="H207">
            <v>0</v>
          </cell>
        </row>
        <row r="208">
          <cell r="A208" t="str">
            <v>400-40-120</v>
          </cell>
          <cell r="B208" t="str">
            <v>OUTSOURCING OF STAFF PAYROLL</v>
          </cell>
          <cell r="C208">
            <v>232000</v>
          </cell>
          <cell r="D208">
            <v>0</v>
          </cell>
          <cell r="E208">
            <v>232000</v>
          </cell>
          <cell r="F208">
            <v>232000</v>
          </cell>
          <cell r="G208">
            <v>0</v>
          </cell>
          <cell r="H208">
            <v>232000</v>
          </cell>
        </row>
        <row r="209">
          <cell r="A209" t="str">
            <v>400-40-125</v>
          </cell>
          <cell r="B209" t="str">
            <v>RECHARGE TO ALA</v>
          </cell>
          <cell r="C209">
            <v>0</v>
          </cell>
          <cell r="D209">
            <v>0</v>
          </cell>
          <cell r="E209">
            <v>0</v>
          </cell>
          <cell r="F209">
            <v>0</v>
          </cell>
          <cell r="G209">
            <v>0</v>
          </cell>
          <cell r="H209">
            <v>0</v>
          </cell>
        </row>
        <row r="210">
          <cell r="A210" t="str">
            <v>400-40-130</v>
          </cell>
          <cell r="B210" t="str">
            <v>PRODUCT DEVELOPMENT COST</v>
          </cell>
          <cell r="C210">
            <v>40000</v>
          </cell>
          <cell r="D210">
            <v>5000</v>
          </cell>
          <cell r="E210">
            <v>45000</v>
          </cell>
          <cell r="F210">
            <v>45000</v>
          </cell>
          <cell r="G210">
            <v>0</v>
          </cell>
          <cell r="H210">
            <v>45000</v>
          </cell>
        </row>
        <row r="211">
          <cell r="A211" t="str">
            <v>400-40-135</v>
          </cell>
          <cell r="B211" t="str">
            <v>DIRECTORS FEES</v>
          </cell>
          <cell r="C211">
            <v>1631132.67</v>
          </cell>
          <cell r="D211">
            <v>203892</v>
          </cell>
          <cell r="E211">
            <v>1835024.67</v>
          </cell>
          <cell r="F211">
            <v>1835024.67</v>
          </cell>
          <cell r="G211">
            <v>0</v>
          </cell>
          <cell r="H211">
            <v>1835024.67</v>
          </cell>
        </row>
        <row r="212">
          <cell r="A212" t="str">
            <v>400-40-140</v>
          </cell>
          <cell r="B212" t="str">
            <v>PRIOR YEAR ITEM</v>
          </cell>
          <cell r="C212">
            <v>377725</v>
          </cell>
          <cell r="D212">
            <v>0</v>
          </cell>
          <cell r="E212">
            <v>377725</v>
          </cell>
          <cell r="F212">
            <v>377725</v>
          </cell>
          <cell r="G212">
            <v>0</v>
          </cell>
          <cell r="H212">
            <v>377725</v>
          </cell>
        </row>
        <row r="213">
          <cell r="A213" t="str">
            <v>400-40-145</v>
          </cell>
          <cell r="B213" t="str">
            <v>REDUNDANCY LINK TO ISP</v>
          </cell>
          <cell r="C213">
            <v>0</v>
          </cell>
          <cell r="D213">
            <v>0</v>
          </cell>
          <cell r="E213">
            <v>0</v>
          </cell>
          <cell r="F213">
            <v>0</v>
          </cell>
          <cell r="G213">
            <v>0</v>
          </cell>
          <cell r="H213">
            <v>0</v>
          </cell>
        </row>
        <row r="214">
          <cell r="A214" t="str">
            <v>400-40-150</v>
          </cell>
          <cell r="B214" t="str">
            <v>BACKUP FOR DOC'MGT SERVER</v>
          </cell>
          <cell r="C214">
            <v>0</v>
          </cell>
          <cell r="D214">
            <v>0</v>
          </cell>
          <cell r="E214">
            <v>0</v>
          </cell>
          <cell r="F214">
            <v>0</v>
          </cell>
          <cell r="G214">
            <v>0</v>
          </cell>
          <cell r="H214">
            <v>0</v>
          </cell>
        </row>
        <row r="215">
          <cell r="A215" t="str">
            <v>400-40-155</v>
          </cell>
          <cell r="B215" t="str">
            <v>SAVINGS (IST STAFF)</v>
          </cell>
          <cell r="C215">
            <v>0</v>
          </cell>
          <cell r="D215">
            <v>0</v>
          </cell>
          <cell r="E215">
            <v>0</v>
          </cell>
          <cell r="F215">
            <v>0</v>
          </cell>
          <cell r="G215">
            <v>0</v>
          </cell>
          <cell r="H215">
            <v>0</v>
          </cell>
        </row>
        <row r="216">
          <cell r="A216" t="str">
            <v>400-40-165</v>
          </cell>
          <cell r="B216" t="str">
            <v>GROUP LIFE FEE PER CONTRACT</v>
          </cell>
          <cell r="C216">
            <v>0</v>
          </cell>
          <cell r="D216">
            <v>0</v>
          </cell>
          <cell r="E216">
            <v>0</v>
          </cell>
          <cell r="F216">
            <v>0</v>
          </cell>
          <cell r="G216">
            <v>0</v>
          </cell>
          <cell r="H216">
            <v>0</v>
          </cell>
        </row>
        <row r="217">
          <cell r="A217" t="str">
            <v>400-40-170</v>
          </cell>
          <cell r="B217" t="str">
            <v>GROUP CREDIT LIFE FEE PER CONTRACT</v>
          </cell>
          <cell r="C217">
            <v>0</v>
          </cell>
          <cell r="D217">
            <v>0</v>
          </cell>
          <cell r="E217">
            <v>0</v>
          </cell>
          <cell r="F217">
            <v>0</v>
          </cell>
          <cell r="G217">
            <v>0</v>
          </cell>
          <cell r="H217">
            <v>0</v>
          </cell>
        </row>
        <row r="218">
          <cell r="A218" t="str">
            <v>400-40-175</v>
          </cell>
          <cell r="B218" t="str">
            <v>ORACLE LICENCE</v>
          </cell>
          <cell r="C218">
            <v>0</v>
          </cell>
          <cell r="D218">
            <v>0</v>
          </cell>
          <cell r="E218">
            <v>0</v>
          </cell>
          <cell r="F218">
            <v>0</v>
          </cell>
          <cell r="G218">
            <v>0</v>
          </cell>
          <cell r="H218">
            <v>0</v>
          </cell>
        </row>
        <row r="219">
          <cell r="A219" t="str">
            <v>400-40-180</v>
          </cell>
          <cell r="B219" t="str">
            <v>IST PROJECT COSTS</v>
          </cell>
          <cell r="C219">
            <v>0</v>
          </cell>
          <cell r="D219">
            <v>0</v>
          </cell>
          <cell r="E219">
            <v>0</v>
          </cell>
          <cell r="F219">
            <v>0</v>
          </cell>
          <cell r="G219">
            <v>0</v>
          </cell>
          <cell r="H219">
            <v>0</v>
          </cell>
        </row>
        <row r="220">
          <cell r="A220" t="str">
            <v>400-40-195</v>
          </cell>
          <cell r="B220" t="str">
            <v>POLICY DOCUMENT PRINTING</v>
          </cell>
          <cell r="C220">
            <v>0</v>
          </cell>
          <cell r="D220">
            <v>0</v>
          </cell>
          <cell r="E220">
            <v>0</v>
          </cell>
          <cell r="F220">
            <v>0</v>
          </cell>
          <cell r="G220">
            <v>0</v>
          </cell>
          <cell r="H220">
            <v>0</v>
          </cell>
        </row>
        <row r="221">
          <cell r="A221" t="str">
            <v>400-43-010</v>
          </cell>
          <cell r="B221" t="str">
            <v>PRIOR ITEMS</v>
          </cell>
          <cell r="C221">
            <v>0</v>
          </cell>
          <cell r="D221">
            <v>0</v>
          </cell>
          <cell r="E221">
            <v>0</v>
          </cell>
          <cell r="F221">
            <v>0</v>
          </cell>
          <cell r="G221">
            <v>0</v>
          </cell>
          <cell r="H221">
            <v>0</v>
          </cell>
        </row>
        <row r="222">
          <cell r="A222" t="str">
            <v>400-45-010</v>
          </cell>
          <cell r="B222" t="str">
            <v>STAMP DUTY EXPENSES</v>
          </cell>
          <cell r="C222">
            <v>925584.4</v>
          </cell>
          <cell r="D222">
            <v>-20697</v>
          </cell>
          <cell r="E222">
            <v>904887.4</v>
          </cell>
          <cell r="F222">
            <v>904887.4</v>
          </cell>
          <cell r="G222">
            <v>0</v>
          </cell>
          <cell r="H222">
            <v>904887.4</v>
          </cell>
        </row>
        <row r="223">
          <cell r="A223" t="str">
            <v>400-45-020</v>
          </cell>
          <cell r="B223" t="str">
            <v>PREMIUM TAX EXPENSE</v>
          </cell>
          <cell r="C223">
            <v>8231826</v>
          </cell>
          <cell r="D223">
            <v>1701921</v>
          </cell>
          <cell r="E223">
            <v>9933747</v>
          </cell>
          <cell r="F223">
            <v>9933747</v>
          </cell>
          <cell r="G223">
            <v>-9933747</v>
          </cell>
          <cell r="H223">
            <v>0</v>
          </cell>
        </row>
        <row r="224">
          <cell r="A224" t="str">
            <v>400-45-025</v>
          </cell>
          <cell r="B224" t="str">
            <v>POLICY HOLDER COLLECTION LEVY</v>
          </cell>
          <cell r="C224">
            <v>1135611.1299999999</v>
          </cell>
          <cell r="D224">
            <v>337624.59</v>
          </cell>
          <cell r="E224">
            <v>1473235.72</v>
          </cell>
          <cell r="F224">
            <v>1473235.72</v>
          </cell>
          <cell r="G224">
            <v>0</v>
          </cell>
          <cell r="H224">
            <v>1473235.72</v>
          </cell>
        </row>
        <row r="225">
          <cell r="A225" t="str">
            <v>500-10-010</v>
          </cell>
          <cell r="B225" t="str">
            <v>NEW COMMISSION</v>
          </cell>
          <cell r="C225">
            <v>75202507.379999995</v>
          </cell>
          <cell r="D225">
            <v>5035554.66</v>
          </cell>
          <cell r="E225">
            <v>80238062.040000007</v>
          </cell>
          <cell r="F225">
            <v>80238062.040000007</v>
          </cell>
          <cell r="G225">
            <v>0</v>
          </cell>
          <cell r="H225">
            <v>80238062.040000007</v>
          </cell>
        </row>
        <row r="226">
          <cell r="A226" t="str">
            <v>500-20-010</v>
          </cell>
          <cell r="B226" t="str">
            <v>RENEWAL COMMISSION</v>
          </cell>
          <cell r="C226">
            <v>38830974.039999999</v>
          </cell>
          <cell r="D226">
            <v>5038964.53</v>
          </cell>
          <cell r="E226">
            <v>43869938.57</v>
          </cell>
          <cell r="F226">
            <v>43869938.57</v>
          </cell>
          <cell r="G226">
            <v>0</v>
          </cell>
          <cell r="H226">
            <v>43869938.57</v>
          </cell>
        </row>
        <row r="227">
          <cell r="A227" t="str">
            <v>500-25-010</v>
          </cell>
          <cell r="B227" t="str">
            <v>AGENCY OVERRIDES</v>
          </cell>
          <cell r="C227">
            <v>19923530</v>
          </cell>
          <cell r="D227">
            <v>1916530</v>
          </cell>
          <cell r="E227">
            <v>21840060</v>
          </cell>
          <cell r="F227">
            <v>21840060</v>
          </cell>
          <cell r="G227">
            <v>0</v>
          </cell>
          <cell r="H227">
            <v>21840060</v>
          </cell>
        </row>
        <row r="228">
          <cell r="A228" t="str">
            <v>500-25-015</v>
          </cell>
          <cell r="B228" t="str">
            <v>UNIT OVERRIDES</v>
          </cell>
          <cell r="C228">
            <v>17072926</v>
          </cell>
          <cell r="D228">
            <v>1621398</v>
          </cell>
          <cell r="E228">
            <v>18694324</v>
          </cell>
          <cell r="F228">
            <v>18694324</v>
          </cell>
          <cell r="G228">
            <v>0</v>
          </cell>
          <cell r="H228">
            <v>18694324</v>
          </cell>
        </row>
        <row r="229">
          <cell r="A229" t="str">
            <v>500-25-020</v>
          </cell>
          <cell r="B229" t="str">
            <v>RETAINER</v>
          </cell>
          <cell r="C229">
            <v>10405195</v>
          </cell>
          <cell r="D229">
            <v>711106</v>
          </cell>
          <cell r="E229">
            <v>11116301</v>
          </cell>
          <cell r="F229">
            <v>11116301</v>
          </cell>
          <cell r="G229">
            <v>0</v>
          </cell>
          <cell r="H229">
            <v>11116301</v>
          </cell>
        </row>
        <row r="230">
          <cell r="A230" t="str">
            <v>500-25-025</v>
          </cell>
          <cell r="B230" t="str">
            <v>GUARANTEE</v>
          </cell>
          <cell r="C230">
            <v>5896687.7000000002</v>
          </cell>
          <cell r="D230">
            <v>1488145</v>
          </cell>
          <cell r="E230">
            <v>7384832.7000000002</v>
          </cell>
          <cell r="F230">
            <v>7384832.7000000002</v>
          </cell>
          <cell r="G230">
            <v>0</v>
          </cell>
          <cell r="H230">
            <v>7384832.7000000002</v>
          </cell>
        </row>
        <row r="231">
          <cell r="A231" t="str">
            <v>500-30-030</v>
          </cell>
          <cell r="B231" t="str">
            <v>SALES PROMOTION &amp; COMPETITIONS</v>
          </cell>
          <cell r="C231">
            <v>1216576</v>
          </cell>
          <cell r="D231">
            <v>290960</v>
          </cell>
          <cell r="E231">
            <v>1507536</v>
          </cell>
          <cell r="F231">
            <v>1507536</v>
          </cell>
          <cell r="G231">
            <v>0</v>
          </cell>
          <cell r="H231">
            <v>1507536</v>
          </cell>
        </row>
        <row r="232">
          <cell r="A232" t="str">
            <v>500-30-035</v>
          </cell>
          <cell r="B232" t="str">
            <v>SALES PROMOTION - INTERNATIONAL TRAVEL</v>
          </cell>
          <cell r="C232">
            <v>2560000</v>
          </cell>
          <cell r="D232">
            <v>320000</v>
          </cell>
          <cell r="E232">
            <v>2880000</v>
          </cell>
          <cell r="F232">
            <v>2880000</v>
          </cell>
          <cell r="G232">
            <v>0</v>
          </cell>
          <cell r="H232">
            <v>2880000</v>
          </cell>
        </row>
        <row r="233">
          <cell r="A233" t="str">
            <v>500-30-040</v>
          </cell>
          <cell r="B233" t="str">
            <v>PREMIUM COLLECTION CHARGES</v>
          </cell>
          <cell r="C233">
            <v>39577107.049999997</v>
          </cell>
          <cell r="D233">
            <v>1162503.8899999999</v>
          </cell>
          <cell r="E233">
            <v>40739610.939999998</v>
          </cell>
          <cell r="F233">
            <v>40739610.939999998</v>
          </cell>
          <cell r="G233">
            <v>0</v>
          </cell>
          <cell r="H233">
            <v>40739610.939999998</v>
          </cell>
        </row>
        <row r="234">
          <cell r="A234" t="str">
            <v>500-30-045</v>
          </cell>
          <cell r="B234" t="str">
            <v>SALES PROMOTION - AAYA</v>
          </cell>
          <cell r="C234">
            <v>400000</v>
          </cell>
          <cell r="D234">
            <v>50000</v>
          </cell>
          <cell r="E234">
            <v>450000</v>
          </cell>
          <cell r="F234">
            <v>450000</v>
          </cell>
          <cell r="G234">
            <v>0</v>
          </cell>
          <cell r="H234">
            <v>450000</v>
          </cell>
        </row>
        <row r="235">
          <cell r="A235" t="str">
            <v>500-30-055</v>
          </cell>
          <cell r="B235" t="str">
            <v>AGENCY SUBSIDY</v>
          </cell>
          <cell r="C235">
            <v>0</v>
          </cell>
          <cell r="D235">
            <v>0</v>
          </cell>
          <cell r="E235">
            <v>0</v>
          </cell>
          <cell r="F235">
            <v>0</v>
          </cell>
          <cell r="G235">
            <v>0</v>
          </cell>
          <cell r="H235">
            <v>0</v>
          </cell>
        </row>
        <row r="236">
          <cell r="A236" t="str">
            <v>500-30-060</v>
          </cell>
          <cell r="B236" t="str">
            <v>STAFF BONUS</v>
          </cell>
          <cell r="C236">
            <v>25333328</v>
          </cell>
          <cell r="D236">
            <v>3166666</v>
          </cell>
          <cell r="E236">
            <v>28499994</v>
          </cell>
          <cell r="F236">
            <v>28499994</v>
          </cell>
          <cell r="G236">
            <v>0</v>
          </cell>
          <cell r="H236">
            <v>28499994</v>
          </cell>
        </row>
        <row r="237">
          <cell r="A237" t="str">
            <v>500-30-065</v>
          </cell>
          <cell r="B237" t="str">
            <v>LONG TERM INCENTIVE PLAN</v>
          </cell>
          <cell r="C237">
            <v>0</v>
          </cell>
          <cell r="D237">
            <v>0</v>
          </cell>
          <cell r="E237">
            <v>0</v>
          </cell>
          <cell r="F237">
            <v>0</v>
          </cell>
          <cell r="G237">
            <v>0</v>
          </cell>
          <cell r="H237">
            <v>0</v>
          </cell>
        </row>
        <row r="238">
          <cell r="A238" t="str">
            <v>500-35-010</v>
          </cell>
          <cell r="B238" t="str">
            <v>GROUP COMMISSION</v>
          </cell>
          <cell r="C238">
            <v>3977</v>
          </cell>
          <cell r="D238">
            <v>0</v>
          </cell>
          <cell r="E238">
            <v>3977</v>
          </cell>
          <cell r="F238">
            <v>3977</v>
          </cell>
          <cell r="G238">
            <v>0</v>
          </cell>
          <cell r="H238">
            <v>3977</v>
          </cell>
        </row>
        <row r="239">
          <cell r="A239" t="str">
            <v>500-35-020</v>
          </cell>
          <cell r="B239" t="str">
            <v>PREMIUM ADMINISTRATION FEE - GROUP</v>
          </cell>
          <cell r="C239">
            <v>0</v>
          </cell>
          <cell r="D239">
            <v>0</v>
          </cell>
          <cell r="E239">
            <v>0</v>
          </cell>
          <cell r="F239">
            <v>0</v>
          </cell>
          <cell r="G239">
            <v>0</v>
          </cell>
          <cell r="H239">
            <v>0</v>
          </cell>
        </row>
        <row r="240">
          <cell r="A240" t="str">
            <v>500-35-030</v>
          </cell>
          <cell r="B240" t="str">
            <v>MEDICAL COSTS - GROUP</v>
          </cell>
          <cell r="C240">
            <v>0</v>
          </cell>
          <cell r="D240">
            <v>0</v>
          </cell>
          <cell r="E240">
            <v>0</v>
          </cell>
          <cell r="F240">
            <v>0</v>
          </cell>
          <cell r="G240">
            <v>0</v>
          </cell>
          <cell r="H240">
            <v>0</v>
          </cell>
        </row>
        <row r="241">
          <cell r="A241" t="str">
            <v>500-35-040</v>
          </cell>
          <cell r="B241" t="str">
            <v>PROFIT SHARE</v>
          </cell>
          <cell r="C241">
            <v>0</v>
          </cell>
          <cell r="D241">
            <v>0</v>
          </cell>
          <cell r="E241">
            <v>0</v>
          </cell>
          <cell r="F241">
            <v>0</v>
          </cell>
          <cell r="G241">
            <v>0</v>
          </cell>
          <cell r="H241">
            <v>0</v>
          </cell>
        </row>
        <row r="242">
          <cell r="A242" t="str">
            <v>500-40-010</v>
          </cell>
          <cell r="B242" t="str">
            <v>AGENCY PENSION</v>
          </cell>
          <cell r="C242">
            <v>12937640.439999999</v>
          </cell>
          <cell r="D242">
            <v>1883592.45</v>
          </cell>
          <cell r="E242">
            <v>14821232.890000001</v>
          </cell>
          <cell r="F242">
            <v>14821232.890000001</v>
          </cell>
          <cell r="G242">
            <v>0</v>
          </cell>
          <cell r="H242">
            <v>14821232.890000001</v>
          </cell>
        </row>
        <row r="243">
          <cell r="A243" t="str">
            <v>500-40-020</v>
          </cell>
          <cell r="B243" t="str">
            <v>AGENCY GLA</v>
          </cell>
          <cell r="C243">
            <v>1860042</v>
          </cell>
          <cell r="D243">
            <v>232505.25</v>
          </cell>
          <cell r="E243">
            <v>2092547.25</v>
          </cell>
          <cell r="F243">
            <v>2092547.25</v>
          </cell>
          <cell r="G243">
            <v>0</v>
          </cell>
          <cell r="H243">
            <v>2092547.25</v>
          </cell>
        </row>
        <row r="244">
          <cell r="A244" t="str">
            <v>500-40-030</v>
          </cell>
          <cell r="B244" t="str">
            <v>AGENCY LAST EXPENSE</v>
          </cell>
          <cell r="C244">
            <v>0</v>
          </cell>
          <cell r="D244">
            <v>0</v>
          </cell>
          <cell r="E244">
            <v>0</v>
          </cell>
          <cell r="F244">
            <v>0</v>
          </cell>
          <cell r="G244">
            <v>0</v>
          </cell>
          <cell r="H244">
            <v>0</v>
          </cell>
        </row>
        <row r="245">
          <cell r="A245" t="str">
            <v>500-40-040</v>
          </cell>
          <cell r="B245" t="str">
            <v>AGENCY MEDICAL</v>
          </cell>
          <cell r="C245">
            <v>529599.5</v>
          </cell>
          <cell r="D245">
            <v>64926.75</v>
          </cell>
          <cell r="E245">
            <v>594526.25</v>
          </cell>
          <cell r="F245">
            <v>594526.25</v>
          </cell>
          <cell r="G245">
            <v>0</v>
          </cell>
          <cell r="H245">
            <v>594526.25</v>
          </cell>
        </row>
        <row r="246">
          <cell r="A246" t="str">
            <v>500-45-010</v>
          </cell>
          <cell r="B246" t="str">
            <v>MEDICAL EXPENSES</v>
          </cell>
          <cell r="C246">
            <v>0</v>
          </cell>
          <cell r="D246">
            <v>0</v>
          </cell>
          <cell r="E246">
            <v>0</v>
          </cell>
          <cell r="F246">
            <v>0</v>
          </cell>
          <cell r="G246">
            <v>0</v>
          </cell>
          <cell r="H246">
            <v>0</v>
          </cell>
        </row>
        <row r="247">
          <cell r="A247" t="str">
            <v>600-10-021</v>
          </cell>
          <cell r="B247" t="str">
            <v>MATURITY CLAIMS</v>
          </cell>
          <cell r="C247">
            <v>37225123.399999999</v>
          </cell>
          <cell r="D247">
            <v>5208170.5999999996</v>
          </cell>
          <cell r="E247">
            <v>42433294</v>
          </cell>
          <cell r="F247">
            <v>42433294</v>
          </cell>
          <cell r="G247">
            <v>0</v>
          </cell>
          <cell r="H247">
            <v>42433294</v>
          </cell>
        </row>
        <row r="248">
          <cell r="A248" t="str">
            <v>600-10-022</v>
          </cell>
          <cell r="B248" t="str">
            <v>MATURITY CLAIMS ENDOWMENT</v>
          </cell>
          <cell r="C248">
            <v>10523743.6</v>
          </cell>
          <cell r="D248">
            <v>475017</v>
          </cell>
          <cell r="E248">
            <v>10998760.6</v>
          </cell>
          <cell r="F248">
            <v>10998760.6</v>
          </cell>
          <cell r="G248">
            <v>0</v>
          </cell>
          <cell r="H248">
            <v>10998760.6</v>
          </cell>
        </row>
        <row r="249">
          <cell r="A249" t="str">
            <v>600-10-023</v>
          </cell>
          <cell r="B249" t="str">
            <v>MATURITY CLAIMS EXPENSE</v>
          </cell>
          <cell r="C249">
            <v>0</v>
          </cell>
          <cell r="D249">
            <v>0</v>
          </cell>
          <cell r="E249">
            <v>0</v>
          </cell>
          <cell r="F249">
            <v>0</v>
          </cell>
          <cell r="G249">
            <v>0</v>
          </cell>
          <cell r="H249">
            <v>0</v>
          </cell>
        </row>
        <row r="250">
          <cell r="A250" t="str">
            <v>600-10-024</v>
          </cell>
          <cell r="B250" t="str">
            <v>DEATH CLAIMS -ORDINARY</v>
          </cell>
          <cell r="C250">
            <v>3085301.65</v>
          </cell>
          <cell r="D250">
            <v>-82910</v>
          </cell>
          <cell r="E250">
            <v>3002391.65</v>
          </cell>
          <cell r="F250">
            <v>3002391.65</v>
          </cell>
          <cell r="G250">
            <v>0</v>
          </cell>
          <cell r="H250">
            <v>3002391.65</v>
          </cell>
        </row>
        <row r="251">
          <cell r="A251" t="str">
            <v>600-10-025</v>
          </cell>
          <cell r="B251" t="str">
            <v>PERSONAL ACCIDENTS</v>
          </cell>
          <cell r="C251">
            <v>15071481</v>
          </cell>
          <cell r="D251">
            <v>754880</v>
          </cell>
          <cell r="E251">
            <v>15826361</v>
          </cell>
          <cell r="F251">
            <v>15826361</v>
          </cell>
          <cell r="G251">
            <v>0</v>
          </cell>
          <cell r="H251">
            <v>15826361</v>
          </cell>
        </row>
        <row r="252">
          <cell r="A252" t="str">
            <v>600-10-026</v>
          </cell>
          <cell r="B252" t="str">
            <v>ANNUITY CLAIMS</v>
          </cell>
          <cell r="C252">
            <v>56530758.57</v>
          </cell>
          <cell r="D252">
            <v>5728604.3300000001</v>
          </cell>
          <cell r="E252">
            <v>62259362.899999999</v>
          </cell>
          <cell r="F252">
            <v>62259362.899999999</v>
          </cell>
          <cell r="G252">
            <v>0</v>
          </cell>
          <cell r="H252">
            <v>62259362.899999999</v>
          </cell>
        </row>
        <row r="253">
          <cell r="A253" t="str">
            <v>600-10-027</v>
          </cell>
          <cell r="B253" t="str">
            <v>CASH SURRENDER VALUE</v>
          </cell>
          <cell r="C253">
            <v>19829975.149999999</v>
          </cell>
          <cell r="D253">
            <v>1277210.7</v>
          </cell>
          <cell r="E253">
            <v>21107185.850000001</v>
          </cell>
          <cell r="F253">
            <v>21107185.850000001</v>
          </cell>
          <cell r="G253">
            <v>0</v>
          </cell>
          <cell r="H253">
            <v>21107185.850000001</v>
          </cell>
        </row>
        <row r="254">
          <cell r="A254" t="str">
            <v>600-10-028</v>
          </cell>
          <cell r="B254" t="str">
            <v>FFF DEATH CLAIMS</v>
          </cell>
          <cell r="C254">
            <v>4474098</v>
          </cell>
          <cell r="D254">
            <v>223976</v>
          </cell>
          <cell r="E254">
            <v>4698074</v>
          </cell>
          <cell r="F254">
            <v>4698074</v>
          </cell>
          <cell r="G254">
            <v>0</v>
          </cell>
          <cell r="H254">
            <v>4698074</v>
          </cell>
        </row>
        <row r="255">
          <cell r="A255" t="str">
            <v>600-10-029</v>
          </cell>
          <cell r="B255" t="str">
            <v>CASH SURRENDER VALUE -WP</v>
          </cell>
          <cell r="C255">
            <v>9438063.4000000004</v>
          </cell>
          <cell r="D255">
            <v>18444</v>
          </cell>
          <cell r="E255">
            <v>9456507.4000000004</v>
          </cell>
          <cell r="F255">
            <v>9456507.4000000004</v>
          </cell>
          <cell r="G255">
            <v>0</v>
          </cell>
          <cell r="H255">
            <v>9456507.4000000004</v>
          </cell>
        </row>
        <row r="256">
          <cell r="A256" t="str">
            <v>600-10-030</v>
          </cell>
          <cell r="B256" t="str">
            <v>CASH SURRENDER VALUE-FFP</v>
          </cell>
          <cell r="C256">
            <v>0</v>
          </cell>
          <cell r="D256">
            <v>0</v>
          </cell>
          <cell r="E256">
            <v>0</v>
          </cell>
          <cell r="F256">
            <v>0</v>
          </cell>
          <cell r="G256">
            <v>0</v>
          </cell>
          <cell r="H256">
            <v>0</v>
          </cell>
        </row>
        <row r="257">
          <cell r="A257" t="str">
            <v>600-10-031</v>
          </cell>
          <cell r="B257" t="str">
            <v>PREMIUM REFUNDS</v>
          </cell>
          <cell r="C257">
            <v>6015.6</v>
          </cell>
          <cell r="D257">
            <v>172</v>
          </cell>
          <cell r="E257">
            <v>6187.6</v>
          </cell>
          <cell r="F257">
            <v>6187.6</v>
          </cell>
          <cell r="G257">
            <v>0</v>
          </cell>
          <cell r="H257">
            <v>6187.6</v>
          </cell>
        </row>
        <row r="258">
          <cell r="A258" t="str">
            <v>600-10-032</v>
          </cell>
          <cell r="B258" t="str">
            <v>WAIVER OF PREMIUMS EXPENSE</v>
          </cell>
          <cell r="C258">
            <v>1170668.1000000001</v>
          </cell>
          <cell r="D258">
            <v>0</v>
          </cell>
          <cell r="E258">
            <v>1170668.1000000001</v>
          </cell>
          <cell r="F258">
            <v>1170668.1000000001</v>
          </cell>
          <cell r="G258">
            <v>0</v>
          </cell>
          <cell r="H258">
            <v>1170668.1000000001</v>
          </cell>
        </row>
        <row r="259">
          <cell r="A259" t="str">
            <v>600-10-033</v>
          </cell>
          <cell r="B259" t="str">
            <v>CASH BONUS BENEFIT-FFFP</v>
          </cell>
          <cell r="C259">
            <v>0</v>
          </cell>
          <cell r="D259">
            <v>4638</v>
          </cell>
          <cell r="E259">
            <v>4638</v>
          </cell>
          <cell r="F259">
            <v>4638</v>
          </cell>
          <cell r="G259">
            <v>0</v>
          </cell>
          <cell r="H259">
            <v>4638</v>
          </cell>
        </row>
        <row r="260">
          <cell r="A260" t="str">
            <v>600-10-034</v>
          </cell>
          <cell r="B260" t="str">
            <v>PENALTIES RECOVERIES-FFFP</v>
          </cell>
          <cell r="C260">
            <v>0</v>
          </cell>
          <cell r="D260">
            <v>0</v>
          </cell>
          <cell r="E260">
            <v>0</v>
          </cell>
          <cell r="F260">
            <v>0</v>
          </cell>
          <cell r="G260">
            <v>0</v>
          </cell>
          <cell r="H260">
            <v>0</v>
          </cell>
        </row>
        <row r="261">
          <cell r="A261" t="str">
            <v>600-10-035</v>
          </cell>
          <cell r="B261" t="str">
            <v>UNITS ENCASHMENT-WP</v>
          </cell>
          <cell r="C261">
            <v>210514.35</v>
          </cell>
          <cell r="D261">
            <v>0</v>
          </cell>
          <cell r="E261">
            <v>210514.35</v>
          </cell>
          <cell r="F261">
            <v>210514.35</v>
          </cell>
          <cell r="G261">
            <v>0</v>
          </cell>
          <cell r="H261">
            <v>210514.35</v>
          </cell>
        </row>
        <row r="262">
          <cell r="A262" t="str">
            <v>600-10-036</v>
          </cell>
          <cell r="B262" t="str">
            <v>PENALTIES UNITS ENCASHMENT</v>
          </cell>
          <cell r="C262">
            <v>0</v>
          </cell>
          <cell r="D262">
            <v>0</v>
          </cell>
          <cell r="E262">
            <v>0</v>
          </cell>
          <cell r="F262">
            <v>0</v>
          </cell>
          <cell r="G262">
            <v>0</v>
          </cell>
          <cell r="H262">
            <v>0</v>
          </cell>
        </row>
        <row r="263">
          <cell r="A263" t="str">
            <v>600-10-037</v>
          </cell>
          <cell r="B263" t="str">
            <v>WP CLAIMS</v>
          </cell>
          <cell r="C263">
            <v>-2541953.06</v>
          </cell>
          <cell r="D263">
            <v>-22732.98</v>
          </cell>
          <cell r="E263">
            <v>-2564686.04</v>
          </cell>
          <cell r="F263">
            <v>-2564686.04</v>
          </cell>
          <cell r="G263">
            <v>0</v>
          </cell>
          <cell r="H263">
            <v>-2564686.04</v>
          </cell>
        </row>
        <row r="264">
          <cell r="A264" t="str">
            <v>600-10-038</v>
          </cell>
          <cell r="B264" t="str">
            <v>PENALTIES ON CASH-BONUS  FFFP</v>
          </cell>
          <cell r="C264">
            <v>0</v>
          </cell>
          <cell r="D264">
            <v>0</v>
          </cell>
          <cell r="E264">
            <v>0</v>
          </cell>
          <cell r="F264">
            <v>0</v>
          </cell>
          <cell r="G264">
            <v>0</v>
          </cell>
          <cell r="H264">
            <v>0</v>
          </cell>
        </row>
        <row r="265">
          <cell r="A265" t="str">
            <v>600-10-039</v>
          </cell>
          <cell r="B265" t="str">
            <v>CLAIMS EXPENSE</v>
          </cell>
          <cell r="C265">
            <v>16066</v>
          </cell>
          <cell r="D265">
            <v>16700</v>
          </cell>
          <cell r="E265">
            <v>32766</v>
          </cell>
          <cell r="F265">
            <v>32766</v>
          </cell>
          <cell r="G265">
            <v>0</v>
          </cell>
          <cell r="H265">
            <v>32766</v>
          </cell>
        </row>
        <row r="266">
          <cell r="A266" t="str">
            <v>600-10-040</v>
          </cell>
          <cell r="B266" t="str">
            <v>ADVERTISING (UNIT PRICE)</v>
          </cell>
          <cell r="C266">
            <v>473930</v>
          </cell>
          <cell r="D266">
            <v>0</v>
          </cell>
          <cell r="E266">
            <v>473930</v>
          </cell>
          <cell r="F266">
            <v>473930</v>
          </cell>
          <cell r="G266">
            <v>0</v>
          </cell>
          <cell r="H266">
            <v>473930</v>
          </cell>
        </row>
        <row r="267">
          <cell r="A267" t="str">
            <v>600-10-041</v>
          </cell>
          <cell r="B267" t="str">
            <v>MATURITY CLAIMS-UNIT LINKED</v>
          </cell>
          <cell r="C267">
            <v>11921523.25</v>
          </cell>
          <cell r="D267">
            <v>42068</v>
          </cell>
          <cell r="E267">
            <v>11963591.25</v>
          </cell>
          <cell r="F267">
            <v>11963591.25</v>
          </cell>
          <cell r="G267">
            <v>0</v>
          </cell>
          <cell r="H267">
            <v>11963591.25</v>
          </cell>
        </row>
        <row r="268">
          <cell r="A268" t="str">
            <v>600-15-010</v>
          </cell>
          <cell r="B268" t="str">
            <v>LAST EXPENSE CLAIM</v>
          </cell>
          <cell r="C268">
            <v>0</v>
          </cell>
          <cell r="D268">
            <v>100000</v>
          </cell>
          <cell r="E268">
            <v>100000</v>
          </cell>
          <cell r="F268">
            <v>100000</v>
          </cell>
          <cell r="G268">
            <v>0</v>
          </cell>
          <cell r="H268">
            <v>100000</v>
          </cell>
        </row>
        <row r="269">
          <cell r="A269" t="str">
            <v>600-15-020</v>
          </cell>
          <cell r="B269" t="str">
            <v>PENSION SCHEME CLAIM</v>
          </cell>
          <cell r="C269">
            <v>55138</v>
          </cell>
          <cell r="D269">
            <v>63709</v>
          </cell>
          <cell r="E269">
            <v>118847</v>
          </cell>
          <cell r="F269">
            <v>118847</v>
          </cell>
          <cell r="G269">
            <v>0</v>
          </cell>
          <cell r="H269">
            <v>118847</v>
          </cell>
        </row>
        <row r="270">
          <cell r="A270" t="str">
            <v>600-15-030</v>
          </cell>
          <cell r="B270" t="str">
            <v>DEATH CLAIMS GROUP</v>
          </cell>
          <cell r="C270">
            <v>0</v>
          </cell>
          <cell r="D270">
            <v>0</v>
          </cell>
          <cell r="E270">
            <v>0</v>
          </cell>
          <cell r="F270">
            <v>0</v>
          </cell>
          <cell r="G270">
            <v>0</v>
          </cell>
          <cell r="H270">
            <v>0</v>
          </cell>
        </row>
        <row r="271">
          <cell r="A271" t="str">
            <v>600-15-040</v>
          </cell>
          <cell r="B271" t="str">
            <v>GROUP MATURITY CLAIMS</v>
          </cell>
          <cell r="C271">
            <v>0</v>
          </cell>
          <cell r="D271">
            <v>0</v>
          </cell>
          <cell r="E271">
            <v>0</v>
          </cell>
          <cell r="F271">
            <v>0</v>
          </cell>
          <cell r="G271">
            <v>0</v>
          </cell>
          <cell r="H271">
            <v>0</v>
          </cell>
        </row>
        <row r="272">
          <cell r="A272" t="str">
            <v>600-15-045</v>
          </cell>
          <cell r="B272" t="str">
            <v>GROUP SURRENDERS</v>
          </cell>
          <cell r="C272">
            <v>0</v>
          </cell>
          <cell r="D272">
            <v>0</v>
          </cell>
          <cell r="E272">
            <v>0</v>
          </cell>
          <cell r="F272">
            <v>0</v>
          </cell>
          <cell r="G272">
            <v>0</v>
          </cell>
          <cell r="H272">
            <v>0</v>
          </cell>
        </row>
        <row r="273">
          <cell r="A273" t="str">
            <v>600-15-050</v>
          </cell>
          <cell r="B273" t="str">
            <v>GROUP ANTICIPATED CLAIMS</v>
          </cell>
          <cell r="C273">
            <v>0</v>
          </cell>
          <cell r="D273">
            <v>0</v>
          </cell>
          <cell r="E273">
            <v>0</v>
          </cell>
          <cell r="F273">
            <v>0</v>
          </cell>
          <cell r="G273">
            <v>0</v>
          </cell>
          <cell r="H273">
            <v>0</v>
          </cell>
        </row>
        <row r="274">
          <cell r="A274" t="str">
            <v>600-15-055</v>
          </cell>
          <cell r="B274" t="str">
            <v>HARAMBEE CLAIMS</v>
          </cell>
          <cell r="C274">
            <v>0</v>
          </cell>
          <cell r="D274">
            <v>0</v>
          </cell>
          <cell r="E274">
            <v>0</v>
          </cell>
          <cell r="F274">
            <v>0</v>
          </cell>
          <cell r="G274">
            <v>0</v>
          </cell>
          <cell r="H274">
            <v>0</v>
          </cell>
        </row>
        <row r="275">
          <cell r="A275" t="str">
            <v>600-15-060</v>
          </cell>
          <cell r="B275" t="str">
            <v>GROUP CREDIT SCHEMES CLAIMS</v>
          </cell>
          <cell r="C275">
            <v>0</v>
          </cell>
          <cell r="D275">
            <v>0</v>
          </cell>
          <cell r="E275">
            <v>0</v>
          </cell>
          <cell r="F275">
            <v>0</v>
          </cell>
          <cell r="G275">
            <v>0</v>
          </cell>
          <cell r="H275">
            <v>0</v>
          </cell>
        </row>
        <row r="276">
          <cell r="A276" t="str">
            <v>600-15-065</v>
          </cell>
          <cell r="B276" t="str">
            <v>GROUP DISABILITY CLAIMS</v>
          </cell>
          <cell r="C276">
            <v>0</v>
          </cell>
          <cell r="D276">
            <v>0</v>
          </cell>
          <cell r="E276">
            <v>0</v>
          </cell>
          <cell r="F276">
            <v>0</v>
          </cell>
          <cell r="G276">
            <v>0</v>
          </cell>
          <cell r="H276">
            <v>0</v>
          </cell>
        </row>
        <row r="277">
          <cell r="A277" t="str">
            <v>600-15-070</v>
          </cell>
          <cell r="B277" t="str">
            <v>GROUP RETIEMENT ANNUITIES</v>
          </cell>
          <cell r="C277">
            <v>0</v>
          </cell>
          <cell r="D277">
            <v>0</v>
          </cell>
          <cell r="E277">
            <v>0</v>
          </cell>
          <cell r="F277">
            <v>0</v>
          </cell>
          <cell r="G277">
            <v>0</v>
          </cell>
          <cell r="H277">
            <v>0</v>
          </cell>
        </row>
        <row r="278">
          <cell r="A278" t="str">
            <v>600-15-075</v>
          </cell>
          <cell r="B278" t="str">
            <v>AUDIT FEES</v>
          </cell>
          <cell r="C278">
            <v>0</v>
          </cell>
          <cell r="D278">
            <v>0</v>
          </cell>
          <cell r="E278">
            <v>0</v>
          </cell>
          <cell r="F278">
            <v>0</v>
          </cell>
          <cell r="G278">
            <v>0</v>
          </cell>
          <cell r="H278">
            <v>0</v>
          </cell>
        </row>
        <row r="279">
          <cell r="A279" t="str">
            <v>600-15-080</v>
          </cell>
          <cell r="B279" t="str">
            <v>MANAGEMENT FEES</v>
          </cell>
          <cell r="C279">
            <v>0</v>
          </cell>
          <cell r="D279">
            <v>0</v>
          </cell>
          <cell r="E279">
            <v>0</v>
          </cell>
          <cell r="F279">
            <v>0</v>
          </cell>
          <cell r="G279">
            <v>0</v>
          </cell>
          <cell r="H279">
            <v>0</v>
          </cell>
        </row>
        <row r="280">
          <cell r="A280" t="str">
            <v>600-15-085</v>
          </cell>
          <cell r="B280" t="str">
            <v>RBA LEVIES</v>
          </cell>
          <cell r="C280">
            <v>0</v>
          </cell>
          <cell r="D280">
            <v>0</v>
          </cell>
          <cell r="E280">
            <v>0</v>
          </cell>
          <cell r="F280">
            <v>0</v>
          </cell>
          <cell r="G280">
            <v>0</v>
          </cell>
          <cell r="H280">
            <v>0</v>
          </cell>
        </row>
        <row r="281">
          <cell r="A281" t="str">
            <v>600-15-090</v>
          </cell>
          <cell r="B281" t="str">
            <v>ACTUARIAL FEES</v>
          </cell>
          <cell r="C281">
            <v>0</v>
          </cell>
          <cell r="D281">
            <v>0</v>
          </cell>
          <cell r="E281">
            <v>0</v>
          </cell>
          <cell r="F281">
            <v>0</v>
          </cell>
          <cell r="G281">
            <v>0</v>
          </cell>
          <cell r="H281">
            <v>0</v>
          </cell>
        </row>
        <row r="282">
          <cell r="A282" t="str">
            <v>600-15-095</v>
          </cell>
          <cell r="B282" t="str">
            <v>GROUP MORTGAGE CLAIMS</v>
          </cell>
          <cell r="C282">
            <v>0</v>
          </cell>
          <cell r="D282">
            <v>0</v>
          </cell>
          <cell r="E282">
            <v>0</v>
          </cell>
          <cell r="F282">
            <v>0</v>
          </cell>
          <cell r="G282">
            <v>0</v>
          </cell>
          <cell r="H282">
            <v>0</v>
          </cell>
        </row>
        <row r="283">
          <cell r="A283" t="str">
            <v>600-15-100</v>
          </cell>
          <cell r="B283" t="str">
            <v>PREMIUM REFUND</v>
          </cell>
          <cell r="C283">
            <v>0</v>
          </cell>
          <cell r="D283">
            <v>0</v>
          </cell>
          <cell r="E283">
            <v>0</v>
          </cell>
          <cell r="F283">
            <v>0</v>
          </cell>
          <cell r="G283">
            <v>0</v>
          </cell>
          <cell r="H283">
            <v>0</v>
          </cell>
        </row>
        <row r="284">
          <cell r="A284" t="str">
            <v>700-05-010</v>
          </cell>
          <cell r="B284" t="str">
            <v>AMBALAL HOUSE</v>
          </cell>
          <cell r="C284">
            <v>596481.19999999995</v>
          </cell>
          <cell r="D284">
            <v>0</v>
          </cell>
          <cell r="E284">
            <v>596481.19999999995</v>
          </cell>
          <cell r="F284">
            <v>596481.19999999995</v>
          </cell>
          <cell r="G284">
            <v>0</v>
          </cell>
          <cell r="H284">
            <v>596481.19999999995</v>
          </cell>
        </row>
        <row r="285">
          <cell r="A285" t="str">
            <v>700-05-015</v>
          </cell>
          <cell r="B285" t="str">
            <v>RUNDA PLOT</v>
          </cell>
          <cell r="C285">
            <v>5500000</v>
          </cell>
          <cell r="D285">
            <v>0</v>
          </cell>
          <cell r="E285">
            <v>5500000</v>
          </cell>
          <cell r="F285">
            <v>5500000</v>
          </cell>
          <cell r="G285">
            <v>0</v>
          </cell>
          <cell r="H285">
            <v>5500000</v>
          </cell>
        </row>
        <row r="286">
          <cell r="A286" t="str">
            <v>700-05-020</v>
          </cell>
          <cell r="B286" t="str">
            <v>PAN AFRICA HOUSE NBI</v>
          </cell>
          <cell r="C286">
            <v>188500000</v>
          </cell>
          <cell r="D286">
            <v>0</v>
          </cell>
          <cell r="E286">
            <v>188500000</v>
          </cell>
          <cell r="F286">
            <v>188500000</v>
          </cell>
          <cell r="G286">
            <v>0</v>
          </cell>
          <cell r="H286">
            <v>188500000</v>
          </cell>
        </row>
        <row r="287">
          <cell r="A287" t="str">
            <v>700-05-025</v>
          </cell>
          <cell r="B287" t="str">
            <v>RESIDENTIAL HSE -RETREAT VILLAS</v>
          </cell>
          <cell r="C287">
            <v>0</v>
          </cell>
          <cell r="D287">
            <v>0</v>
          </cell>
          <cell r="E287">
            <v>0</v>
          </cell>
          <cell r="F287">
            <v>0</v>
          </cell>
          <cell r="G287">
            <v>0</v>
          </cell>
          <cell r="H287">
            <v>0</v>
          </cell>
        </row>
        <row r="288">
          <cell r="A288" t="str">
            <v>700-05-030</v>
          </cell>
          <cell r="B288" t="str">
            <v>PAN AFRICA INS. ARCADE PETROL STATION</v>
          </cell>
          <cell r="C288">
            <v>30000000</v>
          </cell>
          <cell r="D288">
            <v>0</v>
          </cell>
          <cell r="E288">
            <v>30000000</v>
          </cell>
          <cell r="F288">
            <v>30000000</v>
          </cell>
          <cell r="G288">
            <v>0</v>
          </cell>
          <cell r="H288">
            <v>30000000</v>
          </cell>
        </row>
        <row r="289">
          <cell r="A289" t="str">
            <v>700-10-010</v>
          </cell>
          <cell r="B289" t="str">
            <v>MOTOR VEHICLES</v>
          </cell>
          <cell r="C289">
            <v>8888995</v>
          </cell>
          <cell r="D289">
            <v>0</v>
          </cell>
          <cell r="E289">
            <v>8888995</v>
          </cell>
          <cell r="F289">
            <v>8888995</v>
          </cell>
          <cell r="G289">
            <v>0</v>
          </cell>
          <cell r="H289">
            <v>8888995</v>
          </cell>
        </row>
        <row r="290">
          <cell r="A290" t="str">
            <v>700-10-020</v>
          </cell>
          <cell r="B290" t="str">
            <v>COMPUTER EQUIPMENT</v>
          </cell>
          <cell r="C290">
            <v>83816111.599999994</v>
          </cell>
          <cell r="D290">
            <v>491328.39</v>
          </cell>
          <cell r="E290">
            <v>84307439.989999995</v>
          </cell>
          <cell r="F290">
            <v>84307439.989999995</v>
          </cell>
          <cell r="G290">
            <v>0</v>
          </cell>
          <cell r="H290">
            <v>84307439.989999995</v>
          </cell>
        </row>
        <row r="291">
          <cell r="A291" t="str">
            <v>700-10-030</v>
          </cell>
          <cell r="B291" t="str">
            <v>FIXTURES &amp; FITTINGS</v>
          </cell>
          <cell r="C291">
            <v>93475004.870000005</v>
          </cell>
          <cell r="D291">
            <v>505267.7</v>
          </cell>
          <cell r="E291">
            <v>93980272.569999993</v>
          </cell>
          <cell r="F291">
            <v>93980272.569999993</v>
          </cell>
          <cell r="G291">
            <v>0</v>
          </cell>
          <cell r="H291">
            <v>93980272.569999993</v>
          </cell>
        </row>
        <row r="292">
          <cell r="A292" t="str">
            <v>700-10-035</v>
          </cell>
          <cell r="B292" t="str">
            <v>INTANGIBLE ASSETS-SOFTWARE</v>
          </cell>
          <cell r="C292">
            <v>17084694.75</v>
          </cell>
          <cell r="D292">
            <v>0</v>
          </cell>
          <cell r="E292">
            <v>17084694.75</v>
          </cell>
          <cell r="F292">
            <v>17084694.75</v>
          </cell>
          <cell r="G292">
            <v>0</v>
          </cell>
          <cell r="H292">
            <v>17084694.75</v>
          </cell>
        </row>
        <row r="293">
          <cell r="A293" t="str">
            <v>700-10-040</v>
          </cell>
          <cell r="B293" t="str">
            <v>PROJECT MARA</v>
          </cell>
          <cell r="C293">
            <v>7242198</v>
          </cell>
          <cell r="D293">
            <v>2015901</v>
          </cell>
          <cell r="E293">
            <v>9258099</v>
          </cell>
          <cell r="F293">
            <v>9258099</v>
          </cell>
          <cell r="G293">
            <v>0</v>
          </cell>
          <cell r="H293">
            <v>9258099</v>
          </cell>
        </row>
        <row r="294">
          <cell r="A294" t="str">
            <v>700-20-010</v>
          </cell>
          <cell r="B294" t="str">
            <v>PAN AFRICA HSE NBI</v>
          </cell>
          <cell r="C294">
            <v>0</v>
          </cell>
          <cell r="D294">
            <v>0</v>
          </cell>
          <cell r="E294">
            <v>0</v>
          </cell>
          <cell r="F294">
            <v>0</v>
          </cell>
          <cell r="G294">
            <v>0</v>
          </cell>
          <cell r="H294">
            <v>0</v>
          </cell>
        </row>
        <row r="295">
          <cell r="A295" t="str">
            <v>700-20-020</v>
          </cell>
          <cell r="B295" t="str">
            <v>RESIDENTIAL HSE-LORESHO</v>
          </cell>
          <cell r="C295">
            <v>0</v>
          </cell>
          <cell r="D295">
            <v>0</v>
          </cell>
          <cell r="E295">
            <v>0</v>
          </cell>
          <cell r="F295">
            <v>0</v>
          </cell>
          <cell r="G295">
            <v>0</v>
          </cell>
          <cell r="H295">
            <v>0</v>
          </cell>
        </row>
        <row r="296">
          <cell r="A296" t="str">
            <v>700-20-025</v>
          </cell>
          <cell r="B296" t="str">
            <v>REVALUATION SURPLUS</v>
          </cell>
          <cell r="C296">
            <v>0</v>
          </cell>
          <cell r="D296">
            <v>0</v>
          </cell>
          <cell r="E296">
            <v>0</v>
          </cell>
          <cell r="F296">
            <v>0</v>
          </cell>
          <cell r="G296">
            <v>0</v>
          </cell>
          <cell r="H296">
            <v>0</v>
          </cell>
        </row>
        <row r="297">
          <cell r="A297" t="str">
            <v>700-20-030</v>
          </cell>
          <cell r="B297" t="str">
            <v>RESIDENTIAL HSE-RETREAT</v>
          </cell>
          <cell r="C297">
            <v>0</v>
          </cell>
          <cell r="D297">
            <v>0</v>
          </cell>
          <cell r="E297">
            <v>0</v>
          </cell>
          <cell r="F297">
            <v>0</v>
          </cell>
          <cell r="G297">
            <v>0</v>
          </cell>
          <cell r="H297">
            <v>0</v>
          </cell>
        </row>
        <row r="298">
          <cell r="A298" t="str">
            <v>700-25-010</v>
          </cell>
          <cell r="B298" t="str">
            <v>LORESHO RESIDENTIAL</v>
          </cell>
          <cell r="C298">
            <v>0</v>
          </cell>
          <cell r="D298">
            <v>0</v>
          </cell>
          <cell r="E298">
            <v>0</v>
          </cell>
          <cell r="F298">
            <v>0</v>
          </cell>
          <cell r="G298">
            <v>0</v>
          </cell>
          <cell r="H298">
            <v>0</v>
          </cell>
        </row>
        <row r="299">
          <cell r="A299" t="str">
            <v>700-30-010</v>
          </cell>
          <cell r="B299" t="str">
            <v>TREASURY BONDS</v>
          </cell>
          <cell r="C299">
            <v>0</v>
          </cell>
          <cell r="D299">
            <v>0</v>
          </cell>
          <cell r="E299">
            <v>0</v>
          </cell>
          <cell r="F299">
            <v>0</v>
          </cell>
          <cell r="G299">
            <v>0</v>
          </cell>
          <cell r="H299">
            <v>0</v>
          </cell>
        </row>
        <row r="300">
          <cell r="A300" t="str">
            <v>700-30-020</v>
          </cell>
          <cell r="B300" t="str">
            <v>TREASURY BILLS</v>
          </cell>
          <cell r="C300">
            <v>0</v>
          </cell>
          <cell r="D300">
            <v>0</v>
          </cell>
          <cell r="E300">
            <v>0</v>
          </cell>
          <cell r="F300">
            <v>0</v>
          </cell>
          <cell r="G300">
            <v>0</v>
          </cell>
          <cell r="H300">
            <v>0</v>
          </cell>
        </row>
        <row r="301">
          <cell r="A301" t="str">
            <v>700-30-025</v>
          </cell>
          <cell r="B301" t="str">
            <v>FIXED INCOME INVESTMENTS POOL</v>
          </cell>
          <cell r="C301">
            <v>0</v>
          </cell>
          <cell r="D301">
            <v>0</v>
          </cell>
          <cell r="E301">
            <v>0</v>
          </cell>
          <cell r="F301">
            <v>0</v>
          </cell>
          <cell r="G301">
            <v>0</v>
          </cell>
          <cell r="H301">
            <v>0</v>
          </cell>
        </row>
        <row r="302">
          <cell r="A302" t="str">
            <v>700-30-026</v>
          </cell>
          <cell r="B302" t="str">
            <v>BOND FUND</v>
          </cell>
          <cell r="C302">
            <v>294343153</v>
          </cell>
          <cell r="D302">
            <v>2549958</v>
          </cell>
          <cell r="E302">
            <v>296893111</v>
          </cell>
          <cell r="F302">
            <v>296893111</v>
          </cell>
          <cell r="G302">
            <v>0</v>
          </cell>
          <cell r="H302">
            <v>296893111</v>
          </cell>
        </row>
        <row r="303">
          <cell r="A303" t="str">
            <v>700-30-027</v>
          </cell>
          <cell r="B303" t="str">
            <v>MONEY MARKET FUND</v>
          </cell>
          <cell r="C303">
            <v>146026332.44999999</v>
          </cell>
          <cell r="D303">
            <v>276321</v>
          </cell>
          <cell r="E303">
            <v>146302653.44999999</v>
          </cell>
          <cell r="F303">
            <v>146302653.44999999</v>
          </cell>
          <cell r="G303">
            <v>0</v>
          </cell>
          <cell r="H303">
            <v>146302653.44999999</v>
          </cell>
        </row>
        <row r="304">
          <cell r="A304" t="str">
            <v>700-30-030</v>
          </cell>
          <cell r="B304" t="str">
            <v>ACCRUED INTEREST</v>
          </cell>
          <cell r="C304">
            <v>0</v>
          </cell>
          <cell r="D304">
            <v>0</v>
          </cell>
          <cell r="E304">
            <v>0</v>
          </cell>
          <cell r="F304">
            <v>0</v>
          </cell>
          <cell r="G304">
            <v>0</v>
          </cell>
          <cell r="H304">
            <v>0</v>
          </cell>
        </row>
        <row r="305">
          <cell r="A305" t="str">
            <v>700-30-040</v>
          </cell>
          <cell r="B305" t="str">
            <v>PREM ON BOND</v>
          </cell>
          <cell r="C305">
            <v>0</v>
          </cell>
          <cell r="D305">
            <v>0</v>
          </cell>
          <cell r="E305">
            <v>0</v>
          </cell>
          <cell r="F305">
            <v>0</v>
          </cell>
          <cell r="G305">
            <v>0</v>
          </cell>
          <cell r="H305">
            <v>0</v>
          </cell>
        </row>
        <row r="306">
          <cell r="A306" t="str">
            <v>700-30-045</v>
          </cell>
          <cell r="B306" t="str">
            <v>GAIN/LOSS ON VALUATION-TBS</v>
          </cell>
          <cell r="C306">
            <v>0</v>
          </cell>
          <cell r="D306">
            <v>0</v>
          </cell>
          <cell r="E306">
            <v>0</v>
          </cell>
          <cell r="F306">
            <v>0</v>
          </cell>
          <cell r="G306">
            <v>0</v>
          </cell>
          <cell r="H306">
            <v>0</v>
          </cell>
        </row>
        <row r="307">
          <cell r="A307" t="str">
            <v>700-35-010</v>
          </cell>
          <cell r="B307" t="str">
            <v>TREASURY BONDS</v>
          </cell>
          <cell r="C307">
            <v>194855362</v>
          </cell>
          <cell r="D307">
            <v>3463048.5</v>
          </cell>
          <cell r="E307">
            <v>198318410.5</v>
          </cell>
          <cell r="F307">
            <v>198318410.5</v>
          </cell>
          <cell r="G307">
            <v>0</v>
          </cell>
          <cell r="H307">
            <v>198318410.5</v>
          </cell>
        </row>
        <row r="308">
          <cell r="A308" t="str">
            <v>700-50-010</v>
          </cell>
          <cell r="B308" t="str">
            <v>BROOKE BOND LEIBERG</v>
          </cell>
          <cell r="C308">
            <v>0</v>
          </cell>
          <cell r="D308">
            <v>0</v>
          </cell>
          <cell r="E308">
            <v>0</v>
          </cell>
          <cell r="F308">
            <v>0</v>
          </cell>
          <cell r="G308">
            <v>0</v>
          </cell>
          <cell r="H308">
            <v>0</v>
          </cell>
        </row>
        <row r="309">
          <cell r="A309" t="str">
            <v>700-50-020</v>
          </cell>
          <cell r="B309" t="str">
            <v>EQUITIES INVESTMENT POOL</v>
          </cell>
          <cell r="C309">
            <v>0</v>
          </cell>
          <cell r="D309">
            <v>0</v>
          </cell>
          <cell r="E309">
            <v>0</v>
          </cell>
          <cell r="F309">
            <v>0</v>
          </cell>
          <cell r="G309">
            <v>0</v>
          </cell>
          <cell r="H309">
            <v>0</v>
          </cell>
        </row>
        <row r="310">
          <cell r="A310" t="str">
            <v>700-50-021</v>
          </cell>
          <cell r="B310" t="str">
            <v>EQUITY FUND</v>
          </cell>
          <cell r="C310">
            <v>215369278.80000001</v>
          </cell>
          <cell r="D310">
            <v>-13740770</v>
          </cell>
          <cell r="E310">
            <v>201628508.80000001</v>
          </cell>
          <cell r="F310">
            <v>201628508.80000001</v>
          </cell>
          <cell r="G310">
            <v>0</v>
          </cell>
          <cell r="H310">
            <v>201628508.80000001</v>
          </cell>
        </row>
        <row r="311">
          <cell r="A311" t="str">
            <v>700-50-022</v>
          </cell>
          <cell r="B311" t="str">
            <v>SPECIAL OPPORTUNITIES FUND</v>
          </cell>
          <cell r="C311">
            <v>7777686</v>
          </cell>
          <cell r="D311">
            <v>161499</v>
          </cell>
          <cell r="E311">
            <v>7939185</v>
          </cell>
          <cell r="F311">
            <v>7939185</v>
          </cell>
          <cell r="G311">
            <v>0</v>
          </cell>
          <cell r="H311">
            <v>7939185</v>
          </cell>
        </row>
        <row r="312">
          <cell r="A312" t="str">
            <v>700-50-025</v>
          </cell>
          <cell r="B312" t="str">
            <v>EQUITY POOL-INTEREST FIXED DEPOSIT</v>
          </cell>
          <cell r="C312">
            <v>-1</v>
          </cell>
          <cell r="D312">
            <v>0</v>
          </cell>
          <cell r="E312">
            <v>-1</v>
          </cell>
          <cell r="F312">
            <v>-1</v>
          </cell>
          <cell r="G312">
            <v>0</v>
          </cell>
          <cell r="H312">
            <v>-1</v>
          </cell>
        </row>
        <row r="313">
          <cell r="A313" t="str">
            <v>700-50-030</v>
          </cell>
          <cell r="B313" t="str">
            <v>SHARE SETTLEMENT CASH IN TRANSIT-EQUITY</v>
          </cell>
          <cell r="C313">
            <v>0</v>
          </cell>
          <cell r="D313">
            <v>0</v>
          </cell>
          <cell r="E313">
            <v>0</v>
          </cell>
          <cell r="F313">
            <v>0</v>
          </cell>
          <cell r="G313">
            <v>0</v>
          </cell>
          <cell r="H313">
            <v>0</v>
          </cell>
        </row>
        <row r="314">
          <cell r="A314" t="str">
            <v>700-50-035</v>
          </cell>
          <cell r="B314" t="str">
            <v>BAMBURI CEMENT</v>
          </cell>
          <cell r="C314">
            <v>0</v>
          </cell>
          <cell r="D314">
            <v>0</v>
          </cell>
          <cell r="E314">
            <v>0</v>
          </cell>
          <cell r="F314">
            <v>0</v>
          </cell>
          <cell r="G314">
            <v>0</v>
          </cell>
          <cell r="H314">
            <v>0</v>
          </cell>
        </row>
        <row r="315">
          <cell r="A315" t="str">
            <v>700-50-040</v>
          </cell>
          <cell r="B315" t="str">
            <v>SASINI TEA &amp; COFFEE LTD</v>
          </cell>
          <cell r="C315">
            <v>0</v>
          </cell>
          <cell r="D315">
            <v>0</v>
          </cell>
          <cell r="E315">
            <v>0</v>
          </cell>
          <cell r="F315">
            <v>0</v>
          </cell>
          <cell r="G315">
            <v>0</v>
          </cell>
          <cell r="H315">
            <v>0</v>
          </cell>
        </row>
        <row r="316">
          <cell r="A316" t="str">
            <v>700-50-050</v>
          </cell>
          <cell r="B316" t="str">
            <v>E.A BREWERIES</v>
          </cell>
          <cell r="C316">
            <v>0</v>
          </cell>
          <cell r="D316">
            <v>0</v>
          </cell>
          <cell r="E316">
            <v>0</v>
          </cell>
          <cell r="F316">
            <v>0</v>
          </cell>
          <cell r="G316">
            <v>0</v>
          </cell>
          <cell r="H316">
            <v>0</v>
          </cell>
        </row>
        <row r="317">
          <cell r="A317" t="str">
            <v>700-50-055</v>
          </cell>
          <cell r="B317" t="str">
            <v>EAST AFRICA PORTLAND</v>
          </cell>
          <cell r="C317">
            <v>0</v>
          </cell>
          <cell r="D317">
            <v>0</v>
          </cell>
          <cell r="E317">
            <v>0</v>
          </cell>
          <cell r="F317">
            <v>0</v>
          </cell>
          <cell r="G317">
            <v>0</v>
          </cell>
          <cell r="H317">
            <v>0</v>
          </cell>
        </row>
        <row r="318">
          <cell r="A318" t="str">
            <v>700-50-060</v>
          </cell>
          <cell r="B318" t="str">
            <v>UNGA GROUP</v>
          </cell>
          <cell r="C318">
            <v>0</v>
          </cell>
          <cell r="D318">
            <v>0</v>
          </cell>
          <cell r="E318">
            <v>0</v>
          </cell>
          <cell r="F318">
            <v>0</v>
          </cell>
          <cell r="G318">
            <v>0</v>
          </cell>
          <cell r="H318">
            <v>0</v>
          </cell>
        </row>
        <row r="319">
          <cell r="A319" t="str">
            <v>700-50-065</v>
          </cell>
          <cell r="B319" t="str">
            <v>STANCHART</v>
          </cell>
          <cell r="C319">
            <v>0</v>
          </cell>
          <cell r="D319">
            <v>0</v>
          </cell>
          <cell r="E319">
            <v>0</v>
          </cell>
          <cell r="F319">
            <v>0</v>
          </cell>
          <cell r="G319">
            <v>0</v>
          </cell>
          <cell r="H319">
            <v>0</v>
          </cell>
        </row>
        <row r="320">
          <cell r="A320" t="str">
            <v>700-50-070</v>
          </cell>
          <cell r="B320" t="str">
            <v>NATIONAL IND.CREDIT BANK</v>
          </cell>
          <cell r="C320">
            <v>0</v>
          </cell>
          <cell r="D320">
            <v>0</v>
          </cell>
          <cell r="E320">
            <v>0</v>
          </cell>
          <cell r="F320">
            <v>0</v>
          </cell>
          <cell r="G320">
            <v>0</v>
          </cell>
          <cell r="H320">
            <v>0</v>
          </cell>
        </row>
        <row r="321">
          <cell r="A321" t="str">
            <v>700-50-075</v>
          </cell>
          <cell r="B321" t="str">
            <v>KENYA AIRWAYS</v>
          </cell>
          <cell r="C321">
            <v>0</v>
          </cell>
          <cell r="D321">
            <v>0</v>
          </cell>
          <cell r="E321">
            <v>0</v>
          </cell>
          <cell r="F321">
            <v>0</v>
          </cell>
          <cell r="G321">
            <v>0</v>
          </cell>
          <cell r="H321">
            <v>0</v>
          </cell>
        </row>
        <row r="322">
          <cell r="A322" t="str">
            <v>700-50-080</v>
          </cell>
          <cell r="B322" t="str">
            <v>BRITISH AMERICAN TOBACCO</v>
          </cell>
          <cell r="C322">
            <v>0</v>
          </cell>
          <cell r="D322">
            <v>0</v>
          </cell>
          <cell r="E322">
            <v>0</v>
          </cell>
          <cell r="F322">
            <v>0</v>
          </cell>
          <cell r="G322">
            <v>0</v>
          </cell>
          <cell r="H322">
            <v>0</v>
          </cell>
        </row>
        <row r="323">
          <cell r="A323" t="str">
            <v>700-50-090</v>
          </cell>
          <cell r="B323" t="str">
            <v>KENYA OIL COMPANY LTD.</v>
          </cell>
          <cell r="C323">
            <v>0</v>
          </cell>
          <cell r="D323">
            <v>0</v>
          </cell>
          <cell r="E323">
            <v>0</v>
          </cell>
          <cell r="F323">
            <v>0</v>
          </cell>
          <cell r="G323">
            <v>0</v>
          </cell>
          <cell r="H323">
            <v>0</v>
          </cell>
        </row>
        <row r="324">
          <cell r="A324" t="str">
            <v>700-50-100</v>
          </cell>
          <cell r="B324" t="str">
            <v>FIRESTONE E.A.</v>
          </cell>
          <cell r="C324">
            <v>0</v>
          </cell>
          <cell r="D324">
            <v>0</v>
          </cell>
          <cell r="E324">
            <v>0</v>
          </cell>
          <cell r="F324">
            <v>0</v>
          </cell>
          <cell r="G324">
            <v>0</v>
          </cell>
          <cell r="H324">
            <v>0</v>
          </cell>
        </row>
        <row r="325">
          <cell r="A325" t="str">
            <v>700-50-110</v>
          </cell>
          <cell r="B325" t="str">
            <v>ATHI RIVER MINING</v>
          </cell>
          <cell r="C325">
            <v>0</v>
          </cell>
          <cell r="D325">
            <v>0</v>
          </cell>
          <cell r="E325">
            <v>0</v>
          </cell>
          <cell r="F325">
            <v>0</v>
          </cell>
          <cell r="G325">
            <v>0</v>
          </cell>
          <cell r="H325">
            <v>0</v>
          </cell>
        </row>
        <row r="326">
          <cell r="A326" t="str">
            <v>700-50-115</v>
          </cell>
          <cell r="B326" t="str">
            <v>MUMIAS LIMITED</v>
          </cell>
          <cell r="C326">
            <v>0</v>
          </cell>
          <cell r="D326">
            <v>0</v>
          </cell>
          <cell r="E326">
            <v>0</v>
          </cell>
          <cell r="F326">
            <v>0</v>
          </cell>
          <cell r="G326">
            <v>0</v>
          </cell>
          <cell r="H326">
            <v>0</v>
          </cell>
        </row>
        <row r="327">
          <cell r="A327" t="str">
            <v>700-50-120</v>
          </cell>
          <cell r="B327" t="str">
            <v>BARCLAYS BANK OF KENYA</v>
          </cell>
          <cell r="C327">
            <v>0</v>
          </cell>
          <cell r="D327">
            <v>0</v>
          </cell>
          <cell r="E327">
            <v>0</v>
          </cell>
          <cell r="F327">
            <v>0</v>
          </cell>
          <cell r="G327">
            <v>0</v>
          </cell>
          <cell r="H327">
            <v>0</v>
          </cell>
        </row>
        <row r="328">
          <cell r="A328" t="str">
            <v>700-50-125</v>
          </cell>
          <cell r="B328" t="str">
            <v>EAST AFRICA PORTLAND</v>
          </cell>
          <cell r="C328">
            <v>0</v>
          </cell>
          <cell r="D328">
            <v>0</v>
          </cell>
          <cell r="E328">
            <v>0</v>
          </cell>
          <cell r="F328">
            <v>0</v>
          </cell>
          <cell r="G328">
            <v>0</v>
          </cell>
          <cell r="H328">
            <v>0</v>
          </cell>
        </row>
        <row r="329">
          <cell r="A329" t="str">
            <v>700-50-130</v>
          </cell>
          <cell r="B329" t="str">
            <v>NATION MEDIA GROUP</v>
          </cell>
          <cell r="C329">
            <v>0</v>
          </cell>
          <cell r="D329">
            <v>0</v>
          </cell>
          <cell r="E329">
            <v>0</v>
          </cell>
          <cell r="F329">
            <v>0</v>
          </cell>
          <cell r="G329">
            <v>0</v>
          </cell>
          <cell r="H329">
            <v>0</v>
          </cell>
        </row>
        <row r="330">
          <cell r="A330" t="str">
            <v>700-50-135</v>
          </cell>
          <cell r="B330" t="str">
            <v>ICDC INVESTMENTS SHARES</v>
          </cell>
          <cell r="C330">
            <v>0</v>
          </cell>
          <cell r="D330">
            <v>0</v>
          </cell>
          <cell r="E330">
            <v>0</v>
          </cell>
          <cell r="F330">
            <v>0</v>
          </cell>
          <cell r="G330">
            <v>0</v>
          </cell>
          <cell r="H330">
            <v>0</v>
          </cell>
        </row>
        <row r="331">
          <cell r="A331" t="str">
            <v>700-50-140</v>
          </cell>
          <cell r="B331" t="str">
            <v>KENYA COMMERCIAL BANK</v>
          </cell>
          <cell r="C331">
            <v>0</v>
          </cell>
          <cell r="D331">
            <v>0</v>
          </cell>
          <cell r="E331">
            <v>0</v>
          </cell>
          <cell r="F331">
            <v>0</v>
          </cell>
          <cell r="G331">
            <v>0</v>
          </cell>
          <cell r="H331">
            <v>0</v>
          </cell>
        </row>
        <row r="332">
          <cell r="A332" t="str">
            <v>700-50-145</v>
          </cell>
          <cell r="B332" t="str">
            <v>TOTAL KENYA KTD.</v>
          </cell>
          <cell r="C332">
            <v>0</v>
          </cell>
          <cell r="D332">
            <v>0</v>
          </cell>
          <cell r="E332">
            <v>0</v>
          </cell>
          <cell r="F332">
            <v>0</v>
          </cell>
          <cell r="G332">
            <v>0</v>
          </cell>
          <cell r="H332">
            <v>0</v>
          </cell>
        </row>
        <row r="333">
          <cell r="A333" t="str">
            <v>700-50-150</v>
          </cell>
          <cell r="B333" t="str">
            <v>K P L C</v>
          </cell>
          <cell r="C333">
            <v>0</v>
          </cell>
          <cell r="D333">
            <v>0</v>
          </cell>
          <cell r="E333">
            <v>0</v>
          </cell>
          <cell r="F333">
            <v>0</v>
          </cell>
          <cell r="G333">
            <v>0</v>
          </cell>
          <cell r="H333">
            <v>0</v>
          </cell>
        </row>
        <row r="334">
          <cell r="A334" t="str">
            <v>700-50-155</v>
          </cell>
          <cell r="B334" t="str">
            <v>C F C BANK LTD.</v>
          </cell>
          <cell r="C334">
            <v>0</v>
          </cell>
          <cell r="D334">
            <v>0</v>
          </cell>
          <cell r="E334">
            <v>0</v>
          </cell>
          <cell r="F334">
            <v>0</v>
          </cell>
          <cell r="G334">
            <v>0</v>
          </cell>
          <cell r="H334">
            <v>0</v>
          </cell>
        </row>
        <row r="335">
          <cell r="A335" t="str">
            <v>700-50-160</v>
          </cell>
          <cell r="B335" t="str">
            <v>KAKUZI LTD.</v>
          </cell>
          <cell r="C335">
            <v>0</v>
          </cell>
          <cell r="D335">
            <v>0</v>
          </cell>
          <cell r="E335">
            <v>0</v>
          </cell>
          <cell r="F335">
            <v>0</v>
          </cell>
          <cell r="G335">
            <v>0</v>
          </cell>
          <cell r="H335">
            <v>0</v>
          </cell>
        </row>
        <row r="336">
          <cell r="A336" t="str">
            <v>700-50-165</v>
          </cell>
          <cell r="B336" t="str">
            <v>CMC HOLDINGS</v>
          </cell>
          <cell r="C336">
            <v>0</v>
          </cell>
          <cell r="D336">
            <v>0</v>
          </cell>
          <cell r="E336">
            <v>0</v>
          </cell>
          <cell r="F336">
            <v>0</v>
          </cell>
          <cell r="G336">
            <v>0</v>
          </cell>
          <cell r="H336">
            <v>0</v>
          </cell>
        </row>
        <row r="337">
          <cell r="A337" t="str">
            <v>700-50-170</v>
          </cell>
          <cell r="B337" t="str">
            <v>DIAMOND TRUST BANK LTD</v>
          </cell>
          <cell r="C337">
            <v>0</v>
          </cell>
          <cell r="D337">
            <v>0</v>
          </cell>
          <cell r="E337">
            <v>0</v>
          </cell>
          <cell r="F337">
            <v>0</v>
          </cell>
          <cell r="G337">
            <v>0</v>
          </cell>
          <cell r="H337">
            <v>0</v>
          </cell>
        </row>
        <row r="338">
          <cell r="A338" t="str">
            <v>700-50-175</v>
          </cell>
          <cell r="B338" t="str">
            <v>KENGEN LTD</v>
          </cell>
          <cell r="C338">
            <v>0</v>
          </cell>
          <cell r="D338">
            <v>0</v>
          </cell>
          <cell r="E338">
            <v>0</v>
          </cell>
          <cell r="F338">
            <v>0</v>
          </cell>
          <cell r="G338">
            <v>0</v>
          </cell>
          <cell r="H338">
            <v>0</v>
          </cell>
        </row>
        <row r="339">
          <cell r="A339" t="str">
            <v>700-50-180</v>
          </cell>
          <cell r="B339" t="str">
            <v>SCAN AD</v>
          </cell>
          <cell r="C339">
            <v>0</v>
          </cell>
          <cell r="D339">
            <v>0</v>
          </cell>
          <cell r="E339">
            <v>0</v>
          </cell>
          <cell r="F339">
            <v>0</v>
          </cell>
          <cell r="G339">
            <v>0</v>
          </cell>
          <cell r="H339">
            <v>0</v>
          </cell>
        </row>
        <row r="340">
          <cell r="A340" t="str">
            <v>700-55-010</v>
          </cell>
          <cell r="B340" t="str">
            <v>DFCU LTD</v>
          </cell>
          <cell r="C340">
            <v>0</v>
          </cell>
          <cell r="D340">
            <v>0</v>
          </cell>
          <cell r="E340">
            <v>0</v>
          </cell>
          <cell r="F340">
            <v>0</v>
          </cell>
          <cell r="G340">
            <v>0</v>
          </cell>
          <cell r="H340">
            <v>0</v>
          </cell>
        </row>
        <row r="341">
          <cell r="A341" t="str">
            <v>700-55-020</v>
          </cell>
          <cell r="B341" t="str">
            <v>UGANDA CLAYS</v>
          </cell>
          <cell r="C341">
            <v>0</v>
          </cell>
          <cell r="D341">
            <v>0</v>
          </cell>
          <cell r="E341">
            <v>0</v>
          </cell>
          <cell r="F341">
            <v>0</v>
          </cell>
          <cell r="G341">
            <v>0</v>
          </cell>
          <cell r="H341">
            <v>0</v>
          </cell>
        </row>
        <row r="342">
          <cell r="A342" t="str">
            <v>700-55-022</v>
          </cell>
          <cell r="B342" t="str">
            <v>SPECIAL OPPORTUBNITIES FUND</v>
          </cell>
          <cell r="C342">
            <v>0</v>
          </cell>
          <cell r="D342">
            <v>0</v>
          </cell>
          <cell r="E342">
            <v>0</v>
          </cell>
          <cell r="F342">
            <v>0</v>
          </cell>
          <cell r="G342">
            <v>0</v>
          </cell>
          <cell r="H342">
            <v>0</v>
          </cell>
        </row>
        <row r="343">
          <cell r="A343" t="str">
            <v>700-55-025</v>
          </cell>
          <cell r="B343" t="str">
            <v>SPECULATIVE INVESTMENTS POOL</v>
          </cell>
          <cell r="C343">
            <v>0</v>
          </cell>
          <cell r="D343">
            <v>0</v>
          </cell>
          <cell r="E343">
            <v>0</v>
          </cell>
          <cell r="F343">
            <v>0</v>
          </cell>
          <cell r="G343">
            <v>0</v>
          </cell>
          <cell r="H343">
            <v>0</v>
          </cell>
        </row>
        <row r="344">
          <cell r="A344" t="str">
            <v>700-60-010</v>
          </cell>
          <cell r="B344" t="str">
            <v>FIXED DEPOSIT CBA</v>
          </cell>
          <cell r="C344">
            <v>2133048</v>
          </cell>
          <cell r="D344">
            <v>0</v>
          </cell>
          <cell r="E344">
            <v>2133048</v>
          </cell>
          <cell r="F344">
            <v>2133048</v>
          </cell>
          <cell r="G344">
            <v>0</v>
          </cell>
          <cell r="H344">
            <v>2133048</v>
          </cell>
        </row>
        <row r="345">
          <cell r="A345" t="str">
            <v>700-60-020</v>
          </cell>
          <cell r="B345" t="str">
            <v>OTHERS FIXED DEPOSIT</v>
          </cell>
          <cell r="C345">
            <v>0</v>
          </cell>
          <cell r="D345">
            <v>0</v>
          </cell>
          <cell r="E345">
            <v>0</v>
          </cell>
          <cell r="F345">
            <v>0</v>
          </cell>
          <cell r="G345">
            <v>0</v>
          </cell>
          <cell r="H345">
            <v>0</v>
          </cell>
        </row>
        <row r="346">
          <cell r="A346" t="str">
            <v>700-60-030</v>
          </cell>
          <cell r="B346" t="str">
            <v>ACCRUED INTEREST</v>
          </cell>
          <cell r="C346">
            <v>0</v>
          </cell>
          <cell r="D346">
            <v>0</v>
          </cell>
          <cell r="E346">
            <v>0</v>
          </cell>
          <cell r="F346">
            <v>0</v>
          </cell>
          <cell r="G346">
            <v>0</v>
          </cell>
          <cell r="H346">
            <v>0</v>
          </cell>
        </row>
        <row r="347">
          <cell r="A347" t="str">
            <v>700-60-040</v>
          </cell>
          <cell r="B347" t="str">
            <v>FIXED DEPOSIT-DELPHIS</v>
          </cell>
          <cell r="C347">
            <v>33755</v>
          </cell>
          <cell r="D347">
            <v>0</v>
          </cell>
          <cell r="E347">
            <v>33755</v>
          </cell>
          <cell r="F347">
            <v>33755</v>
          </cell>
          <cell r="G347">
            <v>0</v>
          </cell>
          <cell r="H347">
            <v>33755</v>
          </cell>
        </row>
        <row r="348">
          <cell r="A348" t="str">
            <v>700-60-050</v>
          </cell>
          <cell r="B348" t="str">
            <v>FIXED DEPOSIT TANZANIA</v>
          </cell>
          <cell r="C348">
            <v>315119</v>
          </cell>
          <cell r="D348">
            <v>0</v>
          </cell>
          <cell r="E348">
            <v>315119</v>
          </cell>
          <cell r="F348">
            <v>315119</v>
          </cell>
          <cell r="G348">
            <v>0</v>
          </cell>
          <cell r="H348">
            <v>315119</v>
          </cell>
        </row>
        <row r="349">
          <cell r="A349" t="str">
            <v>700-60-060</v>
          </cell>
          <cell r="B349" t="str">
            <v>DELPHIS-PROVISION</v>
          </cell>
          <cell r="C349">
            <v>-33754</v>
          </cell>
          <cell r="D349">
            <v>0</v>
          </cell>
          <cell r="E349">
            <v>-33754</v>
          </cell>
          <cell r="F349">
            <v>-33754</v>
          </cell>
          <cell r="G349">
            <v>0</v>
          </cell>
          <cell r="H349">
            <v>-33754</v>
          </cell>
        </row>
        <row r="350">
          <cell r="A350" t="str">
            <v>700-60-070</v>
          </cell>
          <cell r="B350" t="str">
            <v>STANBIC CUSTODIAN SERVICE</v>
          </cell>
          <cell r="C350">
            <v>0</v>
          </cell>
          <cell r="D350">
            <v>0</v>
          </cell>
          <cell r="E350">
            <v>0</v>
          </cell>
          <cell r="F350">
            <v>0</v>
          </cell>
          <cell r="G350">
            <v>0</v>
          </cell>
          <cell r="H350">
            <v>0</v>
          </cell>
        </row>
        <row r="351">
          <cell r="A351" t="str">
            <v>700-60-075</v>
          </cell>
          <cell r="B351" t="str">
            <v>STANBIC CUSTODIAL-BOND FUND</v>
          </cell>
          <cell r="C351">
            <v>0</v>
          </cell>
          <cell r="D351">
            <v>0</v>
          </cell>
          <cell r="E351">
            <v>0</v>
          </cell>
          <cell r="F351">
            <v>0</v>
          </cell>
          <cell r="G351">
            <v>0</v>
          </cell>
          <cell r="H351">
            <v>0</v>
          </cell>
        </row>
        <row r="352">
          <cell r="A352" t="str">
            <v>700-60-080</v>
          </cell>
          <cell r="B352" t="str">
            <v>STANBIC CUSTODIAL-EQUITY FUND</v>
          </cell>
          <cell r="C352">
            <v>0</v>
          </cell>
          <cell r="D352">
            <v>0</v>
          </cell>
          <cell r="E352">
            <v>0</v>
          </cell>
          <cell r="F352">
            <v>0</v>
          </cell>
          <cell r="G352">
            <v>0</v>
          </cell>
          <cell r="H352">
            <v>0</v>
          </cell>
        </row>
        <row r="353">
          <cell r="A353" t="str">
            <v>700-60-085</v>
          </cell>
          <cell r="B353" t="str">
            <v>STANBIC CUSTODIAL-SPECIAL OPPORTUNITIES</v>
          </cell>
          <cell r="C353">
            <v>0</v>
          </cell>
          <cell r="D353">
            <v>0</v>
          </cell>
          <cell r="E353">
            <v>0</v>
          </cell>
          <cell r="F353">
            <v>0</v>
          </cell>
          <cell r="G353">
            <v>0</v>
          </cell>
          <cell r="H353">
            <v>0</v>
          </cell>
        </row>
        <row r="354">
          <cell r="A354" t="str">
            <v>700-60-086</v>
          </cell>
          <cell r="B354" t="str">
            <v>STANBIC-CUSTODIAL MONEY MARKET FUND</v>
          </cell>
          <cell r="C354">
            <v>0</v>
          </cell>
          <cell r="D354">
            <v>0</v>
          </cell>
          <cell r="E354">
            <v>0</v>
          </cell>
          <cell r="F354">
            <v>0</v>
          </cell>
          <cell r="G354">
            <v>0</v>
          </cell>
          <cell r="H354">
            <v>0</v>
          </cell>
        </row>
        <row r="355">
          <cell r="A355" t="str">
            <v>700-70-020</v>
          </cell>
          <cell r="B355" t="str">
            <v>E.A.DEVELOPMENT BANK</v>
          </cell>
          <cell r="C355">
            <v>0</v>
          </cell>
          <cell r="D355">
            <v>0</v>
          </cell>
          <cell r="E355">
            <v>0</v>
          </cell>
          <cell r="F355">
            <v>0</v>
          </cell>
          <cell r="G355">
            <v>0</v>
          </cell>
          <cell r="H355">
            <v>0</v>
          </cell>
        </row>
        <row r="356">
          <cell r="A356" t="str">
            <v>700-70-025</v>
          </cell>
          <cell r="B356" t="str">
            <v>VARIABLE COUPON BONDS</v>
          </cell>
          <cell r="C356">
            <v>0</v>
          </cell>
          <cell r="D356">
            <v>0</v>
          </cell>
          <cell r="E356">
            <v>0</v>
          </cell>
          <cell r="F356">
            <v>0</v>
          </cell>
          <cell r="G356">
            <v>0</v>
          </cell>
          <cell r="H356">
            <v>0</v>
          </cell>
        </row>
        <row r="357">
          <cell r="A357" t="str">
            <v>700-70-030</v>
          </cell>
          <cell r="B357" t="str">
            <v>COMMERCIAL PAPER</v>
          </cell>
          <cell r="C357">
            <v>0</v>
          </cell>
          <cell r="D357">
            <v>0</v>
          </cell>
          <cell r="E357">
            <v>0</v>
          </cell>
          <cell r="F357">
            <v>0</v>
          </cell>
          <cell r="G357">
            <v>0</v>
          </cell>
          <cell r="H357">
            <v>0</v>
          </cell>
        </row>
        <row r="358">
          <cell r="A358" t="str">
            <v>700-70-040</v>
          </cell>
          <cell r="B358" t="str">
            <v>KENYA OIL LTD.</v>
          </cell>
          <cell r="C358">
            <v>0</v>
          </cell>
          <cell r="D358">
            <v>0</v>
          </cell>
          <cell r="E358">
            <v>0</v>
          </cell>
          <cell r="F358">
            <v>0</v>
          </cell>
          <cell r="G358">
            <v>0</v>
          </cell>
          <cell r="H358">
            <v>0</v>
          </cell>
        </row>
        <row r="359">
          <cell r="A359" t="str">
            <v>700-70-045</v>
          </cell>
          <cell r="B359" t="str">
            <v>PTA</v>
          </cell>
          <cell r="C359">
            <v>0</v>
          </cell>
          <cell r="D359">
            <v>0</v>
          </cell>
          <cell r="E359">
            <v>0</v>
          </cell>
          <cell r="F359">
            <v>0</v>
          </cell>
          <cell r="G359">
            <v>0</v>
          </cell>
          <cell r="H359">
            <v>0</v>
          </cell>
        </row>
        <row r="360">
          <cell r="A360" t="str">
            <v>700-70-050</v>
          </cell>
          <cell r="B360" t="str">
            <v>MABATI ROLLING MILLS</v>
          </cell>
          <cell r="C360">
            <v>0</v>
          </cell>
          <cell r="D360">
            <v>0</v>
          </cell>
          <cell r="E360">
            <v>0</v>
          </cell>
          <cell r="F360">
            <v>0</v>
          </cell>
          <cell r="G360">
            <v>0</v>
          </cell>
          <cell r="H360">
            <v>0</v>
          </cell>
        </row>
        <row r="361">
          <cell r="A361" t="str">
            <v>700-70-060</v>
          </cell>
          <cell r="B361" t="str">
            <v>ACCRUED INTEREST</v>
          </cell>
          <cell r="C361">
            <v>0</v>
          </cell>
          <cell r="D361">
            <v>0</v>
          </cell>
          <cell r="E361">
            <v>0</v>
          </cell>
          <cell r="F361">
            <v>0</v>
          </cell>
          <cell r="G361">
            <v>0</v>
          </cell>
          <cell r="H361">
            <v>0</v>
          </cell>
        </row>
        <row r="362">
          <cell r="A362" t="str">
            <v>700-70-065</v>
          </cell>
          <cell r="B362" t="str">
            <v>ATHI RIVER MINING</v>
          </cell>
          <cell r="C362">
            <v>0</v>
          </cell>
          <cell r="D362">
            <v>0</v>
          </cell>
          <cell r="E362">
            <v>0</v>
          </cell>
          <cell r="F362">
            <v>0</v>
          </cell>
          <cell r="G362">
            <v>0</v>
          </cell>
          <cell r="H362">
            <v>0</v>
          </cell>
        </row>
        <row r="363">
          <cell r="A363" t="str">
            <v>700-70-070</v>
          </cell>
          <cell r="B363" t="str">
            <v>CMC HOLDINGS</v>
          </cell>
          <cell r="C363">
            <v>0</v>
          </cell>
          <cell r="D363">
            <v>0</v>
          </cell>
          <cell r="E363">
            <v>0</v>
          </cell>
          <cell r="F363">
            <v>0</v>
          </cell>
          <cell r="G363">
            <v>0</v>
          </cell>
          <cell r="H363">
            <v>0</v>
          </cell>
        </row>
        <row r="364">
          <cell r="A364" t="str">
            <v>700-70-075</v>
          </cell>
          <cell r="B364" t="str">
            <v>GAIN/LOSS ON VALUATION</v>
          </cell>
          <cell r="C364">
            <v>0</v>
          </cell>
          <cell r="D364">
            <v>0</v>
          </cell>
          <cell r="E364">
            <v>0</v>
          </cell>
          <cell r="F364">
            <v>0</v>
          </cell>
          <cell r="G364">
            <v>0</v>
          </cell>
          <cell r="H364">
            <v>0</v>
          </cell>
        </row>
        <row r="365">
          <cell r="A365" t="str">
            <v>700-75-010</v>
          </cell>
          <cell r="B365" t="str">
            <v>LOAN ON MORTGAGE THIRD PARTY</v>
          </cell>
          <cell r="C365">
            <v>11541028</v>
          </cell>
          <cell r="D365">
            <v>-391278.2</v>
          </cell>
          <cell r="E365">
            <v>11149749.800000001</v>
          </cell>
          <cell r="F365">
            <v>11149749.800000001</v>
          </cell>
          <cell r="G365">
            <v>0</v>
          </cell>
          <cell r="H365">
            <v>11149749.800000001</v>
          </cell>
        </row>
        <row r="366">
          <cell r="A366" t="str">
            <v>700-75-020</v>
          </cell>
          <cell r="B366" t="str">
            <v>LOAN ON MORTGAGE -STAFF</v>
          </cell>
          <cell r="C366">
            <v>72647565.579999998</v>
          </cell>
          <cell r="D366">
            <v>1750959.45</v>
          </cell>
          <cell r="E366">
            <v>74398525.030000001</v>
          </cell>
          <cell r="F366">
            <v>74398525.030000001</v>
          </cell>
          <cell r="G366">
            <v>0</v>
          </cell>
          <cell r="H366">
            <v>74398525.030000001</v>
          </cell>
        </row>
        <row r="367">
          <cell r="A367" t="str">
            <v>700-75-025</v>
          </cell>
          <cell r="B367" t="str">
            <v>O/S INTEREST ON MORTGAGE</v>
          </cell>
          <cell r="C367">
            <v>1142320.2</v>
          </cell>
          <cell r="D367">
            <v>0</v>
          </cell>
          <cell r="E367">
            <v>1142320.2</v>
          </cell>
          <cell r="F367">
            <v>1142320.2</v>
          </cell>
          <cell r="G367">
            <v>0</v>
          </cell>
          <cell r="H367">
            <v>1142320.2</v>
          </cell>
        </row>
        <row r="368">
          <cell r="A368" t="str">
            <v>700-75-030</v>
          </cell>
          <cell r="B368" t="str">
            <v>MORTGAGE-RETREAT VILLA</v>
          </cell>
          <cell r="C368">
            <v>-593463</v>
          </cell>
          <cell r="D368">
            <v>0</v>
          </cell>
          <cell r="E368">
            <v>-593463</v>
          </cell>
          <cell r="F368">
            <v>-593463</v>
          </cell>
          <cell r="G368">
            <v>0</v>
          </cell>
          <cell r="H368">
            <v>-593463</v>
          </cell>
        </row>
        <row r="369">
          <cell r="A369" t="str">
            <v>700-78-010</v>
          </cell>
          <cell r="B369" t="str">
            <v>LOAN ON POLICY W/S/V</v>
          </cell>
          <cell r="C369">
            <v>145748485.15000001</v>
          </cell>
          <cell r="D369">
            <v>10345601</v>
          </cell>
          <cell r="E369">
            <v>156094086.15000001</v>
          </cell>
          <cell r="F369">
            <v>156094086.15000001</v>
          </cell>
          <cell r="G369">
            <v>0</v>
          </cell>
          <cell r="H369">
            <v>156094086.15000001</v>
          </cell>
        </row>
        <row r="370">
          <cell r="A370" t="str">
            <v>700-78-020</v>
          </cell>
          <cell r="B370" t="str">
            <v>LOAN ON POLICY TANZANIA</v>
          </cell>
          <cell r="C370">
            <v>140516</v>
          </cell>
          <cell r="D370">
            <v>0</v>
          </cell>
          <cell r="E370">
            <v>140516</v>
          </cell>
          <cell r="F370">
            <v>140516</v>
          </cell>
          <cell r="G370">
            <v>0</v>
          </cell>
          <cell r="H370">
            <v>140516</v>
          </cell>
        </row>
        <row r="371">
          <cell r="A371" t="str">
            <v>700-78-030</v>
          </cell>
          <cell r="B371" t="str">
            <v>LOAN ON POLICY REPAYMENT</v>
          </cell>
          <cell r="C371">
            <v>-75203898.730000004</v>
          </cell>
          <cell r="D371">
            <v>-2352654.9</v>
          </cell>
          <cell r="E371">
            <v>-77556553.629999995</v>
          </cell>
          <cell r="F371">
            <v>-77556553.629999995</v>
          </cell>
          <cell r="G371">
            <v>0</v>
          </cell>
          <cell r="H371">
            <v>-77556553.629999995</v>
          </cell>
        </row>
        <row r="372">
          <cell r="A372" t="str">
            <v>700-78-040</v>
          </cell>
          <cell r="B372" t="str">
            <v>O/S INTEREST ON LOAN ON POLICY</v>
          </cell>
          <cell r="C372">
            <v>32132653</v>
          </cell>
          <cell r="D372">
            <v>1177451</v>
          </cell>
          <cell r="E372">
            <v>33310104</v>
          </cell>
          <cell r="F372">
            <v>33310104</v>
          </cell>
          <cell r="G372">
            <v>0</v>
          </cell>
          <cell r="H372">
            <v>33310104</v>
          </cell>
        </row>
        <row r="373">
          <cell r="A373" t="str">
            <v>700-78-050</v>
          </cell>
          <cell r="B373" t="str">
            <v>PROVISION FOR DOUBTFUL LOANS</v>
          </cell>
          <cell r="C373">
            <v>0</v>
          </cell>
          <cell r="D373">
            <v>0</v>
          </cell>
          <cell r="E373">
            <v>0</v>
          </cell>
          <cell r="F373">
            <v>0</v>
          </cell>
          <cell r="G373">
            <v>0</v>
          </cell>
          <cell r="H373">
            <v>0</v>
          </cell>
        </row>
        <row r="374">
          <cell r="A374" t="str">
            <v>700-79-010</v>
          </cell>
          <cell r="B374" t="str">
            <v>POLICY LOAN-FFFP</v>
          </cell>
          <cell r="C374">
            <v>0</v>
          </cell>
          <cell r="D374">
            <v>0</v>
          </cell>
          <cell r="E374">
            <v>0</v>
          </cell>
          <cell r="F374">
            <v>0</v>
          </cell>
          <cell r="G374">
            <v>0</v>
          </cell>
          <cell r="H374">
            <v>0</v>
          </cell>
        </row>
        <row r="375">
          <cell r="A375" t="str">
            <v>700-79-015</v>
          </cell>
          <cell r="B375" t="str">
            <v>LOAN REPAYMENT FFP</v>
          </cell>
          <cell r="C375">
            <v>0</v>
          </cell>
          <cell r="D375">
            <v>0</v>
          </cell>
          <cell r="E375">
            <v>0</v>
          </cell>
          <cell r="F375">
            <v>0</v>
          </cell>
          <cell r="G375">
            <v>0</v>
          </cell>
          <cell r="H375">
            <v>0</v>
          </cell>
        </row>
        <row r="376">
          <cell r="A376" t="str">
            <v>700-79-020</v>
          </cell>
          <cell r="B376" t="str">
            <v>POLICY LOAN WP</v>
          </cell>
          <cell r="C376">
            <v>0.6</v>
          </cell>
          <cell r="D376">
            <v>0</v>
          </cell>
          <cell r="E376">
            <v>0.6</v>
          </cell>
          <cell r="F376">
            <v>0.6</v>
          </cell>
          <cell r="G376">
            <v>0</v>
          </cell>
          <cell r="H376">
            <v>0.6</v>
          </cell>
        </row>
        <row r="377">
          <cell r="A377" t="str">
            <v>700-79-025</v>
          </cell>
          <cell r="B377" t="str">
            <v>LOAN REPAYMENT WP</v>
          </cell>
          <cell r="C377">
            <v>0</v>
          </cell>
          <cell r="D377">
            <v>0</v>
          </cell>
          <cell r="E377">
            <v>0</v>
          </cell>
          <cell r="F377">
            <v>0</v>
          </cell>
          <cell r="G377">
            <v>0</v>
          </cell>
          <cell r="H377">
            <v>0</v>
          </cell>
        </row>
        <row r="378">
          <cell r="A378" t="str">
            <v>700-79-030</v>
          </cell>
          <cell r="B378" t="str">
            <v>GAIN ON VALUATION</v>
          </cell>
          <cell r="C378">
            <v>0</v>
          </cell>
          <cell r="D378">
            <v>0</v>
          </cell>
          <cell r="E378">
            <v>0</v>
          </cell>
          <cell r="F378">
            <v>0</v>
          </cell>
          <cell r="G378">
            <v>0</v>
          </cell>
          <cell r="H378">
            <v>0</v>
          </cell>
        </row>
        <row r="379">
          <cell r="A379" t="str">
            <v>700-80-010</v>
          </cell>
          <cell r="B379" t="str">
            <v>STAFF LOANS</v>
          </cell>
          <cell r="C379">
            <v>3632741.15</v>
          </cell>
          <cell r="D379">
            <v>245595.03</v>
          </cell>
          <cell r="E379">
            <v>3878336.18</v>
          </cell>
          <cell r="F379">
            <v>3878336.18</v>
          </cell>
          <cell r="G379">
            <v>0</v>
          </cell>
          <cell r="H379">
            <v>3878336.18</v>
          </cell>
        </row>
        <row r="380">
          <cell r="A380" t="str">
            <v>700-80-020</v>
          </cell>
          <cell r="B380" t="str">
            <v>AGENTS COMMISSION CONTROL ACCOUNT</v>
          </cell>
          <cell r="C380">
            <v>-23416591.379999999</v>
          </cell>
          <cell r="D380">
            <v>-7038646.5199999996</v>
          </cell>
          <cell r="E380">
            <v>-30455237.899999999</v>
          </cell>
          <cell r="F380">
            <v>-30455237.899999999</v>
          </cell>
          <cell r="G380">
            <v>0</v>
          </cell>
          <cell r="H380">
            <v>-30455237.899999999</v>
          </cell>
        </row>
        <row r="381">
          <cell r="A381" t="str">
            <v>700-80-025</v>
          </cell>
          <cell r="B381" t="str">
            <v>AGENTS LOAN -COP</v>
          </cell>
          <cell r="C381">
            <v>1803168</v>
          </cell>
          <cell r="D381">
            <v>-38236.449999999997</v>
          </cell>
          <cell r="E381">
            <v>1764931.55</v>
          </cell>
          <cell r="F381">
            <v>1764931.55</v>
          </cell>
          <cell r="G381">
            <v>0</v>
          </cell>
          <cell r="H381">
            <v>1764931.55</v>
          </cell>
        </row>
        <row r="382">
          <cell r="A382" t="str">
            <v>700-80-030</v>
          </cell>
          <cell r="B382" t="str">
            <v>AGENTS LOAN-MV PREMIUMS</v>
          </cell>
          <cell r="C382">
            <v>1553314.15</v>
          </cell>
          <cell r="D382">
            <v>-157664.20000000001</v>
          </cell>
          <cell r="E382">
            <v>1395649.95</v>
          </cell>
          <cell r="F382">
            <v>1395649.95</v>
          </cell>
          <cell r="G382">
            <v>0</v>
          </cell>
          <cell r="H382">
            <v>1395649.95</v>
          </cell>
        </row>
        <row r="383">
          <cell r="A383" t="str">
            <v>700-80-035</v>
          </cell>
          <cell r="B383" t="str">
            <v>AGENTS LOAN-MEDICAL PREMIUMS</v>
          </cell>
          <cell r="C383">
            <v>4130764.9</v>
          </cell>
          <cell r="D383">
            <v>-539165.35</v>
          </cell>
          <cell r="E383">
            <v>3591599.55</v>
          </cell>
          <cell r="F383">
            <v>3591599.55</v>
          </cell>
          <cell r="G383">
            <v>0</v>
          </cell>
          <cell r="H383">
            <v>3591599.55</v>
          </cell>
        </row>
        <row r="384">
          <cell r="A384" t="str">
            <v>700-80-040</v>
          </cell>
          <cell r="B384" t="str">
            <v>AGENTS LOAN-1,2,3,4</v>
          </cell>
          <cell r="C384">
            <v>2171304</v>
          </cell>
          <cell r="D384">
            <v>-83400.899999999994</v>
          </cell>
          <cell r="E384">
            <v>2087903.1</v>
          </cell>
          <cell r="F384">
            <v>2087903.1</v>
          </cell>
          <cell r="G384">
            <v>0</v>
          </cell>
          <cell r="H384">
            <v>2087903.1</v>
          </cell>
        </row>
        <row r="385">
          <cell r="A385" t="str">
            <v>700-80-045</v>
          </cell>
          <cell r="B385" t="str">
            <v>AGENTS LOAN -OTHERS</v>
          </cell>
          <cell r="C385">
            <v>6734082.2000000002</v>
          </cell>
          <cell r="D385">
            <v>1062659.1000000001</v>
          </cell>
          <cell r="E385">
            <v>7796741.2999999998</v>
          </cell>
          <cell r="F385">
            <v>7796741.2999999998</v>
          </cell>
          <cell r="G385">
            <v>0</v>
          </cell>
          <cell r="H385">
            <v>7796741.2999999998</v>
          </cell>
        </row>
        <row r="386">
          <cell r="A386" t="str">
            <v>700-80-050</v>
          </cell>
          <cell r="B386" t="str">
            <v>AGENTS CAR LOANS</v>
          </cell>
          <cell r="C386">
            <v>21584148.949999999</v>
          </cell>
          <cell r="D386">
            <v>518552.35</v>
          </cell>
          <cell r="E386">
            <v>22102701.300000001</v>
          </cell>
          <cell r="F386">
            <v>22102701.300000001</v>
          </cell>
          <cell r="G386">
            <v>0</v>
          </cell>
          <cell r="H386">
            <v>22102701.300000001</v>
          </cell>
        </row>
        <row r="387">
          <cell r="A387" t="str">
            <v>700-80-051</v>
          </cell>
          <cell r="B387" t="str">
            <v>PROVISIONS FOR DOUBTFUL MORTGAGES</v>
          </cell>
          <cell r="C387">
            <v>-4440374</v>
          </cell>
          <cell r="D387">
            <v>0</v>
          </cell>
          <cell r="E387">
            <v>-4440374</v>
          </cell>
          <cell r="F387">
            <v>-4440374</v>
          </cell>
          <cell r="G387">
            <v>0</v>
          </cell>
          <cell r="H387">
            <v>-4440374</v>
          </cell>
        </row>
        <row r="388">
          <cell r="A388" t="str">
            <v>700-80-055</v>
          </cell>
          <cell r="B388" t="str">
            <v>STAFF CAR LOANS</v>
          </cell>
          <cell r="C388">
            <v>11806638.050000001</v>
          </cell>
          <cell r="D388">
            <v>-754210</v>
          </cell>
          <cell r="E388">
            <v>11052428.050000001</v>
          </cell>
          <cell r="F388">
            <v>11052428.050000001</v>
          </cell>
          <cell r="G388">
            <v>0</v>
          </cell>
          <cell r="H388">
            <v>11052428.050000001</v>
          </cell>
        </row>
        <row r="389">
          <cell r="A389" t="str">
            <v>700-80-060</v>
          </cell>
          <cell r="B389" t="str">
            <v>MORTGAGE LOANS</v>
          </cell>
          <cell r="C389">
            <v>4148182</v>
          </cell>
          <cell r="D389">
            <v>0</v>
          </cell>
          <cell r="E389">
            <v>4148182</v>
          </cell>
          <cell r="F389">
            <v>4148182</v>
          </cell>
          <cell r="G389">
            <v>0</v>
          </cell>
          <cell r="H389">
            <v>4148182</v>
          </cell>
        </row>
        <row r="390">
          <cell r="A390" t="str">
            <v>700-80-065</v>
          </cell>
          <cell r="B390" t="str">
            <v>N/L PREMIUMS</v>
          </cell>
          <cell r="C390">
            <v>1301519.94</v>
          </cell>
          <cell r="D390">
            <v>-258548</v>
          </cell>
          <cell r="E390">
            <v>1042971.94</v>
          </cell>
          <cell r="F390">
            <v>1042971.94</v>
          </cell>
          <cell r="G390">
            <v>0</v>
          </cell>
          <cell r="H390">
            <v>1042971.94</v>
          </cell>
        </row>
        <row r="391">
          <cell r="A391" t="str">
            <v>700-80-066</v>
          </cell>
          <cell r="B391" t="str">
            <v>CORPORATION TAX-TANZANIA</v>
          </cell>
          <cell r="C391">
            <v>8655</v>
          </cell>
          <cell r="D391">
            <v>0</v>
          </cell>
          <cell r="E391">
            <v>8655</v>
          </cell>
          <cell r="F391">
            <v>8655</v>
          </cell>
          <cell r="G391">
            <v>0</v>
          </cell>
          <cell r="H391">
            <v>8655</v>
          </cell>
        </row>
        <row r="392">
          <cell r="A392" t="str">
            <v>700-80-067</v>
          </cell>
          <cell r="B392" t="str">
            <v>PAN AFRICA INS. PENSION SCHEME</v>
          </cell>
          <cell r="C392">
            <v>898530</v>
          </cell>
          <cell r="D392">
            <v>0</v>
          </cell>
          <cell r="E392">
            <v>898530</v>
          </cell>
          <cell r="F392">
            <v>898530</v>
          </cell>
          <cell r="G392">
            <v>0</v>
          </cell>
          <cell r="H392">
            <v>898530</v>
          </cell>
        </row>
        <row r="393">
          <cell r="A393" t="str">
            <v>700-80-068</v>
          </cell>
          <cell r="B393" t="str">
            <v>RENT DEPOSITS</v>
          </cell>
          <cell r="C393">
            <v>1141620</v>
          </cell>
          <cell r="D393">
            <v>0</v>
          </cell>
          <cell r="E393">
            <v>1141620</v>
          </cell>
          <cell r="F393">
            <v>1141620</v>
          </cell>
          <cell r="G393">
            <v>0</v>
          </cell>
          <cell r="H393">
            <v>1141620</v>
          </cell>
        </row>
        <row r="394">
          <cell r="A394" t="str">
            <v>700-80-069</v>
          </cell>
          <cell r="B394" t="str">
            <v>TANZANIA AACOUNT</v>
          </cell>
          <cell r="C394">
            <v>316833</v>
          </cell>
          <cell r="D394">
            <v>0</v>
          </cell>
          <cell r="E394">
            <v>316833</v>
          </cell>
          <cell r="F394">
            <v>316833</v>
          </cell>
          <cell r="G394">
            <v>0</v>
          </cell>
          <cell r="H394">
            <v>316833</v>
          </cell>
        </row>
        <row r="395">
          <cell r="A395" t="str">
            <v>700-80-070</v>
          </cell>
          <cell r="B395" t="str">
            <v>STAFF MEDICAL - RECOVERABLE</v>
          </cell>
          <cell r="C395">
            <v>31766</v>
          </cell>
          <cell r="D395">
            <v>-9002</v>
          </cell>
          <cell r="E395">
            <v>22764</v>
          </cell>
          <cell r="F395">
            <v>22764</v>
          </cell>
          <cell r="G395">
            <v>0</v>
          </cell>
          <cell r="H395">
            <v>22764</v>
          </cell>
        </row>
        <row r="396">
          <cell r="A396" t="str">
            <v>700-81-010</v>
          </cell>
          <cell r="B396" t="str">
            <v>KNIGHT FRANK</v>
          </cell>
          <cell r="C396">
            <v>1361251</v>
          </cell>
          <cell r="D396">
            <v>0</v>
          </cell>
          <cell r="E396">
            <v>1361251</v>
          </cell>
          <cell r="F396">
            <v>1361251</v>
          </cell>
          <cell r="G396">
            <v>0</v>
          </cell>
          <cell r="H396">
            <v>1361251</v>
          </cell>
        </row>
        <row r="397">
          <cell r="A397" t="str">
            <v>700-81-015</v>
          </cell>
          <cell r="B397" t="str">
            <v>CASH IN TRANSIT</v>
          </cell>
          <cell r="C397">
            <v>9252</v>
          </cell>
          <cell r="D397">
            <v>0</v>
          </cell>
          <cell r="E397">
            <v>9252</v>
          </cell>
          <cell r="F397">
            <v>9252</v>
          </cell>
          <cell r="G397">
            <v>0</v>
          </cell>
          <cell r="H397">
            <v>9252</v>
          </cell>
        </row>
        <row r="398">
          <cell r="A398" t="str">
            <v>700-81-020</v>
          </cell>
          <cell r="B398" t="str">
            <v>CBRE</v>
          </cell>
          <cell r="C398">
            <v>13714644.09</v>
          </cell>
          <cell r="E398">
            <v>10197069.16</v>
          </cell>
          <cell r="F398">
            <v>10197069.16</v>
          </cell>
          <cell r="G398">
            <v>0</v>
          </cell>
          <cell r="H398">
            <v>10197069.16</v>
          </cell>
        </row>
        <row r="399">
          <cell r="A399" t="str">
            <v>700-82-010</v>
          </cell>
          <cell r="B399" t="str">
            <v>PREDEBIT DEBTOR-DDI</v>
          </cell>
          <cell r="C399">
            <v>128137477.92</v>
          </cell>
          <cell r="E399">
            <v>296194447.98000002</v>
          </cell>
          <cell r="F399">
            <v>296194447.98000002</v>
          </cell>
          <cell r="G399">
            <v>0</v>
          </cell>
          <cell r="H399">
            <v>296194447.98000002</v>
          </cell>
        </row>
        <row r="400">
          <cell r="A400" t="str">
            <v>700-82-020</v>
          </cell>
          <cell r="B400" t="str">
            <v>PREDEBIT DEBTOR -BSO</v>
          </cell>
          <cell r="C400">
            <v>-3406293.9</v>
          </cell>
          <cell r="E400">
            <v>-3406293.9</v>
          </cell>
          <cell r="F400">
            <v>-3406293.9</v>
          </cell>
          <cell r="G400">
            <v>0</v>
          </cell>
          <cell r="H400">
            <v>-3406293.9</v>
          </cell>
        </row>
        <row r="401">
          <cell r="A401" t="str">
            <v>700-82-030</v>
          </cell>
          <cell r="B401" t="str">
            <v>PREDEBIT DEBTOR- CHECK OFF</v>
          </cell>
          <cell r="C401">
            <v>0</v>
          </cell>
          <cell r="E401">
            <v>0</v>
          </cell>
          <cell r="F401">
            <v>0</v>
          </cell>
          <cell r="G401">
            <v>0</v>
          </cell>
          <cell r="H401">
            <v>0</v>
          </cell>
        </row>
        <row r="402">
          <cell r="A402" t="str">
            <v>700-82-040</v>
          </cell>
          <cell r="B402" t="str">
            <v>PREDEBIT DEBTOR - CASH</v>
          </cell>
          <cell r="C402">
            <v>0</v>
          </cell>
          <cell r="E402">
            <v>0</v>
          </cell>
          <cell r="F402">
            <v>0</v>
          </cell>
          <cell r="G402">
            <v>0</v>
          </cell>
          <cell r="H402">
            <v>0</v>
          </cell>
        </row>
        <row r="403">
          <cell r="A403" t="str">
            <v>700-82-050</v>
          </cell>
          <cell r="B403" t="str">
            <v>UNDEFINED DEBITS</v>
          </cell>
          <cell r="C403">
            <v>0</v>
          </cell>
          <cell r="E403">
            <v>0</v>
          </cell>
          <cell r="F403">
            <v>0</v>
          </cell>
          <cell r="G403">
            <v>0</v>
          </cell>
          <cell r="H403">
            <v>0</v>
          </cell>
        </row>
        <row r="404">
          <cell r="A404" t="str">
            <v>700-83-010</v>
          </cell>
          <cell r="B404" t="str">
            <v>REINSURANCE DEBTOR</v>
          </cell>
          <cell r="C404">
            <v>0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</row>
        <row r="405">
          <cell r="A405" t="str">
            <v>700-84-010</v>
          </cell>
          <cell r="B405" t="str">
            <v>O/S PREMIUMS API</v>
          </cell>
          <cell r="C405">
            <v>0</v>
          </cell>
          <cell r="E405">
            <v>0</v>
          </cell>
          <cell r="F405">
            <v>0</v>
          </cell>
          <cell r="G405">
            <v>0</v>
          </cell>
          <cell r="H405">
            <v>0</v>
          </cell>
        </row>
        <row r="406">
          <cell r="A406" t="str">
            <v>700-85-010</v>
          </cell>
          <cell r="B406" t="str">
            <v>PREPAYMENTS</v>
          </cell>
          <cell r="C406">
            <v>10958050.449999999</v>
          </cell>
          <cell r="E406">
            <v>6097323.1799999997</v>
          </cell>
          <cell r="F406">
            <v>6097323.1799999997</v>
          </cell>
          <cell r="G406">
            <v>0</v>
          </cell>
          <cell r="H406">
            <v>6097323.1799999997</v>
          </cell>
        </row>
        <row r="407">
          <cell r="A407" t="str">
            <v>700-85-015</v>
          </cell>
          <cell r="B407" t="str">
            <v>EXECUTIVE CONTRA</v>
          </cell>
          <cell r="C407">
            <v>504500.5</v>
          </cell>
          <cell r="E407">
            <v>504500.5</v>
          </cell>
          <cell r="F407">
            <v>504500.5</v>
          </cell>
          <cell r="G407">
            <v>0</v>
          </cell>
          <cell r="H407">
            <v>504500.5</v>
          </cell>
        </row>
        <row r="408">
          <cell r="A408" t="str">
            <v>700-85-020</v>
          </cell>
          <cell r="B408" t="str">
            <v>STAFF CONTRA</v>
          </cell>
          <cell r="C408">
            <v>66633</v>
          </cell>
          <cell r="E408">
            <v>53642.400000000001</v>
          </cell>
          <cell r="F408">
            <v>53642.400000000001</v>
          </cell>
          <cell r="G408">
            <v>0</v>
          </cell>
          <cell r="H408">
            <v>53642.400000000001</v>
          </cell>
        </row>
        <row r="409">
          <cell r="A409" t="str">
            <v>700-85-025</v>
          </cell>
          <cell r="B409" t="str">
            <v>PREDEBIT DEBTOR</v>
          </cell>
          <cell r="C409">
            <v>380616</v>
          </cell>
          <cell r="E409">
            <v>380616</v>
          </cell>
          <cell r="F409">
            <v>380616</v>
          </cell>
          <cell r="G409">
            <v>0</v>
          </cell>
          <cell r="H409">
            <v>380616</v>
          </cell>
        </row>
        <row r="410">
          <cell r="A410" t="str">
            <v>700-85-030</v>
          </cell>
          <cell r="B410" t="str">
            <v>HUBRIS HOLDINGS LTD</v>
          </cell>
          <cell r="C410">
            <v>-60</v>
          </cell>
          <cell r="E410">
            <v>62720</v>
          </cell>
          <cell r="F410">
            <v>62720</v>
          </cell>
          <cell r="G410">
            <v>0</v>
          </cell>
          <cell r="H410">
            <v>62720</v>
          </cell>
        </row>
        <row r="411">
          <cell r="A411" t="str">
            <v>700-85-031</v>
          </cell>
          <cell r="B411" t="str">
            <v>SANLAM</v>
          </cell>
          <cell r="C411">
            <v>18223566.68</v>
          </cell>
          <cell r="E411">
            <v>16281625.060000001</v>
          </cell>
          <cell r="F411">
            <v>16281625.060000001</v>
          </cell>
          <cell r="G411">
            <v>0</v>
          </cell>
          <cell r="H411">
            <v>16281625.060000001</v>
          </cell>
        </row>
        <row r="412">
          <cell r="A412" t="str">
            <v>700-85-032</v>
          </cell>
          <cell r="B412" t="str">
            <v>SANLAM-CAPETOWN</v>
          </cell>
          <cell r="C412">
            <v>0</v>
          </cell>
          <cell r="E412">
            <v>0</v>
          </cell>
          <cell r="F412">
            <v>0</v>
          </cell>
          <cell r="G412">
            <v>0</v>
          </cell>
          <cell r="H412">
            <v>0</v>
          </cell>
        </row>
        <row r="413">
          <cell r="A413" t="str">
            <v>700-85-040</v>
          </cell>
          <cell r="B413" t="str">
            <v>DEPOSITS ACCOUNT</v>
          </cell>
          <cell r="C413">
            <v>1336085</v>
          </cell>
          <cell r="E413">
            <v>1336085</v>
          </cell>
          <cell r="F413">
            <v>1336085</v>
          </cell>
          <cell r="G413">
            <v>0</v>
          </cell>
          <cell r="H413">
            <v>1336085</v>
          </cell>
        </row>
        <row r="414">
          <cell r="A414" t="str">
            <v>700-85-045</v>
          </cell>
          <cell r="B414" t="str">
            <v>P A SECURITIES</v>
          </cell>
          <cell r="C414">
            <v>-1890</v>
          </cell>
          <cell r="E414">
            <v>-1890</v>
          </cell>
          <cell r="F414">
            <v>-1890</v>
          </cell>
          <cell r="G414">
            <v>0</v>
          </cell>
          <cell r="H414">
            <v>-1890</v>
          </cell>
        </row>
        <row r="415">
          <cell r="A415" t="str">
            <v>700-85-050</v>
          </cell>
          <cell r="B415" t="str">
            <v>CORPORATE (PENSIONS SCHEMES)</v>
          </cell>
          <cell r="C415">
            <v>373284</v>
          </cell>
          <cell r="E415">
            <v>373284</v>
          </cell>
          <cell r="F415">
            <v>373284</v>
          </cell>
          <cell r="G415">
            <v>0</v>
          </cell>
          <cell r="H415">
            <v>373284</v>
          </cell>
        </row>
        <row r="416">
          <cell r="A416" t="str">
            <v>700-85-055</v>
          </cell>
          <cell r="B416" t="str">
            <v>ALA - GHANA</v>
          </cell>
          <cell r="C416">
            <v>31562</v>
          </cell>
          <cell r="E416">
            <v>31562</v>
          </cell>
          <cell r="F416">
            <v>31562</v>
          </cell>
          <cell r="G416">
            <v>0</v>
          </cell>
          <cell r="H416">
            <v>31562</v>
          </cell>
        </row>
        <row r="417">
          <cell r="A417" t="str">
            <v>700-85-060</v>
          </cell>
          <cell r="B417" t="str">
            <v>ALA - ZAMBIA</v>
          </cell>
          <cell r="C417">
            <v>48921</v>
          </cell>
          <cell r="E417">
            <v>48921</v>
          </cell>
          <cell r="F417">
            <v>48921</v>
          </cell>
          <cell r="G417">
            <v>0</v>
          </cell>
          <cell r="H417">
            <v>48921</v>
          </cell>
        </row>
        <row r="418">
          <cell r="A418" t="str">
            <v>700-85-065</v>
          </cell>
          <cell r="B418" t="str">
            <v>BBK DEBTOR</v>
          </cell>
          <cell r="C418">
            <v>0</v>
          </cell>
          <cell r="E418">
            <v>0</v>
          </cell>
          <cell r="F418">
            <v>0</v>
          </cell>
          <cell r="G418">
            <v>0</v>
          </cell>
          <cell r="H418">
            <v>0</v>
          </cell>
        </row>
        <row r="419">
          <cell r="A419" t="str">
            <v>700-85-070</v>
          </cell>
          <cell r="B419" t="str">
            <v>SECURITY DEPOSITS</v>
          </cell>
          <cell r="C419">
            <v>400000</v>
          </cell>
          <cell r="E419">
            <v>400000</v>
          </cell>
          <cell r="F419">
            <v>400000</v>
          </cell>
          <cell r="G419">
            <v>0</v>
          </cell>
          <cell r="H419">
            <v>400000</v>
          </cell>
        </row>
        <row r="420">
          <cell r="A420" t="str">
            <v>700-85-075</v>
          </cell>
          <cell r="B420" t="str">
            <v>PRIDE OF SANLAM COMPETITION</v>
          </cell>
          <cell r="C420">
            <v>-130911</v>
          </cell>
          <cell r="E420">
            <v>-130911</v>
          </cell>
          <cell r="F420">
            <v>-130911</v>
          </cell>
          <cell r="G420">
            <v>0</v>
          </cell>
          <cell r="H420">
            <v>-130911</v>
          </cell>
        </row>
        <row r="421">
          <cell r="A421" t="str">
            <v>700-86-010</v>
          </cell>
          <cell r="B421" t="str">
            <v>CLAIMS RECOVERABLE</v>
          </cell>
          <cell r="C421">
            <v>0</v>
          </cell>
          <cell r="E421">
            <v>0</v>
          </cell>
          <cell r="F421">
            <v>0</v>
          </cell>
          <cell r="G421">
            <v>0</v>
          </cell>
          <cell r="H421">
            <v>0</v>
          </cell>
        </row>
        <row r="422">
          <cell r="A422" t="str">
            <v>700-87-010</v>
          </cell>
          <cell r="B422" t="str">
            <v>AGENCY DEVELOPMENT FUND</v>
          </cell>
          <cell r="C422">
            <v>1385878</v>
          </cell>
          <cell r="E422">
            <v>1385878</v>
          </cell>
          <cell r="F422">
            <v>1385878</v>
          </cell>
          <cell r="G422">
            <v>0</v>
          </cell>
          <cell r="H422">
            <v>1385878</v>
          </cell>
        </row>
        <row r="423">
          <cell r="A423" t="str">
            <v>700-90-010</v>
          </cell>
          <cell r="B423" t="str">
            <v>BANK OF BARODA</v>
          </cell>
          <cell r="C423">
            <v>484679</v>
          </cell>
          <cell r="E423">
            <v>484679</v>
          </cell>
          <cell r="F423">
            <v>484679</v>
          </cell>
          <cell r="G423">
            <v>0</v>
          </cell>
          <cell r="H423">
            <v>484679</v>
          </cell>
        </row>
        <row r="424">
          <cell r="A424" t="str">
            <v>700-90-030</v>
          </cell>
          <cell r="B424" t="str">
            <v>CBA-WABERA STREET</v>
          </cell>
          <cell r="C424">
            <v>0</v>
          </cell>
          <cell r="E424">
            <v>0</v>
          </cell>
          <cell r="F424">
            <v>0</v>
          </cell>
          <cell r="G424">
            <v>0</v>
          </cell>
          <cell r="H424">
            <v>0</v>
          </cell>
        </row>
        <row r="425">
          <cell r="A425" t="str">
            <v>700-90-040</v>
          </cell>
          <cell r="B425" t="str">
            <v>BBK-MOMBASA</v>
          </cell>
          <cell r="C425">
            <v>15926.1</v>
          </cell>
          <cell r="E425">
            <v>21671.1</v>
          </cell>
          <cell r="F425">
            <v>21671.1</v>
          </cell>
          <cell r="G425">
            <v>0</v>
          </cell>
          <cell r="H425">
            <v>21671.1</v>
          </cell>
        </row>
        <row r="426">
          <cell r="A426" t="str">
            <v>700-90-050</v>
          </cell>
          <cell r="B426" t="str">
            <v>SCB-COLLECTION A/C</v>
          </cell>
          <cell r="C426">
            <v>6669162.0999999996</v>
          </cell>
          <cell r="E426">
            <v>469162.1</v>
          </cell>
          <cell r="F426">
            <v>469162.1</v>
          </cell>
          <cell r="G426">
            <v>0</v>
          </cell>
          <cell r="H426">
            <v>469162.1</v>
          </cell>
        </row>
        <row r="427">
          <cell r="A427" t="str">
            <v>700-90-060</v>
          </cell>
          <cell r="B427" t="str">
            <v>CO-OP UKULIMA</v>
          </cell>
          <cell r="C427">
            <v>8962931.75</v>
          </cell>
          <cell r="E427">
            <v>8962931.75</v>
          </cell>
          <cell r="F427">
            <v>8962931.75</v>
          </cell>
          <cell r="G427">
            <v>0</v>
          </cell>
          <cell r="H427">
            <v>8962931.75</v>
          </cell>
        </row>
        <row r="428">
          <cell r="A428" t="str">
            <v>700-90-080</v>
          </cell>
          <cell r="B428" t="str">
            <v>BBK MERU</v>
          </cell>
          <cell r="C428">
            <v>5001</v>
          </cell>
          <cell r="E428">
            <v>5001</v>
          </cell>
          <cell r="F428">
            <v>5001</v>
          </cell>
          <cell r="G428">
            <v>0</v>
          </cell>
          <cell r="H428">
            <v>5001</v>
          </cell>
        </row>
        <row r="429">
          <cell r="A429" t="str">
            <v>700-90-090</v>
          </cell>
          <cell r="B429" t="str">
            <v>BBK-NYERI</v>
          </cell>
          <cell r="C429">
            <v>5476.1</v>
          </cell>
          <cell r="E429">
            <v>22400.1</v>
          </cell>
          <cell r="F429">
            <v>22400.1</v>
          </cell>
          <cell r="G429">
            <v>0</v>
          </cell>
          <cell r="H429">
            <v>22400.1</v>
          </cell>
        </row>
        <row r="430">
          <cell r="A430" t="str">
            <v>700-90-100</v>
          </cell>
          <cell r="B430" t="str">
            <v>BBK NBI(5776890)</v>
          </cell>
          <cell r="C430">
            <v>4910688.95</v>
          </cell>
          <cell r="E430">
            <v>51450966.109999999</v>
          </cell>
          <cell r="F430">
            <v>51450966.109999999</v>
          </cell>
          <cell r="G430">
            <v>0</v>
          </cell>
          <cell r="H430">
            <v>51450966.109999999</v>
          </cell>
        </row>
        <row r="431">
          <cell r="A431" t="str">
            <v>700-90-120</v>
          </cell>
          <cell r="B431" t="str">
            <v>BBK NBI (5776688)</v>
          </cell>
          <cell r="C431">
            <v>6813</v>
          </cell>
          <cell r="E431">
            <v>43201172.600000001</v>
          </cell>
          <cell r="F431">
            <v>43201172.600000001</v>
          </cell>
          <cell r="G431">
            <v>0</v>
          </cell>
          <cell r="H431">
            <v>43201172.600000001</v>
          </cell>
        </row>
        <row r="432">
          <cell r="A432" t="str">
            <v>700-90-140</v>
          </cell>
          <cell r="B432" t="str">
            <v>BBK-KISII</v>
          </cell>
          <cell r="C432">
            <v>24361</v>
          </cell>
          <cell r="E432">
            <v>12906</v>
          </cell>
          <cell r="F432">
            <v>12906</v>
          </cell>
          <cell r="G432">
            <v>0</v>
          </cell>
          <cell r="H432">
            <v>12906</v>
          </cell>
        </row>
        <row r="433">
          <cell r="A433" t="str">
            <v>700-90-150</v>
          </cell>
          <cell r="B433" t="str">
            <v>BBK-KISUMU</v>
          </cell>
          <cell r="C433">
            <v>7824</v>
          </cell>
          <cell r="E433">
            <v>8192</v>
          </cell>
          <cell r="F433">
            <v>8192</v>
          </cell>
          <cell r="G433">
            <v>0</v>
          </cell>
          <cell r="H433">
            <v>8192</v>
          </cell>
        </row>
        <row r="434">
          <cell r="A434" t="str">
            <v>700-90-160</v>
          </cell>
          <cell r="B434" t="str">
            <v>NAKURU</v>
          </cell>
          <cell r="C434">
            <v>5000</v>
          </cell>
          <cell r="E434">
            <v>6869</v>
          </cell>
          <cell r="F434">
            <v>6869</v>
          </cell>
          <cell r="G434">
            <v>0</v>
          </cell>
          <cell r="H434">
            <v>6869</v>
          </cell>
        </row>
        <row r="435">
          <cell r="A435" t="str">
            <v>700-90-170</v>
          </cell>
          <cell r="B435" t="str">
            <v>BBK-ELDORET</v>
          </cell>
          <cell r="C435">
            <v>5000</v>
          </cell>
          <cell r="E435">
            <v>8050</v>
          </cell>
          <cell r="F435">
            <v>8050</v>
          </cell>
          <cell r="G435">
            <v>0</v>
          </cell>
          <cell r="H435">
            <v>8050</v>
          </cell>
        </row>
        <row r="436">
          <cell r="A436" t="str">
            <v>700-90-190</v>
          </cell>
          <cell r="B436" t="str">
            <v>BBK-EMBU</v>
          </cell>
          <cell r="C436">
            <v>5000</v>
          </cell>
          <cell r="E436">
            <v>5000</v>
          </cell>
          <cell r="F436">
            <v>5000</v>
          </cell>
          <cell r="G436">
            <v>0</v>
          </cell>
          <cell r="H436">
            <v>5000</v>
          </cell>
        </row>
        <row r="437">
          <cell r="A437" t="str">
            <v>700-90-200</v>
          </cell>
          <cell r="B437" t="str">
            <v>CO-OP CHUKA</v>
          </cell>
          <cell r="C437">
            <v>212625.3</v>
          </cell>
          <cell r="E437">
            <v>212625.3</v>
          </cell>
          <cell r="F437">
            <v>212625.3</v>
          </cell>
          <cell r="G437">
            <v>0</v>
          </cell>
          <cell r="H437">
            <v>212625.3</v>
          </cell>
        </row>
        <row r="438">
          <cell r="A438" t="str">
            <v>700-90-210</v>
          </cell>
          <cell r="B438" t="str">
            <v>STANBIC NBI</v>
          </cell>
          <cell r="C438">
            <v>-9083598.9299999997</v>
          </cell>
          <cell r="E438">
            <v>-6903258.2300000004</v>
          </cell>
          <cell r="F438">
            <v>-6903258.2300000004</v>
          </cell>
          <cell r="G438">
            <v>0</v>
          </cell>
          <cell r="H438">
            <v>-6903258.2300000004</v>
          </cell>
        </row>
        <row r="439">
          <cell r="A439" t="str">
            <v>700-90-220</v>
          </cell>
          <cell r="B439" t="str">
            <v>HOLDCO</v>
          </cell>
          <cell r="C439">
            <v>0</v>
          </cell>
          <cell r="E439">
            <v>0</v>
          </cell>
          <cell r="F439">
            <v>0</v>
          </cell>
          <cell r="G439">
            <v>0</v>
          </cell>
          <cell r="H439">
            <v>0</v>
          </cell>
        </row>
        <row r="440">
          <cell r="A440" t="str">
            <v>700-90-230</v>
          </cell>
          <cell r="B440" t="str">
            <v>GRATUITY US DOLLAR</v>
          </cell>
          <cell r="C440">
            <v>1383277</v>
          </cell>
          <cell r="E440">
            <v>1383277</v>
          </cell>
          <cell r="F440">
            <v>1383277</v>
          </cell>
          <cell r="G440">
            <v>0</v>
          </cell>
          <cell r="H440">
            <v>1383277</v>
          </cell>
        </row>
        <row r="441">
          <cell r="A441" t="str">
            <v>700-90-240</v>
          </cell>
          <cell r="B441" t="str">
            <v>BBK-THIKA</v>
          </cell>
          <cell r="C441">
            <v>8158</v>
          </cell>
          <cell r="E441">
            <v>21123</v>
          </cell>
          <cell r="F441">
            <v>21123</v>
          </cell>
          <cell r="G441">
            <v>0</v>
          </cell>
          <cell r="H441">
            <v>21123</v>
          </cell>
        </row>
        <row r="442">
          <cell r="A442" t="str">
            <v>700-90-260</v>
          </cell>
          <cell r="B442" t="str">
            <v>BBK(5039027)ADMINSTRATION</v>
          </cell>
          <cell r="C442">
            <v>-10589439.039999999</v>
          </cell>
          <cell r="E442">
            <v>-34649483.789999999</v>
          </cell>
          <cell r="F442">
            <v>-34649483.789999999</v>
          </cell>
          <cell r="G442">
            <v>0</v>
          </cell>
          <cell r="H442">
            <v>-34649483.789999999</v>
          </cell>
        </row>
        <row r="443">
          <cell r="A443" t="str">
            <v>700-90-270</v>
          </cell>
          <cell r="B443" t="str">
            <v>BBK-(5039051)COLLECTIONS</v>
          </cell>
          <cell r="C443">
            <v>9121</v>
          </cell>
          <cell r="E443">
            <v>12328870.800000001</v>
          </cell>
          <cell r="F443">
            <v>12328870.800000001</v>
          </cell>
          <cell r="G443">
            <v>0</v>
          </cell>
          <cell r="H443">
            <v>12328870.800000001</v>
          </cell>
        </row>
        <row r="444">
          <cell r="A444" t="str">
            <v>700-90-280</v>
          </cell>
          <cell r="B444" t="str">
            <v>BBK(5039035) EXPENSES</v>
          </cell>
          <cell r="C444">
            <v>-6052708.3700000001</v>
          </cell>
          <cell r="E444">
            <v>-52947377.280000001</v>
          </cell>
          <cell r="F444">
            <v>-52947377.280000001</v>
          </cell>
          <cell r="G444">
            <v>0</v>
          </cell>
          <cell r="H444">
            <v>-52947377.280000001</v>
          </cell>
        </row>
        <row r="445">
          <cell r="A445" t="str">
            <v>700-90-285</v>
          </cell>
          <cell r="B445" t="str">
            <v>BBK MOI AVENUE - 5776793 -GROUP LIFE</v>
          </cell>
          <cell r="C445">
            <v>9996222</v>
          </cell>
          <cell r="E445">
            <v>9896222</v>
          </cell>
          <cell r="F445">
            <v>9896222</v>
          </cell>
          <cell r="G445">
            <v>0</v>
          </cell>
          <cell r="H445">
            <v>9896222</v>
          </cell>
        </row>
        <row r="446">
          <cell r="A446" t="str">
            <v>700-90-290</v>
          </cell>
          <cell r="B446" t="str">
            <v>N.I.C BANK - GROUP PENSION</v>
          </cell>
          <cell r="C446">
            <v>-55138</v>
          </cell>
          <cell r="E446">
            <v>-118847</v>
          </cell>
          <cell r="F446">
            <v>-118847</v>
          </cell>
          <cell r="G446">
            <v>0</v>
          </cell>
          <cell r="H446">
            <v>-118847</v>
          </cell>
        </row>
        <row r="447">
          <cell r="A447" t="str">
            <v>700-90-295</v>
          </cell>
          <cell r="B447" t="str">
            <v>NATIONAL BANK-01010153900</v>
          </cell>
          <cell r="C447">
            <v>-5000000</v>
          </cell>
          <cell r="E447">
            <v>-5000000</v>
          </cell>
          <cell r="F447">
            <v>-5000000</v>
          </cell>
          <cell r="G447">
            <v>0</v>
          </cell>
          <cell r="H447">
            <v>-5000000</v>
          </cell>
        </row>
        <row r="448">
          <cell r="A448" t="str">
            <v>700-90-300</v>
          </cell>
          <cell r="B448" t="str">
            <v>STANCHART-SRBS</v>
          </cell>
          <cell r="C448">
            <v>0</v>
          </cell>
          <cell r="E448">
            <v>0</v>
          </cell>
          <cell r="F448">
            <v>0</v>
          </cell>
          <cell r="G448">
            <v>0</v>
          </cell>
          <cell r="H448">
            <v>0</v>
          </cell>
        </row>
        <row r="449">
          <cell r="A449" t="str">
            <v>700-90-305</v>
          </cell>
          <cell r="B449" t="str">
            <v>EQUITY BANK-PREMIUM COLLECTION A/C</v>
          </cell>
          <cell r="C449">
            <v>7777982.9000000004</v>
          </cell>
          <cell r="E449">
            <v>-2068088.9</v>
          </cell>
          <cell r="F449">
            <v>-2068088.9</v>
          </cell>
          <cell r="G449">
            <v>0</v>
          </cell>
          <cell r="H449">
            <v>-2068088.9</v>
          </cell>
        </row>
        <row r="450">
          <cell r="A450" t="str">
            <v>700-90-310</v>
          </cell>
          <cell r="B450" t="str">
            <v>FAMILY FINANCE-PREMIUM COLLECTION A/C</v>
          </cell>
          <cell r="C450">
            <v>452352</v>
          </cell>
          <cell r="E450">
            <v>452352</v>
          </cell>
          <cell r="F450">
            <v>452352</v>
          </cell>
          <cell r="G450">
            <v>0</v>
          </cell>
          <cell r="H450">
            <v>452352</v>
          </cell>
        </row>
        <row r="451">
          <cell r="A451" t="str">
            <v>700-90-315</v>
          </cell>
          <cell r="B451" t="str">
            <v>BARCLAYS BANK - UNIT LINK 5024895</v>
          </cell>
          <cell r="C451">
            <v>59492765.020000003</v>
          </cell>
          <cell r="E451">
            <v>58836841.520000003</v>
          </cell>
          <cell r="F451">
            <v>58836841.520000003</v>
          </cell>
          <cell r="G451">
            <v>0</v>
          </cell>
          <cell r="H451">
            <v>58836841.520000003</v>
          </cell>
        </row>
        <row r="452">
          <cell r="A452" t="str">
            <v>700-90-320</v>
          </cell>
          <cell r="B452" t="str">
            <v>KENYA COMMERCIAL BANK-017-229714944</v>
          </cell>
          <cell r="C452">
            <v>2489466.58</v>
          </cell>
          <cell r="E452">
            <v>504486.93</v>
          </cell>
          <cell r="F452">
            <v>504486.93</v>
          </cell>
          <cell r="G452">
            <v>0</v>
          </cell>
          <cell r="H452">
            <v>504486.93</v>
          </cell>
        </row>
        <row r="453">
          <cell r="A453" t="str">
            <v>700-90-321</v>
          </cell>
          <cell r="B453" t="str">
            <v>CALL DEPOSIT-BARLAYS PLAZA</v>
          </cell>
          <cell r="C453">
            <v>7176687.8499999996</v>
          </cell>
          <cell r="E453">
            <v>44373337.450000003</v>
          </cell>
          <cell r="F453">
            <v>44373337.450000003</v>
          </cell>
          <cell r="G453">
            <v>0</v>
          </cell>
          <cell r="H453">
            <v>44373337.450000003</v>
          </cell>
        </row>
        <row r="454">
          <cell r="A454" t="str">
            <v>700-90-322</v>
          </cell>
          <cell r="B454" t="str">
            <v>CALL DEPOSIT-BARLAYS CORPORATE BUSINESS</v>
          </cell>
          <cell r="C454">
            <v>-5282160</v>
          </cell>
          <cell r="E454">
            <v>-5282160</v>
          </cell>
          <cell r="F454">
            <v>-5282160</v>
          </cell>
          <cell r="G454">
            <v>0</v>
          </cell>
          <cell r="H454">
            <v>-5282160</v>
          </cell>
        </row>
        <row r="455">
          <cell r="A455" t="str">
            <v>700-90-325</v>
          </cell>
          <cell r="B455" t="str">
            <v>STANDARD CHARTERED - PAN AFRICA RENT</v>
          </cell>
          <cell r="C455">
            <v>716943</v>
          </cell>
          <cell r="E455">
            <v>716943</v>
          </cell>
          <cell r="F455">
            <v>716943</v>
          </cell>
          <cell r="G455">
            <v>0</v>
          </cell>
          <cell r="H455">
            <v>716943</v>
          </cell>
        </row>
        <row r="456">
          <cell r="A456" t="str">
            <v>700-90-326</v>
          </cell>
          <cell r="B456" t="str">
            <v>YEAR END BANK BALANCES ADJUSTMENT</v>
          </cell>
          <cell r="C456">
            <v>-2</v>
          </cell>
          <cell r="E456">
            <v>-2</v>
          </cell>
          <cell r="F456">
            <v>-2</v>
          </cell>
          <cell r="G456">
            <v>0</v>
          </cell>
          <cell r="H456">
            <v>-2</v>
          </cell>
        </row>
        <row r="457">
          <cell r="A457" t="str">
            <v>700-95-010</v>
          </cell>
          <cell r="B457" t="str">
            <v>PETTY CASH</v>
          </cell>
          <cell r="C457">
            <v>348115</v>
          </cell>
          <cell r="E457">
            <v>348115</v>
          </cell>
          <cell r="F457">
            <v>348115</v>
          </cell>
          <cell r="G457">
            <v>0</v>
          </cell>
          <cell r="H457">
            <v>348115</v>
          </cell>
        </row>
        <row r="458">
          <cell r="A458" t="str">
            <v>700-96-010</v>
          </cell>
          <cell r="B458" t="str">
            <v>GROUP PREMIUM DEBTOR</v>
          </cell>
          <cell r="C458">
            <v>0</v>
          </cell>
          <cell r="E458">
            <v>0</v>
          </cell>
          <cell r="F458">
            <v>0</v>
          </cell>
          <cell r="G458">
            <v>0</v>
          </cell>
          <cell r="H458">
            <v>0</v>
          </cell>
        </row>
        <row r="459">
          <cell r="A459" t="str">
            <v>800-10-010</v>
          </cell>
          <cell r="B459" t="str">
            <v>CHANGE IN POLICYHOLDER LIABILITIES</v>
          </cell>
          <cell r="C459">
            <v>-1311596902.0999999</v>
          </cell>
          <cell r="E459">
            <v>-1311596902.0999999</v>
          </cell>
          <cell r="F459">
            <v>-1311596902.0999999</v>
          </cell>
          <cell r="G459">
            <v>0</v>
          </cell>
          <cell r="H459">
            <v>-1311596902.0999999</v>
          </cell>
        </row>
        <row r="460">
          <cell r="A460" t="str">
            <v>800-10-011</v>
          </cell>
          <cell r="B460" t="str">
            <v>DEFERRED INCOME PRIOR YEAR ADJUSTMENT</v>
          </cell>
          <cell r="C460">
            <v>0</v>
          </cell>
          <cell r="E460">
            <v>0</v>
          </cell>
          <cell r="F460">
            <v>0</v>
          </cell>
          <cell r="G460">
            <v>0</v>
          </cell>
          <cell r="H460">
            <v>0</v>
          </cell>
        </row>
        <row r="461">
          <cell r="A461" t="str">
            <v>800-10-015</v>
          </cell>
          <cell r="B461" t="str">
            <v>GENERAL FUND</v>
          </cell>
          <cell r="C461">
            <v>0</v>
          </cell>
          <cell r="E461">
            <v>0</v>
          </cell>
          <cell r="F461">
            <v>0</v>
          </cell>
          <cell r="G461">
            <v>0</v>
          </cell>
          <cell r="H461">
            <v>0</v>
          </cell>
        </row>
        <row r="462">
          <cell r="A462" t="str">
            <v>800-10-020</v>
          </cell>
          <cell r="B462" t="str">
            <v>CLAIMS RESERVES</v>
          </cell>
          <cell r="C462">
            <v>0</v>
          </cell>
          <cell r="E462">
            <v>0</v>
          </cell>
          <cell r="F462">
            <v>0</v>
          </cell>
          <cell r="G462">
            <v>0</v>
          </cell>
          <cell r="H462">
            <v>0</v>
          </cell>
        </row>
        <row r="463">
          <cell r="A463" t="str">
            <v>800-10-025</v>
          </cell>
          <cell r="B463" t="str">
            <v>UNIT LINK INVESTMENTS</v>
          </cell>
          <cell r="C463">
            <v>0</v>
          </cell>
          <cell r="E463">
            <v>0</v>
          </cell>
          <cell r="F463">
            <v>0</v>
          </cell>
          <cell r="G463">
            <v>0</v>
          </cell>
          <cell r="H463">
            <v>0</v>
          </cell>
        </row>
        <row r="464">
          <cell r="A464" t="str">
            <v>800-10-050</v>
          </cell>
          <cell r="B464" t="str">
            <v>TRANSFER TO SHAREHOLDERS FUND</v>
          </cell>
          <cell r="C464">
            <v>0</v>
          </cell>
          <cell r="E464">
            <v>0</v>
          </cell>
          <cell r="F464">
            <v>0</v>
          </cell>
          <cell r="G464">
            <v>0</v>
          </cell>
          <cell r="H464">
            <v>0</v>
          </cell>
        </row>
        <row r="465">
          <cell r="A465" t="str">
            <v>800-12-010</v>
          </cell>
          <cell r="B465" t="str">
            <v>MEMORANDUM ENTRIES</v>
          </cell>
          <cell r="C465">
            <v>0</v>
          </cell>
          <cell r="E465">
            <v>0</v>
          </cell>
          <cell r="F465">
            <v>0</v>
          </cell>
          <cell r="G465">
            <v>0</v>
          </cell>
          <cell r="H465">
            <v>0</v>
          </cell>
        </row>
        <row r="466">
          <cell r="A466" t="str">
            <v>800-15-010</v>
          </cell>
          <cell r="B466" t="str">
            <v>UNPROCESSED PREMIUMS-DDI</v>
          </cell>
          <cell r="C466">
            <v>-216581069.94</v>
          </cell>
          <cell r="E466">
            <v>-319227034</v>
          </cell>
          <cell r="F466">
            <v>-319227034</v>
          </cell>
          <cell r="G466">
            <v>0</v>
          </cell>
          <cell r="H466">
            <v>-319227034</v>
          </cell>
        </row>
        <row r="467">
          <cell r="A467" t="str">
            <v>800-15-011</v>
          </cell>
          <cell r="B467" t="str">
            <v>UNPROCESSED PREMIUMS-BSO</v>
          </cell>
          <cell r="C467">
            <v>-1265659</v>
          </cell>
          <cell r="E467">
            <v>-1265659</v>
          </cell>
          <cell r="F467">
            <v>-1265659</v>
          </cell>
          <cell r="G467">
            <v>0</v>
          </cell>
          <cell r="H467">
            <v>-1265659</v>
          </cell>
        </row>
        <row r="468">
          <cell r="A468" t="str">
            <v>800-15-012</v>
          </cell>
          <cell r="B468" t="str">
            <v>UNPROCESSED PREMIUMS-CHECK OFF</v>
          </cell>
          <cell r="C468">
            <v>0</v>
          </cell>
          <cell r="E468">
            <v>0</v>
          </cell>
          <cell r="F468">
            <v>0</v>
          </cell>
          <cell r="G468">
            <v>0</v>
          </cell>
          <cell r="H468">
            <v>0</v>
          </cell>
        </row>
        <row r="469">
          <cell r="A469" t="str">
            <v>800-15-013</v>
          </cell>
          <cell r="B469" t="str">
            <v>UNPROCESSED PREMIUMS-CASH</v>
          </cell>
          <cell r="C469">
            <v>219348632.06999999</v>
          </cell>
          <cell r="E469">
            <v>253928752.16999999</v>
          </cell>
          <cell r="F469">
            <v>253928752.16999999</v>
          </cell>
          <cell r="G469">
            <v>0</v>
          </cell>
          <cell r="H469">
            <v>253928752.16999999</v>
          </cell>
        </row>
        <row r="470">
          <cell r="A470" t="str">
            <v>800-15-014</v>
          </cell>
          <cell r="B470" t="str">
            <v>UNPROCESSED PREMIUMS-WOP</v>
          </cell>
          <cell r="C470">
            <v>0</v>
          </cell>
          <cell r="E470">
            <v>0</v>
          </cell>
          <cell r="F470">
            <v>0</v>
          </cell>
          <cell r="G470">
            <v>0</v>
          </cell>
          <cell r="H470">
            <v>0</v>
          </cell>
        </row>
        <row r="471">
          <cell r="A471" t="str">
            <v>800-15-020</v>
          </cell>
          <cell r="B471" t="str">
            <v>INACTIVE LEDGER</v>
          </cell>
          <cell r="C471">
            <v>-54277662.049999997</v>
          </cell>
          <cell r="E471">
            <v>-63356090.75</v>
          </cell>
          <cell r="F471">
            <v>-63356090.75</v>
          </cell>
          <cell r="G471">
            <v>0</v>
          </cell>
          <cell r="H471">
            <v>-63356090.75</v>
          </cell>
        </row>
        <row r="472">
          <cell r="A472" t="str">
            <v>800-15-025</v>
          </cell>
          <cell r="B472" t="str">
            <v>PREMIUMS-INADVANCE</v>
          </cell>
          <cell r="C472">
            <v>-19061664.25</v>
          </cell>
          <cell r="E472">
            <v>-19061664.25</v>
          </cell>
          <cell r="F472">
            <v>-19061664.25</v>
          </cell>
          <cell r="G472">
            <v>0</v>
          </cell>
          <cell r="H472">
            <v>-19061664.25</v>
          </cell>
        </row>
        <row r="473">
          <cell r="A473" t="str">
            <v>800-15-030</v>
          </cell>
          <cell r="B473" t="str">
            <v>REFUND ON MATURITIES</v>
          </cell>
          <cell r="C473">
            <v>-1965</v>
          </cell>
          <cell r="E473">
            <v>-1965</v>
          </cell>
          <cell r="F473">
            <v>-1965</v>
          </cell>
          <cell r="G473">
            <v>0</v>
          </cell>
          <cell r="H473">
            <v>-1965</v>
          </cell>
        </row>
        <row r="474">
          <cell r="A474" t="str">
            <v>800-15-035</v>
          </cell>
          <cell r="B474" t="str">
            <v>REFUND ON CANCELLED POLICIES</v>
          </cell>
          <cell r="C474">
            <v>5597495.4000000004</v>
          </cell>
          <cell r="E474">
            <v>8000447.3700000001</v>
          </cell>
          <cell r="F474">
            <v>8000447.3700000001</v>
          </cell>
          <cell r="G474">
            <v>0</v>
          </cell>
          <cell r="H474">
            <v>8000447.3700000001</v>
          </cell>
        </row>
        <row r="475">
          <cell r="A475" t="str">
            <v>800-15-040</v>
          </cell>
          <cell r="B475" t="str">
            <v>REFUND ON CANCELLED PROPOSALS</v>
          </cell>
          <cell r="C475">
            <v>-13020</v>
          </cell>
          <cell r="E475">
            <v>-13020</v>
          </cell>
          <cell r="F475">
            <v>-13020</v>
          </cell>
          <cell r="G475">
            <v>0</v>
          </cell>
          <cell r="H475">
            <v>-13020</v>
          </cell>
        </row>
        <row r="476">
          <cell r="A476" t="str">
            <v>800-15-045</v>
          </cell>
          <cell r="B476" t="str">
            <v>REFUND ON SURRENDERS</v>
          </cell>
          <cell r="C476">
            <v>-11030</v>
          </cell>
          <cell r="E476">
            <v>-11030</v>
          </cell>
          <cell r="F476">
            <v>-11030</v>
          </cell>
          <cell r="G476">
            <v>0</v>
          </cell>
          <cell r="H476">
            <v>-11030</v>
          </cell>
        </row>
        <row r="477">
          <cell r="A477" t="str">
            <v>800-15-050</v>
          </cell>
          <cell r="B477" t="str">
            <v>REFUND ON ERRONEOUS DEDUCTION</v>
          </cell>
          <cell r="C477">
            <v>-110359</v>
          </cell>
          <cell r="E477">
            <v>-110359</v>
          </cell>
          <cell r="F477">
            <v>-110359</v>
          </cell>
          <cell r="G477">
            <v>0</v>
          </cell>
          <cell r="H477">
            <v>-110359</v>
          </cell>
        </row>
        <row r="478">
          <cell r="A478" t="str">
            <v>800-15-055</v>
          </cell>
          <cell r="B478" t="str">
            <v>REFUND ON 56,44,21 OTHERS</v>
          </cell>
          <cell r="C478">
            <v>-5760</v>
          </cell>
          <cell r="E478">
            <v>-5760</v>
          </cell>
          <cell r="F478">
            <v>-5760</v>
          </cell>
          <cell r="G478">
            <v>0</v>
          </cell>
          <cell r="H478">
            <v>-5760</v>
          </cell>
        </row>
        <row r="479">
          <cell r="A479" t="str">
            <v>800-15-060</v>
          </cell>
          <cell r="B479" t="str">
            <v>UNDEFINED CREDITS</v>
          </cell>
          <cell r="C479">
            <v>0</v>
          </cell>
          <cell r="E479">
            <v>0</v>
          </cell>
          <cell r="F479">
            <v>0</v>
          </cell>
          <cell r="G479">
            <v>0</v>
          </cell>
          <cell r="H479">
            <v>0</v>
          </cell>
        </row>
        <row r="480">
          <cell r="A480" t="str">
            <v>800-15-070</v>
          </cell>
          <cell r="B480" t="str">
            <v>PAYPOINT SUSPENSE</v>
          </cell>
          <cell r="C480">
            <v>-17417237</v>
          </cell>
          <cell r="E480">
            <v>-17417237</v>
          </cell>
          <cell r="F480">
            <v>-17417237</v>
          </cell>
          <cell r="G480">
            <v>0</v>
          </cell>
          <cell r="H480">
            <v>-17417237</v>
          </cell>
        </row>
        <row r="481">
          <cell r="A481" t="str">
            <v>800-15-080</v>
          </cell>
          <cell r="B481" t="str">
            <v>MANUAL SUSPENSE</v>
          </cell>
          <cell r="C481">
            <v>0</v>
          </cell>
          <cell r="E481">
            <v>0</v>
          </cell>
          <cell r="F481">
            <v>0</v>
          </cell>
          <cell r="G481">
            <v>0</v>
          </cell>
          <cell r="H481">
            <v>0</v>
          </cell>
        </row>
        <row r="482">
          <cell r="A482" t="str">
            <v>800-25-010</v>
          </cell>
          <cell r="B482" t="str">
            <v>LEASE LEGAL</v>
          </cell>
          <cell r="C482">
            <v>-1531101</v>
          </cell>
          <cell r="E482">
            <v>-1531101</v>
          </cell>
          <cell r="F482">
            <v>-1531101</v>
          </cell>
          <cell r="G482">
            <v>0</v>
          </cell>
          <cell r="H482">
            <v>-1531101</v>
          </cell>
        </row>
        <row r="483">
          <cell r="A483" t="str">
            <v>800-25-015</v>
          </cell>
          <cell r="B483" t="str">
            <v>DEPOSITS RECEIVED(BUILDINGS)</v>
          </cell>
          <cell r="C483">
            <v>-4152866</v>
          </cell>
          <cell r="E483">
            <v>-4152866</v>
          </cell>
          <cell r="F483">
            <v>-4152866</v>
          </cell>
          <cell r="G483">
            <v>0</v>
          </cell>
          <cell r="H483">
            <v>-4152866</v>
          </cell>
        </row>
        <row r="484">
          <cell r="A484" t="str">
            <v>800-25-020</v>
          </cell>
          <cell r="B484" t="str">
            <v>RENT RECEIVED IN ADVANCE-ANNUITY</v>
          </cell>
          <cell r="C484">
            <v>-6844500</v>
          </cell>
          <cell r="E484">
            <v>-6844500</v>
          </cell>
          <cell r="F484">
            <v>-6844500</v>
          </cell>
          <cell r="G484">
            <v>0</v>
          </cell>
          <cell r="H484">
            <v>-6844500</v>
          </cell>
        </row>
        <row r="485">
          <cell r="A485" t="str">
            <v>800-25-030</v>
          </cell>
          <cell r="B485" t="str">
            <v>RENTAL ACCRUALS</v>
          </cell>
          <cell r="C485">
            <v>175500</v>
          </cell>
          <cell r="E485">
            <v>175500</v>
          </cell>
          <cell r="F485">
            <v>175500</v>
          </cell>
          <cell r="G485">
            <v>0</v>
          </cell>
          <cell r="H485">
            <v>175500</v>
          </cell>
        </row>
        <row r="486">
          <cell r="A486" t="str">
            <v>800-30-010</v>
          </cell>
          <cell r="B486" t="str">
            <v>OUTPUT VAT</v>
          </cell>
          <cell r="C486">
            <v>-135313.38</v>
          </cell>
          <cell r="E486">
            <v>-1071102.3899999999</v>
          </cell>
          <cell r="F486">
            <v>-1071102.3899999999</v>
          </cell>
          <cell r="G486">
            <v>0</v>
          </cell>
          <cell r="H486">
            <v>-1071102.3899999999</v>
          </cell>
        </row>
        <row r="487">
          <cell r="A487" t="str">
            <v>800-30-015</v>
          </cell>
          <cell r="B487" t="str">
            <v>CASH-IN-LIEU LEAVE</v>
          </cell>
          <cell r="C487">
            <v>-9540616.9199999999</v>
          </cell>
          <cell r="E487">
            <v>-9540616.9199999999</v>
          </cell>
          <cell r="F487">
            <v>-9540616.9199999999</v>
          </cell>
          <cell r="G487">
            <v>0</v>
          </cell>
          <cell r="H487">
            <v>-9540616.9199999999</v>
          </cell>
        </row>
        <row r="488">
          <cell r="A488" t="str">
            <v>800-30-016</v>
          </cell>
          <cell r="B488" t="str">
            <v>OTHER ACCRUALS</v>
          </cell>
          <cell r="C488">
            <v>-705650</v>
          </cell>
          <cell r="E488">
            <v>-705650</v>
          </cell>
          <cell r="F488">
            <v>-705650</v>
          </cell>
          <cell r="G488">
            <v>0</v>
          </cell>
          <cell r="H488">
            <v>-705650</v>
          </cell>
        </row>
        <row r="489">
          <cell r="A489" t="str">
            <v>800-30-017</v>
          </cell>
          <cell r="B489" t="str">
            <v>CUSTODY FEES</v>
          </cell>
          <cell r="C489">
            <v>562377</v>
          </cell>
          <cell r="E489">
            <v>562377</v>
          </cell>
          <cell r="F489">
            <v>562377</v>
          </cell>
          <cell r="G489">
            <v>0</v>
          </cell>
          <cell r="H489">
            <v>562377</v>
          </cell>
        </row>
        <row r="490">
          <cell r="A490" t="str">
            <v>800-30-018</v>
          </cell>
          <cell r="B490" t="str">
            <v>O/S TAX</v>
          </cell>
          <cell r="C490">
            <v>1000</v>
          </cell>
          <cell r="E490">
            <v>1000</v>
          </cell>
          <cell r="F490">
            <v>1000</v>
          </cell>
          <cell r="G490">
            <v>0</v>
          </cell>
          <cell r="H490">
            <v>1000</v>
          </cell>
        </row>
        <row r="491">
          <cell r="A491" t="str">
            <v>800-30-019</v>
          </cell>
          <cell r="B491" t="str">
            <v>DISPOSAL PROCEEDS FREE LANDER</v>
          </cell>
          <cell r="C491">
            <v>0</v>
          </cell>
          <cell r="E491">
            <v>0</v>
          </cell>
          <cell r="F491">
            <v>0</v>
          </cell>
          <cell r="G491">
            <v>0</v>
          </cell>
          <cell r="H491">
            <v>0</v>
          </cell>
        </row>
        <row r="492">
          <cell r="A492" t="str">
            <v>800-30-020</v>
          </cell>
          <cell r="B492" t="str">
            <v>TRADE CREDITORS</v>
          </cell>
          <cell r="C492">
            <v>-9348738.3200000003</v>
          </cell>
          <cell r="E492">
            <v>-12448010.779999999</v>
          </cell>
          <cell r="F492">
            <v>-12448010.779999999</v>
          </cell>
          <cell r="G492">
            <v>0</v>
          </cell>
          <cell r="H492">
            <v>-12448010.779999999</v>
          </cell>
        </row>
        <row r="493">
          <cell r="A493" t="str">
            <v>800-30-025</v>
          </cell>
          <cell r="B493" t="str">
            <v>PROVISIONS FOR EXPENSES</v>
          </cell>
          <cell r="C493">
            <v>-52205763.079999998</v>
          </cell>
          <cell r="E493">
            <v>-51405762.740000002</v>
          </cell>
          <cell r="F493">
            <v>-51405762.740000002</v>
          </cell>
          <cell r="G493">
            <v>0</v>
          </cell>
          <cell r="H493">
            <v>-51405762.740000002</v>
          </cell>
        </row>
        <row r="494">
          <cell r="A494" t="str">
            <v>800-30-026</v>
          </cell>
          <cell r="B494" t="str">
            <v>PROVISION FOR BAD DEBTS-PREMIUM INCOME</v>
          </cell>
          <cell r="C494">
            <v>-3981054</v>
          </cell>
          <cell r="E494">
            <v>-3981054</v>
          </cell>
          <cell r="F494">
            <v>-3981054</v>
          </cell>
          <cell r="G494">
            <v>0</v>
          </cell>
          <cell r="H494">
            <v>-3981054</v>
          </cell>
        </row>
        <row r="495">
          <cell r="A495" t="str">
            <v>800-30-029</v>
          </cell>
          <cell r="B495" t="str">
            <v>APA INSURANCE</v>
          </cell>
          <cell r="C495">
            <v>0</v>
          </cell>
          <cell r="E495">
            <v>0</v>
          </cell>
          <cell r="F495">
            <v>0</v>
          </cell>
          <cell r="G495">
            <v>0</v>
          </cell>
          <cell r="H495">
            <v>0</v>
          </cell>
        </row>
        <row r="496">
          <cell r="A496" t="str">
            <v>800-30-030</v>
          </cell>
          <cell r="B496" t="str">
            <v>ALA TZ</v>
          </cell>
          <cell r="C496">
            <v>57261</v>
          </cell>
          <cell r="E496">
            <v>57261</v>
          </cell>
          <cell r="F496">
            <v>57261</v>
          </cell>
          <cell r="G496">
            <v>0</v>
          </cell>
          <cell r="H496">
            <v>57261</v>
          </cell>
        </row>
        <row r="497">
          <cell r="A497" t="str">
            <v>800-30-031</v>
          </cell>
          <cell r="B497" t="str">
            <v>PA SECURITIES</v>
          </cell>
          <cell r="C497">
            <v>-1263944.6200000001</v>
          </cell>
          <cell r="E497">
            <v>-621680.73</v>
          </cell>
          <cell r="F497">
            <v>-621680.73</v>
          </cell>
          <cell r="G497">
            <v>0</v>
          </cell>
          <cell r="H497">
            <v>-621680.73</v>
          </cell>
        </row>
        <row r="498">
          <cell r="A498" t="str">
            <v>800-30-032</v>
          </cell>
          <cell r="B498" t="str">
            <v>EXECUTIVE CONTRA</v>
          </cell>
          <cell r="C498">
            <v>109306</v>
          </cell>
          <cell r="E498">
            <v>109306</v>
          </cell>
          <cell r="F498">
            <v>109306</v>
          </cell>
          <cell r="G498">
            <v>0</v>
          </cell>
          <cell r="H498">
            <v>109306</v>
          </cell>
        </row>
        <row r="499">
          <cell r="A499" t="str">
            <v>800-30-033</v>
          </cell>
          <cell r="B499" t="str">
            <v>DELOITTE(ACTUARY)</v>
          </cell>
          <cell r="C499">
            <v>0</v>
          </cell>
          <cell r="E499">
            <v>0</v>
          </cell>
          <cell r="F499">
            <v>0</v>
          </cell>
          <cell r="G499">
            <v>0</v>
          </cell>
          <cell r="H499">
            <v>0</v>
          </cell>
        </row>
        <row r="500">
          <cell r="A500" t="str">
            <v>800-30-034</v>
          </cell>
          <cell r="B500" t="str">
            <v>PAIC HOLDINGS</v>
          </cell>
          <cell r="C500">
            <v>246178112.05000001</v>
          </cell>
          <cell r="E500">
            <v>248725847.56</v>
          </cell>
          <cell r="F500">
            <v>248725847.56</v>
          </cell>
          <cell r="G500">
            <v>0</v>
          </cell>
          <cell r="H500">
            <v>248725847.56</v>
          </cell>
        </row>
        <row r="501">
          <cell r="A501" t="str">
            <v>800-30-035</v>
          </cell>
          <cell r="B501" t="str">
            <v>ALA-INTERCOMPANY</v>
          </cell>
          <cell r="C501">
            <v>-2111236.33</v>
          </cell>
          <cell r="E501">
            <v>-2111236.33</v>
          </cell>
          <cell r="F501">
            <v>-2111236.33</v>
          </cell>
          <cell r="G501">
            <v>0</v>
          </cell>
          <cell r="H501">
            <v>-2111236.33</v>
          </cell>
        </row>
        <row r="502">
          <cell r="A502" t="str">
            <v>800-30-036</v>
          </cell>
          <cell r="B502" t="str">
            <v>POLICY LOANS ON UNIT LINK</v>
          </cell>
          <cell r="C502">
            <v>-2074</v>
          </cell>
          <cell r="E502">
            <v>-2074</v>
          </cell>
          <cell r="F502">
            <v>-2074</v>
          </cell>
          <cell r="G502">
            <v>0</v>
          </cell>
          <cell r="H502">
            <v>-2074</v>
          </cell>
        </row>
        <row r="503">
          <cell r="A503" t="str">
            <v>800-30-037</v>
          </cell>
          <cell r="B503" t="str">
            <v>PAHL-INVESTMENT INCOME</v>
          </cell>
          <cell r="C503">
            <v>-3211195</v>
          </cell>
          <cell r="E503">
            <v>-3211195</v>
          </cell>
          <cell r="F503">
            <v>-3211195</v>
          </cell>
          <cell r="G503">
            <v>0</v>
          </cell>
          <cell r="H503">
            <v>-3211195</v>
          </cell>
        </row>
        <row r="504">
          <cell r="A504" t="str">
            <v>800-30-040</v>
          </cell>
          <cell r="B504" t="str">
            <v>NET PAY</v>
          </cell>
          <cell r="C504">
            <v>8321807.4000000004</v>
          </cell>
          <cell r="E504">
            <v>1694872.4</v>
          </cell>
          <cell r="F504">
            <v>1694872.4</v>
          </cell>
          <cell r="G504">
            <v>0</v>
          </cell>
          <cell r="H504">
            <v>1694872.4</v>
          </cell>
        </row>
        <row r="505">
          <cell r="A505" t="str">
            <v>800-30-045</v>
          </cell>
          <cell r="B505" t="str">
            <v>CO-OP SAVING - STAFF</v>
          </cell>
          <cell r="C505">
            <v>-671675.4</v>
          </cell>
          <cell r="E505">
            <v>-661254.40000000002</v>
          </cell>
          <cell r="F505">
            <v>-661254.40000000002</v>
          </cell>
          <cell r="G505">
            <v>0</v>
          </cell>
          <cell r="H505">
            <v>-661254.40000000002</v>
          </cell>
        </row>
        <row r="506">
          <cell r="A506" t="str">
            <v>800-30-050</v>
          </cell>
          <cell r="B506" t="str">
            <v>PAYROLL CREDITORS - STAFF</v>
          </cell>
          <cell r="C506">
            <v>1273649.68</v>
          </cell>
          <cell r="E506">
            <v>1618153.68</v>
          </cell>
          <cell r="F506">
            <v>1618153.68</v>
          </cell>
          <cell r="G506">
            <v>0</v>
          </cell>
          <cell r="H506">
            <v>1618153.68</v>
          </cell>
        </row>
        <row r="507">
          <cell r="A507" t="str">
            <v>800-30-051</v>
          </cell>
          <cell r="B507" t="str">
            <v>MANCOM SINBIN</v>
          </cell>
          <cell r="C507">
            <v>-31000</v>
          </cell>
          <cell r="E507">
            <v>-31000</v>
          </cell>
          <cell r="F507">
            <v>-31000</v>
          </cell>
          <cell r="G507">
            <v>0</v>
          </cell>
          <cell r="H507">
            <v>-31000</v>
          </cell>
        </row>
        <row r="508">
          <cell r="A508" t="str">
            <v>800-30-052</v>
          </cell>
          <cell r="B508" t="str">
            <v>STAFF DONATIONS</v>
          </cell>
          <cell r="C508">
            <v>0</v>
          </cell>
          <cell r="E508">
            <v>0</v>
          </cell>
          <cell r="F508">
            <v>0</v>
          </cell>
          <cell r="G508">
            <v>0</v>
          </cell>
          <cell r="H508">
            <v>0</v>
          </cell>
        </row>
        <row r="509">
          <cell r="A509" t="str">
            <v>800-30-055</v>
          </cell>
          <cell r="B509" t="str">
            <v>PENSION - STAFF</v>
          </cell>
          <cell r="C509">
            <v>-2125720.77</v>
          </cell>
          <cell r="E509">
            <v>426834.8</v>
          </cell>
          <cell r="F509">
            <v>426834.8</v>
          </cell>
          <cell r="G509">
            <v>0</v>
          </cell>
          <cell r="H509">
            <v>426834.8</v>
          </cell>
        </row>
        <row r="510">
          <cell r="A510" t="str">
            <v>800-30-060</v>
          </cell>
          <cell r="B510" t="str">
            <v>N .H .I. F</v>
          </cell>
          <cell r="C510">
            <v>59500</v>
          </cell>
          <cell r="E510">
            <v>84140</v>
          </cell>
          <cell r="F510">
            <v>84140</v>
          </cell>
          <cell r="G510">
            <v>0</v>
          </cell>
          <cell r="H510">
            <v>84140</v>
          </cell>
        </row>
        <row r="511">
          <cell r="A511" t="str">
            <v>800-30-065</v>
          </cell>
          <cell r="B511" t="str">
            <v>N.S.S.F</v>
          </cell>
          <cell r="C511">
            <v>28400</v>
          </cell>
          <cell r="E511">
            <v>-11600</v>
          </cell>
          <cell r="F511">
            <v>-11600</v>
          </cell>
          <cell r="G511">
            <v>0</v>
          </cell>
          <cell r="H511">
            <v>-11600</v>
          </cell>
        </row>
        <row r="512">
          <cell r="A512" t="str">
            <v>800-30-070</v>
          </cell>
          <cell r="B512" t="str">
            <v>ACTUARIAL FEES</v>
          </cell>
          <cell r="C512">
            <v>-9699279.3599999994</v>
          </cell>
          <cell r="E512">
            <v>-10085946.029999999</v>
          </cell>
          <cell r="F512">
            <v>-10085946.029999999</v>
          </cell>
          <cell r="G512">
            <v>0</v>
          </cell>
          <cell r="H512">
            <v>-10085946.029999999</v>
          </cell>
        </row>
        <row r="513">
          <cell r="A513" t="str">
            <v>800-30-071</v>
          </cell>
          <cell r="B513" t="str">
            <v>GRATUITY</v>
          </cell>
          <cell r="C513">
            <v>-6057021.2199999997</v>
          </cell>
          <cell r="E513">
            <v>-6057021.2199999997</v>
          </cell>
          <cell r="F513">
            <v>-6057021.2199999997</v>
          </cell>
          <cell r="G513">
            <v>0</v>
          </cell>
          <cell r="H513">
            <v>-6057021.2199999997</v>
          </cell>
        </row>
        <row r="514">
          <cell r="A514" t="str">
            <v>800-30-072</v>
          </cell>
          <cell r="B514" t="str">
            <v>AIG FEES</v>
          </cell>
          <cell r="C514">
            <v>2366350.0499999998</v>
          </cell>
          <cell r="E514">
            <v>2366350.0499999998</v>
          </cell>
          <cell r="F514">
            <v>2366350.0499999998</v>
          </cell>
          <cell r="G514">
            <v>0</v>
          </cell>
          <cell r="H514">
            <v>2366350.0499999998</v>
          </cell>
        </row>
        <row r="515">
          <cell r="A515" t="str">
            <v>800-30-073</v>
          </cell>
          <cell r="B515" t="str">
            <v>CUSTODY FEES</v>
          </cell>
          <cell r="C515">
            <v>263980</v>
          </cell>
          <cell r="E515">
            <v>263980</v>
          </cell>
          <cell r="F515">
            <v>263980</v>
          </cell>
          <cell r="G515">
            <v>0</v>
          </cell>
          <cell r="H515">
            <v>263980</v>
          </cell>
        </row>
        <row r="516">
          <cell r="A516" t="str">
            <v>800-30-075</v>
          </cell>
          <cell r="B516" t="str">
            <v>AUDIT FEES</v>
          </cell>
          <cell r="C516">
            <v>729443</v>
          </cell>
          <cell r="E516">
            <v>561968</v>
          </cell>
          <cell r="F516">
            <v>561968</v>
          </cell>
          <cell r="G516">
            <v>0</v>
          </cell>
          <cell r="H516">
            <v>561968</v>
          </cell>
        </row>
        <row r="517">
          <cell r="A517" t="str">
            <v>800-30-080</v>
          </cell>
          <cell r="B517" t="str">
            <v>STAFF BONUS</v>
          </cell>
          <cell r="C517">
            <v>-17984035.260000002</v>
          </cell>
          <cell r="E517">
            <v>-20802074.260000002</v>
          </cell>
          <cell r="F517">
            <v>-20802074.260000002</v>
          </cell>
          <cell r="G517">
            <v>0</v>
          </cell>
          <cell r="H517">
            <v>-20802074.260000002</v>
          </cell>
        </row>
        <row r="518">
          <cell r="A518" t="str">
            <v>800-30-081</v>
          </cell>
          <cell r="B518" t="str">
            <v>STAFF BONUS-PRIOR YEAR PROV</v>
          </cell>
          <cell r="C518">
            <v>-18183000</v>
          </cell>
          <cell r="E518">
            <v>-18183000</v>
          </cell>
          <cell r="F518">
            <v>-18183000</v>
          </cell>
          <cell r="G518">
            <v>0</v>
          </cell>
          <cell r="H518">
            <v>-18183000</v>
          </cell>
        </row>
        <row r="519">
          <cell r="A519" t="str">
            <v>800-30-082</v>
          </cell>
          <cell r="B519" t="str">
            <v>LONG TERM INCENTIVE PLAN</v>
          </cell>
          <cell r="C519">
            <v>-20000000</v>
          </cell>
          <cell r="E519">
            <v>-20000000</v>
          </cell>
          <cell r="F519">
            <v>-20000000</v>
          </cell>
          <cell r="G519">
            <v>0</v>
          </cell>
          <cell r="H519">
            <v>-20000000</v>
          </cell>
        </row>
        <row r="520">
          <cell r="A520" t="str">
            <v>800-30-085</v>
          </cell>
          <cell r="B520" t="str">
            <v>W/TAX-AGENTS</v>
          </cell>
          <cell r="C520">
            <v>-418753.35</v>
          </cell>
          <cell r="E520">
            <v>328981.7</v>
          </cell>
          <cell r="F520">
            <v>328981.7</v>
          </cell>
          <cell r="G520">
            <v>0</v>
          </cell>
          <cell r="H520">
            <v>328981.7</v>
          </cell>
        </row>
        <row r="521">
          <cell r="A521" t="str">
            <v>800-30-090</v>
          </cell>
          <cell r="B521" t="str">
            <v>RETAINED COMMISSION</v>
          </cell>
          <cell r="C521">
            <v>-27131823.77</v>
          </cell>
          <cell r="E521">
            <v>-26541867.579999998</v>
          </cell>
          <cell r="F521">
            <v>-26541867.579999998</v>
          </cell>
          <cell r="G521">
            <v>0</v>
          </cell>
          <cell r="H521">
            <v>-26541867.579999998</v>
          </cell>
        </row>
        <row r="522">
          <cell r="A522" t="str">
            <v>800-30-095</v>
          </cell>
          <cell r="B522" t="str">
            <v>KNIGHT FRANK</v>
          </cell>
          <cell r="C522">
            <v>0</v>
          </cell>
          <cell r="E522">
            <v>0</v>
          </cell>
          <cell r="F522">
            <v>0</v>
          </cell>
          <cell r="G522">
            <v>0</v>
          </cell>
          <cell r="H522">
            <v>0</v>
          </cell>
        </row>
        <row r="523">
          <cell r="A523" t="str">
            <v>800-30-100</v>
          </cell>
          <cell r="B523" t="str">
            <v>PAYE</v>
          </cell>
          <cell r="C523">
            <v>-1805615.6</v>
          </cell>
          <cell r="E523">
            <v>-1581034.7</v>
          </cell>
          <cell r="F523">
            <v>-1581034.7</v>
          </cell>
          <cell r="G523">
            <v>0</v>
          </cell>
          <cell r="H523">
            <v>-1581034.7</v>
          </cell>
        </row>
        <row r="524">
          <cell r="A524" t="str">
            <v>800-30-105</v>
          </cell>
          <cell r="B524" t="str">
            <v>ALA GROUP CHARGES</v>
          </cell>
          <cell r="C524">
            <v>-4771443.71</v>
          </cell>
          <cell r="E524">
            <v>-5683443.3799999999</v>
          </cell>
          <cell r="F524">
            <v>-5683443.3799999999</v>
          </cell>
          <cell r="G524">
            <v>0</v>
          </cell>
          <cell r="H524">
            <v>-5683443.3799999999</v>
          </cell>
        </row>
        <row r="525">
          <cell r="A525" t="str">
            <v>800-30-110</v>
          </cell>
          <cell r="B525" t="str">
            <v>AGENTS PAYROLL CREDITORS</v>
          </cell>
          <cell r="C525">
            <v>5474680.7999999998</v>
          </cell>
          <cell r="E525">
            <v>5144458</v>
          </cell>
          <cell r="F525">
            <v>5144458</v>
          </cell>
          <cell r="G525">
            <v>0</v>
          </cell>
          <cell r="H525">
            <v>5144458</v>
          </cell>
        </row>
        <row r="526">
          <cell r="A526" t="str">
            <v>800-30-115</v>
          </cell>
          <cell r="B526" t="str">
            <v>AGENCY PENSION</v>
          </cell>
          <cell r="C526">
            <v>144450.63</v>
          </cell>
          <cell r="E526">
            <v>448807.63</v>
          </cell>
          <cell r="F526">
            <v>448807.63</v>
          </cell>
          <cell r="G526">
            <v>0</v>
          </cell>
          <cell r="H526">
            <v>448807.63</v>
          </cell>
        </row>
        <row r="527">
          <cell r="A527" t="str">
            <v>800-30-120</v>
          </cell>
          <cell r="B527" t="str">
            <v>AGENTS CO-OP SAVINGS</v>
          </cell>
          <cell r="C527">
            <v>67878.87</v>
          </cell>
          <cell r="E527">
            <v>-112203.04</v>
          </cell>
          <cell r="F527">
            <v>-112203.04</v>
          </cell>
          <cell r="G527">
            <v>0</v>
          </cell>
          <cell r="H527">
            <v>-112203.04</v>
          </cell>
        </row>
        <row r="528">
          <cell r="A528" t="str">
            <v>800-30-122</v>
          </cell>
          <cell r="B528" t="str">
            <v>N.H.I.F - AGENTS</v>
          </cell>
          <cell r="C528">
            <v>-1840</v>
          </cell>
          <cell r="E528">
            <v>-560</v>
          </cell>
          <cell r="F528">
            <v>-560</v>
          </cell>
          <cell r="G528">
            <v>0</v>
          </cell>
          <cell r="H528">
            <v>-560</v>
          </cell>
        </row>
        <row r="529">
          <cell r="A529" t="str">
            <v>800-30-123</v>
          </cell>
          <cell r="B529" t="str">
            <v>N.S.S.F-AGENTS</v>
          </cell>
          <cell r="C529">
            <v>-24450</v>
          </cell>
          <cell r="E529">
            <v>-9000</v>
          </cell>
          <cell r="F529">
            <v>-9000</v>
          </cell>
          <cell r="G529">
            <v>0</v>
          </cell>
          <cell r="H529">
            <v>-9000</v>
          </cell>
        </row>
        <row r="530">
          <cell r="A530" t="str">
            <v>800-30-125</v>
          </cell>
          <cell r="B530" t="str">
            <v>STALE CHEQUES - 5039035</v>
          </cell>
          <cell r="C530">
            <v>-321263.05</v>
          </cell>
          <cell r="E530">
            <v>-321263.05</v>
          </cell>
          <cell r="F530">
            <v>-321263.05</v>
          </cell>
          <cell r="G530">
            <v>0</v>
          </cell>
          <cell r="H530">
            <v>-321263.05</v>
          </cell>
        </row>
        <row r="531">
          <cell r="A531" t="str">
            <v>800-30-130</v>
          </cell>
          <cell r="B531" t="str">
            <v>STALE CHEQUES - CBA</v>
          </cell>
          <cell r="C531">
            <v>-67760</v>
          </cell>
          <cell r="E531">
            <v>-67760</v>
          </cell>
          <cell r="F531">
            <v>-67760</v>
          </cell>
          <cell r="G531">
            <v>0</v>
          </cell>
          <cell r="H531">
            <v>-67760</v>
          </cell>
        </row>
        <row r="532">
          <cell r="A532" t="str">
            <v>800-30-135</v>
          </cell>
          <cell r="B532" t="str">
            <v>STALE CHEQUES - INDOSUEZ</v>
          </cell>
          <cell r="C532">
            <v>-7400</v>
          </cell>
          <cell r="E532">
            <v>-7400</v>
          </cell>
          <cell r="F532">
            <v>-7400</v>
          </cell>
          <cell r="G532">
            <v>0</v>
          </cell>
          <cell r="H532">
            <v>-7400</v>
          </cell>
        </row>
        <row r="533">
          <cell r="A533" t="str">
            <v>800-30-140</v>
          </cell>
          <cell r="B533" t="str">
            <v>STALE CHEQUES -5776688</v>
          </cell>
          <cell r="C533">
            <v>-2044548.93</v>
          </cell>
          <cell r="E533">
            <v>-2044548.93</v>
          </cell>
          <cell r="F533">
            <v>-2044548.93</v>
          </cell>
          <cell r="G533">
            <v>0</v>
          </cell>
          <cell r="H533">
            <v>-2044548.93</v>
          </cell>
        </row>
        <row r="534">
          <cell r="A534" t="str">
            <v>800-30-145</v>
          </cell>
          <cell r="B534" t="str">
            <v>STALE CHEQUES -5039027</v>
          </cell>
          <cell r="C534">
            <v>-16096806</v>
          </cell>
          <cell r="E534">
            <v>-16096806</v>
          </cell>
          <cell r="F534">
            <v>-16096806</v>
          </cell>
          <cell r="G534">
            <v>0</v>
          </cell>
          <cell r="H534">
            <v>-16096806</v>
          </cell>
        </row>
        <row r="535">
          <cell r="A535" t="str">
            <v>800-30-150</v>
          </cell>
          <cell r="B535" t="str">
            <v>STALE CHEQUES-5776793</v>
          </cell>
          <cell r="C535">
            <v>0</v>
          </cell>
          <cell r="E535">
            <v>0</v>
          </cell>
          <cell r="F535">
            <v>0</v>
          </cell>
          <cell r="G535">
            <v>0</v>
          </cell>
          <cell r="H535">
            <v>0</v>
          </cell>
        </row>
        <row r="536">
          <cell r="A536" t="str">
            <v>800-30-155</v>
          </cell>
          <cell r="B536" t="str">
            <v>STALE CHEQUES - MOMBASA</v>
          </cell>
          <cell r="C536">
            <v>-282271</v>
          </cell>
          <cell r="E536">
            <v>-282271</v>
          </cell>
          <cell r="F536">
            <v>-282271</v>
          </cell>
          <cell r="G536">
            <v>0</v>
          </cell>
          <cell r="H536">
            <v>-282271</v>
          </cell>
        </row>
        <row r="537">
          <cell r="A537" t="str">
            <v>800-30-160</v>
          </cell>
          <cell r="B537" t="str">
            <v>BROKERAGE W/TAX</v>
          </cell>
          <cell r="C537">
            <v>0</v>
          </cell>
          <cell r="E537">
            <v>0</v>
          </cell>
          <cell r="F537">
            <v>0</v>
          </cell>
          <cell r="G537">
            <v>0</v>
          </cell>
          <cell r="H537">
            <v>0</v>
          </cell>
        </row>
        <row r="538">
          <cell r="A538" t="str">
            <v>800-30-165</v>
          </cell>
          <cell r="B538" t="str">
            <v>GROUP CREDITORS</v>
          </cell>
          <cell r="C538">
            <v>0</v>
          </cell>
          <cell r="E538">
            <v>0</v>
          </cell>
          <cell r="F538">
            <v>0</v>
          </cell>
          <cell r="G538">
            <v>0</v>
          </cell>
          <cell r="H538">
            <v>0</v>
          </cell>
        </row>
        <row r="539">
          <cell r="A539" t="str">
            <v>800-30-170</v>
          </cell>
          <cell r="B539" t="str">
            <v>UNEARNED INTEREST</v>
          </cell>
          <cell r="C539">
            <v>0</v>
          </cell>
          <cell r="E539">
            <v>0</v>
          </cell>
          <cell r="F539">
            <v>0</v>
          </cell>
          <cell r="G539">
            <v>0</v>
          </cell>
          <cell r="H539">
            <v>0</v>
          </cell>
        </row>
        <row r="540">
          <cell r="A540" t="str">
            <v>800-30-174</v>
          </cell>
          <cell r="B540" t="str">
            <v>DEPOSIT ON MORTGAGE</v>
          </cell>
          <cell r="C540">
            <v>0</v>
          </cell>
          <cell r="E540">
            <v>0</v>
          </cell>
          <cell r="F540">
            <v>0</v>
          </cell>
          <cell r="G540">
            <v>0</v>
          </cell>
          <cell r="H540">
            <v>0</v>
          </cell>
        </row>
        <row r="541">
          <cell r="A541" t="str">
            <v>800-30-175</v>
          </cell>
          <cell r="B541" t="str">
            <v>CONTRA ACCOUNT(COST CENTRES)</v>
          </cell>
          <cell r="C541">
            <v>126119947.5</v>
          </cell>
          <cell r="E541">
            <v>130092455.84</v>
          </cell>
          <cell r="F541">
            <v>130092455.84</v>
          </cell>
          <cell r="G541">
            <v>0</v>
          </cell>
          <cell r="H541">
            <v>130092455.84</v>
          </cell>
        </row>
        <row r="542">
          <cell r="A542" t="str">
            <v>800-30-180</v>
          </cell>
          <cell r="B542" t="str">
            <v>W/TAX - OTHERS</v>
          </cell>
          <cell r="C542">
            <v>-2147621.25</v>
          </cell>
          <cell r="E542">
            <v>-2417812.91</v>
          </cell>
          <cell r="F542">
            <v>-2417812.91</v>
          </cell>
          <cell r="G542">
            <v>0</v>
          </cell>
          <cell r="H542">
            <v>-2417812.91</v>
          </cell>
        </row>
        <row r="543">
          <cell r="A543" t="str">
            <v>800-30-185</v>
          </cell>
          <cell r="B543" t="str">
            <v>BROKERAGE COMMISSION CONTROL ACCOUNT</v>
          </cell>
          <cell r="C543">
            <v>0</v>
          </cell>
          <cell r="E543">
            <v>0</v>
          </cell>
          <cell r="F543">
            <v>0</v>
          </cell>
          <cell r="G543">
            <v>0</v>
          </cell>
          <cell r="H543">
            <v>0</v>
          </cell>
        </row>
        <row r="544">
          <cell r="A544" t="str">
            <v>800-30-190</v>
          </cell>
          <cell r="B544" t="str">
            <v>TRANSFERS CONTRA ACCOUNT</v>
          </cell>
          <cell r="C544">
            <v>0</v>
          </cell>
          <cell r="E544">
            <v>0</v>
          </cell>
          <cell r="F544">
            <v>0</v>
          </cell>
          <cell r="G544">
            <v>0</v>
          </cell>
          <cell r="H544">
            <v>0</v>
          </cell>
        </row>
        <row r="545">
          <cell r="A545" t="str">
            <v>800-30-195</v>
          </cell>
          <cell r="B545" t="str">
            <v>STALE CHEQUES - UNIT LINK ACCOUNT</v>
          </cell>
          <cell r="C545">
            <v>-136171</v>
          </cell>
          <cell r="E545">
            <v>-136171</v>
          </cell>
          <cell r="F545">
            <v>-136171</v>
          </cell>
          <cell r="G545">
            <v>0</v>
          </cell>
          <cell r="H545">
            <v>-136171</v>
          </cell>
        </row>
        <row r="546">
          <cell r="A546" t="str">
            <v>800-30-200</v>
          </cell>
          <cell r="B546" t="str">
            <v>STALE CHEQUES - NIC</v>
          </cell>
          <cell r="C546">
            <v>0</v>
          </cell>
          <cell r="E546">
            <v>0</v>
          </cell>
          <cell r="F546">
            <v>0</v>
          </cell>
          <cell r="G546">
            <v>0</v>
          </cell>
          <cell r="H546">
            <v>0</v>
          </cell>
        </row>
        <row r="547">
          <cell r="A547" t="str">
            <v>800-30-205</v>
          </cell>
          <cell r="B547" t="str">
            <v>STAFF SOCIAL CLUB</v>
          </cell>
          <cell r="C547">
            <v>470050</v>
          </cell>
          <cell r="E547">
            <v>426850</v>
          </cell>
          <cell r="F547">
            <v>426850</v>
          </cell>
          <cell r="G547">
            <v>0</v>
          </cell>
          <cell r="H547">
            <v>426850</v>
          </cell>
        </row>
        <row r="548">
          <cell r="A548" t="str">
            <v>800-30-210</v>
          </cell>
          <cell r="B548" t="str">
            <v>PROVISION FOR TERMINATED AGENTS</v>
          </cell>
          <cell r="C548">
            <v>-5803742</v>
          </cell>
          <cell r="E548">
            <v>-5803742</v>
          </cell>
          <cell r="F548">
            <v>-5803742</v>
          </cell>
          <cell r="G548">
            <v>0</v>
          </cell>
          <cell r="H548">
            <v>-5803742</v>
          </cell>
        </row>
        <row r="549">
          <cell r="A549" t="str">
            <v>800-30-215</v>
          </cell>
          <cell r="B549" t="str">
            <v>GROUP LIFE BENEFITS</v>
          </cell>
          <cell r="C549">
            <v>-2000000</v>
          </cell>
          <cell r="E549">
            <v>-2000000</v>
          </cell>
          <cell r="F549">
            <v>-2000000</v>
          </cell>
          <cell r="G549">
            <v>0</v>
          </cell>
          <cell r="H549">
            <v>-2000000</v>
          </cell>
        </row>
        <row r="550">
          <cell r="A550" t="str">
            <v>800-40-010</v>
          </cell>
          <cell r="B550" t="str">
            <v>KENYA REINSURANCE CORP-REIN PREMIUM</v>
          </cell>
          <cell r="C550">
            <v>-6124675.7999999998</v>
          </cell>
          <cell r="E550">
            <v>-6761828.7999999998</v>
          </cell>
          <cell r="F550">
            <v>-6761828.7999999998</v>
          </cell>
          <cell r="G550">
            <v>0</v>
          </cell>
          <cell r="H550">
            <v>-6761828.7999999998</v>
          </cell>
        </row>
        <row r="551">
          <cell r="A551" t="str">
            <v>800-40-020</v>
          </cell>
          <cell r="B551" t="str">
            <v>EAST AFRICA REINSURANCE LTD-REIN PREM</v>
          </cell>
          <cell r="C551">
            <v>-2158110.15</v>
          </cell>
          <cell r="E551">
            <v>-2646078.15</v>
          </cell>
          <cell r="F551">
            <v>-2646078.15</v>
          </cell>
          <cell r="G551">
            <v>0</v>
          </cell>
          <cell r="H551">
            <v>-2646078.15</v>
          </cell>
        </row>
        <row r="552">
          <cell r="A552" t="str">
            <v>800-40-030</v>
          </cell>
          <cell r="B552" t="str">
            <v>AFRICA REINSURANCE CORP-REIN PREM</v>
          </cell>
          <cell r="C552">
            <v>-7579027.0499999998</v>
          </cell>
          <cell r="E552">
            <v>-7582331.0499999998</v>
          </cell>
          <cell r="F552">
            <v>-7582331.0499999998</v>
          </cell>
          <cell r="G552">
            <v>0</v>
          </cell>
          <cell r="H552">
            <v>-7582331.0499999998</v>
          </cell>
        </row>
        <row r="553">
          <cell r="A553" t="str">
            <v>800-40-040</v>
          </cell>
          <cell r="B553" t="str">
            <v>PTA REINSURANCE</v>
          </cell>
          <cell r="C553">
            <v>-1019821</v>
          </cell>
          <cell r="E553">
            <v>-1019821</v>
          </cell>
          <cell r="F553">
            <v>-1019821</v>
          </cell>
          <cell r="G553">
            <v>0</v>
          </cell>
          <cell r="H553">
            <v>-1019821</v>
          </cell>
        </row>
        <row r="554">
          <cell r="A554" t="str">
            <v>800-40-050</v>
          </cell>
          <cell r="B554" t="str">
            <v>CICA RE</v>
          </cell>
          <cell r="C554">
            <v>60113</v>
          </cell>
          <cell r="E554">
            <v>60113</v>
          </cell>
          <cell r="F554">
            <v>60113</v>
          </cell>
          <cell r="G554">
            <v>0</v>
          </cell>
          <cell r="H554">
            <v>60113</v>
          </cell>
        </row>
        <row r="555">
          <cell r="A555" t="str">
            <v>800-40-060</v>
          </cell>
          <cell r="B555" t="str">
            <v>GHANA RE</v>
          </cell>
          <cell r="C555">
            <v>30056</v>
          </cell>
          <cell r="E555">
            <v>30056</v>
          </cell>
          <cell r="F555">
            <v>30056</v>
          </cell>
          <cell r="G555">
            <v>0</v>
          </cell>
          <cell r="H555">
            <v>30056</v>
          </cell>
        </row>
        <row r="556">
          <cell r="A556" t="str">
            <v>800-50-010</v>
          </cell>
          <cell r="B556" t="str">
            <v>O/S MATURITY CLAIMS</v>
          </cell>
          <cell r="C556">
            <v>-10370115.4</v>
          </cell>
          <cell r="E556">
            <v>-10912511.75</v>
          </cell>
          <cell r="F556">
            <v>-10912511.75</v>
          </cell>
          <cell r="G556">
            <v>0</v>
          </cell>
          <cell r="H556">
            <v>-10912511.75</v>
          </cell>
        </row>
        <row r="557">
          <cell r="A557" t="str">
            <v>800-50-020</v>
          </cell>
          <cell r="B557" t="str">
            <v>O/S CLAIMS ENDOWMENT</v>
          </cell>
          <cell r="C557">
            <v>-3142093.7</v>
          </cell>
          <cell r="E557">
            <v>-3152363.7</v>
          </cell>
          <cell r="F557">
            <v>-3152363.7</v>
          </cell>
          <cell r="G557">
            <v>0</v>
          </cell>
          <cell r="H557">
            <v>-3152363.7</v>
          </cell>
        </row>
        <row r="558">
          <cell r="A558" t="str">
            <v>800-50-030</v>
          </cell>
          <cell r="B558" t="str">
            <v>O/S DEATH CLAIMS -ORDINARY</v>
          </cell>
          <cell r="C558">
            <v>-12500625.800000001</v>
          </cell>
          <cell r="E558">
            <v>-11862157.6</v>
          </cell>
          <cell r="F558">
            <v>-11862157.6</v>
          </cell>
          <cell r="G558">
            <v>0</v>
          </cell>
          <cell r="H558">
            <v>-11862157.6</v>
          </cell>
        </row>
        <row r="559">
          <cell r="A559" t="str">
            <v>800-50-040</v>
          </cell>
          <cell r="B559" t="str">
            <v>O/S ANNUITY CLAIMS</v>
          </cell>
          <cell r="C559">
            <v>-6512553.7800000003</v>
          </cell>
          <cell r="E559">
            <v>-6459557.1799999997</v>
          </cell>
          <cell r="F559">
            <v>-6459557.1799999997</v>
          </cell>
          <cell r="G559">
            <v>0</v>
          </cell>
          <cell r="H559">
            <v>-6459557.1799999997</v>
          </cell>
        </row>
        <row r="560">
          <cell r="A560" t="str">
            <v>800-50-050</v>
          </cell>
          <cell r="B560" t="str">
            <v>O/S DEATH-TANZANIA</v>
          </cell>
          <cell r="C560">
            <v>-4085032</v>
          </cell>
          <cell r="E560">
            <v>-4085032</v>
          </cell>
          <cell r="F560">
            <v>-4085032</v>
          </cell>
          <cell r="G560">
            <v>0</v>
          </cell>
          <cell r="H560">
            <v>-4085032</v>
          </cell>
        </row>
        <row r="561">
          <cell r="A561" t="str">
            <v>800-50-060</v>
          </cell>
          <cell r="B561" t="str">
            <v>O/S MATURIRT CLMS-TANZANIA</v>
          </cell>
          <cell r="C561">
            <v>-569049</v>
          </cell>
          <cell r="E561">
            <v>-569049</v>
          </cell>
          <cell r="F561">
            <v>-569049</v>
          </cell>
          <cell r="G561">
            <v>0</v>
          </cell>
          <cell r="H561">
            <v>-569049</v>
          </cell>
        </row>
        <row r="562">
          <cell r="A562" t="str">
            <v>800-50-070</v>
          </cell>
          <cell r="B562" t="str">
            <v>O/S FFFP DEATH CLAIMS</v>
          </cell>
          <cell r="C562">
            <v>-572414</v>
          </cell>
          <cell r="E562">
            <v>-670264</v>
          </cell>
          <cell r="F562">
            <v>-670264</v>
          </cell>
          <cell r="G562">
            <v>0</v>
          </cell>
          <cell r="H562">
            <v>-670264</v>
          </cell>
        </row>
        <row r="563">
          <cell r="A563" t="str">
            <v>800-50-080</v>
          </cell>
          <cell r="B563" t="str">
            <v>O/S WP CLAIMS</v>
          </cell>
          <cell r="C563">
            <v>5696371.0599999996</v>
          </cell>
          <cell r="E563">
            <v>5719104.04</v>
          </cell>
          <cell r="F563">
            <v>5719104.04</v>
          </cell>
          <cell r="G563">
            <v>0</v>
          </cell>
          <cell r="H563">
            <v>5719104.04</v>
          </cell>
        </row>
        <row r="564">
          <cell r="A564" t="str">
            <v>800-50-085</v>
          </cell>
          <cell r="B564" t="str">
            <v>O/S PENSIONS</v>
          </cell>
          <cell r="C564">
            <v>0</v>
          </cell>
          <cell r="E564">
            <v>0</v>
          </cell>
          <cell r="F564">
            <v>0</v>
          </cell>
          <cell r="G564">
            <v>0</v>
          </cell>
          <cell r="H564">
            <v>0</v>
          </cell>
        </row>
        <row r="565">
          <cell r="A565" t="str">
            <v>800-50-090</v>
          </cell>
          <cell r="B565" t="str">
            <v>O/S GROUP DEATH CLAIMS</v>
          </cell>
          <cell r="C565">
            <v>0</v>
          </cell>
          <cell r="E565">
            <v>0</v>
          </cell>
          <cell r="F565">
            <v>0</v>
          </cell>
          <cell r="G565">
            <v>0</v>
          </cell>
          <cell r="H565">
            <v>0</v>
          </cell>
        </row>
        <row r="566">
          <cell r="A566" t="str">
            <v>800-50-095</v>
          </cell>
          <cell r="B566" t="str">
            <v>O/S GROUP MATURITIES</v>
          </cell>
          <cell r="C566">
            <v>0</v>
          </cell>
          <cell r="E566">
            <v>0</v>
          </cell>
          <cell r="F566">
            <v>0</v>
          </cell>
          <cell r="G566">
            <v>0</v>
          </cell>
          <cell r="H566">
            <v>0</v>
          </cell>
        </row>
        <row r="567">
          <cell r="A567" t="str">
            <v>800-50-100</v>
          </cell>
          <cell r="B567" t="str">
            <v>O/S GROUP ANTICIPATED</v>
          </cell>
          <cell r="C567">
            <v>0</v>
          </cell>
          <cell r="E567">
            <v>0</v>
          </cell>
          <cell r="F567">
            <v>0</v>
          </cell>
          <cell r="G567">
            <v>0</v>
          </cell>
          <cell r="H567">
            <v>0</v>
          </cell>
        </row>
        <row r="568">
          <cell r="A568" t="str">
            <v>800-50-110</v>
          </cell>
          <cell r="B568" t="str">
            <v>O/S RETIREMENT ANNUITIES</v>
          </cell>
          <cell r="C568">
            <v>0</v>
          </cell>
          <cell r="E568">
            <v>0</v>
          </cell>
          <cell r="F568">
            <v>0</v>
          </cell>
          <cell r="G568">
            <v>0</v>
          </cell>
          <cell r="H568">
            <v>0</v>
          </cell>
        </row>
        <row r="569">
          <cell r="A569" t="str">
            <v>800-50-115</v>
          </cell>
          <cell r="B569" t="str">
            <v>GROUP HARAMBEE SURRENDERS</v>
          </cell>
          <cell r="C569">
            <v>0</v>
          </cell>
          <cell r="E569">
            <v>0</v>
          </cell>
          <cell r="F569">
            <v>0</v>
          </cell>
          <cell r="G569">
            <v>0</v>
          </cell>
          <cell r="H569">
            <v>0</v>
          </cell>
        </row>
        <row r="570">
          <cell r="A570" t="str">
            <v>800-60-010</v>
          </cell>
          <cell r="B570" t="str">
            <v>PREMIUM TAX</v>
          </cell>
          <cell r="C570">
            <v>1685037</v>
          </cell>
          <cell r="E570">
            <v>1685037</v>
          </cell>
          <cell r="F570">
            <v>1685037</v>
          </cell>
          <cell r="G570">
            <v>9933747</v>
          </cell>
          <cell r="H570">
            <v>11618784</v>
          </cell>
        </row>
        <row r="571">
          <cell r="A571" t="str">
            <v>800-60-015</v>
          </cell>
          <cell r="B571" t="str">
            <v>POLICY HOLDER COMPENSATION LEVY</v>
          </cell>
          <cell r="C571">
            <v>1889881.57</v>
          </cell>
          <cell r="E571">
            <v>1889881.57</v>
          </cell>
          <cell r="F571">
            <v>1889881.57</v>
          </cell>
          <cell r="G571">
            <v>0</v>
          </cell>
          <cell r="H571">
            <v>1889881.57</v>
          </cell>
        </row>
        <row r="572">
          <cell r="A572" t="str">
            <v>800-65-010</v>
          </cell>
          <cell r="B572" t="str">
            <v>RESIDENTIAL HOUSE-LORESHO</v>
          </cell>
          <cell r="C572">
            <v>0</v>
          </cell>
          <cell r="E572">
            <v>0</v>
          </cell>
          <cell r="F572">
            <v>0</v>
          </cell>
          <cell r="G572">
            <v>0</v>
          </cell>
          <cell r="H572">
            <v>0</v>
          </cell>
        </row>
        <row r="573">
          <cell r="A573" t="str">
            <v>800-68-010</v>
          </cell>
          <cell r="B573" t="str">
            <v>RESIDENTIAL -LORESHO HSE</v>
          </cell>
          <cell r="C573">
            <v>0</v>
          </cell>
          <cell r="E573">
            <v>0</v>
          </cell>
          <cell r="F573">
            <v>0</v>
          </cell>
          <cell r="G573">
            <v>0</v>
          </cell>
          <cell r="H573">
            <v>0</v>
          </cell>
        </row>
        <row r="574">
          <cell r="A574" t="str">
            <v>800-68-015</v>
          </cell>
          <cell r="B574" t="str">
            <v>REVALUATION SURPLUS</v>
          </cell>
          <cell r="C574">
            <v>0</v>
          </cell>
          <cell r="E574">
            <v>0</v>
          </cell>
          <cell r="F574">
            <v>0</v>
          </cell>
          <cell r="G574">
            <v>0</v>
          </cell>
          <cell r="H574">
            <v>0</v>
          </cell>
        </row>
        <row r="575">
          <cell r="A575" t="str">
            <v>800-68-020</v>
          </cell>
          <cell r="B575" t="str">
            <v>REVALUATION - POLICY LOANS</v>
          </cell>
          <cell r="C575">
            <v>0</v>
          </cell>
          <cell r="E575">
            <v>0</v>
          </cell>
          <cell r="F575">
            <v>0</v>
          </cell>
          <cell r="G575">
            <v>0</v>
          </cell>
          <cell r="H575">
            <v>0</v>
          </cell>
        </row>
        <row r="576">
          <cell r="A576" t="str">
            <v>800-70-010</v>
          </cell>
          <cell r="B576" t="str">
            <v>ACC.DEP-MOTOR</v>
          </cell>
          <cell r="C576">
            <v>-4378094.68</v>
          </cell>
          <cell r="E576">
            <v>-4563375.93</v>
          </cell>
          <cell r="F576">
            <v>-4563375.93</v>
          </cell>
          <cell r="G576">
            <v>0</v>
          </cell>
          <cell r="H576">
            <v>-4563375.93</v>
          </cell>
        </row>
        <row r="577">
          <cell r="A577" t="str">
            <v>800-70-020</v>
          </cell>
          <cell r="B577" t="str">
            <v>ACC.DEP-COMPUTER</v>
          </cell>
          <cell r="C577">
            <v>-55053695.450000003</v>
          </cell>
          <cell r="E577">
            <v>-56135909.600000001</v>
          </cell>
          <cell r="F577">
            <v>-56135909.600000001</v>
          </cell>
          <cell r="G577">
            <v>0</v>
          </cell>
          <cell r="H577">
            <v>-56135909.600000001</v>
          </cell>
        </row>
        <row r="578">
          <cell r="A578" t="str">
            <v>800-70-025</v>
          </cell>
          <cell r="B578" t="str">
            <v>AMMORTISATION-INTANGIBLE ASSETS</v>
          </cell>
          <cell r="C578">
            <v>-7153413.7999999998</v>
          </cell>
          <cell r="E578">
            <v>-7397341.8499999996</v>
          </cell>
          <cell r="F578">
            <v>-7397341.8499999996</v>
          </cell>
          <cell r="G578">
            <v>0</v>
          </cell>
          <cell r="H578">
            <v>-7397341.8499999996</v>
          </cell>
        </row>
        <row r="579">
          <cell r="A579" t="str">
            <v>800-70-030</v>
          </cell>
          <cell r="B579" t="str">
            <v>FURNITURE &amp; FITTING</v>
          </cell>
          <cell r="C579">
            <v>-61163329.740000002</v>
          </cell>
          <cell r="E579">
            <v>-61803412.369999997</v>
          </cell>
          <cell r="F579">
            <v>-61803412.369999997</v>
          </cell>
          <cell r="G579">
            <v>0</v>
          </cell>
          <cell r="H579">
            <v>-61803412.369999997</v>
          </cell>
        </row>
        <row r="580">
          <cell r="A580" t="str">
            <v>900-05-010</v>
          </cell>
          <cell r="B580" t="str">
            <v>SHARE CAPITAL</v>
          </cell>
          <cell r="C580">
            <v>0</v>
          </cell>
          <cell r="E580">
            <v>0</v>
          </cell>
          <cell r="F580">
            <v>0</v>
          </cell>
          <cell r="G580">
            <v>0</v>
          </cell>
          <cell r="H580">
            <v>0</v>
          </cell>
        </row>
        <row r="581">
          <cell r="A581" t="str">
            <v>900-05-015</v>
          </cell>
          <cell r="B581" t="str">
            <v>SHARE PREMIUM</v>
          </cell>
          <cell r="C581">
            <v>0</v>
          </cell>
          <cell r="E581">
            <v>0</v>
          </cell>
          <cell r="F581">
            <v>0</v>
          </cell>
          <cell r="G581">
            <v>0</v>
          </cell>
          <cell r="H581">
            <v>0</v>
          </cell>
        </row>
        <row r="582">
          <cell r="A582" t="str">
            <v>900-05-020</v>
          </cell>
          <cell r="B582" t="str">
            <v>RETAINED EARNINGS</v>
          </cell>
          <cell r="C582">
            <v>0</v>
          </cell>
          <cell r="E582">
            <v>0</v>
          </cell>
          <cell r="F582">
            <v>0</v>
          </cell>
          <cell r="G582">
            <v>0</v>
          </cell>
          <cell r="H582">
            <v>0</v>
          </cell>
        </row>
        <row r="583">
          <cell r="A583" t="str">
            <v>ACCOUNT</v>
          </cell>
          <cell r="B583" t="str">
            <v>ACCOUNT NAME</v>
          </cell>
          <cell r="C583" t="str">
            <v>OPENING BALANCE</v>
          </cell>
          <cell r="E583" t="e">
            <v>#VALUE!</v>
          </cell>
          <cell r="F583" t="str">
            <v>YR-TO-DATE</v>
          </cell>
          <cell r="G583">
            <v>0</v>
          </cell>
          <cell r="H583">
            <v>0</v>
          </cell>
        </row>
        <row r="584">
          <cell r="A584" t="str">
            <v>ACCOUNT</v>
          </cell>
          <cell r="B584" t="str">
            <v>ACCOUNT NAME</v>
          </cell>
          <cell r="C584" t="str">
            <v>OPENING BALANCE</v>
          </cell>
          <cell r="E584" t="e">
            <v>#VALUE!</v>
          </cell>
          <cell r="F584" t="str">
            <v>YR-TO-DATE</v>
          </cell>
          <cell r="G584">
            <v>0</v>
          </cell>
          <cell r="H584">
            <v>0</v>
          </cell>
        </row>
        <row r="585">
          <cell r="A585" t="str">
            <v>ACCOUNT</v>
          </cell>
          <cell r="B585" t="str">
            <v>ACCOUNT NAME</v>
          </cell>
          <cell r="C585" t="str">
            <v>OPENING BALANCE</v>
          </cell>
          <cell r="E585" t="e">
            <v>#VALUE!</v>
          </cell>
          <cell r="F585" t="str">
            <v>YR-TO-DATE</v>
          </cell>
          <cell r="G585">
            <v>0</v>
          </cell>
          <cell r="H585">
            <v>0</v>
          </cell>
        </row>
        <row r="586">
          <cell r="A586" t="str">
            <v>ACCOUNT</v>
          </cell>
          <cell r="B586" t="str">
            <v>ACCOUNT NAME</v>
          </cell>
          <cell r="C586" t="str">
            <v>OPENING BALANCE</v>
          </cell>
          <cell r="E586" t="e">
            <v>#VALUE!</v>
          </cell>
          <cell r="F586" t="str">
            <v>YR-TO-DATE</v>
          </cell>
          <cell r="G586">
            <v>0</v>
          </cell>
          <cell r="H586">
            <v>0</v>
          </cell>
        </row>
        <row r="587">
          <cell r="A587" t="str">
            <v>ACCOUNT</v>
          </cell>
          <cell r="B587" t="str">
            <v>ACCOUNT NAME</v>
          </cell>
          <cell r="C587" t="str">
            <v>OPENING BALANCE</v>
          </cell>
          <cell r="E587" t="e">
            <v>#VALUE!</v>
          </cell>
          <cell r="F587" t="str">
            <v>YR-TO-DATE</v>
          </cell>
          <cell r="G587">
            <v>0</v>
          </cell>
          <cell r="H587">
            <v>0</v>
          </cell>
        </row>
        <row r="588">
          <cell r="A588" t="str">
            <v>ACCOUNT</v>
          </cell>
          <cell r="B588" t="str">
            <v>ACCOUNT NAME</v>
          </cell>
          <cell r="C588" t="str">
            <v>OPENING BALANCE</v>
          </cell>
          <cell r="E588" t="e">
            <v>#VALUE!</v>
          </cell>
          <cell r="F588" t="str">
            <v>YR-TO-DATE</v>
          </cell>
          <cell r="G588">
            <v>0</v>
          </cell>
          <cell r="H588">
            <v>0</v>
          </cell>
        </row>
        <row r="589">
          <cell r="A589" t="str">
            <v>ACCOUNT</v>
          </cell>
          <cell r="B589" t="str">
            <v>ACCOUNT NAME</v>
          </cell>
          <cell r="C589" t="str">
            <v>OPENING BALANCE</v>
          </cell>
          <cell r="E589" t="e">
            <v>#VALUE!</v>
          </cell>
          <cell r="F589" t="str">
            <v>YR-TO-DATE</v>
          </cell>
          <cell r="G589">
            <v>0</v>
          </cell>
          <cell r="H589">
            <v>0</v>
          </cell>
        </row>
        <row r="590">
          <cell r="A590" t="str">
            <v>ACCOUNT</v>
          </cell>
          <cell r="B590" t="str">
            <v>ACCOUNT NAME</v>
          </cell>
          <cell r="C590" t="str">
            <v>OPENING BALANCE</v>
          </cell>
          <cell r="E590" t="e">
            <v>#VALUE!</v>
          </cell>
          <cell r="F590" t="str">
            <v>YR-TO-DATE</v>
          </cell>
          <cell r="G590">
            <v>0</v>
          </cell>
          <cell r="H590">
            <v>0</v>
          </cell>
        </row>
        <row r="591">
          <cell r="A591" t="str">
            <v>ACCOUNT</v>
          </cell>
          <cell r="B591" t="str">
            <v>ACCOUNT NAME</v>
          </cell>
          <cell r="C591" t="str">
            <v>OPENING BALANCE</v>
          </cell>
          <cell r="E591" t="e">
            <v>#VALUE!</v>
          </cell>
          <cell r="F591" t="str">
            <v>YR-TO-DATE</v>
          </cell>
          <cell r="G591">
            <v>0</v>
          </cell>
          <cell r="H591">
            <v>0</v>
          </cell>
        </row>
        <row r="592">
          <cell r="A592" t="str">
            <v>ACCOUNT</v>
          </cell>
          <cell r="B592" t="str">
            <v>ACCOUNT NAME</v>
          </cell>
          <cell r="C592" t="str">
            <v>OPENING BALANCE</v>
          </cell>
          <cell r="E592" t="e">
            <v>#VALUE!</v>
          </cell>
          <cell r="F592" t="str">
            <v>YR-TO-DATE</v>
          </cell>
          <cell r="G592">
            <v>0</v>
          </cell>
          <cell r="H592">
            <v>0</v>
          </cell>
        </row>
        <row r="593">
          <cell r="A593" t="str">
            <v>ACCOUNT</v>
          </cell>
          <cell r="B593" t="str">
            <v>ACCOUNT NAME</v>
          </cell>
          <cell r="C593" t="str">
            <v>OPENING BALANCE</v>
          </cell>
          <cell r="E593" t="e">
            <v>#VALUE!</v>
          </cell>
          <cell r="F593" t="str">
            <v>YR-TO-DATE</v>
          </cell>
          <cell r="G593">
            <v>0</v>
          </cell>
          <cell r="H593">
            <v>0</v>
          </cell>
        </row>
        <row r="594">
          <cell r="A594" t="str">
            <v>ACCOUNT</v>
          </cell>
          <cell r="B594" t="str">
            <v>ACCOUNT NAME</v>
          </cell>
          <cell r="C594" t="str">
            <v>OPENING BALANCE</v>
          </cell>
          <cell r="E594" t="e">
            <v>#VALUE!</v>
          </cell>
          <cell r="F594" t="str">
            <v>YR-TO-DATE</v>
          </cell>
          <cell r="G594">
            <v>0</v>
          </cell>
          <cell r="H594">
            <v>0</v>
          </cell>
        </row>
        <row r="595">
          <cell r="A595" t="str">
            <v>ACCOUNT</v>
          </cell>
          <cell r="B595" t="str">
            <v>ACCOUNT NAME</v>
          </cell>
          <cell r="C595" t="str">
            <v>OPENING BALANCE</v>
          </cell>
          <cell r="E595" t="e">
            <v>#VALUE!</v>
          </cell>
          <cell r="F595" t="str">
            <v>YR-TO-DATE</v>
          </cell>
          <cell r="G595">
            <v>0</v>
          </cell>
          <cell r="H595">
            <v>0</v>
          </cell>
        </row>
        <row r="596">
          <cell r="A596" t="str">
            <v>ACCOUNT</v>
          </cell>
          <cell r="B596" t="str">
            <v>ACCOUNT NAME</v>
          </cell>
          <cell r="C596" t="str">
            <v>OPENING BALANCE</v>
          </cell>
          <cell r="E596" t="e">
            <v>#VALUE!</v>
          </cell>
          <cell r="F596" t="str">
            <v>YR-TO-DATE</v>
          </cell>
          <cell r="G596">
            <v>0</v>
          </cell>
          <cell r="H596">
            <v>0</v>
          </cell>
        </row>
        <row r="597">
          <cell r="A597" t="str">
            <v>ACCOUNT</v>
          </cell>
          <cell r="B597" t="str">
            <v>ACCOUNT NAME</v>
          </cell>
          <cell r="C597" t="str">
            <v>OPENING BALANCE</v>
          </cell>
          <cell r="F597" t="str">
            <v>YR-TO-DATE</v>
          </cell>
          <cell r="G597">
            <v>0</v>
          </cell>
          <cell r="H597">
            <v>0</v>
          </cell>
        </row>
        <row r="598">
          <cell r="A598" t="str">
            <v>ACCOUNT</v>
          </cell>
          <cell r="B598" t="str">
            <v>ACCOUNT NAME</v>
          </cell>
          <cell r="C598" t="str">
            <v>OPENING BALANCE</v>
          </cell>
          <cell r="F598" t="str">
            <v>YR-TO-DATE</v>
          </cell>
          <cell r="G598">
            <v>0</v>
          </cell>
          <cell r="H598">
            <v>0</v>
          </cell>
        </row>
        <row r="599">
          <cell r="A599" t="str">
            <v>ACCOUNT</v>
          </cell>
          <cell r="B599" t="str">
            <v>ACCOUNT NAME</v>
          </cell>
          <cell r="C599" t="str">
            <v>OPENING BALANCE</v>
          </cell>
          <cell r="F599" t="str">
            <v>YR-TO-DATE</v>
          </cell>
          <cell r="G599">
            <v>0</v>
          </cell>
          <cell r="H599">
            <v>0</v>
          </cell>
        </row>
        <row r="600">
          <cell r="A600" t="str">
            <v>ACCOUNT</v>
          </cell>
          <cell r="B600" t="str">
            <v>ACCOUNT NAME</v>
          </cell>
          <cell r="C600" t="str">
            <v>OPENING BALANCE</v>
          </cell>
          <cell r="F600" t="str">
            <v>YR-TO-DATE</v>
          </cell>
          <cell r="G600">
            <v>0</v>
          </cell>
          <cell r="H600">
            <v>0</v>
          </cell>
        </row>
        <row r="601">
          <cell r="A601" t="str">
            <v>ACCOUNT</v>
          </cell>
          <cell r="B601" t="str">
            <v>ACCOUNT NAME</v>
          </cell>
          <cell r="C601" t="str">
            <v>OPENING BALANCE</v>
          </cell>
          <cell r="F601" t="str">
            <v>YR-TO-DATE</v>
          </cell>
          <cell r="G601">
            <v>0</v>
          </cell>
          <cell r="H601">
            <v>0</v>
          </cell>
        </row>
        <row r="602">
          <cell r="A602" t="str">
            <v>ACCOUNT</v>
          </cell>
          <cell r="B602" t="str">
            <v>ACCOUNT NAME</v>
          </cell>
          <cell r="C602" t="str">
            <v>OPENING BALANCE</v>
          </cell>
          <cell r="F602" t="str">
            <v>YR-TO-DATE</v>
          </cell>
          <cell r="G602">
            <v>0</v>
          </cell>
          <cell r="H602">
            <v>0</v>
          </cell>
        </row>
        <row r="603">
          <cell r="A603" t="str">
            <v>ACCOUNT</v>
          </cell>
          <cell r="B603" t="str">
            <v>ACCOUNT NAME</v>
          </cell>
          <cell r="C603" t="str">
            <v>OPENING BALANCE</v>
          </cell>
          <cell r="F603" t="str">
            <v>YR-TO-DATE</v>
          </cell>
          <cell r="G603">
            <v>0</v>
          </cell>
          <cell r="H603">
            <v>0</v>
          </cell>
        </row>
        <row r="604">
          <cell r="A604" t="str">
            <v>ACCUMULATE</v>
          </cell>
          <cell r="B604" t="str">
            <v>D DEPRECIATION</v>
          </cell>
          <cell r="G604">
            <v>0</v>
          </cell>
          <cell r="H604">
            <v>0</v>
          </cell>
        </row>
        <row r="605">
          <cell r="A605" t="str">
            <v>ADMINISTRA</v>
          </cell>
          <cell r="B605" t="str">
            <v>TION COSTS</v>
          </cell>
          <cell r="G605">
            <v>0</v>
          </cell>
          <cell r="H605">
            <v>0</v>
          </cell>
        </row>
        <row r="606">
          <cell r="A606" t="str">
            <v>AGENCY BEN</v>
          </cell>
          <cell r="B606" t="str">
            <v>EFITS</v>
          </cell>
          <cell r="G606">
            <v>0</v>
          </cell>
          <cell r="H606">
            <v>0</v>
          </cell>
        </row>
        <row r="607">
          <cell r="A607" t="str">
            <v>AGENCY DEV</v>
          </cell>
          <cell r="B607" t="str">
            <v>ELOPMENT FUND</v>
          </cell>
          <cell r="G607">
            <v>0</v>
          </cell>
          <cell r="H607">
            <v>0</v>
          </cell>
        </row>
        <row r="608">
          <cell r="A608" t="str">
            <v>ASSETS</v>
          </cell>
          <cell r="G608">
            <v>0</v>
          </cell>
          <cell r="H608">
            <v>0</v>
          </cell>
        </row>
        <row r="609">
          <cell r="A609" t="str">
            <v>ASSETS T</v>
          </cell>
          <cell r="B609" t="str">
            <v>OTAL:</v>
          </cell>
          <cell r="C609">
            <v>1765386072.48</v>
          </cell>
          <cell r="F609">
            <v>1974028598.3699999</v>
          </cell>
          <cell r="G609">
            <v>0</v>
          </cell>
          <cell r="H609">
            <v>0</v>
          </cell>
        </row>
        <row r="610">
          <cell r="A610" t="str">
            <v>BANK BALAN</v>
          </cell>
          <cell r="B610" t="str">
            <v>CES</v>
          </cell>
          <cell r="G610">
            <v>0</v>
          </cell>
          <cell r="H610">
            <v>0</v>
          </cell>
        </row>
        <row r="611">
          <cell r="A611" t="str">
            <v>BUILDINGS</v>
          </cell>
          <cell r="G611">
            <v>0</v>
          </cell>
          <cell r="H611">
            <v>0</v>
          </cell>
        </row>
        <row r="612">
          <cell r="A612" t="str">
            <v>BUILDINGS-</v>
          </cell>
          <cell r="B612" t="str">
            <v>DEPRECIATION</v>
          </cell>
          <cell r="G612">
            <v>0</v>
          </cell>
          <cell r="H612">
            <v>0</v>
          </cell>
        </row>
        <row r="613">
          <cell r="A613" t="str">
            <v>CHANGE IN</v>
          </cell>
          <cell r="B613" t="str">
            <v>POLICYHOLDER LIABILITIES</v>
          </cell>
          <cell r="G613">
            <v>0</v>
          </cell>
          <cell r="H613">
            <v>0</v>
          </cell>
        </row>
        <row r="614">
          <cell r="A614" t="str">
            <v>CLAIMS</v>
          </cell>
          <cell r="G614">
            <v>0</v>
          </cell>
          <cell r="H614">
            <v>0</v>
          </cell>
        </row>
        <row r="615">
          <cell r="A615" t="str">
            <v>CLAIMS REC</v>
          </cell>
          <cell r="B615" t="str">
            <v>OVERABLE</v>
          </cell>
          <cell r="G615">
            <v>0</v>
          </cell>
          <cell r="H615">
            <v>0</v>
          </cell>
        </row>
        <row r="616">
          <cell r="A616" t="str">
            <v>COMMERCIAL</v>
          </cell>
          <cell r="B616" t="str">
            <v>PAPERS</v>
          </cell>
          <cell r="G616">
            <v>0</v>
          </cell>
          <cell r="H616">
            <v>0</v>
          </cell>
        </row>
        <row r="617">
          <cell r="A617" t="str">
            <v>COMMISSION</v>
          </cell>
          <cell r="B617" t="str">
            <v>S</v>
          </cell>
          <cell r="G617">
            <v>0</v>
          </cell>
          <cell r="H617">
            <v>0</v>
          </cell>
        </row>
        <row r="618">
          <cell r="A618" t="str">
            <v>COMMISSION</v>
          </cell>
          <cell r="B618" t="str">
            <v>OVERRIDES</v>
          </cell>
          <cell r="G618">
            <v>0</v>
          </cell>
          <cell r="H618">
            <v>0</v>
          </cell>
        </row>
        <row r="619">
          <cell r="A619" t="str">
            <v>CURRENT TA</v>
          </cell>
          <cell r="B619" t="str">
            <v>X</v>
          </cell>
          <cell r="G619">
            <v>0</v>
          </cell>
          <cell r="H619">
            <v>0</v>
          </cell>
        </row>
        <row r="620">
          <cell r="A620" t="str">
            <v>DISPOSAL O</v>
          </cell>
          <cell r="B620" t="str">
            <v>F PROPERTIES</v>
          </cell>
          <cell r="G620">
            <v>0</v>
          </cell>
          <cell r="H620">
            <v>0</v>
          </cell>
        </row>
        <row r="621">
          <cell r="A621" t="str">
            <v>DIVIDENDS</v>
          </cell>
          <cell r="G621">
            <v>0</v>
          </cell>
          <cell r="H621">
            <v>0</v>
          </cell>
        </row>
        <row r="622">
          <cell r="A622" t="str">
            <v>FIXED ASSE</v>
          </cell>
          <cell r="B622" t="str">
            <v>TS</v>
          </cell>
          <cell r="G622">
            <v>0</v>
          </cell>
          <cell r="H622">
            <v>0</v>
          </cell>
        </row>
        <row r="623">
          <cell r="A623" t="str">
            <v>FIXED DEPO</v>
          </cell>
          <cell r="B623" t="str">
            <v>SITS</v>
          </cell>
          <cell r="G623">
            <v>0</v>
          </cell>
          <cell r="H623">
            <v>0</v>
          </cell>
        </row>
        <row r="624">
          <cell r="A624" t="str">
            <v>GAIN/LOSS</v>
          </cell>
          <cell r="B624" t="str">
            <v>SHARE VALUATION</v>
          </cell>
          <cell r="G624">
            <v>0</v>
          </cell>
          <cell r="H624">
            <v>0</v>
          </cell>
        </row>
        <row r="625">
          <cell r="A625" t="str">
            <v>GOVERNMENT</v>
          </cell>
          <cell r="B625" t="str">
            <v>SECURITIES-UNDER LIEN</v>
          </cell>
          <cell r="G625">
            <v>0</v>
          </cell>
          <cell r="H625">
            <v>0</v>
          </cell>
        </row>
        <row r="626">
          <cell r="A626" t="str">
            <v>GROSS CL</v>
          </cell>
          <cell r="B626" t="str">
            <v>AIMS TOTAL:</v>
          </cell>
          <cell r="C626">
            <v>167490447.00999999</v>
          </cell>
          <cell r="F626">
            <v>181298393.66</v>
          </cell>
          <cell r="G626">
            <v>0</v>
          </cell>
          <cell r="H626">
            <v>0</v>
          </cell>
        </row>
        <row r="627">
          <cell r="A627" t="str">
            <v>GROSS CLAI</v>
          </cell>
          <cell r="B627" t="str">
            <v>MS</v>
          </cell>
          <cell r="G627">
            <v>0</v>
          </cell>
          <cell r="H627">
            <v>0</v>
          </cell>
        </row>
        <row r="628">
          <cell r="A628" t="str">
            <v>GROSS CLAI</v>
          </cell>
          <cell r="B628" t="str">
            <v>MS-INDIVIDUAL LIFE</v>
          </cell>
          <cell r="G628">
            <v>0</v>
          </cell>
          <cell r="H628">
            <v>0</v>
          </cell>
        </row>
        <row r="629">
          <cell r="A629" t="str">
            <v>GROSS CLAI</v>
          </cell>
          <cell r="B629" t="str">
            <v>MS -GROUP LIFE</v>
          </cell>
          <cell r="G629">
            <v>0</v>
          </cell>
          <cell r="H629">
            <v>0</v>
          </cell>
        </row>
        <row r="630">
          <cell r="A630" t="str">
            <v>GROSS PR</v>
          </cell>
          <cell r="B630" t="str">
            <v>EMIUMS TOTAL:</v>
          </cell>
          <cell r="C630">
            <v>-919568387.75999999</v>
          </cell>
          <cell r="F630">
            <v>-1116255442.4100001</v>
          </cell>
          <cell r="G630">
            <v>0</v>
          </cell>
          <cell r="H630">
            <v>0</v>
          </cell>
        </row>
        <row r="631">
          <cell r="A631" t="str">
            <v>GROSS PREM</v>
          </cell>
          <cell r="B631" t="str">
            <v>IUMS</v>
          </cell>
          <cell r="G631">
            <v>0</v>
          </cell>
          <cell r="H631">
            <v>0</v>
          </cell>
        </row>
        <row r="632">
          <cell r="A632" t="str">
            <v>GROUP BUSI</v>
          </cell>
          <cell r="B632" t="str">
            <v>NESS COMMISSION</v>
          </cell>
          <cell r="G632">
            <v>0</v>
          </cell>
          <cell r="H632">
            <v>0</v>
          </cell>
        </row>
        <row r="633">
          <cell r="A633" t="str">
            <v>GROUP PREM</v>
          </cell>
          <cell r="B633" t="str">
            <v>IUMS</v>
          </cell>
          <cell r="G633">
            <v>0</v>
          </cell>
          <cell r="H633">
            <v>0</v>
          </cell>
        </row>
        <row r="634">
          <cell r="A634" t="str">
            <v>GROUP PREM</v>
          </cell>
          <cell r="B634" t="str">
            <v>IUM DEBTOR</v>
          </cell>
          <cell r="G634">
            <v>0</v>
          </cell>
          <cell r="H634">
            <v>0</v>
          </cell>
        </row>
        <row r="635">
          <cell r="A635" t="str">
            <v>INTEREST I</v>
          </cell>
          <cell r="B635" t="str">
            <v>NCOMES</v>
          </cell>
          <cell r="G635">
            <v>0</v>
          </cell>
          <cell r="H635">
            <v>0</v>
          </cell>
        </row>
        <row r="636">
          <cell r="A636" t="str">
            <v>INVESTMENT</v>
          </cell>
          <cell r="B636" t="str">
            <v>ALLOCATION TRANSFERS</v>
          </cell>
          <cell r="G636">
            <v>0</v>
          </cell>
          <cell r="H636">
            <v>0</v>
          </cell>
        </row>
        <row r="637">
          <cell r="A637" t="str">
            <v>INVESTMENT</v>
          </cell>
          <cell r="B637" t="str">
            <v>S INCOME AS PER SIM REPORTS</v>
          </cell>
          <cell r="G637">
            <v>0</v>
          </cell>
          <cell r="H637">
            <v>0</v>
          </cell>
        </row>
        <row r="638">
          <cell r="A638" t="str">
            <v>INVESTMENT</v>
          </cell>
          <cell r="B638" t="str">
            <v>PROPERTIES</v>
          </cell>
          <cell r="G638">
            <v>0</v>
          </cell>
          <cell r="H638">
            <v>0</v>
          </cell>
        </row>
        <row r="639">
          <cell r="A639" t="str">
            <v>KENYA GOV'</v>
          </cell>
          <cell r="B639" t="str">
            <v>T SECURITIES</v>
          </cell>
          <cell r="G639">
            <v>0</v>
          </cell>
          <cell r="H639">
            <v>0</v>
          </cell>
        </row>
        <row r="640">
          <cell r="A640" t="str">
            <v>LAND AMMOR</v>
          </cell>
          <cell r="B640" t="str">
            <v>TIZATION</v>
          </cell>
          <cell r="G640">
            <v>0</v>
          </cell>
          <cell r="H640">
            <v>0</v>
          </cell>
        </row>
        <row r="641">
          <cell r="A641" t="str">
            <v>LAND AT VA</v>
          </cell>
          <cell r="B641" t="str">
            <v>LUATION</v>
          </cell>
          <cell r="G641">
            <v>0</v>
          </cell>
          <cell r="H641">
            <v>0</v>
          </cell>
        </row>
        <row r="642">
          <cell r="A642" t="str">
            <v>LAPSES</v>
          </cell>
          <cell r="G642">
            <v>0</v>
          </cell>
          <cell r="H642">
            <v>0</v>
          </cell>
        </row>
        <row r="643">
          <cell r="A643" t="str">
            <v>LIABILIT</v>
          </cell>
          <cell r="B643" t="str">
            <v>IES TOTAL:</v>
          </cell>
          <cell r="C643">
            <v>-1408860393.9300001</v>
          </cell>
          <cell r="F643">
            <v>-1489849849.6600001</v>
          </cell>
          <cell r="G643">
            <v>0</v>
          </cell>
          <cell r="H643">
            <v>0</v>
          </cell>
        </row>
        <row r="644">
          <cell r="A644" t="str">
            <v>LIABILITIE</v>
          </cell>
          <cell r="B644" t="str">
            <v>S</v>
          </cell>
          <cell r="G644">
            <v>0</v>
          </cell>
          <cell r="H644">
            <v>0</v>
          </cell>
        </row>
        <row r="645">
          <cell r="A645" t="str">
            <v>MANAGEME</v>
          </cell>
          <cell r="B645" t="str">
            <v>NT EXPENSES TOTAL:</v>
          </cell>
          <cell r="C645">
            <v>214158850.55000001</v>
          </cell>
          <cell r="F645">
            <v>242487636.41</v>
          </cell>
          <cell r="G645">
            <v>0</v>
          </cell>
          <cell r="H645">
            <v>0</v>
          </cell>
        </row>
        <row r="646">
          <cell r="A646" t="str">
            <v>MANAGEMENT</v>
          </cell>
          <cell r="B646" t="str">
            <v>EXPENSES</v>
          </cell>
          <cell r="G646">
            <v>0</v>
          </cell>
          <cell r="H646">
            <v>0</v>
          </cell>
        </row>
        <row r="647">
          <cell r="A647" t="str">
            <v>MEDICALS</v>
          </cell>
          <cell r="G647">
            <v>0</v>
          </cell>
          <cell r="H647">
            <v>0</v>
          </cell>
        </row>
        <row r="648">
          <cell r="A648" t="str">
            <v>MEMORANDUM</v>
          </cell>
          <cell r="B648" t="str">
            <v>ENTRIES</v>
          </cell>
          <cell r="G648">
            <v>0</v>
          </cell>
          <cell r="H648">
            <v>0</v>
          </cell>
        </row>
        <row r="649">
          <cell r="A649" t="str">
            <v>MORTGAGES</v>
          </cell>
          <cell r="G649">
            <v>0</v>
          </cell>
          <cell r="H649">
            <v>0</v>
          </cell>
        </row>
        <row r="650">
          <cell r="A650" t="str">
            <v>NEW BUSINE</v>
          </cell>
          <cell r="B650" t="str">
            <v>SS PREMIUMS</v>
          </cell>
          <cell r="G650">
            <v>0</v>
          </cell>
          <cell r="H650">
            <v>0</v>
          </cell>
        </row>
        <row r="651">
          <cell r="A651" t="str">
            <v>NEW BUSINE</v>
          </cell>
          <cell r="B651" t="str">
            <v>SS - GROUP LIFE</v>
          </cell>
          <cell r="G651">
            <v>0</v>
          </cell>
          <cell r="H651">
            <v>0</v>
          </cell>
        </row>
        <row r="652">
          <cell r="A652" t="str">
            <v>NEW BUSINE</v>
          </cell>
          <cell r="B652" t="str">
            <v>SS - REASSURANCE PREMIUM</v>
          </cell>
          <cell r="G652">
            <v>0</v>
          </cell>
          <cell r="H652">
            <v>0</v>
          </cell>
        </row>
        <row r="653">
          <cell r="A653" t="str">
            <v>NEW BUSINE</v>
          </cell>
          <cell r="B653" t="str">
            <v>SS - REASSURSNCE COMMISSION</v>
          </cell>
          <cell r="G653">
            <v>0</v>
          </cell>
          <cell r="H653">
            <v>0</v>
          </cell>
        </row>
        <row r="654">
          <cell r="A654" t="str">
            <v>NEW COMMIS</v>
          </cell>
          <cell r="B654" t="str">
            <v>SION</v>
          </cell>
          <cell r="G654">
            <v>0</v>
          </cell>
          <cell r="H654">
            <v>0</v>
          </cell>
        </row>
        <row r="655">
          <cell r="A655" t="str">
            <v>NLTRIBALS0</v>
          </cell>
          <cell r="G655">
            <v>0</v>
          </cell>
          <cell r="H655">
            <v>0</v>
          </cell>
        </row>
        <row r="656">
          <cell r="A656" t="str">
            <v>NLTRIBALS0</v>
          </cell>
          <cell r="G656">
            <v>0</v>
          </cell>
          <cell r="H656">
            <v>0</v>
          </cell>
        </row>
        <row r="657">
          <cell r="A657" t="str">
            <v>NLTRIBALS0</v>
          </cell>
          <cell r="G657">
            <v>0</v>
          </cell>
          <cell r="H657">
            <v>0</v>
          </cell>
        </row>
        <row r="658">
          <cell r="A658" t="str">
            <v>NLTRIBALS0</v>
          </cell>
          <cell r="G658">
            <v>0</v>
          </cell>
          <cell r="H658">
            <v>0</v>
          </cell>
        </row>
        <row r="659">
          <cell r="A659" t="str">
            <v>NLTRIBALS0</v>
          </cell>
          <cell r="G659">
            <v>0</v>
          </cell>
          <cell r="H659">
            <v>0</v>
          </cell>
        </row>
        <row r="660">
          <cell r="A660" t="str">
            <v>NLTRIBALS0</v>
          </cell>
          <cell r="G660">
            <v>0</v>
          </cell>
          <cell r="H660">
            <v>0</v>
          </cell>
        </row>
        <row r="661">
          <cell r="A661" t="str">
            <v>NLTRIBALS0</v>
          </cell>
          <cell r="G661">
            <v>0</v>
          </cell>
          <cell r="H661">
            <v>0</v>
          </cell>
        </row>
        <row r="662">
          <cell r="A662" t="str">
            <v>NLTRIBALS0</v>
          </cell>
          <cell r="G662">
            <v>0</v>
          </cell>
          <cell r="H662">
            <v>0</v>
          </cell>
        </row>
        <row r="663">
          <cell r="A663" t="str">
            <v>NLTRIBALS0</v>
          </cell>
          <cell r="G663">
            <v>0</v>
          </cell>
          <cell r="H663">
            <v>0</v>
          </cell>
        </row>
        <row r="664">
          <cell r="A664" t="str">
            <v>NLTRIBALS0</v>
          </cell>
          <cell r="G664">
            <v>0</v>
          </cell>
          <cell r="H664">
            <v>0</v>
          </cell>
        </row>
        <row r="665">
          <cell r="A665" t="str">
            <v>NLTRIBALS0</v>
          </cell>
          <cell r="G665">
            <v>0</v>
          </cell>
          <cell r="H665">
            <v>0</v>
          </cell>
        </row>
        <row r="666">
          <cell r="A666" t="str">
            <v>NLTRIBALS0</v>
          </cell>
          <cell r="G666">
            <v>0</v>
          </cell>
          <cell r="H666">
            <v>0</v>
          </cell>
        </row>
        <row r="667">
          <cell r="A667" t="str">
            <v>NLTRIBALS0</v>
          </cell>
          <cell r="G667">
            <v>0</v>
          </cell>
          <cell r="H667">
            <v>0</v>
          </cell>
        </row>
        <row r="668">
          <cell r="A668" t="str">
            <v>NLTRIBALS0</v>
          </cell>
          <cell r="G668">
            <v>0</v>
          </cell>
          <cell r="H668">
            <v>0</v>
          </cell>
        </row>
        <row r="669">
          <cell r="A669" t="str">
            <v>NLTRIBALS0</v>
          </cell>
          <cell r="G669">
            <v>0</v>
          </cell>
          <cell r="H669">
            <v>0</v>
          </cell>
        </row>
        <row r="670">
          <cell r="A670" t="str">
            <v>NLTRIBALS0</v>
          </cell>
          <cell r="G670">
            <v>0</v>
          </cell>
          <cell r="H670">
            <v>0</v>
          </cell>
        </row>
        <row r="671">
          <cell r="A671" t="str">
            <v>NLTRIBALS0</v>
          </cell>
          <cell r="G671">
            <v>0</v>
          </cell>
          <cell r="H671">
            <v>0</v>
          </cell>
        </row>
        <row r="672">
          <cell r="A672" t="str">
            <v>NLTRIBALS0</v>
          </cell>
          <cell r="G672">
            <v>0</v>
          </cell>
          <cell r="H672">
            <v>0</v>
          </cell>
        </row>
        <row r="673">
          <cell r="A673" t="str">
            <v>NLTRIBALS0</v>
          </cell>
          <cell r="G673">
            <v>0</v>
          </cell>
          <cell r="H673">
            <v>0</v>
          </cell>
        </row>
        <row r="674">
          <cell r="A674" t="str">
            <v>NLTRIBALS0</v>
          </cell>
          <cell r="G674">
            <v>0</v>
          </cell>
          <cell r="H674">
            <v>0</v>
          </cell>
        </row>
        <row r="675">
          <cell r="A675" t="str">
            <v>NLTRIBALS0</v>
          </cell>
          <cell r="G675">
            <v>0</v>
          </cell>
          <cell r="H675">
            <v>0</v>
          </cell>
        </row>
        <row r="676">
          <cell r="A676" t="str">
            <v>NON KENYA</v>
          </cell>
          <cell r="B676" t="str">
            <v>STOCKS</v>
          </cell>
          <cell r="G676">
            <v>0</v>
          </cell>
          <cell r="H676">
            <v>0</v>
          </cell>
        </row>
        <row r="677">
          <cell r="A677" t="str">
            <v>NON PREM</v>
          </cell>
          <cell r="B677" t="str">
            <v>IUM INCOMES TOTAL:</v>
          </cell>
          <cell r="C677">
            <v>-77472098.459999993</v>
          </cell>
          <cell r="F677">
            <v>-74686124.010000005</v>
          </cell>
          <cell r="G677">
            <v>0</v>
          </cell>
          <cell r="H677">
            <v>0</v>
          </cell>
        </row>
        <row r="678">
          <cell r="A678" t="str">
            <v>NON PREMIU</v>
          </cell>
          <cell r="B678" t="str">
            <v>M INCOMES</v>
          </cell>
          <cell r="G678">
            <v>0</v>
          </cell>
          <cell r="H678">
            <v>0</v>
          </cell>
        </row>
        <row r="679">
          <cell r="A679" t="str">
            <v>OFFICE COS</v>
          </cell>
          <cell r="B679" t="str">
            <v>TS</v>
          </cell>
          <cell r="G679">
            <v>0</v>
          </cell>
          <cell r="H679">
            <v>0</v>
          </cell>
        </row>
        <row r="680">
          <cell r="A680" t="str">
            <v>OTHER INCO</v>
          </cell>
          <cell r="B680" t="str">
            <v>MES</v>
          </cell>
          <cell r="G680">
            <v>0</v>
          </cell>
          <cell r="H680">
            <v>0</v>
          </cell>
        </row>
        <row r="681">
          <cell r="A681" t="str">
            <v>OTHER PAYA</v>
          </cell>
          <cell r="B681" t="str">
            <v>BLES</v>
          </cell>
          <cell r="G681">
            <v>0</v>
          </cell>
          <cell r="H681">
            <v>0</v>
          </cell>
        </row>
        <row r="682">
          <cell r="A682" t="str">
            <v>OTHER RECE</v>
          </cell>
          <cell r="B682" t="str">
            <v>IVABLES</v>
          </cell>
          <cell r="G682">
            <v>0</v>
          </cell>
          <cell r="H682">
            <v>0</v>
          </cell>
        </row>
        <row r="683">
          <cell r="A683" t="str">
            <v>OUTSTANDIN</v>
          </cell>
          <cell r="B683" t="str">
            <v>G PREMIUMS-API</v>
          </cell>
          <cell r="G683">
            <v>0</v>
          </cell>
          <cell r="H683">
            <v>0</v>
          </cell>
        </row>
        <row r="684">
          <cell r="A684" t="str">
            <v>OUTSTANDIN</v>
          </cell>
          <cell r="B684" t="str">
            <v>G CLAIMS -GROSS</v>
          </cell>
          <cell r="G684">
            <v>0</v>
          </cell>
          <cell r="H684">
            <v>0</v>
          </cell>
        </row>
        <row r="685">
          <cell r="A685" t="str">
            <v>PETTY CASH</v>
          </cell>
          <cell r="G685">
            <v>0</v>
          </cell>
          <cell r="H685">
            <v>0</v>
          </cell>
        </row>
        <row r="686">
          <cell r="A686" t="str">
            <v>POLICY LOA</v>
          </cell>
          <cell r="B686" t="str">
            <v>NS -PAIC SERIES</v>
          </cell>
          <cell r="G686">
            <v>0</v>
          </cell>
          <cell r="H686">
            <v>0</v>
          </cell>
        </row>
        <row r="687">
          <cell r="A687" t="str">
            <v>POLICY LOA</v>
          </cell>
          <cell r="B687" t="str">
            <v>NS -UNIT LINK</v>
          </cell>
          <cell r="G687">
            <v>0</v>
          </cell>
          <cell r="H687">
            <v>0</v>
          </cell>
        </row>
        <row r="688">
          <cell r="A688" t="str">
            <v>PREDEBIT D</v>
          </cell>
          <cell r="B688" t="str">
            <v>EBTOR</v>
          </cell>
          <cell r="G688">
            <v>0</v>
          </cell>
          <cell r="H688">
            <v>0</v>
          </cell>
        </row>
        <row r="689">
          <cell r="A689" t="str">
            <v>PREMIUM IN</v>
          </cell>
          <cell r="B689" t="str">
            <v>COMES RECOVERIES</v>
          </cell>
          <cell r="G689">
            <v>0</v>
          </cell>
          <cell r="H689">
            <v>0</v>
          </cell>
        </row>
        <row r="690">
          <cell r="A690" t="str">
            <v>PREMIUM UP</v>
          </cell>
          <cell r="B690" t="str">
            <v>DATES</v>
          </cell>
          <cell r="G690">
            <v>0</v>
          </cell>
          <cell r="H690">
            <v>0</v>
          </cell>
        </row>
        <row r="691">
          <cell r="A691" t="str">
            <v>PREMIUMS-</v>
          </cell>
          <cell r="B691" t="str">
            <v>INDIVIDUAL LIFE</v>
          </cell>
          <cell r="G691">
            <v>0</v>
          </cell>
          <cell r="H691">
            <v>0</v>
          </cell>
        </row>
        <row r="692">
          <cell r="A692" t="str">
            <v>PREMIUMS-</v>
          </cell>
          <cell r="B692" t="str">
            <v>GROUP LIFE</v>
          </cell>
          <cell r="G692">
            <v>0</v>
          </cell>
          <cell r="H692">
            <v>0</v>
          </cell>
        </row>
        <row r="693">
          <cell r="A693" t="str">
            <v>PRIOR ITEM</v>
          </cell>
          <cell r="B693" t="str">
            <v>S</v>
          </cell>
          <cell r="G693">
            <v>0</v>
          </cell>
          <cell r="H693">
            <v>0</v>
          </cell>
        </row>
        <row r="694">
          <cell r="A694" t="str">
            <v>REALISED L</v>
          </cell>
          <cell r="B694" t="str">
            <v>OSS/GAIN ON BONDS AND TBILLS</v>
          </cell>
          <cell r="G694">
            <v>0</v>
          </cell>
          <cell r="H694">
            <v>0</v>
          </cell>
        </row>
        <row r="695">
          <cell r="A695" t="str">
            <v>REALIZED G</v>
          </cell>
          <cell r="B695" t="str">
            <v>AIN/LOSS SHARES</v>
          </cell>
          <cell r="G695">
            <v>0</v>
          </cell>
          <cell r="H695">
            <v>0</v>
          </cell>
        </row>
        <row r="696">
          <cell r="A696" t="str">
            <v>RECEIVABLE</v>
          </cell>
          <cell r="B696" t="str">
            <v>S</v>
          </cell>
          <cell r="G696">
            <v>0</v>
          </cell>
          <cell r="H696">
            <v>0</v>
          </cell>
        </row>
        <row r="697">
          <cell r="A697" t="str">
            <v>REINSURA</v>
          </cell>
          <cell r="B697" t="str">
            <v>NCES TOTAL:</v>
          </cell>
          <cell r="C697">
            <v>7115420</v>
          </cell>
          <cell r="F697">
            <v>8243845</v>
          </cell>
          <cell r="G697">
            <v>0</v>
          </cell>
          <cell r="H697">
            <v>0</v>
          </cell>
        </row>
        <row r="698">
          <cell r="A698" t="str">
            <v>REINSURANC</v>
          </cell>
          <cell r="B698" t="str">
            <v>ES</v>
          </cell>
          <cell r="G698">
            <v>0</v>
          </cell>
          <cell r="H698">
            <v>0</v>
          </cell>
        </row>
        <row r="699">
          <cell r="A699" t="str">
            <v>REINSURANC</v>
          </cell>
          <cell r="B699" t="str">
            <v>E PAYABLE</v>
          </cell>
          <cell r="G699">
            <v>0</v>
          </cell>
          <cell r="H699">
            <v>0</v>
          </cell>
        </row>
        <row r="700">
          <cell r="A700" t="str">
            <v>REISURANCE</v>
          </cell>
          <cell r="B700" t="str">
            <v>DEBTOR</v>
          </cell>
          <cell r="G700">
            <v>0</v>
          </cell>
          <cell r="H700">
            <v>0</v>
          </cell>
        </row>
        <row r="701">
          <cell r="A701" t="str">
            <v>RENEWAL</v>
          </cell>
          <cell r="G701">
            <v>0</v>
          </cell>
          <cell r="H701">
            <v>0</v>
          </cell>
        </row>
        <row r="702">
          <cell r="A702" t="str">
            <v>RENEWAL CO</v>
          </cell>
          <cell r="B702" t="str">
            <v>MMISSION</v>
          </cell>
          <cell r="G702">
            <v>0</v>
          </cell>
          <cell r="H702">
            <v>0</v>
          </cell>
        </row>
        <row r="703">
          <cell r="A703" t="str">
            <v>RENEWAL PR</v>
          </cell>
          <cell r="B703" t="str">
            <v>EMIUMS</v>
          </cell>
          <cell r="G703">
            <v>0</v>
          </cell>
          <cell r="H703">
            <v>0</v>
          </cell>
        </row>
        <row r="704">
          <cell r="A704" t="str">
            <v>RENTAL CRE</v>
          </cell>
          <cell r="B704" t="str">
            <v>DITORS</v>
          </cell>
          <cell r="G704">
            <v>0</v>
          </cell>
          <cell r="H704">
            <v>0</v>
          </cell>
        </row>
        <row r="705">
          <cell r="A705" t="str">
            <v>RENTAL DEB</v>
          </cell>
          <cell r="B705" t="str">
            <v>TORS</v>
          </cell>
          <cell r="G705">
            <v>0</v>
          </cell>
          <cell r="H705">
            <v>0</v>
          </cell>
        </row>
        <row r="706">
          <cell r="A706" t="str">
            <v>RENTAL INC</v>
          </cell>
          <cell r="B706" t="str">
            <v>OMES</v>
          </cell>
          <cell r="G706">
            <v>0</v>
          </cell>
          <cell r="H706">
            <v>0</v>
          </cell>
        </row>
        <row r="707">
          <cell r="A707" t="str">
            <v>Run Date:</v>
          </cell>
          <cell r="B707" t="str">
            <v>8 October, 2008</v>
          </cell>
          <cell r="C707" t="str">
            <v>P</v>
          </cell>
          <cell r="F707" t="str">
            <v>Page: 2</v>
          </cell>
          <cell r="G707">
            <v>0</v>
          </cell>
          <cell r="H707">
            <v>0</v>
          </cell>
        </row>
        <row r="708">
          <cell r="A708" t="str">
            <v>Run Date:</v>
          </cell>
          <cell r="B708" t="str">
            <v>8 October, 2008</v>
          </cell>
          <cell r="C708" t="str">
            <v>P</v>
          </cell>
          <cell r="F708" t="str">
            <v>Page: 3</v>
          </cell>
          <cell r="G708">
            <v>0</v>
          </cell>
          <cell r="H708">
            <v>0</v>
          </cell>
        </row>
        <row r="709">
          <cell r="A709" t="str">
            <v>Run Date:</v>
          </cell>
          <cell r="B709" t="str">
            <v>8 October, 2008</v>
          </cell>
          <cell r="C709" t="str">
            <v>P</v>
          </cell>
          <cell r="F709" t="str">
            <v>Page: 4</v>
          </cell>
          <cell r="G709">
            <v>0</v>
          </cell>
          <cell r="H709">
            <v>0</v>
          </cell>
        </row>
        <row r="710">
          <cell r="A710" t="str">
            <v>Run Date:</v>
          </cell>
          <cell r="B710" t="str">
            <v>8 October, 2008</v>
          </cell>
          <cell r="C710" t="str">
            <v>P</v>
          </cell>
          <cell r="F710" t="str">
            <v>Page: 5</v>
          </cell>
          <cell r="G710">
            <v>0</v>
          </cell>
          <cell r="H710">
            <v>0</v>
          </cell>
        </row>
        <row r="711">
          <cell r="A711" t="str">
            <v>Run Date:</v>
          </cell>
          <cell r="B711" t="str">
            <v>8 October, 2008</v>
          </cell>
          <cell r="C711" t="str">
            <v>P</v>
          </cell>
          <cell r="F711" t="str">
            <v>Page: 6</v>
          </cell>
          <cell r="G711">
            <v>0</v>
          </cell>
          <cell r="H711">
            <v>0</v>
          </cell>
        </row>
        <row r="712">
          <cell r="A712" t="str">
            <v>Run Date:</v>
          </cell>
          <cell r="B712" t="str">
            <v>8 October, 2008</v>
          </cell>
          <cell r="C712" t="str">
            <v>P</v>
          </cell>
          <cell r="F712" t="str">
            <v>Page: 7</v>
          </cell>
          <cell r="G712">
            <v>0</v>
          </cell>
          <cell r="H712">
            <v>0</v>
          </cell>
        </row>
        <row r="713">
          <cell r="A713" t="str">
            <v>Run Date:</v>
          </cell>
          <cell r="B713" t="str">
            <v>8 October, 2008</v>
          </cell>
          <cell r="C713" t="str">
            <v>P</v>
          </cell>
          <cell r="F713" t="str">
            <v>Page: 8</v>
          </cell>
          <cell r="G713">
            <v>0</v>
          </cell>
          <cell r="H713">
            <v>0</v>
          </cell>
        </row>
        <row r="714">
          <cell r="A714" t="str">
            <v>Run Date:</v>
          </cell>
          <cell r="B714" t="str">
            <v>8 October, 2008</v>
          </cell>
          <cell r="C714" t="str">
            <v>P</v>
          </cell>
          <cell r="F714" t="str">
            <v>Page: 9</v>
          </cell>
          <cell r="G714">
            <v>0</v>
          </cell>
          <cell r="H714">
            <v>0</v>
          </cell>
        </row>
        <row r="715">
          <cell r="A715" t="str">
            <v>Run Date:</v>
          </cell>
          <cell r="B715" t="str">
            <v>8 October, 2008</v>
          </cell>
          <cell r="C715" t="str">
            <v>P</v>
          </cell>
          <cell r="F715" t="str">
            <v>Page: 10</v>
          </cell>
          <cell r="G715">
            <v>0</v>
          </cell>
          <cell r="H715">
            <v>0</v>
          </cell>
        </row>
        <row r="716">
          <cell r="A716" t="str">
            <v>Run Date:</v>
          </cell>
          <cell r="B716" t="str">
            <v>8 October, 2008</v>
          </cell>
          <cell r="C716" t="str">
            <v>P</v>
          </cell>
          <cell r="F716" t="str">
            <v>Page: 11</v>
          </cell>
          <cell r="G716">
            <v>0</v>
          </cell>
          <cell r="H716">
            <v>0</v>
          </cell>
        </row>
        <row r="717">
          <cell r="A717" t="str">
            <v>Run Date:</v>
          </cell>
          <cell r="B717" t="str">
            <v>8 October, 2008</v>
          </cell>
          <cell r="C717" t="str">
            <v>P</v>
          </cell>
          <cell r="F717" t="str">
            <v>Page: 12</v>
          </cell>
          <cell r="G717">
            <v>0</v>
          </cell>
          <cell r="H717">
            <v>0</v>
          </cell>
        </row>
        <row r="718">
          <cell r="A718" t="str">
            <v>Run Date:</v>
          </cell>
          <cell r="B718" t="str">
            <v>8 October, 2008</v>
          </cell>
          <cell r="C718" t="str">
            <v>P</v>
          </cell>
          <cell r="F718" t="str">
            <v>Page: 13</v>
          </cell>
          <cell r="G718">
            <v>0</v>
          </cell>
          <cell r="H718">
            <v>0</v>
          </cell>
        </row>
        <row r="719">
          <cell r="A719" t="str">
            <v>Run Date:</v>
          </cell>
          <cell r="B719" t="str">
            <v>8 October, 2008</v>
          </cell>
          <cell r="C719" t="str">
            <v>P</v>
          </cell>
          <cell r="F719" t="str">
            <v>Page: 14</v>
          </cell>
          <cell r="G719">
            <v>0</v>
          </cell>
          <cell r="H719">
            <v>0</v>
          </cell>
        </row>
        <row r="720">
          <cell r="A720" t="str">
            <v>Run Date:</v>
          </cell>
          <cell r="B720" t="str">
            <v>8 October, 2008</v>
          </cell>
          <cell r="C720" t="str">
            <v>P</v>
          </cell>
          <cell r="F720" t="str">
            <v>Page: 15</v>
          </cell>
          <cell r="G720">
            <v>0</v>
          </cell>
          <cell r="H720">
            <v>0</v>
          </cell>
        </row>
        <row r="721">
          <cell r="A721" t="str">
            <v>Run Date:</v>
          </cell>
          <cell r="B721" t="str">
            <v>8 October, 2008</v>
          </cell>
          <cell r="C721" t="str">
            <v>P</v>
          </cell>
          <cell r="F721" t="str">
            <v>Page: 16</v>
          </cell>
          <cell r="G721">
            <v>0</v>
          </cell>
          <cell r="H721">
            <v>0</v>
          </cell>
        </row>
        <row r="722">
          <cell r="A722" t="str">
            <v>Run Date:</v>
          </cell>
          <cell r="B722" t="str">
            <v>8 October, 2008</v>
          </cell>
          <cell r="C722" t="str">
            <v>P</v>
          </cell>
          <cell r="F722" t="str">
            <v>Page: 17</v>
          </cell>
          <cell r="G722">
            <v>0</v>
          </cell>
          <cell r="H722">
            <v>0</v>
          </cell>
        </row>
        <row r="723">
          <cell r="A723" t="str">
            <v>Run Date:</v>
          </cell>
          <cell r="B723" t="str">
            <v>8 October, 2008</v>
          </cell>
          <cell r="C723" t="str">
            <v>P</v>
          </cell>
          <cell r="F723" t="str">
            <v>Page: 18</v>
          </cell>
          <cell r="G723">
            <v>0</v>
          </cell>
          <cell r="H723">
            <v>0</v>
          </cell>
        </row>
        <row r="724">
          <cell r="A724" t="str">
            <v>Run Date:</v>
          </cell>
          <cell r="B724" t="str">
            <v>8 October, 2008</v>
          </cell>
          <cell r="C724" t="str">
            <v>P</v>
          </cell>
          <cell r="F724" t="str">
            <v>Page: 19</v>
          </cell>
          <cell r="G724">
            <v>0</v>
          </cell>
          <cell r="H724">
            <v>0</v>
          </cell>
        </row>
        <row r="725">
          <cell r="A725" t="str">
            <v>Run Date:</v>
          </cell>
          <cell r="B725" t="str">
            <v>8 October, 2008</v>
          </cell>
          <cell r="C725" t="str">
            <v>P</v>
          </cell>
          <cell r="F725" t="str">
            <v>Page: 20</v>
          </cell>
          <cell r="G725">
            <v>0</v>
          </cell>
          <cell r="H725">
            <v>0</v>
          </cell>
        </row>
        <row r="726">
          <cell r="A726" t="str">
            <v>Run Date:</v>
          </cell>
          <cell r="B726" t="str">
            <v>8 October, 2008</v>
          </cell>
          <cell r="C726" t="str">
            <v>P</v>
          </cell>
          <cell r="F726" t="str">
            <v>Page: 21</v>
          </cell>
          <cell r="G726">
            <v>0</v>
          </cell>
          <cell r="H726">
            <v>0</v>
          </cell>
        </row>
        <row r="727">
          <cell r="A727" t="str">
            <v>Run Date:</v>
          </cell>
          <cell r="B727" t="str">
            <v>8 October, 2008</v>
          </cell>
          <cell r="C727" t="str">
            <v>P</v>
          </cell>
          <cell r="F727" t="str">
            <v>Page: 22</v>
          </cell>
          <cell r="G727">
            <v>0</v>
          </cell>
          <cell r="H727">
            <v>0</v>
          </cell>
        </row>
        <row r="728">
          <cell r="A728" t="str">
            <v>SALES INCE</v>
          </cell>
          <cell r="B728" t="str">
            <v>NTIVES &amp; TRAINING</v>
          </cell>
          <cell r="G728">
            <v>0</v>
          </cell>
          <cell r="H728">
            <v>0</v>
          </cell>
        </row>
        <row r="729">
          <cell r="A729" t="str">
            <v>SELLING</v>
          </cell>
          <cell r="B729" t="str">
            <v>EXPENSES TOTAL:</v>
          </cell>
          <cell r="C729">
            <v>251750090.11000001</v>
          </cell>
          <cell r="F729">
            <v>274732942.63999999</v>
          </cell>
          <cell r="G729">
            <v>0</v>
          </cell>
          <cell r="H729">
            <v>0</v>
          </cell>
        </row>
        <row r="730">
          <cell r="A730" t="str">
            <v>SELLING EX</v>
          </cell>
          <cell r="B730" t="str">
            <v>PENSES</v>
          </cell>
          <cell r="G730">
            <v>0</v>
          </cell>
          <cell r="H730">
            <v>0</v>
          </cell>
        </row>
        <row r="731">
          <cell r="A731" t="str">
            <v>SHARE CAPI</v>
          </cell>
          <cell r="B731" t="str">
            <v>TAL</v>
          </cell>
          <cell r="G731">
            <v>0</v>
          </cell>
          <cell r="H731">
            <v>0</v>
          </cell>
        </row>
        <row r="732">
          <cell r="A732" t="str">
            <v>SHAREHOL</v>
          </cell>
          <cell r="B732" t="str">
            <v>DERS &amp; STATUTORY FUNDS TOTAL:</v>
          </cell>
          <cell r="C732">
            <v>0</v>
          </cell>
          <cell r="F732">
            <v>0</v>
          </cell>
          <cell r="G732">
            <v>0</v>
          </cell>
          <cell r="H732">
            <v>0</v>
          </cell>
        </row>
        <row r="733">
          <cell r="A733" t="str">
            <v>SHAREHOLDE</v>
          </cell>
          <cell r="B733" t="str">
            <v>RS &amp; STATUTORY FUNDS</v>
          </cell>
          <cell r="G733">
            <v>0</v>
          </cell>
          <cell r="H733">
            <v>0</v>
          </cell>
        </row>
        <row r="734">
          <cell r="A734" t="str">
            <v>STAFF COST</v>
          </cell>
          <cell r="B734" t="str">
            <v>S</v>
          </cell>
          <cell r="G734">
            <v>0</v>
          </cell>
          <cell r="H734">
            <v>0</v>
          </cell>
        </row>
        <row r="735">
          <cell r="A735" t="str">
            <v>STAMP DUTY</v>
          </cell>
          <cell r="B735" t="str">
            <v>EXPENSES</v>
          </cell>
          <cell r="G735">
            <v>0</v>
          </cell>
          <cell r="H735">
            <v>0</v>
          </cell>
        </row>
        <row r="736">
          <cell r="A736" t="str">
            <v>STATUTORY</v>
          </cell>
          <cell r="B736" t="str">
            <v>COSTS</v>
          </cell>
          <cell r="H736">
            <v>0</v>
          </cell>
        </row>
        <row r="737">
          <cell r="A737" t="str">
            <v>STOCKS</v>
          </cell>
          <cell r="H737">
            <v>0</v>
          </cell>
        </row>
        <row r="738">
          <cell r="A738" t="str">
            <v>SUB-TOTAL</v>
          </cell>
          <cell r="B738" t="str">
            <v>:</v>
          </cell>
          <cell r="C738">
            <v>-115703622.59</v>
          </cell>
          <cell r="F738">
            <v>-210890522.03999999</v>
          </cell>
          <cell r="H738">
            <v>0</v>
          </cell>
        </row>
        <row r="739">
          <cell r="A739" t="str">
            <v>SUB-TOTAL</v>
          </cell>
          <cell r="B739" t="str">
            <v>:</v>
          </cell>
          <cell r="C739">
            <v>0</v>
          </cell>
          <cell r="F739">
            <v>0</v>
          </cell>
          <cell r="H739">
            <v>0</v>
          </cell>
        </row>
        <row r="740">
          <cell r="A740" t="str">
            <v>SUB-TOTAL</v>
          </cell>
          <cell r="B740" t="str">
            <v>:</v>
          </cell>
          <cell r="C740">
            <v>-1574567</v>
          </cell>
          <cell r="F740">
            <v>-1719683</v>
          </cell>
          <cell r="H740">
            <v>0</v>
          </cell>
        </row>
        <row r="741">
          <cell r="A741" t="str">
            <v>SUB-TOTAL</v>
          </cell>
          <cell r="B741" t="str">
            <v>:</v>
          </cell>
          <cell r="C741">
            <v>-867681293.34000003</v>
          </cell>
          <cell r="F741">
            <v>-972884183.05999994</v>
          </cell>
          <cell r="H741">
            <v>0</v>
          </cell>
        </row>
        <row r="742">
          <cell r="A742" t="str">
            <v>SUB-TOTAL</v>
          </cell>
          <cell r="B742" t="str">
            <v>:</v>
          </cell>
          <cell r="C742">
            <v>67325438.469999999</v>
          </cell>
          <cell r="F742">
            <v>71367921.040000007</v>
          </cell>
          <cell r="H742">
            <v>0</v>
          </cell>
        </row>
        <row r="743">
          <cell r="A743" t="str">
            <v>SUB-TOTAL</v>
          </cell>
          <cell r="B743" t="str">
            <v>:</v>
          </cell>
          <cell r="C743">
            <v>-41850</v>
          </cell>
          <cell r="F743">
            <v>-41850</v>
          </cell>
          <cell r="H743">
            <v>0</v>
          </cell>
        </row>
        <row r="744">
          <cell r="A744" t="str">
            <v>SUB-TOTAL</v>
          </cell>
          <cell r="B744" t="str">
            <v>:</v>
          </cell>
          <cell r="C744">
            <v>-1892493.3</v>
          </cell>
          <cell r="F744">
            <v>-2087125.35</v>
          </cell>
          <cell r="H744">
            <v>0</v>
          </cell>
        </row>
        <row r="745">
          <cell r="A745" t="str">
            <v>SUB-TOTAL</v>
          </cell>
          <cell r="B745" t="str">
            <v>:</v>
          </cell>
          <cell r="C745">
            <v>0</v>
          </cell>
          <cell r="F745">
            <v>0</v>
          </cell>
          <cell r="H745">
            <v>0</v>
          </cell>
        </row>
        <row r="746">
          <cell r="A746" t="str">
            <v>SUB-TOTAL</v>
          </cell>
          <cell r="B746" t="str">
            <v>:</v>
          </cell>
          <cell r="C746">
            <v>0</v>
          </cell>
          <cell r="F746">
            <v>0</v>
          </cell>
          <cell r="H746">
            <v>0</v>
          </cell>
        </row>
        <row r="747">
          <cell r="A747" t="str">
            <v>SUB-TOTAL</v>
          </cell>
          <cell r="B747" t="str">
            <v>:</v>
          </cell>
          <cell r="C747">
            <v>6505542</v>
          </cell>
          <cell r="F747">
            <v>7639412</v>
          </cell>
          <cell r="H747">
            <v>0</v>
          </cell>
        </row>
        <row r="748">
          <cell r="A748" t="str">
            <v>SUB-TOTAL</v>
          </cell>
          <cell r="B748" t="str">
            <v>:</v>
          </cell>
          <cell r="C748">
            <v>666771</v>
          </cell>
          <cell r="F748">
            <v>666771</v>
          </cell>
          <cell r="H748">
            <v>0</v>
          </cell>
        </row>
        <row r="749">
          <cell r="A749" t="str">
            <v>SUB-TOTAL</v>
          </cell>
          <cell r="B749" t="str">
            <v>:</v>
          </cell>
          <cell r="C749">
            <v>0</v>
          </cell>
          <cell r="F749">
            <v>0</v>
          </cell>
          <cell r="H749">
            <v>0</v>
          </cell>
        </row>
        <row r="750">
          <cell r="A750" t="str">
            <v>SUB-TOTAL</v>
          </cell>
          <cell r="B750" t="str">
            <v>:</v>
          </cell>
          <cell r="C750">
            <v>-56893</v>
          </cell>
          <cell r="F750">
            <v>-62338</v>
          </cell>
          <cell r="H750">
            <v>0</v>
          </cell>
        </row>
        <row r="751">
          <cell r="A751" t="str">
            <v>SUB-TOTAL</v>
          </cell>
          <cell r="B751" t="str">
            <v>:</v>
          </cell>
          <cell r="C751">
            <v>0</v>
          </cell>
          <cell r="F751">
            <v>0</v>
          </cell>
          <cell r="H751">
            <v>0</v>
          </cell>
        </row>
        <row r="752">
          <cell r="A752" t="str">
            <v>SUB-TOTAL</v>
          </cell>
          <cell r="B752" t="str">
            <v>:</v>
          </cell>
          <cell r="C752">
            <v>0</v>
          </cell>
          <cell r="F752">
            <v>0</v>
          </cell>
          <cell r="H752">
            <v>0</v>
          </cell>
        </row>
        <row r="753">
          <cell r="A753" t="str">
            <v>SUB-TOTAL</v>
          </cell>
          <cell r="B753" t="str">
            <v>:</v>
          </cell>
          <cell r="C753">
            <v>-10083673.09</v>
          </cell>
          <cell r="F753">
            <v>-11566098.16</v>
          </cell>
          <cell r="H753">
            <v>0</v>
          </cell>
        </row>
        <row r="754">
          <cell r="A754" t="str">
            <v>SUB-TOTAL</v>
          </cell>
          <cell r="B754" t="str">
            <v>:</v>
          </cell>
          <cell r="C754">
            <v>-1708186.67</v>
          </cell>
          <cell r="F754">
            <v>-1708186.67</v>
          </cell>
          <cell r="H754">
            <v>0</v>
          </cell>
        </row>
        <row r="755">
          <cell r="A755" t="str">
            <v>SUB-TOTAL</v>
          </cell>
          <cell r="B755" t="str">
            <v>:</v>
          </cell>
          <cell r="C755">
            <v>-6446198.4000000004</v>
          </cell>
          <cell r="F755">
            <v>-7205484.4800000004</v>
          </cell>
          <cell r="H755">
            <v>0</v>
          </cell>
        </row>
        <row r="756">
          <cell r="A756" t="str">
            <v>SUB-TOTAL</v>
          </cell>
          <cell r="B756" t="str">
            <v>:</v>
          </cell>
          <cell r="C756">
            <v>-370474.8</v>
          </cell>
          <cell r="F756">
            <v>-370474.8</v>
          </cell>
          <cell r="H756">
            <v>0</v>
          </cell>
        </row>
        <row r="757">
          <cell r="A757" t="str">
            <v>SUB-TOTAL</v>
          </cell>
          <cell r="B757" t="str">
            <v>:</v>
          </cell>
          <cell r="C757">
            <v>-12280964.5</v>
          </cell>
          <cell r="F757">
            <v>-18006270.899999999</v>
          </cell>
          <cell r="H757">
            <v>0</v>
          </cell>
        </row>
        <row r="758">
          <cell r="A758" t="str">
            <v>SUB-TOTAL</v>
          </cell>
          <cell r="B758" t="str">
            <v>:</v>
          </cell>
          <cell r="C758">
            <v>0</v>
          </cell>
          <cell r="F758">
            <v>0</v>
          </cell>
          <cell r="H758">
            <v>0</v>
          </cell>
        </row>
        <row r="759">
          <cell r="A759" t="str">
            <v>SUB-TOTAL</v>
          </cell>
          <cell r="B759" t="str">
            <v>:</v>
          </cell>
          <cell r="C759">
            <v>0</v>
          </cell>
          <cell r="F759">
            <v>0</v>
          </cell>
          <cell r="H759">
            <v>0</v>
          </cell>
        </row>
        <row r="760">
          <cell r="A760" t="str">
            <v>SUB-TOTAL</v>
          </cell>
          <cell r="B760" t="str">
            <v>:</v>
          </cell>
          <cell r="C760">
            <v>0</v>
          </cell>
          <cell r="F760">
            <v>0</v>
          </cell>
          <cell r="H760">
            <v>0</v>
          </cell>
        </row>
        <row r="761">
          <cell r="A761" t="str">
            <v>SUB-TOTAL</v>
          </cell>
          <cell r="B761" t="str">
            <v>:</v>
          </cell>
          <cell r="C761">
            <v>-46582601</v>
          </cell>
          <cell r="F761">
            <v>-35829609</v>
          </cell>
          <cell r="H761">
            <v>0</v>
          </cell>
        </row>
        <row r="762">
          <cell r="A762" t="str">
            <v>SUB-TOTAL</v>
          </cell>
          <cell r="B762" t="str">
            <v>:</v>
          </cell>
          <cell r="C762">
            <v>117480796.51000001</v>
          </cell>
          <cell r="F762">
            <v>132661982.16</v>
          </cell>
          <cell r="H762">
            <v>0</v>
          </cell>
        </row>
        <row r="763">
          <cell r="A763" t="str">
            <v>SUB-TOTAL</v>
          </cell>
          <cell r="B763" t="str">
            <v>:</v>
          </cell>
          <cell r="C763">
            <v>254720</v>
          </cell>
          <cell r="F763">
            <v>258670</v>
          </cell>
          <cell r="H763">
            <v>0</v>
          </cell>
        </row>
        <row r="764">
          <cell r="A764" t="str">
            <v>SUB-TOTAL</v>
          </cell>
          <cell r="B764" t="str">
            <v>:</v>
          </cell>
          <cell r="C764">
            <v>33044513.039999999</v>
          </cell>
          <cell r="F764">
            <v>37372559.140000001</v>
          </cell>
          <cell r="H764">
            <v>0</v>
          </cell>
        </row>
        <row r="765">
          <cell r="A765" t="str">
            <v>SUB-TOTAL</v>
          </cell>
          <cell r="B765" t="str">
            <v>:</v>
          </cell>
          <cell r="C765">
            <v>53085799.469999999</v>
          </cell>
          <cell r="F765">
            <v>59882554.990000002</v>
          </cell>
          <cell r="H765">
            <v>0</v>
          </cell>
        </row>
        <row r="766">
          <cell r="A766" t="str">
            <v>SUB-TOTAL</v>
          </cell>
          <cell r="B766" t="str">
            <v>:</v>
          </cell>
          <cell r="C766">
            <v>0</v>
          </cell>
          <cell r="F766">
            <v>0</v>
          </cell>
          <cell r="H766">
            <v>0</v>
          </cell>
        </row>
        <row r="767">
          <cell r="A767" t="str">
            <v>SUB-TOTAL</v>
          </cell>
          <cell r="B767" t="str">
            <v>:</v>
          </cell>
          <cell r="C767">
            <v>10293021.529999999</v>
          </cell>
          <cell r="F767">
            <v>12311870.119999999</v>
          </cell>
          <cell r="H767">
            <v>0</v>
          </cell>
        </row>
        <row r="768">
          <cell r="A768" t="str">
            <v>SUB-TOTAL</v>
          </cell>
          <cell r="B768" t="str">
            <v>:</v>
          </cell>
          <cell r="C768">
            <v>75202507.379999995</v>
          </cell>
          <cell r="F768">
            <v>80238062.040000007</v>
          </cell>
          <cell r="H768">
            <v>0</v>
          </cell>
        </row>
        <row r="769">
          <cell r="A769" t="str">
            <v>SUB-TOTAL</v>
          </cell>
          <cell r="B769" t="str">
            <v>:</v>
          </cell>
          <cell r="C769">
            <v>38830974.039999999</v>
          </cell>
          <cell r="F769">
            <v>43869938.57</v>
          </cell>
          <cell r="H769">
            <v>0</v>
          </cell>
        </row>
        <row r="770">
          <cell r="A770" t="str">
            <v>SUB-TOTAL</v>
          </cell>
          <cell r="B770" t="str">
            <v>:</v>
          </cell>
          <cell r="C770">
            <v>53298338.700000003</v>
          </cell>
          <cell r="F770">
            <v>59035517.700000003</v>
          </cell>
          <cell r="H770">
            <v>0</v>
          </cell>
        </row>
        <row r="771">
          <cell r="A771" t="str">
            <v>SUB-TOTAL</v>
          </cell>
          <cell r="B771" t="str">
            <v>:</v>
          </cell>
          <cell r="C771">
            <v>69087011.049999997</v>
          </cell>
          <cell r="F771">
            <v>74077140.939999998</v>
          </cell>
          <cell r="H771">
            <v>0</v>
          </cell>
        </row>
        <row r="772">
          <cell r="A772" t="str">
            <v>SUB-TOTAL</v>
          </cell>
          <cell r="B772" t="str">
            <v>:</v>
          </cell>
          <cell r="C772">
            <v>3977</v>
          </cell>
          <cell r="F772">
            <v>3977</v>
          </cell>
          <cell r="H772">
            <v>0</v>
          </cell>
        </row>
        <row r="773">
          <cell r="A773" t="str">
            <v>SUB-TOTAL</v>
          </cell>
          <cell r="B773" t="str">
            <v>:</v>
          </cell>
          <cell r="C773">
            <v>15327281.939999999</v>
          </cell>
          <cell r="F773">
            <v>17508306.390000001</v>
          </cell>
          <cell r="H773">
            <v>0</v>
          </cell>
        </row>
        <row r="774">
          <cell r="A774" t="str">
            <v>SUB-TOTAL</v>
          </cell>
          <cell r="B774" t="str">
            <v>:</v>
          </cell>
          <cell r="C774">
            <v>0</v>
          </cell>
          <cell r="F774">
            <v>0</v>
          </cell>
          <cell r="H774">
            <v>0</v>
          </cell>
        </row>
        <row r="775">
          <cell r="A775" t="str">
            <v>SUB-TOTAL</v>
          </cell>
          <cell r="B775" t="str">
            <v>:</v>
          </cell>
          <cell r="C775">
            <v>167435309.00999999</v>
          </cell>
          <cell r="F775">
            <v>181079546.66</v>
          </cell>
          <cell r="H775">
            <v>0</v>
          </cell>
        </row>
        <row r="776">
          <cell r="A776" t="str">
            <v>SUB-TOTAL</v>
          </cell>
          <cell r="B776" t="str">
            <v>:</v>
          </cell>
          <cell r="C776">
            <v>55138</v>
          </cell>
          <cell r="F776">
            <v>218847</v>
          </cell>
          <cell r="H776">
            <v>0</v>
          </cell>
        </row>
        <row r="777">
          <cell r="A777" t="str">
            <v>SUB-TOTAL</v>
          </cell>
          <cell r="B777" t="str">
            <v>:</v>
          </cell>
          <cell r="C777">
            <v>224596481.19999999</v>
          </cell>
          <cell r="F777">
            <v>224596481.19999999</v>
          </cell>
          <cell r="H777">
            <v>0</v>
          </cell>
        </row>
        <row r="778">
          <cell r="A778" t="str">
            <v>SUB-TOTAL</v>
          </cell>
          <cell r="B778" t="str">
            <v>:</v>
          </cell>
          <cell r="C778">
            <v>210507004.22</v>
          </cell>
          <cell r="F778">
            <v>213519501.31</v>
          </cell>
          <cell r="H778">
            <v>0</v>
          </cell>
        </row>
        <row r="779">
          <cell r="A779" t="str">
            <v>SUB-TOTAL</v>
          </cell>
          <cell r="B779" t="str">
            <v>:</v>
          </cell>
          <cell r="C779">
            <v>0</v>
          </cell>
          <cell r="F779">
            <v>0</v>
          </cell>
          <cell r="H779">
            <v>0</v>
          </cell>
        </row>
        <row r="780">
          <cell r="A780" t="str">
            <v>SUB-TOTAL</v>
          </cell>
          <cell r="B780" t="str">
            <v>:</v>
          </cell>
          <cell r="C780">
            <v>0</v>
          </cell>
          <cell r="F780">
            <v>0</v>
          </cell>
          <cell r="H780">
            <v>0</v>
          </cell>
        </row>
        <row r="781">
          <cell r="A781" t="str">
            <v>SUB-TOTAL</v>
          </cell>
          <cell r="B781" t="str">
            <v>:</v>
          </cell>
          <cell r="C781">
            <v>440369485.44999999</v>
          </cell>
          <cell r="F781">
            <v>443195764.44999999</v>
          </cell>
          <cell r="H781">
            <v>0</v>
          </cell>
        </row>
        <row r="782">
          <cell r="A782" t="str">
            <v>SUB-TOTAL</v>
          </cell>
          <cell r="B782" t="str">
            <v>:</v>
          </cell>
          <cell r="C782">
            <v>194855362</v>
          </cell>
          <cell r="F782">
            <v>198318410.5</v>
          </cell>
          <cell r="H782">
            <v>0</v>
          </cell>
        </row>
        <row r="783">
          <cell r="A783" t="str">
            <v>SUB-TOTAL</v>
          </cell>
          <cell r="B783" t="str">
            <v>:</v>
          </cell>
          <cell r="C783">
            <v>223146963.80000001</v>
          </cell>
          <cell r="F783">
            <v>209567692.80000001</v>
          </cell>
          <cell r="H783">
            <v>0</v>
          </cell>
        </row>
        <row r="784">
          <cell r="A784" t="str">
            <v>SUB-TOTAL</v>
          </cell>
          <cell r="B784" t="str">
            <v>:</v>
          </cell>
          <cell r="C784">
            <v>0</v>
          </cell>
          <cell r="F784">
            <v>0</v>
          </cell>
          <cell r="H784">
            <v>0</v>
          </cell>
        </row>
        <row r="785">
          <cell r="A785" t="str">
            <v>SUB-TOTAL</v>
          </cell>
          <cell r="B785" t="str">
            <v>:</v>
          </cell>
          <cell r="C785">
            <v>2448168</v>
          </cell>
          <cell r="F785">
            <v>2448168</v>
          </cell>
          <cell r="H785">
            <v>0</v>
          </cell>
        </row>
        <row r="786">
          <cell r="A786" t="str">
            <v>SUB-TOTAL</v>
          </cell>
          <cell r="B786" t="str">
            <v>:</v>
          </cell>
          <cell r="C786">
            <v>0</v>
          </cell>
          <cell r="F786">
            <v>0</v>
          </cell>
          <cell r="H786">
            <v>0</v>
          </cell>
        </row>
        <row r="787">
          <cell r="A787" t="str">
            <v>SUB-TOTAL</v>
          </cell>
          <cell r="B787" t="str">
            <v>:</v>
          </cell>
          <cell r="C787">
            <v>84737450.780000001</v>
          </cell>
          <cell r="F787">
            <v>86097132.030000001</v>
          </cell>
          <cell r="H787">
            <v>0</v>
          </cell>
        </row>
        <row r="788">
          <cell r="A788" t="str">
            <v>SUB-TOTAL</v>
          </cell>
          <cell r="B788" t="str">
            <v>:</v>
          </cell>
          <cell r="C788">
            <v>102817755.42</v>
          </cell>
          <cell r="F788">
            <v>111988152.52</v>
          </cell>
          <cell r="H788">
            <v>0</v>
          </cell>
        </row>
        <row r="789">
          <cell r="A789" t="str">
            <v>SUB-TOTAL</v>
          </cell>
          <cell r="B789" t="str">
            <v>:</v>
          </cell>
          <cell r="C789">
            <v>0.6</v>
          </cell>
          <cell r="F789">
            <v>0.6</v>
          </cell>
          <cell r="H789">
            <v>0</v>
          </cell>
        </row>
        <row r="790">
          <cell r="A790" t="str">
            <v>SUB-TOTAL</v>
          </cell>
          <cell r="B790" t="str">
            <v>:</v>
          </cell>
          <cell r="C790">
            <v>33406301.960000001</v>
          </cell>
          <cell r="F790">
            <v>26354235.02</v>
          </cell>
          <cell r="H790">
            <v>0</v>
          </cell>
        </row>
        <row r="791">
          <cell r="A791" t="str">
            <v>SUB-TOTAL</v>
          </cell>
          <cell r="B791" t="str">
            <v>:</v>
          </cell>
          <cell r="C791">
            <v>15085147.09</v>
          </cell>
          <cell r="F791">
            <v>11567572.16</v>
          </cell>
          <cell r="H791">
            <v>0</v>
          </cell>
        </row>
        <row r="792">
          <cell r="A792" t="str">
            <v>SUB-TOTAL</v>
          </cell>
          <cell r="B792" t="str">
            <v>:</v>
          </cell>
          <cell r="C792">
            <v>124731184.02</v>
          </cell>
          <cell r="F792">
            <v>292788154.07999998</v>
          </cell>
          <cell r="H792">
            <v>0</v>
          </cell>
        </row>
        <row r="793">
          <cell r="A793" t="str">
            <v>SUB-TOTAL</v>
          </cell>
          <cell r="B793" t="str">
            <v>:</v>
          </cell>
          <cell r="C793">
            <v>0</v>
          </cell>
          <cell r="F793">
            <v>0</v>
          </cell>
          <cell r="H793">
            <v>0</v>
          </cell>
        </row>
        <row r="794">
          <cell r="A794" t="str">
            <v>SUB-TOTAL</v>
          </cell>
          <cell r="B794" t="str">
            <v>:</v>
          </cell>
          <cell r="C794">
            <v>0</v>
          </cell>
          <cell r="F794">
            <v>0</v>
          </cell>
          <cell r="H794">
            <v>0</v>
          </cell>
        </row>
        <row r="795">
          <cell r="A795" t="str">
            <v>SUB-TOTAL</v>
          </cell>
          <cell r="B795" t="str">
            <v>:</v>
          </cell>
          <cell r="C795">
            <v>32190357.629999999</v>
          </cell>
          <cell r="F795">
            <v>25437478.140000001</v>
          </cell>
          <cell r="H795">
            <v>0</v>
          </cell>
        </row>
        <row r="796">
          <cell r="A796" t="str">
            <v>SUB-TOTAL</v>
          </cell>
          <cell r="B796" t="str">
            <v>:</v>
          </cell>
          <cell r="C796">
            <v>0</v>
          </cell>
          <cell r="F796">
            <v>0</v>
          </cell>
          <cell r="H796">
            <v>0</v>
          </cell>
        </row>
        <row r="797">
          <cell r="A797" t="str">
            <v>SUB-TOTAL</v>
          </cell>
          <cell r="B797" t="str">
            <v>:</v>
          </cell>
          <cell r="C797">
            <v>1385878</v>
          </cell>
          <cell r="F797">
            <v>1385878</v>
          </cell>
          <cell r="H797">
            <v>0</v>
          </cell>
        </row>
        <row r="798">
          <cell r="A798" t="str">
            <v>SUB-TOTAL</v>
          </cell>
          <cell r="B798" t="str">
            <v>:</v>
          </cell>
          <cell r="C798">
            <v>74760417.310000002</v>
          </cell>
          <cell r="F798">
            <v>126415862.56</v>
          </cell>
          <cell r="H798">
            <v>0</v>
          </cell>
        </row>
        <row r="799">
          <cell r="A799" t="str">
            <v>SUB-TOTAL</v>
          </cell>
          <cell r="B799" t="str">
            <v>:</v>
          </cell>
          <cell r="C799">
            <v>348115</v>
          </cell>
          <cell r="F799">
            <v>348115</v>
          </cell>
          <cell r="H799">
            <v>0</v>
          </cell>
        </row>
        <row r="800">
          <cell r="A800" t="str">
            <v>SUB-TOTAL</v>
          </cell>
          <cell r="B800" t="str">
            <v>:</v>
          </cell>
          <cell r="C800">
            <v>0</v>
          </cell>
          <cell r="F800">
            <v>0</v>
          </cell>
          <cell r="H800">
            <v>0</v>
          </cell>
        </row>
        <row r="801">
          <cell r="A801" t="str">
            <v>SUB-TOTAL</v>
          </cell>
          <cell r="B801" t="str">
            <v>:</v>
          </cell>
          <cell r="C801">
            <v>-1311596902.0999999</v>
          </cell>
          <cell r="F801">
            <v>-1311596902.0999999</v>
          </cell>
          <cell r="H801">
            <v>0</v>
          </cell>
        </row>
        <row r="802">
          <cell r="A802" t="str">
            <v>SUB-TOTAL</v>
          </cell>
          <cell r="B802" t="str">
            <v>:</v>
          </cell>
          <cell r="C802">
            <v>0</v>
          </cell>
          <cell r="F802">
            <v>0</v>
          </cell>
          <cell r="H802">
            <v>0</v>
          </cell>
        </row>
        <row r="803">
          <cell r="A803" t="str">
            <v>SUB-TOTAL</v>
          </cell>
          <cell r="B803" t="str">
            <v>:</v>
          </cell>
          <cell r="C803">
            <v>-83799298.769999996</v>
          </cell>
          <cell r="F803">
            <v>-158540619.46000001</v>
          </cell>
          <cell r="H803">
            <v>0</v>
          </cell>
        </row>
        <row r="804">
          <cell r="A804" t="str">
            <v>SUB-TOTAL</v>
          </cell>
          <cell r="B804" t="str">
            <v>:</v>
          </cell>
          <cell r="C804">
            <v>-12352967</v>
          </cell>
          <cell r="F804">
            <v>-12352967</v>
          </cell>
          <cell r="H804">
            <v>0</v>
          </cell>
        </row>
        <row r="805">
          <cell r="A805" t="str">
            <v>SUB-TOTAL</v>
          </cell>
          <cell r="B805" t="str">
            <v>:</v>
          </cell>
          <cell r="C805">
            <v>171909366.66</v>
          </cell>
          <cell r="F805">
            <v>168877481.27000001</v>
          </cell>
          <cell r="H805">
            <v>0</v>
          </cell>
        </row>
        <row r="806">
          <cell r="A806" t="str">
            <v>SUB-TOTAL</v>
          </cell>
          <cell r="B806" t="str">
            <v>:</v>
          </cell>
          <cell r="C806">
            <v>-16791465</v>
          </cell>
          <cell r="F806">
            <v>-17919890</v>
          </cell>
          <cell r="H806">
            <v>0</v>
          </cell>
        </row>
        <row r="807">
          <cell r="A807" t="str">
            <v>SUB-TOTAL</v>
          </cell>
          <cell r="B807" t="str">
            <v>:</v>
          </cell>
          <cell r="C807">
            <v>-32055512.620000001</v>
          </cell>
          <cell r="F807">
            <v>-31991831.190000001</v>
          </cell>
          <cell r="H807">
            <v>0</v>
          </cell>
        </row>
        <row r="808">
          <cell r="A808" t="str">
            <v>SUB-TOTAL</v>
          </cell>
          <cell r="B808" t="str">
            <v>:</v>
          </cell>
          <cell r="C808">
            <v>3574918.57</v>
          </cell>
          <cell r="F808">
            <v>3574918.57</v>
          </cell>
          <cell r="H808">
            <v>0</v>
          </cell>
        </row>
        <row r="809">
          <cell r="A809" t="str">
            <v>SUB-TOTAL</v>
          </cell>
          <cell r="B809" t="str">
            <v>:</v>
          </cell>
          <cell r="C809">
            <v>0</v>
          </cell>
          <cell r="F809">
            <v>0</v>
          </cell>
          <cell r="H809">
            <v>0</v>
          </cell>
        </row>
        <row r="810">
          <cell r="A810" t="str">
            <v>SUB-TOTAL</v>
          </cell>
          <cell r="B810" t="str">
            <v>:</v>
          </cell>
          <cell r="C810">
            <v>0</v>
          </cell>
          <cell r="F810">
            <v>0</v>
          </cell>
          <cell r="H810">
            <v>0</v>
          </cell>
        </row>
        <row r="811">
          <cell r="A811" t="str">
            <v>SUB-TOTAL</v>
          </cell>
          <cell r="B811" t="str">
            <v>:</v>
          </cell>
          <cell r="C811">
            <v>-127748533.67</v>
          </cell>
          <cell r="F811">
            <v>-129900039.75</v>
          </cell>
          <cell r="H811">
            <v>0</v>
          </cell>
        </row>
        <row r="812">
          <cell r="A812" t="str">
            <v>SUB-TOTAL</v>
          </cell>
          <cell r="B812" t="str">
            <v>:</v>
          </cell>
          <cell r="C812">
            <v>0</v>
          </cell>
          <cell r="F812">
            <v>0</v>
          </cell>
          <cell r="H812">
            <v>0</v>
          </cell>
        </row>
        <row r="813">
          <cell r="A813" t="str">
            <v>UNPROCESSE</v>
          </cell>
          <cell r="B813" t="str">
            <v>D PREMIUMS</v>
          </cell>
          <cell r="H813">
            <v>0</v>
          </cell>
        </row>
        <row r="814">
          <cell r="H814">
            <v>0</v>
          </cell>
        </row>
        <row r="815">
          <cell r="H815">
            <v>0</v>
          </cell>
        </row>
        <row r="816">
          <cell r="H816">
            <v>0</v>
          </cell>
        </row>
        <row r="817">
          <cell r="H817">
            <v>0</v>
          </cell>
        </row>
        <row r="818">
          <cell r="H818">
            <v>0</v>
          </cell>
        </row>
        <row r="819">
          <cell r="H819">
            <v>0</v>
          </cell>
        </row>
        <row r="820">
          <cell r="H820">
            <v>0</v>
          </cell>
        </row>
        <row r="821">
          <cell r="H821">
            <v>0</v>
          </cell>
        </row>
        <row r="822">
          <cell r="H822">
            <v>0</v>
          </cell>
        </row>
        <row r="823">
          <cell r="H823">
            <v>0</v>
          </cell>
        </row>
        <row r="824">
          <cell r="H824">
            <v>0</v>
          </cell>
        </row>
        <row r="825">
          <cell r="H825">
            <v>0</v>
          </cell>
        </row>
        <row r="826">
          <cell r="H826">
            <v>0</v>
          </cell>
        </row>
        <row r="827">
          <cell r="H827">
            <v>0</v>
          </cell>
        </row>
        <row r="828">
          <cell r="H828">
            <v>0</v>
          </cell>
        </row>
        <row r="829">
          <cell r="H829">
            <v>0</v>
          </cell>
        </row>
        <row r="830">
          <cell r="H830">
            <v>0</v>
          </cell>
        </row>
        <row r="831">
          <cell r="H831">
            <v>0</v>
          </cell>
        </row>
        <row r="832">
          <cell r="H832">
            <v>0</v>
          </cell>
        </row>
        <row r="833">
          <cell r="H833">
            <v>0</v>
          </cell>
        </row>
        <row r="834">
          <cell r="H834">
            <v>0</v>
          </cell>
        </row>
        <row r="835">
          <cell r="H835">
            <v>0</v>
          </cell>
        </row>
        <row r="836">
          <cell r="H836">
            <v>0</v>
          </cell>
        </row>
        <row r="837">
          <cell r="H837">
            <v>0</v>
          </cell>
        </row>
        <row r="838">
          <cell r="H838">
            <v>0</v>
          </cell>
        </row>
        <row r="839">
          <cell r="H839">
            <v>0</v>
          </cell>
        </row>
        <row r="840">
          <cell r="H840">
            <v>0</v>
          </cell>
        </row>
        <row r="841">
          <cell r="H841">
            <v>0</v>
          </cell>
        </row>
        <row r="842">
          <cell r="H842">
            <v>0</v>
          </cell>
        </row>
        <row r="843">
          <cell r="H843">
            <v>0</v>
          </cell>
        </row>
        <row r="844">
          <cell r="H844">
            <v>0</v>
          </cell>
        </row>
        <row r="845">
          <cell r="H845">
            <v>0</v>
          </cell>
        </row>
        <row r="846">
          <cell r="H846">
            <v>0</v>
          </cell>
        </row>
        <row r="847">
          <cell r="H847">
            <v>0</v>
          </cell>
        </row>
        <row r="848">
          <cell r="H848">
            <v>0</v>
          </cell>
        </row>
        <row r="849">
          <cell r="H849">
            <v>0</v>
          </cell>
        </row>
        <row r="850">
          <cell r="H850">
            <v>0</v>
          </cell>
        </row>
        <row r="851">
          <cell r="H851">
            <v>0</v>
          </cell>
        </row>
        <row r="852">
          <cell r="H852">
            <v>0</v>
          </cell>
        </row>
        <row r="853">
          <cell r="H853">
            <v>0</v>
          </cell>
        </row>
        <row r="854">
          <cell r="H854">
            <v>0</v>
          </cell>
        </row>
        <row r="855">
          <cell r="H855">
            <v>0</v>
          </cell>
        </row>
        <row r="856">
          <cell r="H856">
            <v>0</v>
          </cell>
        </row>
        <row r="857">
          <cell r="H857">
            <v>0</v>
          </cell>
        </row>
        <row r="858">
          <cell r="H858">
            <v>0</v>
          </cell>
        </row>
        <row r="859">
          <cell r="H859">
            <v>0</v>
          </cell>
        </row>
        <row r="860">
          <cell r="H860">
            <v>0</v>
          </cell>
        </row>
        <row r="861">
          <cell r="H861">
            <v>0</v>
          </cell>
        </row>
        <row r="862">
          <cell r="H862">
            <v>0</v>
          </cell>
        </row>
        <row r="863">
          <cell r="H863">
            <v>0</v>
          </cell>
        </row>
        <row r="864">
          <cell r="H864">
            <v>0</v>
          </cell>
        </row>
        <row r="865">
          <cell r="H865">
            <v>0</v>
          </cell>
        </row>
        <row r="866">
          <cell r="H866">
            <v>0</v>
          </cell>
        </row>
        <row r="867">
          <cell r="H867">
            <v>0</v>
          </cell>
        </row>
        <row r="868">
          <cell r="H868">
            <v>0</v>
          </cell>
        </row>
        <row r="869">
          <cell r="H869">
            <v>0</v>
          </cell>
        </row>
        <row r="870">
          <cell r="H870">
            <v>0</v>
          </cell>
        </row>
        <row r="871">
          <cell r="H871">
            <v>0</v>
          </cell>
        </row>
        <row r="872">
          <cell r="H872">
            <v>0</v>
          </cell>
        </row>
        <row r="873">
          <cell r="H873">
            <v>0</v>
          </cell>
        </row>
        <row r="874">
          <cell r="H874">
            <v>0</v>
          </cell>
        </row>
        <row r="875">
          <cell r="H875">
            <v>0</v>
          </cell>
        </row>
        <row r="876">
          <cell r="H876">
            <v>0</v>
          </cell>
        </row>
        <row r="877">
          <cell r="H877">
            <v>0</v>
          </cell>
        </row>
        <row r="878">
          <cell r="H878">
            <v>0</v>
          </cell>
        </row>
        <row r="879">
          <cell r="H879">
            <v>0</v>
          </cell>
        </row>
        <row r="880">
          <cell r="H880">
            <v>0</v>
          </cell>
        </row>
        <row r="881">
          <cell r="H881">
            <v>0</v>
          </cell>
        </row>
        <row r="882">
          <cell r="H882">
            <v>0</v>
          </cell>
        </row>
        <row r="883">
          <cell r="H883">
            <v>0</v>
          </cell>
        </row>
        <row r="884">
          <cell r="H884">
            <v>0</v>
          </cell>
        </row>
        <row r="885">
          <cell r="H885">
            <v>0</v>
          </cell>
        </row>
        <row r="886">
          <cell r="H886">
            <v>0</v>
          </cell>
        </row>
        <row r="887">
          <cell r="H887">
            <v>0</v>
          </cell>
        </row>
        <row r="888">
          <cell r="H888">
            <v>0</v>
          </cell>
        </row>
        <row r="889">
          <cell r="H889">
            <v>0</v>
          </cell>
        </row>
        <row r="890">
          <cell r="H890">
            <v>0</v>
          </cell>
        </row>
        <row r="891">
          <cell r="H891">
            <v>0</v>
          </cell>
        </row>
        <row r="892">
          <cell r="H892">
            <v>0</v>
          </cell>
        </row>
        <row r="893">
          <cell r="H893">
            <v>0</v>
          </cell>
        </row>
        <row r="894">
          <cell r="H894">
            <v>0</v>
          </cell>
        </row>
        <row r="895">
          <cell r="H895">
            <v>0</v>
          </cell>
        </row>
        <row r="896">
          <cell r="H896">
            <v>0</v>
          </cell>
        </row>
        <row r="897">
          <cell r="H897">
            <v>0</v>
          </cell>
        </row>
        <row r="898">
          <cell r="H898">
            <v>0</v>
          </cell>
        </row>
        <row r="899">
          <cell r="H899">
            <v>0</v>
          </cell>
        </row>
        <row r="900">
          <cell r="H900">
            <v>0</v>
          </cell>
        </row>
        <row r="901">
          <cell r="H901">
            <v>0</v>
          </cell>
        </row>
        <row r="902">
          <cell r="H902">
            <v>0</v>
          </cell>
        </row>
        <row r="903">
          <cell r="H903">
            <v>0</v>
          </cell>
        </row>
        <row r="904">
          <cell r="H904">
            <v>0</v>
          </cell>
        </row>
        <row r="905">
          <cell r="H905">
            <v>0</v>
          </cell>
        </row>
        <row r="906">
          <cell r="H906">
            <v>0</v>
          </cell>
        </row>
        <row r="907">
          <cell r="H907">
            <v>0</v>
          </cell>
        </row>
        <row r="908">
          <cell r="H908">
            <v>0</v>
          </cell>
        </row>
        <row r="909">
          <cell r="H909">
            <v>0</v>
          </cell>
        </row>
        <row r="910">
          <cell r="H910">
            <v>0</v>
          </cell>
        </row>
        <row r="911">
          <cell r="H911">
            <v>0</v>
          </cell>
        </row>
        <row r="912">
          <cell r="H912">
            <v>0</v>
          </cell>
        </row>
        <row r="913">
          <cell r="H913">
            <v>0</v>
          </cell>
        </row>
        <row r="914">
          <cell r="H914">
            <v>0</v>
          </cell>
        </row>
        <row r="915">
          <cell r="H915">
            <v>0</v>
          </cell>
        </row>
        <row r="916">
          <cell r="H916">
            <v>0</v>
          </cell>
        </row>
        <row r="917">
          <cell r="H917">
            <v>0</v>
          </cell>
        </row>
        <row r="918">
          <cell r="H918">
            <v>0</v>
          </cell>
        </row>
        <row r="919">
          <cell r="H919">
            <v>0</v>
          </cell>
        </row>
        <row r="920">
          <cell r="H920">
            <v>0</v>
          </cell>
        </row>
        <row r="921">
          <cell r="H921">
            <v>0</v>
          </cell>
        </row>
        <row r="922">
          <cell r="H922">
            <v>0</v>
          </cell>
        </row>
        <row r="923">
          <cell r="H923">
            <v>0</v>
          </cell>
        </row>
        <row r="924">
          <cell r="H924">
            <v>0</v>
          </cell>
        </row>
        <row r="925">
          <cell r="H925">
            <v>0</v>
          </cell>
        </row>
        <row r="926">
          <cell r="H926">
            <v>0</v>
          </cell>
        </row>
        <row r="927">
          <cell r="H927">
            <v>0</v>
          </cell>
        </row>
        <row r="928">
          <cell r="H928">
            <v>0</v>
          </cell>
        </row>
        <row r="929">
          <cell r="H929">
            <v>0</v>
          </cell>
        </row>
        <row r="930">
          <cell r="H930">
            <v>0</v>
          </cell>
        </row>
        <row r="931">
          <cell r="H931">
            <v>0</v>
          </cell>
        </row>
        <row r="932">
          <cell r="H932">
            <v>0</v>
          </cell>
        </row>
        <row r="933">
          <cell r="H933">
            <v>0</v>
          </cell>
        </row>
        <row r="934">
          <cell r="H934">
            <v>0</v>
          </cell>
        </row>
        <row r="935">
          <cell r="H935">
            <v>0</v>
          </cell>
        </row>
        <row r="936">
          <cell r="H936">
            <v>0</v>
          </cell>
        </row>
        <row r="937">
          <cell r="H937">
            <v>0</v>
          </cell>
        </row>
        <row r="938">
          <cell r="H938">
            <v>0</v>
          </cell>
        </row>
        <row r="939">
          <cell r="H939">
            <v>0</v>
          </cell>
        </row>
        <row r="940">
          <cell r="H940">
            <v>0</v>
          </cell>
        </row>
        <row r="941">
          <cell r="H941">
            <v>0</v>
          </cell>
        </row>
        <row r="942">
          <cell r="H942">
            <v>0</v>
          </cell>
        </row>
        <row r="943">
          <cell r="H943">
            <v>0</v>
          </cell>
        </row>
        <row r="944">
          <cell r="H944">
            <v>0</v>
          </cell>
        </row>
        <row r="945">
          <cell r="H945">
            <v>0</v>
          </cell>
        </row>
        <row r="946">
          <cell r="H946">
            <v>0</v>
          </cell>
        </row>
        <row r="947">
          <cell r="H947">
            <v>0</v>
          </cell>
        </row>
        <row r="948">
          <cell r="H948">
            <v>0</v>
          </cell>
        </row>
        <row r="949">
          <cell r="H949">
            <v>0</v>
          </cell>
        </row>
        <row r="950">
          <cell r="H950">
            <v>0</v>
          </cell>
        </row>
        <row r="951">
          <cell r="H951">
            <v>0</v>
          </cell>
        </row>
        <row r="952">
          <cell r="H952">
            <v>0</v>
          </cell>
        </row>
        <row r="953">
          <cell r="H953">
            <v>0</v>
          </cell>
        </row>
        <row r="954">
          <cell r="H954">
            <v>0</v>
          </cell>
        </row>
        <row r="955">
          <cell r="H955">
            <v>0</v>
          </cell>
        </row>
        <row r="956">
          <cell r="H956">
            <v>0</v>
          </cell>
        </row>
        <row r="957">
          <cell r="H957">
            <v>0</v>
          </cell>
        </row>
        <row r="958">
          <cell r="H958">
            <v>0</v>
          </cell>
        </row>
        <row r="959">
          <cell r="H959">
            <v>0</v>
          </cell>
        </row>
        <row r="960">
          <cell r="H960">
            <v>0</v>
          </cell>
        </row>
        <row r="961">
          <cell r="H961">
            <v>0</v>
          </cell>
        </row>
        <row r="962">
          <cell r="H962">
            <v>0</v>
          </cell>
        </row>
        <row r="963">
          <cell r="H963">
            <v>0</v>
          </cell>
        </row>
        <row r="964">
          <cell r="H964">
            <v>0</v>
          </cell>
        </row>
        <row r="965">
          <cell r="H965">
            <v>0</v>
          </cell>
        </row>
        <row r="966">
          <cell r="H966">
            <v>0</v>
          </cell>
        </row>
        <row r="967">
          <cell r="H967">
            <v>0</v>
          </cell>
        </row>
        <row r="968">
          <cell r="H968">
            <v>0</v>
          </cell>
        </row>
        <row r="969">
          <cell r="H969">
            <v>0</v>
          </cell>
        </row>
        <row r="970">
          <cell r="H970">
            <v>0</v>
          </cell>
        </row>
        <row r="971">
          <cell r="H971">
            <v>0</v>
          </cell>
        </row>
        <row r="972">
          <cell r="H972">
            <v>0</v>
          </cell>
        </row>
        <row r="973">
          <cell r="H973">
            <v>0</v>
          </cell>
        </row>
        <row r="974">
          <cell r="H974">
            <v>0</v>
          </cell>
        </row>
        <row r="975">
          <cell r="H975">
            <v>0</v>
          </cell>
        </row>
        <row r="976">
          <cell r="H976">
            <v>0</v>
          </cell>
        </row>
        <row r="977">
          <cell r="H977">
            <v>0</v>
          </cell>
        </row>
        <row r="978">
          <cell r="H978">
            <v>0</v>
          </cell>
        </row>
        <row r="979">
          <cell r="H979">
            <v>0</v>
          </cell>
        </row>
        <row r="980">
          <cell r="H980">
            <v>0</v>
          </cell>
        </row>
        <row r="981">
          <cell r="H981">
            <v>0</v>
          </cell>
        </row>
        <row r="982">
          <cell r="H982">
            <v>0</v>
          </cell>
        </row>
        <row r="983">
          <cell r="H983">
            <v>0</v>
          </cell>
        </row>
        <row r="984">
          <cell r="H984">
            <v>0</v>
          </cell>
        </row>
        <row r="985">
          <cell r="H985">
            <v>0</v>
          </cell>
        </row>
        <row r="986">
          <cell r="H986">
            <v>0</v>
          </cell>
        </row>
        <row r="987">
          <cell r="H987">
            <v>0</v>
          </cell>
        </row>
        <row r="988">
          <cell r="H988">
            <v>0</v>
          </cell>
        </row>
        <row r="989">
          <cell r="H989">
            <v>0</v>
          </cell>
        </row>
        <row r="990">
          <cell r="H990">
            <v>0</v>
          </cell>
        </row>
        <row r="991">
          <cell r="H991">
            <v>0</v>
          </cell>
        </row>
        <row r="992">
          <cell r="H992">
            <v>0</v>
          </cell>
        </row>
        <row r="993">
          <cell r="H993">
            <v>0</v>
          </cell>
        </row>
        <row r="994">
          <cell r="H994">
            <v>0</v>
          </cell>
        </row>
        <row r="995">
          <cell r="H995">
            <v>0</v>
          </cell>
        </row>
        <row r="996">
          <cell r="H996">
            <v>0</v>
          </cell>
        </row>
        <row r="997">
          <cell r="H997">
            <v>0</v>
          </cell>
        </row>
        <row r="998">
          <cell r="H998">
            <v>0</v>
          </cell>
        </row>
        <row r="999">
          <cell r="H999">
            <v>0</v>
          </cell>
        </row>
        <row r="1000">
          <cell r="H1000">
            <v>0</v>
          </cell>
        </row>
        <row r="1001">
          <cell r="H1001">
            <v>0</v>
          </cell>
        </row>
        <row r="1002">
          <cell r="H1002">
            <v>0</v>
          </cell>
        </row>
        <row r="1003">
          <cell r="H1003">
            <v>0</v>
          </cell>
        </row>
        <row r="1004">
          <cell r="H1004">
            <v>0</v>
          </cell>
        </row>
        <row r="1005">
          <cell r="H1005">
            <v>0</v>
          </cell>
        </row>
        <row r="1006">
          <cell r="H1006">
            <v>0</v>
          </cell>
        </row>
        <row r="1007">
          <cell r="H1007">
            <v>0</v>
          </cell>
        </row>
        <row r="1008">
          <cell r="H1008">
            <v>0</v>
          </cell>
        </row>
        <row r="1009">
          <cell r="H1009">
            <v>0</v>
          </cell>
        </row>
        <row r="1010">
          <cell r="H1010">
            <v>0</v>
          </cell>
        </row>
        <row r="1011">
          <cell r="H1011">
            <v>0</v>
          </cell>
        </row>
        <row r="1012">
          <cell r="H1012">
            <v>0</v>
          </cell>
        </row>
        <row r="1013">
          <cell r="H1013">
            <v>0</v>
          </cell>
        </row>
        <row r="1014">
          <cell r="H1014">
            <v>0</v>
          </cell>
        </row>
        <row r="1015">
          <cell r="H1015">
            <v>0</v>
          </cell>
        </row>
        <row r="1016">
          <cell r="H1016">
            <v>0</v>
          </cell>
        </row>
        <row r="1017">
          <cell r="H1017">
            <v>0</v>
          </cell>
        </row>
        <row r="1018">
          <cell r="H1018">
            <v>0</v>
          </cell>
        </row>
        <row r="1019">
          <cell r="H1019">
            <v>0</v>
          </cell>
        </row>
        <row r="1020">
          <cell r="H1020">
            <v>0</v>
          </cell>
        </row>
        <row r="1021">
          <cell r="H1021">
            <v>0</v>
          </cell>
        </row>
      </sheetData>
      <sheetData sheetId="43">
        <row r="1">
          <cell r="A1" t="str">
            <v>Account</v>
          </cell>
          <cell r="B1" t="str">
            <v>Particulars</v>
          </cell>
          <cell r="C1" t="str">
            <v>Opening</v>
          </cell>
          <cell r="D1" t="str">
            <v>Month</v>
          </cell>
          <cell r="E1" t="str">
            <v>year</v>
          </cell>
          <cell r="F1" t="str">
            <v>YTD</v>
          </cell>
        </row>
        <row r="2">
          <cell r="A2" t="str">
            <v>__________</v>
          </cell>
          <cell r="B2" t="str">
            <v>_____________________________________________</v>
          </cell>
          <cell r="C2" t="str">
            <v>__________________</v>
          </cell>
          <cell r="D2" t="e">
            <v>#VALUE!</v>
          </cell>
          <cell r="E2" t="e">
            <v>#VALUE!</v>
          </cell>
          <cell r="F2" t="str">
            <v>____________</v>
          </cell>
        </row>
        <row r="3">
          <cell r="A3" t="str">
            <v>__________</v>
          </cell>
          <cell r="B3" t="str">
            <v>_____________________________________________</v>
          </cell>
          <cell r="C3" t="str">
            <v>__________________</v>
          </cell>
          <cell r="D3" t="e">
            <v>#VALUE!</v>
          </cell>
          <cell r="E3" t="e">
            <v>#VALUE!</v>
          </cell>
          <cell r="F3" t="str">
            <v>____________</v>
          </cell>
        </row>
        <row r="4">
          <cell r="A4" t="str">
            <v>__________</v>
          </cell>
          <cell r="B4" t="str">
            <v>_____________________________________________</v>
          </cell>
          <cell r="C4" t="str">
            <v>__________________</v>
          </cell>
          <cell r="D4" t="e">
            <v>#VALUE!</v>
          </cell>
          <cell r="E4" t="e">
            <v>#VALUE!</v>
          </cell>
          <cell r="F4" t="str">
            <v>____________</v>
          </cell>
        </row>
        <row r="5">
          <cell r="A5" t="str">
            <v>__________</v>
          </cell>
          <cell r="B5" t="str">
            <v>_____________________________________________</v>
          </cell>
          <cell r="C5" t="str">
            <v>__________________</v>
          </cell>
          <cell r="D5" t="e">
            <v>#VALUE!</v>
          </cell>
          <cell r="E5" t="e">
            <v>#VALUE!</v>
          </cell>
          <cell r="F5" t="str">
            <v>____________</v>
          </cell>
        </row>
        <row r="6">
          <cell r="A6" t="str">
            <v>__________</v>
          </cell>
          <cell r="B6" t="str">
            <v>_____________________________________________</v>
          </cell>
          <cell r="C6" t="str">
            <v>__________________</v>
          </cell>
          <cell r="D6" t="e">
            <v>#VALUE!</v>
          </cell>
          <cell r="E6" t="e">
            <v>#VALUE!</v>
          </cell>
          <cell r="F6" t="str">
            <v>____________</v>
          </cell>
        </row>
        <row r="7">
          <cell r="A7" t="str">
            <v>__________</v>
          </cell>
          <cell r="B7" t="str">
            <v>_____________________________________________</v>
          </cell>
          <cell r="C7" t="str">
            <v>__________________</v>
          </cell>
          <cell r="D7" t="e">
            <v>#VALUE!</v>
          </cell>
          <cell r="E7" t="e">
            <v>#VALUE!</v>
          </cell>
          <cell r="F7" t="str">
            <v>____________</v>
          </cell>
        </row>
        <row r="8">
          <cell r="A8" t="str">
            <v>__________</v>
          </cell>
          <cell r="B8" t="str">
            <v>_____________________________________________</v>
          </cell>
          <cell r="C8" t="str">
            <v>__________________</v>
          </cell>
          <cell r="D8" t="e">
            <v>#VALUE!</v>
          </cell>
          <cell r="E8" t="e">
            <v>#VALUE!</v>
          </cell>
          <cell r="F8" t="str">
            <v>____________</v>
          </cell>
        </row>
        <row r="9">
          <cell r="A9" t="str">
            <v>__________</v>
          </cell>
          <cell r="B9" t="str">
            <v>_____________________________________________</v>
          </cell>
          <cell r="C9" t="str">
            <v>__________________</v>
          </cell>
          <cell r="D9" t="e">
            <v>#VALUE!</v>
          </cell>
          <cell r="E9" t="e">
            <v>#VALUE!</v>
          </cell>
          <cell r="F9" t="str">
            <v>____________</v>
          </cell>
        </row>
        <row r="10">
          <cell r="A10" t="str">
            <v>__________</v>
          </cell>
          <cell r="B10" t="str">
            <v>_____________________________________________</v>
          </cell>
          <cell r="C10" t="str">
            <v>__________________</v>
          </cell>
          <cell r="D10" t="e">
            <v>#VALUE!</v>
          </cell>
          <cell r="E10" t="e">
            <v>#VALUE!</v>
          </cell>
          <cell r="F10" t="str">
            <v>____________</v>
          </cell>
        </row>
        <row r="11">
          <cell r="A11" t="str">
            <v>__________</v>
          </cell>
          <cell r="B11" t="str">
            <v>_____________________________________________</v>
          </cell>
          <cell r="C11" t="str">
            <v>__________________</v>
          </cell>
          <cell r="D11" t="e">
            <v>#VALUE!</v>
          </cell>
          <cell r="E11" t="e">
            <v>#VALUE!</v>
          </cell>
          <cell r="F11" t="str">
            <v>____________</v>
          </cell>
        </row>
        <row r="12">
          <cell r="A12" t="str">
            <v>100-10-010</v>
          </cell>
          <cell r="B12" t="str">
            <v>NEW BUSINESS PREMIUM PAIC</v>
          </cell>
          <cell r="C12">
            <v>0</v>
          </cell>
          <cell r="D12">
            <v>0</v>
          </cell>
          <cell r="E12">
            <v>0</v>
          </cell>
          <cell r="F12">
            <v>0</v>
          </cell>
        </row>
        <row r="13">
          <cell r="A13" t="str">
            <v>100-10-020</v>
          </cell>
          <cell r="B13" t="str">
            <v>NEW BUSINESS FFFP</v>
          </cell>
          <cell r="C13">
            <v>0</v>
          </cell>
          <cell r="D13">
            <v>0</v>
          </cell>
          <cell r="E13">
            <v>0</v>
          </cell>
          <cell r="F13">
            <v>0</v>
          </cell>
        </row>
        <row r="14">
          <cell r="A14" t="str">
            <v>100-10-030</v>
          </cell>
          <cell r="B14" t="str">
            <v>NEW BUSINESS W/P</v>
          </cell>
          <cell r="C14">
            <v>0</v>
          </cell>
          <cell r="D14">
            <v>0</v>
          </cell>
          <cell r="E14">
            <v>0</v>
          </cell>
          <cell r="F14">
            <v>0</v>
          </cell>
        </row>
        <row r="15">
          <cell r="A15" t="str">
            <v>100-10-035</v>
          </cell>
          <cell r="B15" t="str">
            <v>NEW BUSINESS KINGA HALISI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</row>
        <row r="16">
          <cell r="A16" t="str">
            <v>100-10-036</v>
          </cell>
          <cell r="B16" t="str">
            <v>NEW BUSINESS FLEXI SAVER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</row>
        <row r="17">
          <cell r="A17" t="str">
            <v>100-10-037</v>
          </cell>
          <cell r="B17" t="str">
            <v>NEW BUSINESS EDUCATOR</v>
          </cell>
          <cell r="C17">
            <v>0</v>
          </cell>
          <cell r="D17">
            <v>0</v>
          </cell>
          <cell r="E17">
            <v>0</v>
          </cell>
          <cell r="F17">
            <v>0</v>
          </cell>
        </row>
        <row r="18">
          <cell r="A18" t="str">
            <v>100-10-040</v>
          </cell>
          <cell r="B18" t="str">
            <v>SINGLE PREMIUMS</v>
          </cell>
          <cell r="C18">
            <v>0</v>
          </cell>
          <cell r="D18">
            <v>0</v>
          </cell>
          <cell r="E18">
            <v>0</v>
          </cell>
          <cell r="F18">
            <v>0</v>
          </cell>
        </row>
        <row r="19">
          <cell r="A19" t="str">
            <v>100-10-050</v>
          </cell>
          <cell r="B19" t="str">
            <v>PERSONAL ACCIDENT PREMIUMS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</row>
        <row r="20">
          <cell r="A20" t="str">
            <v>100-12-010</v>
          </cell>
          <cell r="B20" t="str">
            <v>INVESTMENT ALLOCATION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</row>
        <row r="21">
          <cell r="A21" t="str">
            <v>100-14-010</v>
          </cell>
          <cell r="B21" t="str">
            <v>PREMIUM UPDATES -FFP</v>
          </cell>
          <cell r="C21">
            <v>0</v>
          </cell>
          <cell r="D21">
            <v>0</v>
          </cell>
          <cell r="E21">
            <v>0</v>
          </cell>
          <cell r="F21">
            <v>0</v>
          </cell>
        </row>
        <row r="22">
          <cell r="A22" t="str">
            <v>100-14-020</v>
          </cell>
          <cell r="B22" t="str">
            <v>PREMIUM UPDATES-WP</v>
          </cell>
          <cell r="C22">
            <v>0</v>
          </cell>
          <cell r="D22">
            <v>0</v>
          </cell>
          <cell r="E22">
            <v>0</v>
          </cell>
          <cell r="F22">
            <v>0</v>
          </cell>
        </row>
        <row r="23">
          <cell r="A23" t="str">
            <v>100-14-030</v>
          </cell>
          <cell r="B23" t="str">
            <v>PREMIUM UPDATE - KINGA HALISI</v>
          </cell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A24" t="str">
            <v>100-15-010</v>
          </cell>
          <cell r="B24" t="str">
            <v>RENEWAL PREMIUMS -PAIC</v>
          </cell>
          <cell r="C24">
            <v>0</v>
          </cell>
          <cell r="D24">
            <v>0</v>
          </cell>
          <cell r="E24">
            <v>0</v>
          </cell>
          <cell r="F24">
            <v>0</v>
          </cell>
        </row>
        <row r="25">
          <cell r="A25" t="str">
            <v>100-15-020</v>
          </cell>
          <cell r="B25" t="str">
            <v>RENEWAL PREMIUMS -FFP</v>
          </cell>
          <cell r="C25">
            <v>0</v>
          </cell>
          <cell r="D25">
            <v>0</v>
          </cell>
          <cell r="E25">
            <v>0</v>
          </cell>
          <cell r="F25">
            <v>0</v>
          </cell>
        </row>
        <row r="26">
          <cell r="A26" t="str">
            <v>100-15-030</v>
          </cell>
          <cell r="B26" t="str">
            <v>RENEWAL PREMIUMS -WP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</row>
        <row r="27">
          <cell r="A27" t="str">
            <v>100-15-040</v>
          </cell>
          <cell r="B27" t="str">
            <v>RENEWAL PREMIUMS- KINGA HALISI</v>
          </cell>
          <cell r="C27">
            <v>0</v>
          </cell>
          <cell r="D27">
            <v>0</v>
          </cell>
          <cell r="E27">
            <v>0</v>
          </cell>
          <cell r="F27">
            <v>0</v>
          </cell>
        </row>
        <row r="28">
          <cell r="A28" t="str">
            <v>100-15-050</v>
          </cell>
          <cell r="B28" t="str">
            <v>RENEWAL PREMIUM - EDUCATOR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</row>
        <row r="29">
          <cell r="A29" t="str">
            <v>100-15-060</v>
          </cell>
          <cell r="B29" t="str">
            <v>RENEWAL PREMIUM - FLEXI SAVER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</row>
        <row r="30">
          <cell r="A30" t="str">
            <v>100-20-010</v>
          </cell>
          <cell r="B30" t="str">
            <v>LAPSES NEW BUSINESS -FFP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</row>
        <row r="31">
          <cell r="A31" t="str">
            <v>100-20-020</v>
          </cell>
          <cell r="B31" t="str">
            <v>LAPSES NEW BUSINESS -WP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</row>
        <row r="32">
          <cell r="A32" t="str">
            <v>100-20-025</v>
          </cell>
          <cell r="B32" t="str">
            <v>LAPSES NEW BUSINESS - KINGA HALISI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</row>
        <row r="33">
          <cell r="A33" t="str">
            <v>100-20-030</v>
          </cell>
          <cell r="B33" t="str">
            <v>NEW BUSINESS LAPSES - FLEXI SAVER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</row>
        <row r="34">
          <cell r="A34" t="str">
            <v>100-20-035</v>
          </cell>
          <cell r="B34" t="str">
            <v>NEW BUSINESS LAPSES - FLEXI EDUCATOR</v>
          </cell>
          <cell r="C34">
            <v>0</v>
          </cell>
          <cell r="D34">
            <v>0</v>
          </cell>
          <cell r="E34">
            <v>0</v>
          </cell>
          <cell r="F34">
            <v>0</v>
          </cell>
        </row>
        <row r="35">
          <cell r="A35" t="str">
            <v>100-20-050</v>
          </cell>
          <cell r="B35" t="str">
            <v>LAPSES RENEWAL -FFP</v>
          </cell>
          <cell r="C35">
            <v>0</v>
          </cell>
          <cell r="D35">
            <v>0</v>
          </cell>
          <cell r="E35">
            <v>0</v>
          </cell>
          <cell r="F35">
            <v>0</v>
          </cell>
        </row>
        <row r="36">
          <cell r="A36" t="str">
            <v>100-20-060</v>
          </cell>
          <cell r="B36" t="str">
            <v>LAPSES RENEWAL -WP</v>
          </cell>
          <cell r="C36">
            <v>0</v>
          </cell>
          <cell r="D36">
            <v>0</v>
          </cell>
          <cell r="E36">
            <v>0</v>
          </cell>
          <cell r="F36">
            <v>0</v>
          </cell>
        </row>
        <row r="37">
          <cell r="A37" t="str">
            <v>100-20-070</v>
          </cell>
          <cell r="B37" t="str">
            <v>LAPSES RENEWAL -PAIC</v>
          </cell>
          <cell r="C37">
            <v>0</v>
          </cell>
          <cell r="D37">
            <v>0</v>
          </cell>
          <cell r="E37">
            <v>0</v>
          </cell>
          <cell r="F37">
            <v>0</v>
          </cell>
        </row>
        <row r="38">
          <cell r="A38" t="str">
            <v>100-20-080</v>
          </cell>
          <cell r="B38" t="str">
            <v>LAPSES RENEWAL - KINGA HALISI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</row>
        <row r="39">
          <cell r="A39" t="str">
            <v>100-20-085</v>
          </cell>
          <cell r="B39" t="str">
            <v>RENEWAL BUSINESS LAPSES - FLEXI SAVER</v>
          </cell>
          <cell r="C39">
            <v>0</v>
          </cell>
          <cell r="D39">
            <v>0</v>
          </cell>
          <cell r="E39">
            <v>0</v>
          </cell>
          <cell r="F39">
            <v>0</v>
          </cell>
        </row>
        <row r="40">
          <cell r="A40" t="str">
            <v>100-20-090</v>
          </cell>
          <cell r="B40" t="str">
            <v>RENEWAL  BUSINESS LAPSES - FLEXI EDUCATO</v>
          </cell>
          <cell r="C40">
            <v>0</v>
          </cell>
          <cell r="D40">
            <v>0</v>
          </cell>
          <cell r="E40">
            <v>0</v>
          </cell>
          <cell r="F40">
            <v>0</v>
          </cell>
        </row>
        <row r="41">
          <cell r="A41" t="str">
            <v>100-25-010</v>
          </cell>
          <cell r="B41" t="str">
            <v>SINGLE PREMIUMS</v>
          </cell>
          <cell r="C41">
            <v>0</v>
          </cell>
          <cell r="D41">
            <v>0</v>
          </cell>
          <cell r="E41">
            <v>0</v>
          </cell>
          <cell r="F41">
            <v>0</v>
          </cell>
        </row>
        <row r="42">
          <cell r="A42" t="str">
            <v>100-25-020</v>
          </cell>
          <cell r="B42" t="str">
            <v>RENEWAL WP</v>
          </cell>
          <cell r="C42">
            <v>0</v>
          </cell>
          <cell r="D42">
            <v>0</v>
          </cell>
          <cell r="E42">
            <v>0</v>
          </cell>
          <cell r="F42">
            <v>0</v>
          </cell>
        </row>
        <row r="43">
          <cell r="A43" t="str">
            <v>100-25-025</v>
          </cell>
          <cell r="B43" t="str">
            <v>PREMIUM INJECTIONS-WP</v>
          </cell>
          <cell r="C43">
            <v>0</v>
          </cell>
          <cell r="D43">
            <v>0</v>
          </cell>
          <cell r="E43">
            <v>0</v>
          </cell>
          <cell r="F43">
            <v>0</v>
          </cell>
        </row>
        <row r="44">
          <cell r="A44" t="str">
            <v>100-25-030</v>
          </cell>
          <cell r="B44" t="str">
            <v>PREMIUM INJECTIONS-FFP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</row>
        <row r="45">
          <cell r="A45" t="str">
            <v>100-26-010</v>
          </cell>
          <cell r="B45" t="str">
            <v>PREMIUM RECOVERIES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</row>
        <row r="46">
          <cell r="A46" t="str">
            <v>100-30-010</v>
          </cell>
          <cell r="B46" t="str">
            <v>GROUP LIFE SCHEME</v>
          </cell>
          <cell r="C46">
            <v>-237303537.13999999</v>
          </cell>
          <cell r="D46">
            <v>-8584389</v>
          </cell>
          <cell r="E46">
            <v>-245887926.13999999</v>
          </cell>
          <cell r="F46">
            <v>-245887926.13999999</v>
          </cell>
        </row>
        <row r="47">
          <cell r="A47" t="str">
            <v>100-30-020</v>
          </cell>
          <cell r="B47" t="str">
            <v>GROUP DISABILITY SCHEME</v>
          </cell>
          <cell r="C47">
            <v>-12548417.48</v>
          </cell>
          <cell r="D47">
            <v>0</v>
          </cell>
          <cell r="E47">
            <v>-12548417.48</v>
          </cell>
          <cell r="F47">
            <v>-12548417.48</v>
          </cell>
        </row>
        <row r="48">
          <cell r="A48" t="str">
            <v>100-30-030</v>
          </cell>
          <cell r="B48" t="str">
            <v>GROUP CREDIT SCHEME</v>
          </cell>
          <cell r="C48">
            <v>0</v>
          </cell>
          <cell r="D48">
            <v>-0.1</v>
          </cell>
          <cell r="E48">
            <v>-0.1</v>
          </cell>
          <cell r="F48">
            <v>-0.1</v>
          </cell>
        </row>
        <row r="49">
          <cell r="A49" t="str">
            <v>100-30-040</v>
          </cell>
          <cell r="B49" t="str">
            <v>GROUP LAST EXPENSE</v>
          </cell>
          <cell r="C49">
            <v>-8095397.7999999998</v>
          </cell>
          <cell r="D49">
            <v>-800</v>
          </cell>
          <cell r="E49">
            <v>-8096197.7999999998</v>
          </cell>
          <cell r="F49">
            <v>-8096197.7999999998</v>
          </cell>
        </row>
        <row r="50">
          <cell r="A50" t="str">
            <v>100-30-050</v>
          </cell>
          <cell r="B50" t="str">
            <v>GROUP MORTGAGE SCHEME</v>
          </cell>
          <cell r="C50">
            <v>-38158167.009999998</v>
          </cell>
          <cell r="D50">
            <v>0</v>
          </cell>
          <cell r="E50">
            <v>-38158167.009999998</v>
          </cell>
          <cell r="F50">
            <v>-38158167.009999998</v>
          </cell>
        </row>
        <row r="51">
          <cell r="A51" t="str">
            <v>100-30-060</v>
          </cell>
          <cell r="B51" t="str">
            <v>GROUP PENSION SCHEME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</row>
        <row r="52">
          <cell r="A52" t="str">
            <v>100-30-070</v>
          </cell>
          <cell r="B52" t="str">
            <v>HARAMBEE SCHEME</v>
          </cell>
          <cell r="C52">
            <v>0</v>
          </cell>
          <cell r="D52">
            <v>0</v>
          </cell>
          <cell r="E52">
            <v>0</v>
          </cell>
          <cell r="F52">
            <v>0</v>
          </cell>
        </row>
        <row r="53">
          <cell r="A53" t="str">
            <v>100-40-010</v>
          </cell>
          <cell r="B53" t="str">
            <v>NEW BUSINESS - GROUP LIFE</v>
          </cell>
          <cell r="C53">
            <v>-65807147.850000001</v>
          </cell>
          <cell r="D53">
            <v>-129000</v>
          </cell>
          <cell r="E53">
            <v>-65936147.850000001</v>
          </cell>
          <cell r="F53">
            <v>-65936147.850000001</v>
          </cell>
        </row>
        <row r="54">
          <cell r="A54" t="str">
            <v>100-40-020</v>
          </cell>
          <cell r="B54" t="str">
            <v>NEW BUSINESS - DISABILITY</v>
          </cell>
          <cell r="C54">
            <v>-11363339</v>
          </cell>
          <cell r="D54">
            <v>0</v>
          </cell>
          <cell r="E54">
            <v>-11363339</v>
          </cell>
          <cell r="F54">
            <v>-11363339</v>
          </cell>
        </row>
        <row r="55">
          <cell r="A55" t="str">
            <v>100-40-030</v>
          </cell>
          <cell r="B55" t="str">
            <v>NWE BUSINESS - GROUP CREDIT</v>
          </cell>
          <cell r="C55">
            <v>-312615412.49000001</v>
          </cell>
          <cell r="D55">
            <v>-25039008</v>
          </cell>
          <cell r="E55">
            <v>-337654420.49000001</v>
          </cell>
          <cell r="F55">
            <v>-337654420.49000001</v>
          </cell>
        </row>
        <row r="56">
          <cell r="A56" t="str">
            <v>100-40-040</v>
          </cell>
          <cell r="B56" t="str">
            <v>NEW BUSINESS - LAST EXPENSE</v>
          </cell>
          <cell r="C56">
            <v>-6879453</v>
          </cell>
          <cell r="D56">
            <v>-712767</v>
          </cell>
          <cell r="E56">
            <v>-7592220</v>
          </cell>
          <cell r="F56">
            <v>-7592220</v>
          </cell>
        </row>
        <row r="57">
          <cell r="A57" t="str">
            <v>100-40-050</v>
          </cell>
          <cell r="B57" t="str">
            <v>NEW BUSINESS - GROUP MORTGAGE</v>
          </cell>
          <cell r="C57">
            <v>-7201426</v>
          </cell>
          <cell r="D57">
            <v>-350000</v>
          </cell>
          <cell r="E57">
            <v>-7551426</v>
          </cell>
          <cell r="F57">
            <v>-7551426</v>
          </cell>
        </row>
        <row r="58">
          <cell r="A58" t="str">
            <v>100-40-060</v>
          </cell>
          <cell r="B58" t="str">
            <v>NEW BUSINESS - PENSION</v>
          </cell>
          <cell r="C58">
            <v>0</v>
          </cell>
          <cell r="D58">
            <v>0</v>
          </cell>
          <cell r="E58">
            <v>0</v>
          </cell>
          <cell r="F58">
            <v>0</v>
          </cell>
        </row>
        <row r="59">
          <cell r="A59" t="str">
            <v>100-40-070</v>
          </cell>
          <cell r="B59" t="str">
            <v>RETIREMENT ANNUITIES</v>
          </cell>
          <cell r="C59">
            <v>-76198047.349999994</v>
          </cell>
          <cell r="D59">
            <v>-25196538</v>
          </cell>
          <cell r="E59">
            <v>-101394585.34999999</v>
          </cell>
          <cell r="F59">
            <v>-101394585.34999999</v>
          </cell>
        </row>
        <row r="60">
          <cell r="A60" t="str">
            <v>200-10-011</v>
          </cell>
          <cell r="B60" t="str">
            <v>REASSURANCE PREM/ENDOWMENT POLICY</v>
          </cell>
          <cell r="C60">
            <v>0</v>
          </cell>
          <cell r="D60">
            <v>0</v>
          </cell>
          <cell r="E60">
            <v>0</v>
          </cell>
          <cell r="F60">
            <v>0</v>
          </cell>
        </row>
        <row r="61">
          <cell r="A61" t="str">
            <v>200-10-012</v>
          </cell>
          <cell r="B61" t="str">
            <v>REASSURACE PREM FFFP POLICIES</v>
          </cell>
          <cell r="C61">
            <v>0</v>
          </cell>
          <cell r="D61">
            <v>0</v>
          </cell>
          <cell r="E61">
            <v>0</v>
          </cell>
          <cell r="F61">
            <v>0</v>
          </cell>
        </row>
        <row r="62">
          <cell r="A62" t="str">
            <v>200-10-013</v>
          </cell>
          <cell r="B62" t="str">
            <v>REASSURANCE PREM WP/POLICIES</v>
          </cell>
          <cell r="C62">
            <v>0</v>
          </cell>
          <cell r="D62">
            <v>0</v>
          </cell>
          <cell r="E62">
            <v>0</v>
          </cell>
          <cell r="F62">
            <v>0</v>
          </cell>
        </row>
        <row r="63">
          <cell r="A63" t="str">
            <v>200-10-014</v>
          </cell>
          <cell r="B63" t="str">
            <v>REASSURANCE PREMIUMS- KINGA HALISI</v>
          </cell>
          <cell r="C63">
            <v>0</v>
          </cell>
          <cell r="D63">
            <v>0</v>
          </cell>
          <cell r="E63">
            <v>0</v>
          </cell>
          <cell r="F63">
            <v>0</v>
          </cell>
        </row>
        <row r="64">
          <cell r="A64" t="str">
            <v>200-10-015</v>
          </cell>
          <cell r="B64" t="str">
            <v>NEW BUSINESS REINSURANCE PREMIUM-KINGA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</row>
        <row r="65">
          <cell r="A65" t="str">
            <v>200-10-016</v>
          </cell>
          <cell r="B65" t="str">
            <v>NEW BUSINESS REINSURANCE-WP</v>
          </cell>
          <cell r="C65">
            <v>0</v>
          </cell>
          <cell r="D65">
            <v>0</v>
          </cell>
          <cell r="E65">
            <v>0</v>
          </cell>
          <cell r="F65">
            <v>0</v>
          </cell>
        </row>
        <row r="66">
          <cell r="A66" t="str">
            <v>200-15-011</v>
          </cell>
          <cell r="B66" t="str">
            <v>REASSURANCE PREMIUMS -GROUP LIFE</v>
          </cell>
          <cell r="C66">
            <v>90562205.489999995</v>
          </cell>
          <cell r="D66">
            <v>33370773.379999999</v>
          </cell>
          <cell r="E66">
            <v>123932978.87</v>
          </cell>
          <cell r="F66">
            <v>123932978.87</v>
          </cell>
        </row>
        <row r="67">
          <cell r="A67" t="str">
            <v>200-15-012</v>
          </cell>
          <cell r="B67" t="str">
            <v>REASSURANCE PREMIUMS-GROUP MORTGAGE</v>
          </cell>
          <cell r="C67">
            <v>14213048</v>
          </cell>
          <cell r="D67">
            <v>762347.58</v>
          </cell>
          <cell r="E67">
            <v>14975395.58</v>
          </cell>
          <cell r="F67">
            <v>14975395.58</v>
          </cell>
        </row>
        <row r="68">
          <cell r="A68" t="str">
            <v>200-15-013</v>
          </cell>
          <cell r="B68" t="str">
            <v>REASSURANCE PREMIUMS-GROUP CREDIT</v>
          </cell>
          <cell r="C68">
            <v>2666451</v>
          </cell>
          <cell r="D68">
            <v>-1674000</v>
          </cell>
          <cell r="E68">
            <v>992451</v>
          </cell>
          <cell r="F68">
            <v>992451</v>
          </cell>
        </row>
        <row r="69">
          <cell r="A69" t="str">
            <v>200-15-014</v>
          </cell>
          <cell r="B69" t="str">
            <v>REASSURANCE PREMIUMS -GROUP DISABILITY</v>
          </cell>
          <cell r="C69">
            <v>1955549.97</v>
          </cell>
          <cell r="D69">
            <v>1194134.27</v>
          </cell>
          <cell r="E69">
            <v>3149684.24</v>
          </cell>
          <cell r="F69">
            <v>3149684.24</v>
          </cell>
        </row>
        <row r="70">
          <cell r="A70" t="str">
            <v>200-15-015</v>
          </cell>
          <cell r="B70" t="str">
            <v>REASSURANCE PREMIUMS- GROUP LAST EXPENSE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</row>
        <row r="71">
          <cell r="A71" t="str">
            <v>200-15-016</v>
          </cell>
          <cell r="B71" t="str">
            <v>REASSURANCE PREMIUMS - CATASTROPHE COVER</v>
          </cell>
          <cell r="C71">
            <v>6951869</v>
          </cell>
          <cell r="D71">
            <v>0</v>
          </cell>
          <cell r="E71">
            <v>6951869</v>
          </cell>
          <cell r="F71">
            <v>6951869</v>
          </cell>
        </row>
        <row r="72">
          <cell r="A72" t="str">
            <v>200-15-017</v>
          </cell>
          <cell r="B72" t="str">
            <v>GROUP HARAMBEE SCHEMES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</row>
        <row r="73">
          <cell r="A73" t="str">
            <v>200-16-011</v>
          </cell>
          <cell r="B73" t="str">
            <v>NEW BUSINESS - REASS.PREM - G LIFE</v>
          </cell>
          <cell r="C73">
            <v>25002118.18</v>
          </cell>
          <cell r="D73">
            <v>-19804761.18</v>
          </cell>
          <cell r="E73">
            <v>5197357</v>
          </cell>
          <cell r="F73">
            <v>5197357</v>
          </cell>
        </row>
        <row r="74">
          <cell r="A74" t="str">
            <v>200-16-012</v>
          </cell>
          <cell r="B74" t="str">
            <v>NEW BUSINESS - REASS. PREM - G MORTGAGE</v>
          </cell>
          <cell r="C74">
            <v>777463.5</v>
          </cell>
          <cell r="D74">
            <v>-37753.67</v>
          </cell>
          <cell r="E74">
            <v>739709.83</v>
          </cell>
          <cell r="F74">
            <v>739709.83</v>
          </cell>
        </row>
        <row r="75">
          <cell r="A75" t="str">
            <v>200-16-013</v>
          </cell>
          <cell r="B75" t="str">
            <v>NEW BUSINESS - RAESS. PREM. - G CREDIT</v>
          </cell>
          <cell r="C75">
            <v>12157843.25</v>
          </cell>
          <cell r="D75">
            <v>-1726685.21</v>
          </cell>
          <cell r="E75">
            <v>10431158.039999999</v>
          </cell>
          <cell r="F75">
            <v>10431158.039999999</v>
          </cell>
        </row>
        <row r="76">
          <cell r="A76" t="str">
            <v>200-16-014</v>
          </cell>
          <cell r="B76" t="str">
            <v>NEW BUSINESS - REASS.PREM - G DISABILITY</v>
          </cell>
          <cell r="C76">
            <v>3163181.64</v>
          </cell>
          <cell r="D76">
            <v>-1581590.82</v>
          </cell>
          <cell r="E76">
            <v>1581590.82</v>
          </cell>
          <cell r="F76">
            <v>1581590.82</v>
          </cell>
        </row>
        <row r="77">
          <cell r="A77" t="str">
            <v>200-16-015</v>
          </cell>
          <cell r="B77" t="str">
            <v>NEW BUSINESS - REASS.PREM - G LAST EXP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</row>
        <row r="78">
          <cell r="A78" t="str">
            <v>200-20-011</v>
          </cell>
          <cell r="B78" t="str">
            <v>REASSURANCE COMM.WP</v>
          </cell>
          <cell r="C78">
            <v>0</v>
          </cell>
          <cell r="D78">
            <v>0</v>
          </cell>
          <cell r="E78">
            <v>0</v>
          </cell>
          <cell r="F78">
            <v>0</v>
          </cell>
        </row>
        <row r="79">
          <cell r="A79" t="str">
            <v>200-20-012</v>
          </cell>
          <cell r="B79" t="str">
            <v>REASSURANCE COMM.FFFP</v>
          </cell>
          <cell r="C79">
            <v>0</v>
          </cell>
          <cell r="D79">
            <v>0</v>
          </cell>
          <cell r="E79">
            <v>0</v>
          </cell>
          <cell r="F79">
            <v>0</v>
          </cell>
        </row>
        <row r="80">
          <cell r="A80" t="str">
            <v>200-20-013</v>
          </cell>
          <cell r="B80" t="str">
            <v>REASSURANCE COMMISSION-GROUP LIFE</v>
          </cell>
          <cell r="C80">
            <v>-22640551.879999999</v>
          </cell>
          <cell r="D80">
            <v>-8342693.3499999996</v>
          </cell>
          <cell r="E80">
            <v>-30983245.23</v>
          </cell>
          <cell r="F80">
            <v>-30983245.23</v>
          </cell>
        </row>
        <row r="81">
          <cell r="A81" t="str">
            <v>200-20-014</v>
          </cell>
          <cell r="B81" t="str">
            <v>REASSUARANCE COMMISSION-GROUP MORTGAGE</v>
          </cell>
          <cell r="C81">
            <v>-3553262</v>
          </cell>
          <cell r="D81">
            <v>-190586.9</v>
          </cell>
          <cell r="E81">
            <v>-3743848.9</v>
          </cell>
          <cell r="F81">
            <v>-3743848.9</v>
          </cell>
        </row>
        <row r="82">
          <cell r="A82" t="str">
            <v>200-20-015</v>
          </cell>
          <cell r="B82" t="str">
            <v>REASSURANCE COMM-GROUP CREDIT</v>
          </cell>
          <cell r="C82">
            <v>-137925</v>
          </cell>
          <cell r="D82">
            <v>0</v>
          </cell>
          <cell r="E82">
            <v>-137925</v>
          </cell>
          <cell r="F82">
            <v>-137925</v>
          </cell>
        </row>
        <row r="83">
          <cell r="A83" t="str">
            <v>200-20-016</v>
          </cell>
          <cell r="B83" t="str">
            <v>REASSURANCE COMM-GROUP DISABILITY</v>
          </cell>
          <cell r="C83">
            <v>-488887.49</v>
          </cell>
          <cell r="D83">
            <v>-298533.57</v>
          </cell>
          <cell r="E83">
            <v>-787421.06</v>
          </cell>
          <cell r="F83">
            <v>-787421.06</v>
          </cell>
        </row>
        <row r="84">
          <cell r="A84" t="str">
            <v>200-20-017</v>
          </cell>
          <cell r="B84" t="str">
            <v>REASSURANCE COMMISSION - LAST EXPENSE</v>
          </cell>
          <cell r="C84">
            <v>0</v>
          </cell>
          <cell r="D84">
            <v>0</v>
          </cell>
          <cell r="E84">
            <v>0</v>
          </cell>
          <cell r="F84">
            <v>0</v>
          </cell>
        </row>
        <row r="85">
          <cell r="A85" t="str">
            <v>200-20-018</v>
          </cell>
          <cell r="B85" t="str">
            <v>REASSURANCE COMMISSION - KINGA HALISI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</row>
        <row r="86">
          <cell r="A86" t="str">
            <v>200-25-013</v>
          </cell>
          <cell r="B86" t="str">
            <v>NEW BUSINESS - REASS.COMM - G LIFE</v>
          </cell>
          <cell r="C86">
            <v>-6264167.29</v>
          </cell>
          <cell r="D86">
            <v>4951190.29</v>
          </cell>
          <cell r="E86">
            <v>-1312977</v>
          </cell>
          <cell r="F86">
            <v>-1312977</v>
          </cell>
        </row>
        <row r="87">
          <cell r="A87" t="str">
            <v>200-25-014</v>
          </cell>
          <cell r="B87" t="str">
            <v>NEW BUSINESS - REASS. COMM - G MORTGAGE</v>
          </cell>
          <cell r="C87">
            <v>-194365.88</v>
          </cell>
          <cell r="D87">
            <v>9438.42</v>
          </cell>
          <cell r="E87">
            <v>-184927.46</v>
          </cell>
          <cell r="F87">
            <v>-184927.46</v>
          </cell>
        </row>
        <row r="88">
          <cell r="A88" t="str">
            <v>200-25-015</v>
          </cell>
          <cell r="B88" t="str">
            <v>NEW BUSINESS - REASS. COMM - G CREDIT</v>
          </cell>
          <cell r="C88">
            <v>-3564739.06</v>
          </cell>
          <cell r="D88">
            <v>850171.3</v>
          </cell>
          <cell r="E88">
            <v>-2714567.76</v>
          </cell>
          <cell r="F88">
            <v>-2714567.76</v>
          </cell>
        </row>
        <row r="89">
          <cell r="A89" t="str">
            <v>200-25-016</v>
          </cell>
          <cell r="B89" t="str">
            <v>NEW BUSINESS - REASS. COMM - G DISABILIT</v>
          </cell>
          <cell r="C89">
            <v>-790795.41</v>
          </cell>
          <cell r="D89">
            <v>395397.7</v>
          </cell>
          <cell r="E89">
            <v>-395397.71</v>
          </cell>
          <cell r="F89">
            <v>-395397.71</v>
          </cell>
        </row>
        <row r="90">
          <cell r="A90" t="str">
            <v>200-25-017</v>
          </cell>
          <cell r="B90" t="str">
            <v>NEW BUSINESS - REASS. COMM - G LAST EXP</v>
          </cell>
          <cell r="C90">
            <v>0</v>
          </cell>
          <cell r="D90">
            <v>0</v>
          </cell>
          <cell r="E90">
            <v>0</v>
          </cell>
          <cell r="F90">
            <v>0</v>
          </cell>
        </row>
        <row r="91">
          <cell r="A91" t="str">
            <v>200-25-018</v>
          </cell>
          <cell r="B91" t="str">
            <v>NEW BUSINESS REINSURANCE COMM-KINGAHALI</v>
          </cell>
          <cell r="C91">
            <v>0</v>
          </cell>
          <cell r="D91">
            <v>0</v>
          </cell>
          <cell r="E91">
            <v>0</v>
          </cell>
          <cell r="F91">
            <v>0</v>
          </cell>
        </row>
        <row r="92">
          <cell r="A92" t="str">
            <v>200-25-019</v>
          </cell>
          <cell r="B92" t="str">
            <v>NEW BUSINESS REINSURANCE COMMISSION-WP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</row>
        <row r="93">
          <cell r="A93" t="str">
            <v>200-30-011</v>
          </cell>
          <cell r="B93" t="str">
            <v>CLAIMS RECOVERED -GROUP LIFE ASSURANCE</v>
          </cell>
          <cell r="C93">
            <v>-89309082</v>
          </cell>
          <cell r="D93">
            <v>20959771</v>
          </cell>
          <cell r="E93">
            <v>-68349311</v>
          </cell>
          <cell r="F93">
            <v>-68349311</v>
          </cell>
        </row>
        <row r="94">
          <cell r="A94" t="str">
            <v>200-30-012</v>
          </cell>
          <cell r="B94" t="str">
            <v>CLAIMS RECOVERED GROUP MORTGAGE</v>
          </cell>
          <cell r="C94">
            <v>-3825352</v>
          </cell>
          <cell r="D94">
            <v>-3296694</v>
          </cell>
          <cell r="E94">
            <v>-7122046</v>
          </cell>
          <cell r="F94">
            <v>-7122046</v>
          </cell>
        </row>
        <row r="95">
          <cell r="A95" t="str">
            <v>200-30-013</v>
          </cell>
          <cell r="B95" t="str">
            <v>CLAIMS RECOVERED-GROUP LAST EXPENSE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</row>
        <row r="96">
          <cell r="A96" t="str">
            <v>200-30-014</v>
          </cell>
          <cell r="B96" t="str">
            <v>CLAIMS RECOVERED -GROUP CREDIT</v>
          </cell>
          <cell r="C96">
            <v>-23062070.379999999</v>
          </cell>
          <cell r="D96">
            <v>-7375191.79</v>
          </cell>
          <cell r="E96">
            <v>-30437262.170000002</v>
          </cell>
          <cell r="F96">
            <v>-30437262.170000002</v>
          </cell>
        </row>
        <row r="97">
          <cell r="A97" t="str">
            <v>200-30-015</v>
          </cell>
          <cell r="B97" t="str">
            <v>CLAIMS RECOVERED -GROUP DISABILITY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</row>
        <row r="98">
          <cell r="A98" t="str">
            <v>300-10-010</v>
          </cell>
          <cell r="B98" t="str">
            <v>LORESHO HOUSE</v>
          </cell>
          <cell r="C98">
            <v>0</v>
          </cell>
          <cell r="D98">
            <v>0</v>
          </cell>
          <cell r="E98">
            <v>0</v>
          </cell>
          <cell r="F98">
            <v>0</v>
          </cell>
        </row>
        <row r="99">
          <cell r="A99" t="str">
            <v>300-10-020</v>
          </cell>
          <cell r="B99" t="str">
            <v>RETREAT VILLAS</v>
          </cell>
          <cell r="C99">
            <v>0</v>
          </cell>
          <cell r="D99">
            <v>0</v>
          </cell>
          <cell r="E99">
            <v>0</v>
          </cell>
          <cell r="F99">
            <v>0</v>
          </cell>
        </row>
        <row r="100">
          <cell r="A100" t="str">
            <v>300-10-030</v>
          </cell>
          <cell r="B100" t="str">
            <v>ARCADE PETROL STATION</v>
          </cell>
          <cell r="C100">
            <v>0</v>
          </cell>
          <cell r="D100">
            <v>0</v>
          </cell>
          <cell r="E100">
            <v>0</v>
          </cell>
          <cell r="F100">
            <v>0</v>
          </cell>
        </row>
        <row r="101">
          <cell r="A101" t="str">
            <v>300-10-040</v>
          </cell>
          <cell r="B101" t="str">
            <v>AMBALAL HOUSE</v>
          </cell>
          <cell r="C101">
            <v>0</v>
          </cell>
          <cell r="D101">
            <v>0</v>
          </cell>
          <cell r="E101">
            <v>0</v>
          </cell>
          <cell r="F101">
            <v>0</v>
          </cell>
        </row>
        <row r="102">
          <cell r="A102" t="str">
            <v>300-10-050</v>
          </cell>
          <cell r="B102" t="str">
            <v>PAN AFRICA HOUSE NBI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</row>
        <row r="103">
          <cell r="A103" t="str">
            <v>300-10-060</v>
          </cell>
          <cell r="B103" t="str">
            <v>AMMORTIZATION OF LAND AND BUILDINGS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</row>
        <row r="104">
          <cell r="A104" t="str">
            <v>300-10-070</v>
          </cell>
          <cell r="B104" t="str">
            <v>INVESTMENT INCOME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</row>
        <row r="105">
          <cell r="A105" t="str">
            <v>300-14-010</v>
          </cell>
          <cell r="B105" t="str">
            <v>LOSS ON DISPOSAL OF PROPERTIES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</row>
        <row r="106">
          <cell r="A106" t="str">
            <v>300-14-040</v>
          </cell>
          <cell r="B106" t="str">
            <v>LOSS/PROFIT DISPOSAL OF MOTOR VEHICLE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</row>
        <row r="107">
          <cell r="A107" t="str">
            <v>300-15-010</v>
          </cell>
          <cell r="B107" t="str">
            <v>MISC INCOMES</v>
          </cell>
          <cell r="C107">
            <v>5000.05</v>
          </cell>
          <cell r="D107">
            <v>0</v>
          </cell>
          <cell r="E107">
            <v>5000.05</v>
          </cell>
          <cell r="F107">
            <v>5000.05</v>
          </cell>
        </row>
        <row r="108">
          <cell r="A108" t="str">
            <v>300-15-015</v>
          </cell>
          <cell r="B108" t="str">
            <v>GAIN/LOSS ON FEREIGN EXCHAGE</v>
          </cell>
          <cell r="C108">
            <v>0</v>
          </cell>
          <cell r="D108">
            <v>0</v>
          </cell>
          <cell r="E108">
            <v>0</v>
          </cell>
          <cell r="F108">
            <v>0</v>
          </cell>
        </row>
        <row r="109">
          <cell r="A109" t="str">
            <v>300-15-020</v>
          </cell>
          <cell r="B109" t="str">
            <v>MORTAGE INTEREST STAFF</v>
          </cell>
          <cell r="C109">
            <v>0</v>
          </cell>
          <cell r="D109">
            <v>0</v>
          </cell>
          <cell r="E109">
            <v>0</v>
          </cell>
          <cell r="F109">
            <v>0</v>
          </cell>
        </row>
        <row r="110">
          <cell r="A110" t="str">
            <v>300-15-021</v>
          </cell>
          <cell r="B110" t="str">
            <v>STAFF INTEREST ON ADVANCES,N/L,CARLOANS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</row>
        <row r="111">
          <cell r="A111" t="str">
            <v>300-15-025</v>
          </cell>
          <cell r="B111" t="str">
            <v>PROFIT SHARE-REINSURANCE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</row>
        <row r="112">
          <cell r="A112" t="str">
            <v>300-15-026</v>
          </cell>
          <cell r="B112" t="str">
            <v>GAIN OR LOSS ON VALUATION</v>
          </cell>
          <cell r="C112">
            <v>0</v>
          </cell>
          <cell r="D112">
            <v>0</v>
          </cell>
          <cell r="E112">
            <v>0</v>
          </cell>
          <cell r="F112">
            <v>0</v>
          </cell>
        </row>
        <row r="113">
          <cell r="A113" t="str">
            <v>300-20-030</v>
          </cell>
          <cell r="B113" t="str">
            <v>DIVIDENED INCOME</v>
          </cell>
          <cell r="C113">
            <v>-134511.79999999999</v>
          </cell>
          <cell r="D113">
            <v>0</v>
          </cell>
          <cell r="E113">
            <v>-134511.79999999999</v>
          </cell>
          <cell r="F113">
            <v>-134511.79999999999</v>
          </cell>
        </row>
        <row r="114">
          <cell r="A114" t="str">
            <v>300-30-010</v>
          </cell>
          <cell r="B114" t="str">
            <v>SERVICE CHARGE LOAN ON POLICY</v>
          </cell>
          <cell r="C114">
            <v>0</v>
          </cell>
          <cell r="D114">
            <v>0</v>
          </cell>
          <cell r="E114">
            <v>0</v>
          </cell>
          <cell r="F114">
            <v>0</v>
          </cell>
        </row>
        <row r="115">
          <cell r="A115" t="str">
            <v>300-30-020</v>
          </cell>
          <cell r="B115" t="str">
            <v>INTEREST ON LOAN ON POLICY</v>
          </cell>
          <cell r="C115">
            <v>0</v>
          </cell>
          <cell r="D115">
            <v>0</v>
          </cell>
          <cell r="E115">
            <v>0</v>
          </cell>
          <cell r="F115">
            <v>0</v>
          </cell>
        </row>
        <row r="116">
          <cell r="A116" t="str">
            <v>300-30-030</v>
          </cell>
          <cell r="B116" t="str">
            <v>INTEREST ON COMMERCIAL PAPER</v>
          </cell>
          <cell r="C116">
            <v>0</v>
          </cell>
          <cell r="D116">
            <v>0</v>
          </cell>
          <cell r="E116">
            <v>0</v>
          </cell>
          <cell r="F116">
            <v>0</v>
          </cell>
        </row>
        <row r="117">
          <cell r="A117" t="str">
            <v>300-30-040</v>
          </cell>
          <cell r="B117" t="str">
            <v>PREMIUM ON BONDS</v>
          </cell>
          <cell r="C117">
            <v>-3936000</v>
          </cell>
          <cell r="D117">
            <v>0</v>
          </cell>
          <cell r="E117">
            <v>-3936000</v>
          </cell>
          <cell r="F117">
            <v>-3936000</v>
          </cell>
        </row>
        <row r="118">
          <cell r="A118" t="str">
            <v>300-30-050</v>
          </cell>
          <cell r="B118" t="str">
            <v>INTEREST ON FD</v>
          </cell>
          <cell r="C118">
            <v>0</v>
          </cell>
          <cell r="D118">
            <v>0</v>
          </cell>
          <cell r="E118">
            <v>0</v>
          </cell>
          <cell r="F118">
            <v>0</v>
          </cell>
        </row>
        <row r="119">
          <cell r="A119" t="str">
            <v>300-30-060</v>
          </cell>
          <cell r="B119" t="str">
            <v>INTEREST ON TB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</row>
        <row r="120">
          <cell r="A120" t="str">
            <v>300-30-062</v>
          </cell>
          <cell r="B120" t="str">
            <v>INTEREST ON BONDS UNDER LIEN</v>
          </cell>
          <cell r="C120">
            <v>-4811166</v>
          </cell>
          <cell r="D120">
            <v>-5237111</v>
          </cell>
          <cell r="E120">
            <v>-10048277</v>
          </cell>
          <cell r="F120">
            <v>-10048277</v>
          </cell>
        </row>
        <row r="121">
          <cell r="A121" t="str">
            <v>300-30-065</v>
          </cell>
          <cell r="B121" t="str">
            <v>FUND MANAGEMENT FEES</v>
          </cell>
          <cell r="C121">
            <v>6907877.7000000002</v>
          </cell>
          <cell r="D121">
            <v>38554.6</v>
          </cell>
          <cell r="E121">
            <v>6946432.2999999998</v>
          </cell>
          <cell r="F121">
            <v>6946432.2999999998</v>
          </cell>
        </row>
        <row r="122">
          <cell r="A122" t="str">
            <v>300-30-070</v>
          </cell>
          <cell r="B122" t="str">
            <v>FUND CUSTODIAL FEES</v>
          </cell>
          <cell r="C122">
            <v>139370.79999999999</v>
          </cell>
          <cell r="D122">
            <v>1074104.6000000001</v>
          </cell>
          <cell r="E122">
            <v>1213475.3999999999</v>
          </cell>
          <cell r="F122">
            <v>1213475.3999999999</v>
          </cell>
        </row>
        <row r="123">
          <cell r="A123" t="str">
            <v>300-30-075</v>
          </cell>
          <cell r="B123" t="str">
            <v>UNREALISED GAIN/LOSS BOND FUND</v>
          </cell>
          <cell r="C123">
            <v>242814.14</v>
          </cell>
          <cell r="D123">
            <v>0</v>
          </cell>
          <cell r="E123">
            <v>242814.14</v>
          </cell>
          <cell r="F123">
            <v>242814.14</v>
          </cell>
        </row>
        <row r="124">
          <cell r="A124" t="str">
            <v>300-30-076</v>
          </cell>
          <cell r="B124" t="str">
            <v>UNREALISED GAIN/LOSS MONEY MARKET FUND</v>
          </cell>
          <cell r="C124">
            <v>0</v>
          </cell>
          <cell r="D124">
            <v>0</v>
          </cell>
          <cell r="E124">
            <v>0</v>
          </cell>
          <cell r="F124">
            <v>0</v>
          </cell>
        </row>
        <row r="125">
          <cell r="A125" t="str">
            <v>300-30-080</v>
          </cell>
          <cell r="B125" t="str">
            <v>ADVERTISING(UNIT PRICE)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</row>
        <row r="126">
          <cell r="A126" t="str">
            <v>300-85-010</v>
          </cell>
          <cell r="B126" t="str">
            <v>REALIZED GAINS ON SHARES</v>
          </cell>
          <cell r="C126">
            <v>0</v>
          </cell>
          <cell r="D126">
            <v>0</v>
          </cell>
          <cell r="E126">
            <v>0</v>
          </cell>
          <cell r="F126">
            <v>0</v>
          </cell>
        </row>
        <row r="127">
          <cell r="A127" t="str">
            <v>300-85-015</v>
          </cell>
          <cell r="B127" t="str">
            <v>REALISED GAIN/LOSS ON SALE OF CP</v>
          </cell>
          <cell r="C127">
            <v>0</v>
          </cell>
          <cell r="D127">
            <v>0</v>
          </cell>
          <cell r="E127">
            <v>0</v>
          </cell>
          <cell r="F127">
            <v>0</v>
          </cell>
        </row>
        <row r="128">
          <cell r="A128" t="str">
            <v>300-86-010</v>
          </cell>
          <cell r="B128" t="str">
            <v>REALISED GAIN/LOSS BONDS&amp;TBILLS</v>
          </cell>
          <cell r="C128">
            <v>0</v>
          </cell>
          <cell r="D128">
            <v>0</v>
          </cell>
          <cell r="E128">
            <v>0</v>
          </cell>
          <cell r="F128">
            <v>0</v>
          </cell>
        </row>
        <row r="129">
          <cell r="A129" t="str">
            <v>300-95-010</v>
          </cell>
          <cell r="B129" t="str">
            <v>UNREALISED GAIN/LOSS ON EQUITIES</v>
          </cell>
          <cell r="C129">
            <v>0</v>
          </cell>
          <cell r="D129">
            <v>0</v>
          </cell>
          <cell r="E129">
            <v>0</v>
          </cell>
          <cell r="F129">
            <v>0</v>
          </cell>
        </row>
        <row r="130">
          <cell r="A130" t="str">
            <v>300-99-100</v>
          </cell>
          <cell r="B130" t="str">
            <v>INVESTMENT INCOME AS PER FUND MANAGERS</v>
          </cell>
          <cell r="C130">
            <v>0</v>
          </cell>
          <cell r="D130">
            <v>0</v>
          </cell>
          <cell r="E130">
            <v>0</v>
          </cell>
          <cell r="F130">
            <v>0</v>
          </cell>
        </row>
        <row r="131">
          <cell r="A131" t="str">
            <v>300-99-110</v>
          </cell>
          <cell r="B131" t="str">
            <v>INCOME ON BOND FUND</v>
          </cell>
          <cell r="C131">
            <v>-7847824</v>
          </cell>
          <cell r="D131">
            <v>-881758</v>
          </cell>
          <cell r="E131">
            <v>-8729582</v>
          </cell>
          <cell r="F131">
            <v>-8729582</v>
          </cell>
        </row>
        <row r="132">
          <cell r="A132" t="str">
            <v>300-99-120</v>
          </cell>
          <cell r="B132" t="str">
            <v>INCOME ON MONEY MARKET</v>
          </cell>
          <cell r="C132">
            <v>-16265319</v>
          </cell>
          <cell r="D132">
            <v>-2307935</v>
          </cell>
          <cell r="E132">
            <v>-18573254</v>
          </cell>
          <cell r="F132">
            <v>-18573254</v>
          </cell>
        </row>
        <row r="133">
          <cell r="A133" t="str">
            <v>300-99-130</v>
          </cell>
          <cell r="B133" t="str">
            <v>INCOME ON EQUITY FUND</v>
          </cell>
          <cell r="C133">
            <v>-4223862</v>
          </cell>
          <cell r="D133">
            <v>8196306</v>
          </cell>
          <cell r="E133">
            <v>3972444</v>
          </cell>
          <cell r="F133">
            <v>3972444</v>
          </cell>
        </row>
        <row r="134">
          <cell r="A134" t="str">
            <v>300-99-140</v>
          </cell>
          <cell r="B134" t="str">
            <v>INCOME ON SPECULATIVE FUND</v>
          </cell>
          <cell r="C134">
            <v>-3138648</v>
          </cell>
          <cell r="D134">
            <v>-296721</v>
          </cell>
          <cell r="E134">
            <v>-3435369</v>
          </cell>
          <cell r="F134">
            <v>-3435369</v>
          </cell>
        </row>
        <row r="135">
          <cell r="A135" t="str">
            <v>400-10-010</v>
          </cell>
          <cell r="B135" t="str">
            <v>BASIC SALARY</v>
          </cell>
          <cell r="C135">
            <v>6151838.7400000002</v>
          </cell>
          <cell r="D135">
            <v>898558</v>
          </cell>
          <cell r="E135">
            <v>7050396.7400000002</v>
          </cell>
          <cell r="F135">
            <v>7050396.7400000002</v>
          </cell>
        </row>
        <row r="136">
          <cell r="A136" t="str">
            <v>400-10-012</v>
          </cell>
          <cell r="B136" t="str">
            <v>PROVISION FOR MORT.RATE</v>
          </cell>
          <cell r="C136">
            <v>0</v>
          </cell>
          <cell r="D136">
            <v>0</v>
          </cell>
          <cell r="E136">
            <v>0</v>
          </cell>
          <cell r="F136">
            <v>0</v>
          </cell>
        </row>
        <row r="137">
          <cell r="A137" t="str">
            <v>400-10-020</v>
          </cell>
          <cell r="B137" t="str">
            <v>OTHER BENEFITS</v>
          </cell>
          <cell r="C137">
            <v>846627.54</v>
          </cell>
          <cell r="D137">
            <v>120569</v>
          </cell>
          <cell r="E137">
            <v>967196.54</v>
          </cell>
          <cell r="F137">
            <v>967196.54</v>
          </cell>
        </row>
        <row r="138">
          <cell r="A138" t="str">
            <v>400-10-030</v>
          </cell>
          <cell r="B138" t="str">
            <v>TELEPHONE ALLOWANCE</v>
          </cell>
          <cell r="C138">
            <v>20000</v>
          </cell>
          <cell r="D138">
            <v>2500</v>
          </cell>
          <cell r="E138">
            <v>22500</v>
          </cell>
          <cell r="F138">
            <v>22500</v>
          </cell>
        </row>
        <row r="139">
          <cell r="A139" t="str">
            <v>400-10-040</v>
          </cell>
          <cell r="B139" t="str">
            <v>SECURITY ALLOWANCE</v>
          </cell>
          <cell r="C139">
            <v>0</v>
          </cell>
          <cell r="D139">
            <v>0</v>
          </cell>
          <cell r="E139">
            <v>0</v>
          </cell>
          <cell r="F139">
            <v>0</v>
          </cell>
        </row>
        <row r="140">
          <cell r="A140" t="str">
            <v>400-10-050</v>
          </cell>
          <cell r="B140" t="str">
            <v>EDUCATION ALLOWANCE</v>
          </cell>
          <cell r="C140">
            <v>80000</v>
          </cell>
          <cell r="D140">
            <v>10000</v>
          </cell>
          <cell r="E140">
            <v>90000</v>
          </cell>
          <cell r="F140">
            <v>90000</v>
          </cell>
        </row>
        <row r="141">
          <cell r="A141" t="str">
            <v>400-10-060</v>
          </cell>
          <cell r="B141" t="str">
            <v>TRAVEL ALLOWANCE</v>
          </cell>
          <cell r="C141">
            <v>180000</v>
          </cell>
          <cell r="D141">
            <v>22500</v>
          </cell>
          <cell r="E141">
            <v>202500</v>
          </cell>
          <cell r="F141">
            <v>202500</v>
          </cell>
        </row>
        <row r="142">
          <cell r="A142" t="str">
            <v>400-10-065</v>
          </cell>
          <cell r="B142" t="str">
            <v>CLUB SUBSCRIPTION</v>
          </cell>
          <cell r="C142">
            <v>39960</v>
          </cell>
          <cell r="D142">
            <v>0</v>
          </cell>
          <cell r="E142">
            <v>39960</v>
          </cell>
          <cell r="F142">
            <v>39960</v>
          </cell>
        </row>
        <row r="143">
          <cell r="A143" t="str">
            <v>400-10-070</v>
          </cell>
          <cell r="B143" t="str">
            <v>PENSION</v>
          </cell>
          <cell r="C143">
            <v>750158.37</v>
          </cell>
          <cell r="D143">
            <v>100621</v>
          </cell>
          <cell r="E143">
            <v>850779.37</v>
          </cell>
          <cell r="F143">
            <v>850779.37</v>
          </cell>
        </row>
        <row r="144">
          <cell r="A144" t="str">
            <v>400-10-075</v>
          </cell>
          <cell r="B144" t="str">
            <v>LONG SERVICE AWARDS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</row>
        <row r="145">
          <cell r="A145" t="str">
            <v>400-10-080</v>
          </cell>
          <cell r="B145" t="str">
            <v>LAST EXPENSE</v>
          </cell>
          <cell r="C145">
            <v>4000</v>
          </cell>
          <cell r="D145">
            <v>0</v>
          </cell>
          <cell r="E145">
            <v>4000</v>
          </cell>
          <cell r="F145">
            <v>4000</v>
          </cell>
        </row>
        <row r="146">
          <cell r="A146" t="str">
            <v>400-10-085</v>
          </cell>
          <cell r="B146" t="str">
            <v>ACADEMIC ACHIEVEMENTS</v>
          </cell>
          <cell r="C146">
            <v>0</v>
          </cell>
          <cell r="D146">
            <v>0</v>
          </cell>
          <cell r="E146">
            <v>0</v>
          </cell>
          <cell r="F146">
            <v>0</v>
          </cell>
        </row>
        <row r="147">
          <cell r="A147" t="str">
            <v>400-10-090</v>
          </cell>
          <cell r="B147" t="str">
            <v>GROUP LIFE ASSURANCE</v>
          </cell>
          <cell r="C147">
            <v>88966.64</v>
          </cell>
          <cell r="D147">
            <v>11120.83</v>
          </cell>
          <cell r="E147">
            <v>100087.47</v>
          </cell>
          <cell r="F147">
            <v>100087.47</v>
          </cell>
        </row>
        <row r="148">
          <cell r="A148" t="str">
            <v>400-10-100</v>
          </cell>
          <cell r="B148" t="str">
            <v>STAFF MEDICAL</v>
          </cell>
          <cell r="C148">
            <v>0</v>
          </cell>
          <cell r="D148">
            <v>0</v>
          </cell>
          <cell r="E148">
            <v>0</v>
          </cell>
          <cell r="F148">
            <v>0</v>
          </cell>
        </row>
        <row r="149">
          <cell r="A149" t="str">
            <v>400-10-110</v>
          </cell>
          <cell r="B149" t="str">
            <v>CASH IN LIUE OF LEAVE</v>
          </cell>
          <cell r="C149">
            <v>322762.48</v>
          </cell>
          <cell r="D149">
            <v>0</v>
          </cell>
          <cell r="E149">
            <v>322762.48</v>
          </cell>
          <cell r="F149">
            <v>322762.48</v>
          </cell>
        </row>
        <row r="150">
          <cell r="A150" t="str">
            <v>400-10-120</v>
          </cell>
          <cell r="B150" t="str">
            <v>GRATUITY</v>
          </cell>
          <cell r="C150">
            <v>0</v>
          </cell>
          <cell r="D150">
            <v>0</v>
          </cell>
          <cell r="E150">
            <v>0</v>
          </cell>
          <cell r="F150">
            <v>0</v>
          </cell>
        </row>
        <row r="151">
          <cell r="A151" t="str">
            <v>400-10-130</v>
          </cell>
          <cell r="B151" t="str">
            <v>STAFF RECRUTMENT &amp; REMOVAL</v>
          </cell>
          <cell r="C151">
            <v>0</v>
          </cell>
          <cell r="D151">
            <v>0</v>
          </cell>
          <cell r="E151">
            <v>0</v>
          </cell>
          <cell r="F151">
            <v>0</v>
          </cell>
        </row>
        <row r="152">
          <cell r="A152" t="str">
            <v>400-10-140</v>
          </cell>
          <cell r="B152" t="str">
            <v>TERMINAL DUES</v>
          </cell>
          <cell r="C152">
            <v>0</v>
          </cell>
          <cell r="D152">
            <v>0</v>
          </cell>
          <cell r="E152">
            <v>0</v>
          </cell>
          <cell r="F152">
            <v>0</v>
          </cell>
        </row>
        <row r="153">
          <cell r="A153" t="str">
            <v>400-20-010</v>
          </cell>
          <cell r="B153" t="str">
            <v>N.S.S.F</v>
          </cell>
          <cell r="C153">
            <v>13200</v>
          </cell>
          <cell r="D153">
            <v>1800</v>
          </cell>
          <cell r="E153">
            <v>15000</v>
          </cell>
          <cell r="F153">
            <v>15000</v>
          </cell>
        </row>
        <row r="154">
          <cell r="A154" t="str">
            <v>400-20-020</v>
          </cell>
          <cell r="B154" t="str">
            <v>N.H.I.F.</v>
          </cell>
          <cell r="C154">
            <v>12300</v>
          </cell>
          <cell r="D154">
            <v>0</v>
          </cell>
          <cell r="E154">
            <v>12300</v>
          </cell>
          <cell r="F154">
            <v>12300</v>
          </cell>
        </row>
        <row r="155">
          <cell r="A155" t="str">
            <v>400-30-010</v>
          </cell>
          <cell r="B155" t="str">
            <v>DEPRECIATION-FURNITURE</v>
          </cell>
          <cell r="C155">
            <v>27826.77</v>
          </cell>
          <cell r="D155">
            <v>4183.6400000000003</v>
          </cell>
          <cell r="E155">
            <v>32010.41</v>
          </cell>
          <cell r="F155">
            <v>32010.41</v>
          </cell>
        </row>
        <row r="156">
          <cell r="A156" t="str">
            <v>400-30-020</v>
          </cell>
          <cell r="B156" t="str">
            <v>DEPRECIATION COMPUTER</v>
          </cell>
          <cell r="C156">
            <v>80835.31</v>
          </cell>
          <cell r="D156">
            <v>10213.379999999999</v>
          </cell>
          <cell r="E156">
            <v>91048.69</v>
          </cell>
          <cell r="F156">
            <v>91048.69</v>
          </cell>
        </row>
        <row r="157">
          <cell r="A157" t="str">
            <v>400-30-030</v>
          </cell>
          <cell r="B157" t="str">
            <v>DEPRECIATION MOTOR VEHICLE</v>
          </cell>
          <cell r="C157">
            <v>0</v>
          </cell>
          <cell r="D157">
            <v>0</v>
          </cell>
          <cell r="E157">
            <v>0</v>
          </cell>
          <cell r="F157">
            <v>0</v>
          </cell>
        </row>
        <row r="158">
          <cell r="A158" t="str">
            <v>400-30-035</v>
          </cell>
          <cell r="B158" t="str">
            <v>AMORTISATION CHARGE-INTANGIBLE ASSET</v>
          </cell>
          <cell r="C158">
            <v>0</v>
          </cell>
          <cell r="D158">
            <v>0</v>
          </cell>
          <cell r="E158">
            <v>0</v>
          </cell>
          <cell r="F158">
            <v>0</v>
          </cell>
        </row>
        <row r="159">
          <cell r="A159" t="str">
            <v>400-30-040</v>
          </cell>
          <cell r="B159" t="str">
            <v>OFFICE RENT</v>
          </cell>
          <cell r="C159">
            <v>618758.57999999996</v>
          </cell>
          <cell r="D159">
            <v>73485.91</v>
          </cell>
          <cell r="E159">
            <v>692244.49</v>
          </cell>
          <cell r="F159">
            <v>692244.49</v>
          </cell>
        </row>
        <row r="160">
          <cell r="A160" t="str">
            <v>400-30-050</v>
          </cell>
          <cell r="B160" t="str">
            <v>OFFICE CATERING</v>
          </cell>
          <cell r="C160">
            <v>135720</v>
          </cell>
          <cell r="D160">
            <v>-135720</v>
          </cell>
          <cell r="E160">
            <v>0</v>
          </cell>
          <cell r="F160">
            <v>0</v>
          </cell>
        </row>
        <row r="161">
          <cell r="A161" t="str">
            <v>400-30-060</v>
          </cell>
          <cell r="B161" t="str">
            <v>OFFICE WATER</v>
          </cell>
          <cell r="C161">
            <v>0</v>
          </cell>
          <cell r="D161">
            <v>0</v>
          </cell>
          <cell r="E161">
            <v>0</v>
          </cell>
          <cell r="F161">
            <v>0</v>
          </cell>
        </row>
        <row r="162">
          <cell r="A162" t="str">
            <v>400-30-070</v>
          </cell>
          <cell r="B162" t="str">
            <v>OFFICE ELECTRICITY</v>
          </cell>
          <cell r="C162">
            <v>0</v>
          </cell>
          <cell r="D162">
            <v>0</v>
          </cell>
          <cell r="E162">
            <v>0</v>
          </cell>
          <cell r="F162">
            <v>0</v>
          </cell>
        </row>
        <row r="163">
          <cell r="A163" t="str">
            <v>400-30-080</v>
          </cell>
          <cell r="B163" t="str">
            <v>OFFICE SECURITY</v>
          </cell>
          <cell r="C163">
            <v>0</v>
          </cell>
          <cell r="D163">
            <v>0</v>
          </cell>
          <cell r="E163">
            <v>0</v>
          </cell>
          <cell r="F163">
            <v>0</v>
          </cell>
        </row>
        <row r="164">
          <cell r="A164" t="str">
            <v>400-40-005</v>
          </cell>
          <cell r="B164" t="str">
            <v>BANK CHARGES</v>
          </cell>
          <cell r="C164">
            <v>-173142.59</v>
          </cell>
          <cell r="D164">
            <v>0</v>
          </cell>
          <cell r="E164">
            <v>-173142.59</v>
          </cell>
          <cell r="F164">
            <v>-173142.59</v>
          </cell>
        </row>
        <row r="165">
          <cell r="A165" t="str">
            <v>400-40-006</v>
          </cell>
          <cell r="B165" t="str">
            <v>DONATIONS</v>
          </cell>
          <cell r="C165">
            <v>10000</v>
          </cell>
          <cell r="D165">
            <v>0</v>
          </cell>
          <cell r="E165">
            <v>10000</v>
          </cell>
          <cell r="F165">
            <v>10000</v>
          </cell>
        </row>
        <row r="166">
          <cell r="A166" t="str">
            <v>400-40-007</v>
          </cell>
          <cell r="B166" t="str">
            <v>NEWSPAPERS &amp; JOURNALS</v>
          </cell>
          <cell r="C166">
            <v>18120</v>
          </cell>
          <cell r="D166">
            <v>2265</v>
          </cell>
          <cell r="E166">
            <v>20385</v>
          </cell>
          <cell r="F166">
            <v>20385</v>
          </cell>
        </row>
        <row r="167">
          <cell r="A167" t="str">
            <v>400-40-008</v>
          </cell>
          <cell r="B167" t="str">
            <v>ENTERTAINMENT</v>
          </cell>
          <cell r="C167">
            <v>269999.95</v>
          </cell>
          <cell r="D167">
            <v>15000</v>
          </cell>
          <cell r="E167">
            <v>284999.95</v>
          </cell>
          <cell r="F167">
            <v>284999.95</v>
          </cell>
        </row>
        <row r="168">
          <cell r="A168" t="str">
            <v>400-40-009</v>
          </cell>
          <cell r="B168" t="str">
            <v>COURIER &amp; FREIGHT CHARGES</v>
          </cell>
          <cell r="C168">
            <v>2829</v>
          </cell>
          <cell r="D168">
            <v>2829</v>
          </cell>
          <cell r="E168">
            <v>5658</v>
          </cell>
          <cell r="F168">
            <v>5658</v>
          </cell>
        </row>
        <row r="169">
          <cell r="A169" t="str">
            <v>400-40-010</v>
          </cell>
          <cell r="B169" t="str">
            <v>ALA GROUP CHARGES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</row>
        <row r="170">
          <cell r="A170" t="str">
            <v>400-40-011</v>
          </cell>
          <cell r="B170" t="str">
            <v>ADVERTISING &amp; PUBLICITY</v>
          </cell>
          <cell r="C170">
            <v>160000</v>
          </cell>
          <cell r="D170">
            <v>312500</v>
          </cell>
          <cell r="E170">
            <v>472500</v>
          </cell>
          <cell r="F170">
            <v>472500</v>
          </cell>
        </row>
        <row r="171">
          <cell r="A171" t="str">
            <v>400-40-012</v>
          </cell>
          <cell r="B171" t="str">
            <v>TRADE LICENCES</v>
          </cell>
          <cell r="C171">
            <v>0</v>
          </cell>
          <cell r="D171">
            <v>0</v>
          </cell>
          <cell r="E171">
            <v>0</v>
          </cell>
          <cell r="F171">
            <v>0</v>
          </cell>
        </row>
        <row r="172">
          <cell r="A172" t="str">
            <v>400-40-013</v>
          </cell>
          <cell r="B172" t="str">
            <v>INSURANCES</v>
          </cell>
          <cell r="C172">
            <v>0</v>
          </cell>
          <cell r="D172">
            <v>0</v>
          </cell>
          <cell r="E172">
            <v>0</v>
          </cell>
          <cell r="F172">
            <v>0</v>
          </cell>
        </row>
        <row r="173">
          <cell r="A173" t="str">
            <v>400-40-014</v>
          </cell>
          <cell r="B173" t="str">
            <v>PHOTOCOPY</v>
          </cell>
          <cell r="C173">
            <v>0</v>
          </cell>
          <cell r="D173">
            <v>0</v>
          </cell>
          <cell r="E173">
            <v>0</v>
          </cell>
          <cell r="F173">
            <v>0</v>
          </cell>
        </row>
        <row r="174">
          <cell r="A174" t="str">
            <v>400-40-015</v>
          </cell>
          <cell r="B174" t="str">
            <v>COMPUTER MAINTENANCE</v>
          </cell>
          <cell r="C174">
            <v>0</v>
          </cell>
          <cell r="D174">
            <v>0</v>
          </cell>
          <cell r="E174">
            <v>0</v>
          </cell>
          <cell r="F174">
            <v>0</v>
          </cell>
        </row>
        <row r="175">
          <cell r="A175" t="str">
            <v>400-40-016</v>
          </cell>
          <cell r="B175" t="str">
            <v>EQUIPMENT MAINTENANCE</v>
          </cell>
          <cell r="C175">
            <v>27042</v>
          </cell>
          <cell r="D175">
            <v>0</v>
          </cell>
          <cell r="E175">
            <v>27042</v>
          </cell>
          <cell r="F175">
            <v>27042</v>
          </cell>
        </row>
        <row r="176">
          <cell r="A176" t="str">
            <v>400-40-017</v>
          </cell>
          <cell r="B176" t="str">
            <v>SEMINARS &amp; SHORT TERM COURSES</v>
          </cell>
          <cell r="C176">
            <v>406833</v>
          </cell>
          <cell r="D176">
            <v>41667</v>
          </cell>
          <cell r="E176">
            <v>448500</v>
          </cell>
          <cell r="F176">
            <v>448500</v>
          </cell>
        </row>
        <row r="177">
          <cell r="A177" t="str">
            <v>400-40-018</v>
          </cell>
          <cell r="B177" t="str">
            <v>SALES PROMOTION</v>
          </cell>
          <cell r="C177">
            <v>94000</v>
          </cell>
          <cell r="D177">
            <v>0</v>
          </cell>
          <cell r="E177">
            <v>94000</v>
          </cell>
          <cell r="F177">
            <v>94000</v>
          </cell>
        </row>
        <row r="178">
          <cell r="A178" t="str">
            <v>400-40-019</v>
          </cell>
          <cell r="B178" t="str">
            <v>COMPUTER CONSUMABLES</v>
          </cell>
          <cell r="C178">
            <v>0</v>
          </cell>
          <cell r="D178">
            <v>0</v>
          </cell>
          <cell r="E178">
            <v>0</v>
          </cell>
          <cell r="F178">
            <v>0</v>
          </cell>
        </row>
        <row r="179">
          <cell r="A179" t="str">
            <v>400-40-020</v>
          </cell>
          <cell r="B179" t="str">
            <v>ACTURIAL FEES</v>
          </cell>
          <cell r="C179">
            <v>0</v>
          </cell>
          <cell r="D179">
            <v>0</v>
          </cell>
          <cell r="E179">
            <v>0</v>
          </cell>
          <cell r="F179">
            <v>0</v>
          </cell>
        </row>
        <row r="180">
          <cell r="A180" t="str">
            <v>400-40-021</v>
          </cell>
          <cell r="B180" t="str">
            <v>PRINTING &amp; STATIONERY</v>
          </cell>
          <cell r="C180">
            <v>485395</v>
          </cell>
          <cell r="D180">
            <v>34070</v>
          </cell>
          <cell r="E180">
            <v>519465</v>
          </cell>
          <cell r="F180">
            <v>519465</v>
          </cell>
        </row>
        <row r="181">
          <cell r="A181" t="str">
            <v>400-40-022</v>
          </cell>
          <cell r="B181" t="str">
            <v>STRATEGIC PLANNING</v>
          </cell>
          <cell r="C181">
            <v>0</v>
          </cell>
          <cell r="D181">
            <v>0</v>
          </cell>
          <cell r="E181">
            <v>0</v>
          </cell>
          <cell r="F181">
            <v>0</v>
          </cell>
        </row>
        <row r="182">
          <cell r="A182" t="str">
            <v>400-40-023</v>
          </cell>
          <cell r="B182" t="str">
            <v>PROFESSIONAL SUBSCRIPTION</v>
          </cell>
          <cell r="C182">
            <v>93760</v>
          </cell>
          <cell r="D182">
            <v>0</v>
          </cell>
          <cell r="E182">
            <v>93760</v>
          </cell>
          <cell r="F182">
            <v>93760</v>
          </cell>
        </row>
        <row r="183">
          <cell r="A183" t="str">
            <v>400-40-024</v>
          </cell>
          <cell r="B183" t="str">
            <v>SUBSCRIPTION-COMPANY</v>
          </cell>
          <cell r="C183">
            <v>0</v>
          </cell>
          <cell r="D183">
            <v>0</v>
          </cell>
          <cell r="E183">
            <v>0</v>
          </cell>
          <cell r="F183">
            <v>0</v>
          </cell>
        </row>
        <row r="184">
          <cell r="A184" t="str">
            <v>400-40-025</v>
          </cell>
          <cell r="B184" t="str">
            <v>TRAVEL &amp; ACCOMODATION</v>
          </cell>
          <cell r="C184">
            <v>390879</v>
          </cell>
          <cell r="D184">
            <v>0</v>
          </cell>
          <cell r="E184">
            <v>390879</v>
          </cell>
          <cell r="F184">
            <v>390879</v>
          </cell>
        </row>
        <row r="185">
          <cell r="A185" t="str">
            <v>400-40-026</v>
          </cell>
          <cell r="B185" t="str">
            <v>MOTOR VEHICLE EXPENSES</v>
          </cell>
          <cell r="C185">
            <v>4710.71</v>
          </cell>
          <cell r="D185">
            <v>2160.56</v>
          </cell>
          <cell r="E185">
            <v>6871.27</v>
          </cell>
          <cell r="F185">
            <v>6871.27</v>
          </cell>
        </row>
        <row r="186">
          <cell r="A186" t="str">
            <v>400-40-027</v>
          </cell>
          <cell r="B186" t="str">
            <v>POSTAGE</v>
          </cell>
          <cell r="C186">
            <v>5400</v>
          </cell>
          <cell r="D186">
            <v>675</v>
          </cell>
          <cell r="E186">
            <v>6075</v>
          </cell>
          <cell r="F186">
            <v>6075</v>
          </cell>
        </row>
        <row r="187">
          <cell r="A187" t="str">
            <v>400-40-028</v>
          </cell>
          <cell r="B187" t="str">
            <v>TELEPHONE &amp; FAX</v>
          </cell>
          <cell r="C187">
            <v>225207.11</v>
          </cell>
          <cell r="D187">
            <v>47119.92</v>
          </cell>
          <cell r="E187">
            <v>272327.03000000003</v>
          </cell>
          <cell r="F187">
            <v>272327.03000000003</v>
          </cell>
        </row>
        <row r="188">
          <cell r="A188" t="str">
            <v>400-40-029</v>
          </cell>
          <cell r="B188" t="str">
            <v>PROFESSIONAL TRAINING</v>
          </cell>
          <cell r="C188">
            <v>309840.42</v>
          </cell>
          <cell r="D188">
            <v>0</v>
          </cell>
          <cell r="E188">
            <v>309840.42</v>
          </cell>
          <cell r="F188">
            <v>309840.42</v>
          </cell>
        </row>
        <row r="189">
          <cell r="A189" t="str">
            <v>400-40-030</v>
          </cell>
          <cell r="B189" t="str">
            <v>AUDIT FEES</v>
          </cell>
          <cell r="C189">
            <v>0</v>
          </cell>
          <cell r="D189">
            <v>0</v>
          </cell>
          <cell r="E189">
            <v>0</v>
          </cell>
          <cell r="F189">
            <v>0</v>
          </cell>
        </row>
        <row r="190">
          <cell r="A190" t="str">
            <v>400-40-031</v>
          </cell>
          <cell r="B190" t="str">
            <v>STAFF SOCIAL CLUB</v>
          </cell>
          <cell r="C190">
            <v>0</v>
          </cell>
          <cell r="D190">
            <v>0</v>
          </cell>
          <cell r="E190">
            <v>0</v>
          </cell>
          <cell r="F190">
            <v>0</v>
          </cell>
        </row>
        <row r="191">
          <cell r="A191" t="str">
            <v>400-40-032</v>
          </cell>
          <cell r="B191" t="str">
            <v>LEASED LINES-INTERNET SERVICES</v>
          </cell>
          <cell r="C191">
            <v>0</v>
          </cell>
          <cell r="D191">
            <v>0</v>
          </cell>
          <cell r="E191">
            <v>0</v>
          </cell>
          <cell r="F191">
            <v>0</v>
          </cell>
        </row>
        <row r="192">
          <cell r="A192" t="str">
            <v>400-40-033</v>
          </cell>
          <cell r="B192" t="str">
            <v>SOFTWARE LICENCES</v>
          </cell>
          <cell r="C192">
            <v>0</v>
          </cell>
          <cell r="D192">
            <v>0</v>
          </cell>
          <cell r="E192">
            <v>0</v>
          </cell>
          <cell r="F192">
            <v>0</v>
          </cell>
        </row>
        <row r="193">
          <cell r="A193" t="str">
            <v>400-40-034</v>
          </cell>
          <cell r="B193" t="str">
            <v>DEPRECIATION OF BUILDING</v>
          </cell>
          <cell r="C193">
            <v>0</v>
          </cell>
          <cell r="D193">
            <v>0</v>
          </cell>
          <cell r="E193">
            <v>0</v>
          </cell>
          <cell r="F193">
            <v>0</v>
          </cell>
        </row>
        <row r="194">
          <cell r="A194" t="str">
            <v>400-40-035</v>
          </cell>
          <cell r="B194" t="str">
            <v>EDUCATION EXPENSES</v>
          </cell>
          <cell r="C194">
            <v>0</v>
          </cell>
          <cell r="D194">
            <v>0</v>
          </cell>
          <cell r="E194">
            <v>0</v>
          </cell>
          <cell r="F194">
            <v>0</v>
          </cell>
        </row>
        <row r="195">
          <cell r="A195" t="str">
            <v>400-40-036</v>
          </cell>
          <cell r="B195" t="str">
            <v>TRAVEL AND ACCOMODATION - ALA</v>
          </cell>
          <cell r="C195">
            <v>114890</v>
          </cell>
          <cell r="D195">
            <v>0</v>
          </cell>
          <cell r="E195">
            <v>114890</v>
          </cell>
          <cell r="F195">
            <v>114890</v>
          </cell>
        </row>
        <row r="196">
          <cell r="A196" t="str">
            <v>400-40-040</v>
          </cell>
          <cell r="B196" t="str">
            <v>LEGAL FEES</v>
          </cell>
          <cell r="C196">
            <v>0</v>
          </cell>
          <cell r="D196">
            <v>0</v>
          </cell>
          <cell r="E196">
            <v>0</v>
          </cell>
          <cell r="F196">
            <v>0</v>
          </cell>
        </row>
        <row r="197">
          <cell r="A197" t="str">
            <v>400-40-050</v>
          </cell>
          <cell r="B197" t="str">
            <v>TAX CONSULTATION FEES</v>
          </cell>
          <cell r="C197">
            <v>0</v>
          </cell>
          <cell r="D197">
            <v>0</v>
          </cell>
          <cell r="E197">
            <v>0</v>
          </cell>
          <cell r="F197">
            <v>0</v>
          </cell>
        </row>
        <row r="198">
          <cell r="A198" t="str">
            <v>400-40-060</v>
          </cell>
          <cell r="B198" t="str">
            <v>INTRA-COMPANY -INDIVIDUAL</v>
          </cell>
          <cell r="C198">
            <v>0</v>
          </cell>
          <cell r="D198">
            <v>0</v>
          </cell>
          <cell r="E198">
            <v>0</v>
          </cell>
          <cell r="F198">
            <v>0</v>
          </cell>
        </row>
        <row r="199">
          <cell r="A199" t="str">
            <v>400-40-065</v>
          </cell>
          <cell r="B199" t="str">
            <v>RECHARGE FROM IT</v>
          </cell>
          <cell r="C199">
            <v>0</v>
          </cell>
          <cell r="D199">
            <v>0</v>
          </cell>
          <cell r="E199">
            <v>0</v>
          </cell>
          <cell r="F199">
            <v>0</v>
          </cell>
        </row>
        <row r="200">
          <cell r="A200" t="str">
            <v>400-40-070</v>
          </cell>
          <cell r="B200" t="str">
            <v>RECHARGE TO CORPORATE BUSINESS</v>
          </cell>
          <cell r="C200">
            <v>19244412.289999999</v>
          </cell>
          <cell r="D200">
            <v>2455864.73</v>
          </cell>
          <cell r="E200">
            <v>21700277.02</v>
          </cell>
          <cell r="F200">
            <v>21700277.02</v>
          </cell>
        </row>
        <row r="201">
          <cell r="A201" t="str">
            <v>400-40-075</v>
          </cell>
          <cell r="B201" t="str">
            <v>RECHARGE FROM HR</v>
          </cell>
          <cell r="C201">
            <v>0</v>
          </cell>
          <cell r="D201">
            <v>0</v>
          </cell>
          <cell r="E201">
            <v>0</v>
          </cell>
          <cell r="F201">
            <v>0</v>
          </cell>
        </row>
        <row r="202">
          <cell r="A202" t="str">
            <v>400-40-080</v>
          </cell>
          <cell r="B202" t="str">
            <v>EXECUTIVE RECHARGE TO HR &amp; CORPORATE</v>
          </cell>
          <cell r="C202">
            <v>0.25</v>
          </cell>
          <cell r="D202">
            <v>0</v>
          </cell>
          <cell r="E202">
            <v>0.25</v>
          </cell>
          <cell r="F202">
            <v>0.25</v>
          </cell>
        </row>
        <row r="203">
          <cell r="A203" t="str">
            <v>400-40-090</v>
          </cell>
          <cell r="B203" t="str">
            <v>RECHARGE FOR HOLDINGS</v>
          </cell>
          <cell r="C203">
            <v>0</v>
          </cell>
          <cell r="D203">
            <v>0</v>
          </cell>
          <cell r="E203">
            <v>0</v>
          </cell>
          <cell r="F203">
            <v>0</v>
          </cell>
        </row>
        <row r="204">
          <cell r="A204" t="str">
            <v>400-40-095</v>
          </cell>
          <cell r="B204" t="str">
            <v>RECHARGE TO SIM</v>
          </cell>
          <cell r="C204">
            <v>0</v>
          </cell>
          <cell r="D204">
            <v>0</v>
          </cell>
          <cell r="E204">
            <v>0</v>
          </cell>
          <cell r="F204">
            <v>0</v>
          </cell>
        </row>
        <row r="205">
          <cell r="A205" t="str">
            <v>400-40-100</v>
          </cell>
          <cell r="B205" t="str">
            <v>PROFESSIONAL FEES</v>
          </cell>
          <cell r="C205">
            <v>0</v>
          </cell>
          <cell r="D205">
            <v>0</v>
          </cell>
          <cell r="E205">
            <v>0</v>
          </cell>
          <cell r="F205">
            <v>0</v>
          </cell>
        </row>
        <row r="206">
          <cell r="A206" t="str">
            <v>400-40-110</v>
          </cell>
          <cell r="B206" t="str">
            <v>RECHARGE TO PA SECURITIES</v>
          </cell>
          <cell r="C206">
            <v>0</v>
          </cell>
          <cell r="D206">
            <v>0</v>
          </cell>
          <cell r="E206">
            <v>0</v>
          </cell>
          <cell r="F206">
            <v>0</v>
          </cell>
        </row>
        <row r="207">
          <cell r="A207" t="str">
            <v>400-40-115</v>
          </cell>
          <cell r="B207" t="str">
            <v>RECHARGE FROM LIFE OPS</v>
          </cell>
          <cell r="C207">
            <v>0</v>
          </cell>
          <cell r="D207">
            <v>0</v>
          </cell>
          <cell r="E207">
            <v>0</v>
          </cell>
          <cell r="F207">
            <v>0</v>
          </cell>
        </row>
        <row r="208">
          <cell r="A208" t="str">
            <v>400-40-120</v>
          </cell>
          <cell r="B208" t="str">
            <v>OUTSOURCING OF STAFF PAYROLL</v>
          </cell>
          <cell r="C208">
            <v>0</v>
          </cell>
          <cell r="D208">
            <v>0</v>
          </cell>
          <cell r="E208">
            <v>0</v>
          </cell>
          <cell r="F208">
            <v>0</v>
          </cell>
        </row>
        <row r="209">
          <cell r="A209" t="str">
            <v>400-40-125</v>
          </cell>
          <cell r="B209" t="str">
            <v>RECHARGE TO ALA</v>
          </cell>
          <cell r="C209">
            <v>0</v>
          </cell>
          <cell r="D209">
            <v>0</v>
          </cell>
          <cell r="E209">
            <v>0</v>
          </cell>
          <cell r="F209">
            <v>0</v>
          </cell>
        </row>
        <row r="210">
          <cell r="A210" t="str">
            <v>400-40-130</v>
          </cell>
          <cell r="B210" t="str">
            <v>PRODUCT DEVELOPMENT COST</v>
          </cell>
          <cell r="C210">
            <v>0</v>
          </cell>
          <cell r="D210">
            <v>0</v>
          </cell>
          <cell r="E210">
            <v>0</v>
          </cell>
          <cell r="F210">
            <v>0</v>
          </cell>
        </row>
        <row r="211">
          <cell r="A211" t="str">
            <v>400-40-135</v>
          </cell>
          <cell r="B211" t="str">
            <v>DIRECTORS FEES</v>
          </cell>
          <cell r="C211">
            <v>0</v>
          </cell>
          <cell r="D211">
            <v>0</v>
          </cell>
          <cell r="E211">
            <v>0</v>
          </cell>
          <cell r="F211">
            <v>0</v>
          </cell>
        </row>
        <row r="212">
          <cell r="A212" t="str">
            <v>400-40-140</v>
          </cell>
          <cell r="B212" t="str">
            <v>PRIOR YEAR ITEM</v>
          </cell>
          <cell r="C212">
            <v>0</v>
          </cell>
          <cell r="D212">
            <v>0</v>
          </cell>
          <cell r="E212">
            <v>0</v>
          </cell>
          <cell r="F212">
            <v>0</v>
          </cell>
        </row>
        <row r="213">
          <cell r="A213" t="str">
            <v>400-40-145</v>
          </cell>
          <cell r="B213" t="str">
            <v>REDUNDANCY LINK TO ISP</v>
          </cell>
          <cell r="C213">
            <v>0</v>
          </cell>
          <cell r="D213">
            <v>0</v>
          </cell>
          <cell r="E213">
            <v>0</v>
          </cell>
          <cell r="F213">
            <v>0</v>
          </cell>
        </row>
        <row r="214">
          <cell r="A214" t="str">
            <v>400-40-150</v>
          </cell>
          <cell r="B214" t="str">
            <v>BACKUP FOR DOC'MGT SERVER</v>
          </cell>
          <cell r="C214">
            <v>0</v>
          </cell>
          <cell r="D214">
            <v>0</v>
          </cell>
          <cell r="E214">
            <v>0</v>
          </cell>
          <cell r="F214">
            <v>0</v>
          </cell>
        </row>
        <row r="215">
          <cell r="A215" t="str">
            <v>400-40-155</v>
          </cell>
          <cell r="B215" t="str">
            <v>SAVINGS (IST STAFF)</v>
          </cell>
          <cell r="C215">
            <v>0</v>
          </cell>
          <cell r="D215">
            <v>0</v>
          </cell>
          <cell r="E215">
            <v>0</v>
          </cell>
          <cell r="F215">
            <v>0</v>
          </cell>
        </row>
        <row r="216">
          <cell r="A216" t="str">
            <v>400-40-165</v>
          </cell>
          <cell r="B216" t="str">
            <v>GROUP LIFE FEE PER CONTRACT</v>
          </cell>
          <cell r="C216">
            <v>0</v>
          </cell>
          <cell r="D216">
            <v>0</v>
          </cell>
          <cell r="E216">
            <v>0</v>
          </cell>
          <cell r="F216">
            <v>0</v>
          </cell>
        </row>
        <row r="217">
          <cell r="A217" t="str">
            <v>400-40-170</v>
          </cell>
          <cell r="B217" t="str">
            <v>GROUP CREDIT LIFE FEE PER CONTRACT</v>
          </cell>
          <cell r="C217">
            <v>0</v>
          </cell>
          <cell r="D217">
            <v>0</v>
          </cell>
          <cell r="E217">
            <v>0</v>
          </cell>
          <cell r="F217">
            <v>0</v>
          </cell>
        </row>
        <row r="218">
          <cell r="A218" t="str">
            <v>400-40-175</v>
          </cell>
          <cell r="B218" t="str">
            <v>ORACLE LICENCE</v>
          </cell>
          <cell r="C218">
            <v>0</v>
          </cell>
          <cell r="D218">
            <v>0</v>
          </cell>
          <cell r="E218">
            <v>0</v>
          </cell>
          <cell r="F218">
            <v>0</v>
          </cell>
        </row>
        <row r="219">
          <cell r="A219" t="str">
            <v>400-40-180</v>
          </cell>
          <cell r="B219" t="str">
            <v>IST PROJECT COSTS</v>
          </cell>
          <cell r="C219">
            <v>0</v>
          </cell>
          <cell r="D219">
            <v>0</v>
          </cell>
          <cell r="E219">
            <v>0</v>
          </cell>
          <cell r="F219">
            <v>0</v>
          </cell>
        </row>
        <row r="220">
          <cell r="A220" t="str">
            <v>400-40-195</v>
          </cell>
          <cell r="B220" t="str">
            <v>POLICY DOCUMENT PRINTING</v>
          </cell>
          <cell r="C220">
            <v>0</v>
          </cell>
          <cell r="D220">
            <v>0</v>
          </cell>
          <cell r="E220">
            <v>0</v>
          </cell>
          <cell r="F220">
            <v>0</v>
          </cell>
        </row>
        <row r="221">
          <cell r="A221" t="str">
            <v>400-43-010</v>
          </cell>
          <cell r="B221" t="str">
            <v>PRIOR ITEMS</v>
          </cell>
          <cell r="C221">
            <v>0</v>
          </cell>
          <cell r="D221">
            <v>0</v>
          </cell>
          <cell r="E221">
            <v>0</v>
          </cell>
          <cell r="F221">
            <v>0</v>
          </cell>
        </row>
        <row r="222">
          <cell r="A222" t="str">
            <v>400-45-010</v>
          </cell>
          <cell r="B222" t="str">
            <v>STAMP DUTY EXPENSES</v>
          </cell>
          <cell r="C222">
            <v>0</v>
          </cell>
          <cell r="D222">
            <v>0</v>
          </cell>
          <cell r="E222">
            <v>0</v>
          </cell>
          <cell r="F222">
            <v>0</v>
          </cell>
        </row>
        <row r="223">
          <cell r="A223" t="str">
            <v>400-45-020</v>
          </cell>
          <cell r="B223" t="str">
            <v>PREMIUM TAX EXPENSE</v>
          </cell>
          <cell r="C223">
            <v>0</v>
          </cell>
          <cell r="D223">
            <v>0</v>
          </cell>
          <cell r="E223">
            <v>0</v>
          </cell>
          <cell r="F223">
            <v>0</v>
          </cell>
        </row>
        <row r="224">
          <cell r="A224" t="str">
            <v>400-45-025</v>
          </cell>
          <cell r="B224" t="str">
            <v>POLICY HOLDER COLLECTION LEVY</v>
          </cell>
          <cell r="C224">
            <v>0</v>
          </cell>
          <cell r="D224">
            <v>0</v>
          </cell>
          <cell r="E224">
            <v>0</v>
          </cell>
          <cell r="F224">
            <v>0</v>
          </cell>
        </row>
        <row r="225">
          <cell r="A225" t="str">
            <v>500-10-010</v>
          </cell>
          <cell r="B225" t="str">
            <v>NEW COMMISSION</v>
          </cell>
          <cell r="C225">
            <v>0</v>
          </cell>
          <cell r="D225">
            <v>0</v>
          </cell>
          <cell r="E225">
            <v>0</v>
          </cell>
          <cell r="F225">
            <v>0</v>
          </cell>
        </row>
        <row r="226">
          <cell r="A226" t="str">
            <v>500-20-010</v>
          </cell>
          <cell r="B226" t="str">
            <v>RENEWAL COMMISSION</v>
          </cell>
          <cell r="C226">
            <v>0</v>
          </cell>
          <cell r="D226">
            <v>0</v>
          </cell>
          <cell r="E226">
            <v>0</v>
          </cell>
          <cell r="F226">
            <v>0</v>
          </cell>
        </row>
        <row r="227">
          <cell r="A227" t="str">
            <v>500-25-010</v>
          </cell>
          <cell r="B227" t="str">
            <v>AGENCY OVERRIDES</v>
          </cell>
          <cell r="C227">
            <v>0</v>
          </cell>
          <cell r="D227">
            <v>0</v>
          </cell>
          <cell r="E227">
            <v>0</v>
          </cell>
          <cell r="F227">
            <v>0</v>
          </cell>
        </row>
        <row r="228">
          <cell r="A228" t="str">
            <v>500-25-015</v>
          </cell>
          <cell r="B228" t="str">
            <v>UNIT OVERRIDES</v>
          </cell>
          <cell r="C228">
            <v>0</v>
          </cell>
          <cell r="D228">
            <v>0</v>
          </cell>
          <cell r="E228">
            <v>0</v>
          </cell>
          <cell r="F228">
            <v>0</v>
          </cell>
        </row>
        <row r="229">
          <cell r="A229" t="str">
            <v>500-25-020</v>
          </cell>
          <cell r="B229" t="str">
            <v>RETAINER</v>
          </cell>
          <cell r="C229">
            <v>0</v>
          </cell>
          <cell r="D229">
            <v>0</v>
          </cell>
          <cell r="E229">
            <v>0</v>
          </cell>
          <cell r="F229">
            <v>0</v>
          </cell>
        </row>
        <row r="230">
          <cell r="A230" t="str">
            <v>500-25-025</v>
          </cell>
          <cell r="B230" t="str">
            <v>GUARANTEE</v>
          </cell>
          <cell r="C230">
            <v>0</v>
          </cell>
          <cell r="D230">
            <v>0</v>
          </cell>
          <cell r="E230">
            <v>0</v>
          </cell>
          <cell r="F230">
            <v>0</v>
          </cell>
        </row>
        <row r="231">
          <cell r="A231" t="str">
            <v>500-30-030</v>
          </cell>
          <cell r="B231" t="str">
            <v>SALES PROMOTION &amp; COMPETITIONS</v>
          </cell>
          <cell r="C231">
            <v>0</v>
          </cell>
          <cell r="D231">
            <v>0</v>
          </cell>
          <cell r="E231">
            <v>0</v>
          </cell>
          <cell r="F231">
            <v>0</v>
          </cell>
        </row>
        <row r="232">
          <cell r="A232" t="str">
            <v>500-30-035</v>
          </cell>
          <cell r="B232" t="str">
            <v>SALES PROMOTION - INTERNATIONAL TRAVEL</v>
          </cell>
          <cell r="C232">
            <v>0</v>
          </cell>
          <cell r="D232">
            <v>0</v>
          </cell>
          <cell r="E232">
            <v>0</v>
          </cell>
          <cell r="F232">
            <v>0</v>
          </cell>
        </row>
        <row r="233">
          <cell r="A233" t="str">
            <v>500-30-040</v>
          </cell>
          <cell r="B233" t="str">
            <v>PREMIUM COLLECTION CHARGES</v>
          </cell>
          <cell r="C233">
            <v>0</v>
          </cell>
          <cell r="D233">
            <v>0</v>
          </cell>
          <cell r="E233">
            <v>0</v>
          </cell>
          <cell r="F233">
            <v>0</v>
          </cell>
        </row>
        <row r="234">
          <cell r="A234" t="str">
            <v>500-30-045</v>
          </cell>
          <cell r="B234" t="str">
            <v>SALES PROMOTION - AAYA</v>
          </cell>
          <cell r="C234">
            <v>0</v>
          </cell>
          <cell r="D234">
            <v>0</v>
          </cell>
          <cell r="E234">
            <v>0</v>
          </cell>
          <cell r="F234">
            <v>0</v>
          </cell>
        </row>
        <row r="235">
          <cell r="A235" t="str">
            <v>500-30-055</v>
          </cell>
          <cell r="B235" t="str">
            <v>AGENCY SUBSIDY</v>
          </cell>
          <cell r="C235">
            <v>0</v>
          </cell>
          <cell r="D235">
            <v>0</v>
          </cell>
          <cell r="E235">
            <v>0</v>
          </cell>
          <cell r="F235">
            <v>0</v>
          </cell>
        </row>
        <row r="236">
          <cell r="A236" t="str">
            <v>500-30-060</v>
          </cell>
          <cell r="B236" t="str">
            <v>STAFF BONUS</v>
          </cell>
          <cell r="C236">
            <v>5573328</v>
          </cell>
          <cell r="D236">
            <v>696666</v>
          </cell>
          <cell r="E236">
            <v>6269994</v>
          </cell>
          <cell r="F236">
            <v>6269994</v>
          </cell>
        </row>
        <row r="237">
          <cell r="A237" t="str">
            <v>500-30-065</v>
          </cell>
          <cell r="B237" t="str">
            <v>LONG TERM INCENTIVE PLAN</v>
          </cell>
          <cell r="C237">
            <v>0</v>
          </cell>
          <cell r="D237">
            <v>0</v>
          </cell>
          <cell r="E237">
            <v>0</v>
          </cell>
          <cell r="F237">
            <v>0</v>
          </cell>
        </row>
        <row r="238">
          <cell r="A238" t="str">
            <v>500-35-010</v>
          </cell>
          <cell r="B238" t="str">
            <v>GROUP COMMISSION</v>
          </cell>
          <cell r="C238">
            <v>16620296.050000001</v>
          </cell>
          <cell r="D238">
            <v>2963512</v>
          </cell>
          <cell r="E238">
            <v>19583808.050000001</v>
          </cell>
          <cell r="F238">
            <v>19583808.050000001</v>
          </cell>
        </row>
        <row r="239">
          <cell r="A239" t="str">
            <v>500-35-020</v>
          </cell>
          <cell r="B239" t="str">
            <v>PREMIUM ADMINISTRATION FEE - GROUP</v>
          </cell>
          <cell r="C239">
            <v>88761188</v>
          </cell>
          <cell r="D239">
            <v>4341141</v>
          </cell>
          <cell r="E239">
            <v>93102329</v>
          </cell>
          <cell r="F239">
            <v>93102329</v>
          </cell>
        </row>
        <row r="240">
          <cell r="A240" t="str">
            <v>500-35-030</v>
          </cell>
          <cell r="B240" t="str">
            <v>MEDICAL COSTS - GROUP</v>
          </cell>
          <cell r="C240">
            <v>1438944</v>
          </cell>
          <cell r="D240">
            <v>135542</v>
          </cell>
          <cell r="E240">
            <v>1574486</v>
          </cell>
          <cell r="F240">
            <v>1574486</v>
          </cell>
        </row>
        <row r="241">
          <cell r="A241" t="str">
            <v>500-35-040</v>
          </cell>
          <cell r="B241" t="str">
            <v>PROFIT SHARE</v>
          </cell>
          <cell r="C241">
            <v>22121791</v>
          </cell>
          <cell r="D241">
            <v>0</v>
          </cell>
          <cell r="E241">
            <v>22121791</v>
          </cell>
          <cell r="F241">
            <v>22121791</v>
          </cell>
        </row>
        <row r="242">
          <cell r="A242" t="str">
            <v>500-40-010</v>
          </cell>
          <cell r="B242" t="str">
            <v>AGENCY PENSION</v>
          </cell>
          <cell r="C242">
            <v>0</v>
          </cell>
          <cell r="D242">
            <v>0</v>
          </cell>
          <cell r="E242">
            <v>0</v>
          </cell>
          <cell r="F242">
            <v>0</v>
          </cell>
        </row>
        <row r="243">
          <cell r="A243" t="str">
            <v>500-40-020</v>
          </cell>
          <cell r="B243" t="str">
            <v>AGENCY GLA</v>
          </cell>
          <cell r="C243">
            <v>0</v>
          </cell>
          <cell r="D243">
            <v>0</v>
          </cell>
          <cell r="E243">
            <v>0</v>
          </cell>
          <cell r="F243">
            <v>0</v>
          </cell>
        </row>
        <row r="244">
          <cell r="A244" t="str">
            <v>500-40-030</v>
          </cell>
          <cell r="B244" t="str">
            <v>AGENCY LAST EXPENSE</v>
          </cell>
          <cell r="C244">
            <v>0</v>
          </cell>
          <cell r="D244">
            <v>0</v>
          </cell>
          <cell r="E244">
            <v>0</v>
          </cell>
          <cell r="F244">
            <v>0</v>
          </cell>
        </row>
        <row r="245">
          <cell r="A245" t="str">
            <v>500-40-040</v>
          </cell>
          <cell r="B245" t="str">
            <v>AGENCY MEDICAL</v>
          </cell>
          <cell r="C245">
            <v>0</v>
          </cell>
          <cell r="D245">
            <v>0</v>
          </cell>
          <cell r="E245">
            <v>0</v>
          </cell>
          <cell r="F245">
            <v>0</v>
          </cell>
        </row>
        <row r="246">
          <cell r="A246" t="str">
            <v>500-45-010</v>
          </cell>
          <cell r="B246" t="str">
            <v>MEDICAL EXPENSES</v>
          </cell>
          <cell r="C246">
            <v>67473</v>
          </cell>
          <cell r="D246">
            <v>0</v>
          </cell>
          <cell r="E246">
            <v>67473</v>
          </cell>
          <cell r="F246">
            <v>67473</v>
          </cell>
        </row>
        <row r="247">
          <cell r="A247" t="str">
            <v>600-10-021</v>
          </cell>
          <cell r="B247" t="str">
            <v>MATURITY CLAIMS</v>
          </cell>
          <cell r="C247">
            <v>0</v>
          </cell>
          <cell r="D247">
            <v>0</v>
          </cell>
          <cell r="E247">
            <v>0</v>
          </cell>
          <cell r="F247">
            <v>0</v>
          </cell>
        </row>
        <row r="248">
          <cell r="A248" t="str">
            <v>600-10-022</v>
          </cell>
          <cell r="B248" t="str">
            <v>MATURITY CLAIMS ENDOWMENT</v>
          </cell>
          <cell r="C248">
            <v>0</v>
          </cell>
          <cell r="D248">
            <v>0</v>
          </cell>
          <cell r="E248">
            <v>0</v>
          </cell>
          <cell r="F248">
            <v>0</v>
          </cell>
        </row>
        <row r="249">
          <cell r="A249" t="str">
            <v>600-10-023</v>
          </cell>
          <cell r="B249" t="str">
            <v>MATURITY CLAIMS EXPENSE</v>
          </cell>
          <cell r="C249">
            <v>0</v>
          </cell>
          <cell r="D249">
            <v>0</v>
          </cell>
          <cell r="E249">
            <v>0</v>
          </cell>
          <cell r="F249">
            <v>0</v>
          </cell>
        </row>
        <row r="250">
          <cell r="A250" t="str">
            <v>600-10-024</v>
          </cell>
          <cell r="B250" t="str">
            <v>DEATH CLAIMS -ORDINARY</v>
          </cell>
          <cell r="C250">
            <v>0</v>
          </cell>
          <cell r="D250">
            <v>0</v>
          </cell>
          <cell r="E250">
            <v>0</v>
          </cell>
          <cell r="F250">
            <v>0</v>
          </cell>
        </row>
        <row r="251">
          <cell r="A251" t="str">
            <v>600-10-025</v>
          </cell>
          <cell r="B251" t="str">
            <v>PERSONAL ACCIDENTS</v>
          </cell>
          <cell r="C251">
            <v>0</v>
          </cell>
          <cell r="D251">
            <v>0</v>
          </cell>
          <cell r="E251">
            <v>0</v>
          </cell>
          <cell r="F251">
            <v>0</v>
          </cell>
        </row>
        <row r="252">
          <cell r="A252" t="str">
            <v>600-10-026</v>
          </cell>
          <cell r="B252" t="str">
            <v>ANNUITY CLAIMS</v>
          </cell>
          <cell r="C252">
            <v>38457</v>
          </cell>
          <cell r="D252">
            <v>0</v>
          </cell>
          <cell r="E252">
            <v>38457</v>
          </cell>
          <cell r="F252">
            <v>38457</v>
          </cell>
        </row>
        <row r="253">
          <cell r="A253" t="str">
            <v>600-10-027</v>
          </cell>
          <cell r="B253" t="str">
            <v>CASH SURRENDER VALUE</v>
          </cell>
          <cell r="C253">
            <v>0</v>
          </cell>
          <cell r="D253">
            <v>0</v>
          </cell>
          <cell r="E253">
            <v>0</v>
          </cell>
          <cell r="F253">
            <v>0</v>
          </cell>
        </row>
        <row r="254">
          <cell r="A254" t="str">
            <v>600-10-028</v>
          </cell>
          <cell r="B254" t="str">
            <v>FFF DEATH CLAIMS</v>
          </cell>
          <cell r="C254">
            <v>0</v>
          </cell>
          <cell r="D254">
            <v>0</v>
          </cell>
          <cell r="E254">
            <v>0</v>
          </cell>
          <cell r="F254">
            <v>0</v>
          </cell>
        </row>
        <row r="255">
          <cell r="A255" t="str">
            <v>600-10-029</v>
          </cell>
          <cell r="B255" t="str">
            <v>CASH SURRENDER VALUE -WP</v>
          </cell>
          <cell r="C255">
            <v>0</v>
          </cell>
          <cell r="D255">
            <v>0</v>
          </cell>
          <cell r="E255">
            <v>0</v>
          </cell>
          <cell r="F255">
            <v>0</v>
          </cell>
        </row>
        <row r="256">
          <cell r="A256" t="str">
            <v>600-10-030</v>
          </cell>
          <cell r="B256" t="str">
            <v>CASH SURRENDER VALUE-FFP</v>
          </cell>
          <cell r="C256">
            <v>0</v>
          </cell>
          <cell r="D256">
            <v>0</v>
          </cell>
          <cell r="E256">
            <v>0</v>
          </cell>
          <cell r="F256">
            <v>0</v>
          </cell>
        </row>
        <row r="257">
          <cell r="A257" t="str">
            <v>600-10-031</v>
          </cell>
          <cell r="B257" t="str">
            <v>PREMIUM REFUNDS</v>
          </cell>
          <cell r="C257">
            <v>154682</v>
          </cell>
          <cell r="D257">
            <v>256315</v>
          </cell>
          <cell r="E257">
            <v>410997</v>
          </cell>
          <cell r="F257">
            <v>410997</v>
          </cell>
        </row>
        <row r="258">
          <cell r="A258" t="str">
            <v>600-10-032</v>
          </cell>
          <cell r="B258" t="str">
            <v>WAIVER OF PREMIUMS EXPENSE</v>
          </cell>
          <cell r="C258">
            <v>0</v>
          </cell>
          <cell r="D258">
            <v>0</v>
          </cell>
          <cell r="E258">
            <v>0</v>
          </cell>
          <cell r="F258">
            <v>0</v>
          </cell>
        </row>
        <row r="259">
          <cell r="A259" t="str">
            <v>600-10-033</v>
          </cell>
          <cell r="B259" t="str">
            <v>CASH BONUS BENEFIT-FFFP</v>
          </cell>
          <cell r="C259">
            <v>0</v>
          </cell>
          <cell r="D259">
            <v>0</v>
          </cell>
          <cell r="E259">
            <v>0</v>
          </cell>
          <cell r="F259">
            <v>0</v>
          </cell>
        </row>
        <row r="260">
          <cell r="A260" t="str">
            <v>600-10-034</v>
          </cell>
          <cell r="B260" t="str">
            <v>PENALTIES RECOVERIES-FFFP</v>
          </cell>
          <cell r="C260">
            <v>0</v>
          </cell>
          <cell r="D260">
            <v>0</v>
          </cell>
          <cell r="E260">
            <v>0</v>
          </cell>
          <cell r="F260">
            <v>0</v>
          </cell>
        </row>
        <row r="261">
          <cell r="A261" t="str">
            <v>600-10-035</v>
          </cell>
          <cell r="B261" t="str">
            <v>UNITS ENCASHMENT-WP</v>
          </cell>
          <cell r="C261">
            <v>0</v>
          </cell>
          <cell r="D261">
            <v>0</v>
          </cell>
          <cell r="E261">
            <v>0</v>
          </cell>
          <cell r="F261">
            <v>0</v>
          </cell>
        </row>
        <row r="262">
          <cell r="A262" t="str">
            <v>600-10-036</v>
          </cell>
          <cell r="B262" t="str">
            <v>PENALTIES UNITS ENCASHMENT</v>
          </cell>
          <cell r="C262">
            <v>0</v>
          </cell>
          <cell r="D262">
            <v>0</v>
          </cell>
          <cell r="E262">
            <v>0</v>
          </cell>
          <cell r="F262">
            <v>0</v>
          </cell>
        </row>
        <row r="263">
          <cell r="A263" t="str">
            <v>600-10-037</v>
          </cell>
          <cell r="B263" t="str">
            <v>WP CLAIMS</v>
          </cell>
          <cell r="C263">
            <v>0</v>
          </cell>
          <cell r="D263">
            <v>0</v>
          </cell>
          <cell r="E263">
            <v>0</v>
          </cell>
          <cell r="F263">
            <v>0</v>
          </cell>
        </row>
        <row r="264">
          <cell r="A264" t="str">
            <v>600-10-038</v>
          </cell>
          <cell r="B264" t="str">
            <v>PENALTIES ON CASH-BONUS  FFFP</v>
          </cell>
          <cell r="C264">
            <v>0</v>
          </cell>
          <cell r="D264">
            <v>0</v>
          </cell>
          <cell r="E264">
            <v>0</v>
          </cell>
          <cell r="F264">
            <v>0</v>
          </cell>
        </row>
        <row r="265">
          <cell r="A265" t="str">
            <v>600-10-039</v>
          </cell>
          <cell r="B265" t="str">
            <v>CLAIMS EXPENSE</v>
          </cell>
          <cell r="C265">
            <v>0</v>
          </cell>
          <cell r="D265">
            <v>0</v>
          </cell>
          <cell r="E265">
            <v>0</v>
          </cell>
          <cell r="F265">
            <v>0</v>
          </cell>
        </row>
        <row r="266">
          <cell r="A266" t="str">
            <v>600-10-040</v>
          </cell>
          <cell r="B266" t="str">
            <v>ADVERTISING (UNIT PRICE)</v>
          </cell>
          <cell r="C266">
            <v>0</v>
          </cell>
          <cell r="D266">
            <v>0</v>
          </cell>
          <cell r="E266">
            <v>0</v>
          </cell>
          <cell r="F266">
            <v>0</v>
          </cell>
        </row>
        <row r="267">
          <cell r="A267" t="str">
            <v>600-10-041</v>
          </cell>
          <cell r="B267" t="str">
            <v>MATURITY CLAIMS-UNIT LINKED</v>
          </cell>
          <cell r="C267">
            <v>0</v>
          </cell>
          <cell r="D267">
            <v>0</v>
          </cell>
          <cell r="E267">
            <v>0</v>
          </cell>
          <cell r="F267">
            <v>0</v>
          </cell>
        </row>
        <row r="268">
          <cell r="A268" t="str">
            <v>600-15-010</v>
          </cell>
          <cell r="B268" t="str">
            <v>LAST EXPENSE CLAIM</v>
          </cell>
          <cell r="C268">
            <v>3150000</v>
          </cell>
          <cell r="D268">
            <v>920000</v>
          </cell>
          <cell r="E268">
            <v>4070000</v>
          </cell>
          <cell r="F268">
            <v>4070000</v>
          </cell>
        </row>
        <row r="269">
          <cell r="A269" t="str">
            <v>600-15-020</v>
          </cell>
          <cell r="B269" t="str">
            <v>PENSION SCHEME CLAIM</v>
          </cell>
          <cell r="C269">
            <v>0</v>
          </cell>
          <cell r="D269">
            <v>0</v>
          </cell>
          <cell r="E269">
            <v>0</v>
          </cell>
          <cell r="F269">
            <v>0</v>
          </cell>
        </row>
        <row r="270">
          <cell r="A270" t="str">
            <v>600-15-030</v>
          </cell>
          <cell r="B270" t="str">
            <v>DEATH CLAIMS GROUP</v>
          </cell>
          <cell r="C270">
            <v>99941572</v>
          </cell>
          <cell r="D270">
            <v>20828208</v>
          </cell>
          <cell r="E270">
            <v>120769780</v>
          </cell>
          <cell r="F270">
            <v>120769780</v>
          </cell>
        </row>
        <row r="271">
          <cell r="A271" t="str">
            <v>600-15-040</v>
          </cell>
          <cell r="B271" t="str">
            <v>GROUP MATURITY CLAIMS</v>
          </cell>
          <cell r="C271">
            <v>0</v>
          </cell>
          <cell r="D271">
            <v>0</v>
          </cell>
          <cell r="E271">
            <v>0</v>
          </cell>
          <cell r="F271">
            <v>0</v>
          </cell>
        </row>
        <row r="272">
          <cell r="A272" t="str">
            <v>600-15-045</v>
          </cell>
          <cell r="B272" t="str">
            <v>GROUP SURRENDERS</v>
          </cell>
          <cell r="C272">
            <v>0</v>
          </cell>
          <cell r="D272">
            <v>0</v>
          </cell>
          <cell r="E272">
            <v>0</v>
          </cell>
          <cell r="F272">
            <v>0</v>
          </cell>
        </row>
        <row r="273">
          <cell r="A273" t="str">
            <v>600-15-050</v>
          </cell>
          <cell r="B273" t="str">
            <v>GROUP ANTICIPATED CLAIMS</v>
          </cell>
          <cell r="C273">
            <v>-300000</v>
          </cell>
          <cell r="D273">
            <v>0</v>
          </cell>
          <cell r="E273">
            <v>-300000</v>
          </cell>
          <cell r="F273">
            <v>-300000</v>
          </cell>
        </row>
        <row r="274">
          <cell r="A274" t="str">
            <v>600-15-055</v>
          </cell>
          <cell r="B274" t="str">
            <v>HARAMBEE CLAIMS</v>
          </cell>
          <cell r="C274">
            <v>0</v>
          </cell>
          <cell r="D274">
            <v>0</v>
          </cell>
          <cell r="E274">
            <v>0</v>
          </cell>
          <cell r="F274">
            <v>0</v>
          </cell>
        </row>
        <row r="275">
          <cell r="A275" t="str">
            <v>600-15-060</v>
          </cell>
          <cell r="B275" t="str">
            <v>GROUP CREDIT SCHEMES CLAIMS</v>
          </cell>
          <cell r="C275">
            <v>144758011.63</v>
          </cell>
          <cell r="D275">
            <v>55998294</v>
          </cell>
          <cell r="E275">
            <v>200756305.63</v>
          </cell>
          <cell r="F275">
            <v>200756305.63</v>
          </cell>
        </row>
        <row r="276">
          <cell r="A276" t="str">
            <v>600-15-065</v>
          </cell>
          <cell r="B276" t="str">
            <v>GROUP DISABILITY CLAIMS</v>
          </cell>
          <cell r="C276">
            <v>600000</v>
          </cell>
          <cell r="D276">
            <v>0</v>
          </cell>
          <cell r="E276">
            <v>600000</v>
          </cell>
          <cell r="F276">
            <v>600000</v>
          </cell>
        </row>
        <row r="277">
          <cell r="A277" t="str">
            <v>600-15-070</v>
          </cell>
          <cell r="B277" t="str">
            <v>GROUP RETIEMENT ANNUITIES</v>
          </cell>
          <cell r="C277">
            <v>1261505.55</v>
          </cell>
          <cell r="D277">
            <v>559489</v>
          </cell>
          <cell r="E277">
            <v>1820994.55</v>
          </cell>
          <cell r="F277">
            <v>1820994.55</v>
          </cell>
        </row>
        <row r="278">
          <cell r="A278" t="str">
            <v>600-15-075</v>
          </cell>
          <cell r="B278" t="str">
            <v>AUDIT FEES</v>
          </cell>
          <cell r="C278">
            <v>0</v>
          </cell>
          <cell r="D278">
            <v>0</v>
          </cell>
          <cell r="E278">
            <v>0</v>
          </cell>
          <cell r="F278">
            <v>0</v>
          </cell>
        </row>
        <row r="279">
          <cell r="A279" t="str">
            <v>600-15-080</v>
          </cell>
          <cell r="B279" t="str">
            <v>MANAGEMENT FEES</v>
          </cell>
          <cell r="C279">
            <v>0</v>
          </cell>
          <cell r="D279">
            <v>0</v>
          </cell>
          <cell r="E279">
            <v>0</v>
          </cell>
          <cell r="F279">
            <v>0</v>
          </cell>
        </row>
        <row r="280">
          <cell r="A280" t="str">
            <v>600-15-085</v>
          </cell>
          <cell r="B280" t="str">
            <v>RBA LEVIES</v>
          </cell>
          <cell r="C280">
            <v>0</v>
          </cell>
          <cell r="D280">
            <v>0</v>
          </cell>
          <cell r="E280">
            <v>0</v>
          </cell>
          <cell r="F280">
            <v>0</v>
          </cell>
        </row>
        <row r="281">
          <cell r="A281" t="str">
            <v>600-15-090</v>
          </cell>
          <cell r="B281" t="str">
            <v>ACTUARIAL FEES</v>
          </cell>
          <cell r="C281">
            <v>0</v>
          </cell>
          <cell r="D281">
            <v>0</v>
          </cell>
          <cell r="E281">
            <v>0</v>
          </cell>
          <cell r="F281">
            <v>0</v>
          </cell>
        </row>
        <row r="282">
          <cell r="A282" t="str">
            <v>600-15-095</v>
          </cell>
          <cell r="B282" t="str">
            <v>GROUP MORTGAGE CLAIMS</v>
          </cell>
          <cell r="C282">
            <v>1404489</v>
          </cell>
          <cell r="D282">
            <v>1583050</v>
          </cell>
          <cell r="E282">
            <v>2987539</v>
          </cell>
          <cell r="F282">
            <v>2987539</v>
          </cell>
        </row>
        <row r="283">
          <cell r="A283" t="str">
            <v>600-15-100</v>
          </cell>
          <cell r="B283" t="str">
            <v>PREMIUM REFUND</v>
          </cell>
          <cell r="C283">
            <v>592262</v>
          </cell>
          <cell r="D283">
            <v>0</v>
          </cell>
          <cell r="E283">
            <v>592262</v>
          </cell>
          <cell r="F283">
            <v>592262</v>
          </cell>
        </row>
        <row r="284">
          <cell r="A284" t="str">
            <v>700-05-010</v>
          </cell>
          <cell r="B284" t="str">
            <v>AMBALAL HOUSE</v>
          </cell>
          <cell r="C284">
            <v>0</v>
          </cell>
          <cell r="D284">
            <v>0</v>
          </cell>
          <cell r="E284">
            <v>0</v>
          </cell>
          <cell r="F284">
            <v>0</v>
          </cell>
        </row>
        <row r="285">
          <cell r="A285" t="str">
            <v>700-05-015</v>
          </cell>
          <cell r="B285" t="str">
            <v>RUNDA PLOT</v>
          </cell>
          <cell r="C285">
            <v>0</v>
          </cell>
          <cell r="D285">
            <v>0</v>
          </cell>
          <cell r="E285">
            <v>0</v>
          </cell>
          <cell r="F285">
            <v>0</v>
          </cell>
        </row>
        <row r="286">
          <cell r="A286" t="str">
            <v>700-05-020</v>
          </cell>
          <cell r="B286" t="str">
            <v>PAN AFRICA HOUSE NBI</v>
          </cell>
          <cell r="C286">
            <v>0</v>
          </cell>
          <cell r="D286">
            <v>0</v>
          </cell>
          <cell r="E286">
            <v>0</v>
          </cell>
          <cell r="F286">
            <v>0</v>
          </cell>
        </row>
        <row r="287">
          <cell r="A287" t="str">
            <v>700-05-025</v>
          </cell>
          <cell r="B287" t="str">
            <v>RESIDENTIAL HSE -RETREAT VILLAS</v>
          </cell>
          <cell r="C287">
            <v>0</v>
          </cell>
          <cell r="D287">
            <v>0</v>
          </cell>
          <cell r="E287">
            <v>0</v>
          </cell>
          <cell r="F287">
            <v>0</v>
          </cell>
        </row>
        <row r="288">
          <cell r="A288" t="str">
            <v>700-05-030</v>
          </cell>
          <cell r="B288" t="str">
            <v>PAN AFRICA INS. ARCADE PETROL STATION</v>
          </cell>
          <cell r="C288">
            <v>0</v>
          </cell>
          <cell r="D288">
            <v>0</v>
          </cell>
          <cell r="E288">
            <v>0</v>
          </cell>
          <cell r="F288">
            <v>0</v>
          </cell>
        </row>
        <row r="289">
          <cell r="A289" t="str">
            <v>700-10-010</v>
          </cell>
          <cell r="B289" t="str">
            <v>MOTOR VEHICLES</v>
          </cell>
          <cell r="C289">
            <v>0</v>
          </cell>
          <cell r="D289">
            <v>0</v>
          </cell>
          <cell r="E289">
            <v>0</v>
          </cell>
          <cell r="F289">
            <v>0</v>
          </cell>
        </row>
        <row r="290">
          <cell r="A290" t="str">
            <v>700-10-020</v>
          </cell>
          <cell r="B290" t="str">
            <v>COMPUTER EQUIPMENT</v>
          </cell>
          <cell r="C290">
            <v>0</v>
          </cell>
          <cell r="D290">
            <v>0</v>
          </cell>
          <cell r="E290">
            <v>0</v>
          </cell>
          <cell r="F290">
            <v>0</v>
          </cell>
        </row>
        <row r="291">
          <cell r="A291" t="str">
            <v>700-10-030</v>
          </cell>
          <cell r="B291" t="str">
            <v>FIXTURES &amp; FITTINGS</v>
          </cell>
          <cell r="C291">
            <v>19800</v>
          </cell>
          <cell r="D291">
            <v>0</v>
          </cell>
          <cell r="E291">
            <v>19800</v>
          </cell>
          <cell r="F291">
            <v>19800</v>
          </cell>
        </row>
        <row r="292">
          <cell r="A292" t="str">
            <v>700-10-035</v>
          </cell>
          <cell r="B292" t="str">
            <v>INTANGIBLE ASSETS-SOFTWARE</v>
          </cell>
          <cell r="C292">
            <v>0</v>
          </cell>
          <cell r="D292">
            <v>0</v>
          </cell>
          <cell r="E292">
            <v>0</v>
          </cell>
          <cell r="F292">
            <v>0</v>
          </cell>
        </row>
        <row r="293">
          <cell r="A293" t="str">
            <v>700-10-040</v>
          </cell>
          <cell r="B293" t="str">
            <v>PROJECT MARA</v>
          </cell>
          <cell r="C293">
            <v>0</v>
          </cell>
          <cell r="D293">
            <v>0</v>
          </cell>
          <cell r="E293">
            <v>0</v>
          </cell>
          <cell r="F293">
            <v>0</v>
          </cell>
        </row>
        <row r="294">
          <cell r="A294" t="str">
            <v>700-20-010</v>
          </cell>
          <cell r="B294" t="str">
            <v>PAN AFRICA HSE NBI</v>
          </cell>
          <cell r="C294">
            <v>0</v>
          </cell>
          <cell r="D294">
            <v>0</v>
          </cell>
          <cell r="E294">
            <v>0</v>
          </cell>
          <cell r="F294">
            <v>0</v>
          </cell>
        </row>
        <row r="295">
          <cell r="A295" t="str">
            <v>700-20-020</v>
          </cell>
          <cell r="B295" t="str">
            <v>RESIDENTIAL HSE-LORESHO</v>
          </cell>
          <cell r="C295">
            <v>0</v>
          </cell>
          <cell r="D295">
            <v>0</v>
          </cell>
          <cell r="E295">
            <v>0</v>
          </cell>
          <cell r="F295">
            <v>0</v>
          </cell>
        </row>
        <row r="296">
          <cell r="A296" t="str">
            <v>700-20-025</v>
          </cell>
          <cell r="B296" t="str">
            <v>REVALUATION SURPLUS</v>
          </cell>
          <cell r="C296">
            <v>0</v>
          </cell>
          <cell r="D296">
            <v>0</v>
          </cell>
          <cell r="E296">
            <v>0</v>
          </cell>
          <cell r="F296">
            <v>0</v>
          </cell>
        </row>
        <row r="297">
          <cell r="A297" t="str">
            <v>700-20-030</v>
          </cell>
          <cell r="B297" t="str">
            <v>RESIDENTIAL HSE-RETREAT</v>
          </cell>
          <cell r="C297">
            <v>0</v>
          </cell>
          <cell r="D297">
            <v>0</v>
          </cell>
          <cell r="E297">
            <v>0</v>
          </cell>
          <cell r="F297">
            <v>0</v>
          </cell>
        </row>
        <row r="298">
          <cell r="A298" t="str">
            <v>700-25-010</v>
          </cell>
          <cell r="B298" t="str">
            <v>LORESHO RESIDENTIAL</v>
          </cell>
          <cell r="C298">
            <v>0</v>
          </cell>
          <cell r="D298">
            <v>0</v>
          </cell>
          <cell r="E298">
            <v>0</v>
          </cell>
          <cell r="F298">
            <v>0</v>
          </cell>
        </row>
        <row r="299">
          <cell r="A299" t="str">
            <v>700-30-010</v>
          </cell>
          <cell r="B299" t="str">
            <v>TREASURY BONDS</v>
          </cell>
          <cell r="C299">
            <v>0</v>
          </cell>
          <cell r="D299">
            <v>0</v>
          </cell>
          <cell r="E299">
            <v>0</v>
          </cell>
          <cell r="F299">
            <v>0</v>
          </cell>
        </row>
        <row r="300">
          <cell r="A300" t="str">
            <v>700-30-020</v>
          </cell>
          <cell r="B300" t="str">
            <v>TREASURY BILLS</v>
          </cell>
          <cell r="C300">
            <v>0</v>
          </cell>
          <cell r="D300">
            <v>0</v>
          </cell>
          <cell r="E300">
            <v>0</v>
          </cell>
          <cell r="F300">
            <v>0</v>
          </cell>
        </row>
        <row r="301">
          <cell r="A301" t="str">
            <v>700-30-025</v>
          </cell>
          <cell r="B301" t="str">
            <v>FIXED INCOME INVESTMENTS POOL</v>
          </cell>
          <cell r="C301">
            <v>0</v>
          </cell>
          <cell r="D301">
            <v>0</v>
          </cell>
          <cell r="E301">
            <v>0</v>
          </cell>
          <cell r="F301">
            <v>0</v>
          </cell>
        </row>
        <row r="302">
          <cell r="A302" t="str">
            <v>700-30-026</v>
          </cell>
          <cell r="B302" t="str">
            <v>BOND FUND</v>
          </cell>
          <cell r="C302">
            <v>154226875.30000001</v>
          </cell>
          <cell r="D302">
            <v>32281758</v>
          </cell>
          <cell r="E302">
            <v>186508633.30000001</v>
          </cell>
          <cell r="F302">
            <v>186508633.30000001</v>
          </cell>
        </row>
        <row r="303">
          <cell r="A303" t="str">
            <v>700-30-027</v>
          </cell>
          <cell r="B303" t="str">
            <v>MONEY MARKET FUND</v>
          </cell>
          <cell r="C303">
            <v>-45895498</v>
          </cell>
          <cell r="D303">
            <v>2307935</v>
          </cell>
          <cell r="E303">
            <v>-43587563</v>
          </cell>
          <cell r="F303">
            <v>-43587563</v>
          </cell>
        </row>
        <row r="304">
          <cell r="A304" t="str">
            <v>700-30-030</v>
          </cell>
          <cell r="B304" t="str">
            <v>ACCRUED INTEREST</v>
          </cell>
          <cell r="C304">
            <v>0</v>
          </cell>
          <cell r="D304">
            <v>0</v>
          </cell>
          <cell r="E304">
            <v>0</v>
          </cell>
          <cell r="F304">
            <v>0</v>
          </cell>
        </row>
        <row r="305">
          <cell r="A305" t="str">
            <v>700-30-040</v>
          </cell>
          <cell r="B305" t="str">
            <v>PREM ON BOND</v>
          </cell>
          <cell r="C305">
            <v>18264531.559999999</v>
          </cell>
          <cell r="D305">
            <v>0</v>
          </cell>
          <cell r="E305">
            <v>18264531.559999999</v>
          </cell>
          <cell r="F305">
            <v>18264531.559999999</v>
          </cell>
        </row>
        <row r="306">
          <cell r="A306" t="str">
            <v>700-30-045</v>
          </cell>
          <cell r="B306" t="str">
            <v>GAIN/LOSS ON VALUATION-TBS</v>
          </cell>
          <cell r="C306">
            <v>0</v>
          </cell>
          <cell r="D306">
            <v>0</v>
          </cell>
          <cell r="E306">
            <v>0</v>
          </cell>
          <cell r="F306">
            <v>0</v>
          </cell>
        </row>
        <row r="307">
          <cell r="A307" t="str">
            <v>700-35-010</v>
          </cell>
          <cell r="B307" t="str">
            <v>TREASURY BONDS</v>
          </cell>
          <cell r="C307">
            <v>295265631</v>
          </cell>
          <cell r="D307">
            <v>3463048.5</v>
          </cell>
          <cell r="E307">
            <v>298728679.5</v>
          </cell>
          <cell r="F307">
            <v>298728679.5</v>
          </cell>
        </row>
        <row r="308">
          <cell r="A308" t="str">
            <v>700-50-010</v>
          </cell>
          <cell r="B308" t="str">
            <v>BROOKE BOND LEIBERG</v>
          </cell>
          <cell r="C308">
            <v>0</v>
          </cell>
          <cell r="D308">
            <v>0</v>
          </cell>
          <cell r="E308">
            <v>0</v>
          </cell>
          <cell r="F308">
            <v>0</v>
          </cell>
        </row>
        <row r="309">
          <cell r="A309" t="str">
            <v>700-50-020</v>
          </cell>
          <cell r="B309" t="str">
            <v>EQUITIES INVESTMENT POOL</v>
          </cell>
          <cell r="C309">
            <v>0</v>
          </cell>
          <cell r="D309">
            <v>0</v>
          </cell>
          <cell r="E309">
            <v>0</v>
          </cell>
          <cell r="F309">
            <v>0</v>
          </cell>
        </row>
        <row r="310">
          <cell r="A310" t="str">
            <v>700-50-021</v>
          </cell>
          <cell r="B310" t="str">
            <v>EQUITY FUND</v>
          </cell>
          <cell r="C310">
            <v>126120391.8</v>
          </cell>
          <cell r="D310">
            <v>-8196306</v>
          </cell>
          <cell r="E310">
            <v>117924085.8</v>
          </cell>
          <cell r="F310">
            <v>117924085.8</v>
          </cell>
        </row>
        <row r="311">
          <cell r="A311" t="str">
            <v>700-50-022</v>
          </cell>
          <cell r="B311" t="str">
            <v>SPECIAL OPPORTUNITIES FUND</v>
          </cell>
          <cell r="C311">
            <v>14402593</v>
          </cell>
          <cell r="D311">
            <v>296721</v>
          </cell>
          <cell r="E311">
            <v>14699314</v>
          </cell>
          <cell r="F311">
            <v>14699314</v>
          </cell>
        </row>
        <row r="312">
          <cell r="A312" t="str">
            <v>700-50-025</v>
          </cell>
          <cell r="B312" t="str">
            <v>EQUITY POOL-INTEREST FIXED DEPOSIT</v>
          </cell>
          <cell r="C312">
            <v>-2</v>
          </cell>
          <cell r="D312">
            <v>0</v>
          </cell>
          <cell r="E312">
            <v>-2</v>
          </cell>
          <cell r="F312">
            <v>-2</v>
          </cell>
        </row>
        <row r="313">
          <cell r="A313" t="str">
            <v>700-50-030</v>
          </cell>
          <cell r="B313" t="str">
            <v>SHARE SETTLEMENT CASH IN TRANSIT-EQUITY</v>
          </cell>
          <cell r="C313">
            <v>-98797</v>
          </cell>
          <cell r="D313">
            <v>0</v>
          </cell>
          <cell r="E313">
            <v>-98797</v>
          </cell>
          <cell r="F313">
            <v>-98797</v>
          </cell>
        </row>
        <row r="314">
          <cell r="A314" t="str">
            <v>700-50-035</v>
          </cell>
          <cell r="B314" t="str">
            <v>BAMBURI CEMENT</v>
          </cell>
          <cell r="C314">
            <v>0</v>
          </cell>
          <cell r="D314">
            <v>0</v>
          </cell>
          <cell r="E314">
            <v>0</v>
          </cell>
          <cell r="F314">
            <v>0</v>
          </cell>
        </row>
        <row r="315">
          <cell r="A315" t="str">
            <v>700-50-040</v>
          </cell>
          <cell r="B315" t="str">
            <v>SASINI TEA &amp; COFFEE LTD</v>
          </cell>
          <cell r="C315">
            <v>0</v>
          </cell>
          <cell r="D315">
            <v>0</v>
          </cell>
          <cell r="E315">
            <v>0</v>
          </cell>
          <cell r="F315">
            <v>0</v>
          </cell>
        </row>
        <row r="316">
          <cell r="A316" t="str">
            <v>700-50-050</v>
          </cell>
          <cell r="B316" t="str">
            <v>E.A BREWERIES</v>
          </cell>
          <cell r="C316">
            <v>0</v>
          </cell>
          <cell r="D316">
            <v>0</v>
          </cell>
          <cell r="E316">
            <v>0</v>
          </cell>
          <cell r="F316">
            <v>0</v>
          </cell>
        </row>
        <row r="317">
          <cell r="A317" t="str">
            <v>700-50-055</v>
          </cell>
          <cell r="B317" t="str">
            <v>EAST AFRICA PORTLAND</v>
          </cell>
          <cell r="C317">
            <v>0</v>
          </cell>
          <cell r="D317">
            <v>0</v>
          </cell>
          <cell r="E317">
            <v>0</v>
          </cell>
          <cell r="F317">
            <v>0</v>
          </cell>
        </row>
        <row r="318">
          <cell r="A318" t="str">
            <v>700-50-060</v>
          </cell>
          <cell r="B318" t="str">
            <v>UNGA GROUP</v>
          </cell>
          <cell r="C318">
            <v>0</v>
          </cell>
          <cell r="D318">
            <v>0</v>
          </cell>
          <cell r="E318">
            <v>0</v>
          </cell>
          <cell r="F318">
            <v>0</v>
          </cell>
        </row>
        <row r="319">
          <cell r="A319" t="str">
            <v>700-50-065</v>
          </cell>
          <cell r="B319" t="str">
            <v>STANCHART</v>
          </cell>
          <cell r="C319">
            <v>0</v>
          </cell>
          <cell r="D319">
            <v>0</v>
          </cell>
          <cell r="E319">
            <v>0</v>
          </cell>
          <cell r="F319">
            <v>0</v>
          </cell>
        </row>
        <row r="320">
          <cell r="A320" t="str">
            <v>700-50-070</v>
          </cell>
          <cell r="B320" t="str">
            <v>NATIONAL IND.CREDIT BANK</v>
          </cell>
          <cell r="C320">
            <v>0</v>
          </cell>
          <cell r="D320">
            <v>0</v>
          </cell>
          <cell r="E320">
            <v>0</v>
          </cell>
          <cell r="F320">
            <v>0</v>
          </cell>
        </row>
        <row r="321">
          <cell r="A321" t="str">
            <v>700-50-075</v>
          </cell>
          <cell r="B321" t="str">
            <v>KENYA AIRWAYS</v>
          </cell>
          <cell r="C321">
            <v>0</v>
          </cell>
          <cell r="D321">
            <v>0</v>
          </cell>
          <cell r="E321">
            <v>0</v>
          </cell>
          <cell r="F321">
            <v>0</v>
          </cell>
        </row>
        <row r="322">
          <cell r="A322" t="str">
            <v>700-50-080</v>
          </cell>
          <cell r="B322" t="str">
            <v>BRITISH AMERICAN TOBACCO</v>
          </cell>
          <cell r="C322">
            <v>0</v>
          </cell>
          <cell r="D322">
            <v>0</v>
          </cell>
          <cell r="E322">
            <v>0</v>
          </cell>
          <cell r="F322">
            <v>0</v>
          </cell>
        </row>
        <row r="323">
          <cell r="A323" t="str">
            <v>700-50-090</v>
          </cell>
          <cell r="B323" t="str">
            <v>KENYA OIL COMPANY LTD.</v>
          </cell>
          <cell r="C323">
            <v>0</v>
          </cell>
          <cell r="D323">
            <v>0</v>
          </cell>
          <cell r="E323">
            <v>0</v>
          </cell>
          <cell r="F323">
            <v>0</v>
          </cell>
        </row>
        <row r="324">
          <cell r="A324" t="str">
            <v>700-50-100</v>
          </cell>
          <cell r="B324" t="str">
            <v>FIRESTONE E.A.</v>
          </cell>
          <cell r="C324">
            <v>0</v>
          </cell>
          <cell r="D324">
            <v>0</v>
          </cell>
          <cell r="E324">
            <v>0</v>
          </cell>
          <cell r="F324">
            <v>0</v>
          </cell>
        </row>
        <row r="325">
          <cell r="A325" t="str">
            <v>700-50-110</v>
          </cell>
          <cell r="B325" t="str">
            <v>ATHI RIVER MINING</v>
          </cell>
          <cell r="C325">
            <v>0</v>
          </cell>
          <cell r="D325">
            <v>0</v>
          </cell>
          <cell r="E325">
            <v>0</v>
          </cell>
          <cell r="F325">
            <v>0</v>
          </cell>
        </row>
        <row r="326">
          <cell r="A326" t="str">
            <v>700-50-115</v>
          </cell>
          <cell r="B326" t="str">
            <v>MUMIAS LIMITED</v>
          </cell>
          <cell r="C326">
            <v>0</v>
          </cell>
          <cell r="D326">
            <v>0</v>
          </cell>
          <cell r="E326">
            <v>0</v>
          </cell>
          <cell r="F326">
            <v>0</v>
          </cell>
        </row>
        <row r="327">
          <cell r="A327" t="str">
            <v>700-50-120</v>
          </cell>
          <cell r="B327" t="str">
            <v>BARCLAYS BANK OF KENYA</v>
          </cell>
          <cell r="C327">
            <v>0</v>
          </cell>
          <cell r="D327">
            <v>0</v>
          </cell>
          <cell r="E327">
            <v>0</v>
          </cell>
          <cell r="F327">
            <v>0</v>
          </cell>
        </row>
        <row r="328">
          <cell r="A328" t="str">
            <v>700-50-125</v>
          </cell>
          <cell r="B328" t="str">
            <v>EAST AFRICA PORTLAND</v>
          </cell>
          <cell r="C328">
            <v>0</v>
          </cell>
          <cell r="D328">
            <v>0</v>
          </cell>
          <cell r="E328">
            <v>0</v>
          </cell>
          <cell r="F328">
            <v>0</v>
          </cell>
        </row>
        <row r="329">
          <cell r="A329" t="str">
            <v>700-50-130</v>
          </cell>
          <cell r="B329" t="str">
            <v>NATION MEDIA GROUP</v>
          </cell>
          <cell r="C329">
            <v>0</v>
          </cell>
          <cell r="D329">
            <v>0</v>
          </cell>
          <cell r="E329">
            <v>0</v>
          </cell>
          <cell r="F329">
            <v>0</v>
          </cell>
        </row>
        <row r="330">
          <cell r="A330" t="str">
            <v>700-50-135</v>
          </cell>
          <cell r="B330" t="str">
            <v>ICDC INVESTMENTS SHARES</v>
          </cell>
          <cell r="C330">
            <v>0</v>
          </cell>
          <cell r="D330">
            <v>0</v>
          </cell>
          <cell r="E330">
            <v>0</v>
          </cell>
          <cell r="F330">
            <v>0</v>
          </cell>
        </row>
        <row r="331">
          <cell r="A331" t="str">
            <v>700-50-140</v>
          </cell>
          <cell r="B331" t="str">
            <v>KENYA COMMERCIAL BANK</v>
          </cell>
          <cell r="C331">
            <v>0</v>
          </cell>
          <cell r="D331">
            <v>0</v>
          </cell>
          <cell r="E331">
            <v>0</v>
          </cell>
          <cell r="F331">
            <v>0</v>
          </cell>
        </row>
        <row r="332">
          <cell r="A332" t="str">
            <v>700-50-145</v>
          </cell>
          <cell r="B332" t="str">
            <v>TOTAL KENYA KTD.</v>
          </cell>
          <cell r="C332">
            <v>0</v>
          </cell>
          <cell r="D332">
            <v>0</v>
          </cell>
          <cell r="E332">
            <v>0</v>
          </cell>
          <cell r="F332">
            <v>0</v>
          </cell>
        </row>
        <row r="333">
          <cell r="A333" t="str">
            <v>700-50-150</v>
          </cell>
          <cell r="B333" t="str">
            <v>K P L C</v>
          </cell>
          <cell r="C333">
            <v>0</v>
          </cell>
          <cell r="D333">
            <v>0</v>
          </cell>
          <cell r="E333">
            <v>0</v>
          </cell>
          <cell r="F333">
            <v>0</v>
          </cell>
        </row>
        <row r="334">
          <cell r="A334" t="str">
            <v>700-50-155</v>
          </cell>
          <cell r="B334" t="str">
            <v>C F C BANK LTD.</v>
          </cell>
          <cell r="C334">
            <v>0</v>
          </cell>
          <cell r="D334">
            <v>0</v>
          </cell>
          <cell r="E334">
            <v>0</v>
          </cell>
          <cell r="F334">
            <v>0</v>
          </cell>
        </row>
        <row r="335">
          <cell r="A335" t="str">
            <v>700-50-160</v>
          </cell>
          <cell r="B335" t="str">
            <v>KAKUZI LTD.</v>
          </cell>
          <cell r="C335">
            <v>0</v>
          </cell>
          <cell r="D335">
            <v>0</v>
          </cell>
          <cell r="E335">
            <v>0</v>
          </cell>
          <cell r="F335">
            <v>0</v>
          </cell>
        </row>
        <row r="336">
          <cell r="A336" t="str">
            <v>700-50-165</v>
          </cell>
          <cell r="B336" t="str">
            <v>CMC HOLDINGS</v>
          </cell>
          <cell r="C336">
            <v>0</v>
          </cell>
          <cell r="D336">
            <v>0</v>
          </cell>
          <cell r="E336">
            <v>0</v>
          </cell>
          <cell r="F336">
            <v>0</v>
          </cell>
        </row>
        <row r="337">
          <cell r="A337" t="str">
            <v>700-50-170</v>
          </cell>
          <cell r="B337" t="str">
            <v>DIAMOND TRUST BANK LTD</v>
          </cell>
          <cell r="C337">
            <v>0</v>
          </cell>
          <cell r="D337">
            <v>0</v>
          </cell>
          <cell r="E337">
            <v>0</v>
          </cell>
          <cell r="F337">
            <v>0</v>
          </cell>
        </row>
        <row r="338">
          <cell r="A338" t="str">
            <v>700-50-175</v>
          </cell>
          <cell r="B338" t="str">
            <v>KENGEN LTD</v>
          </cell>
          <cell r="C338">
            <v>0</v>
          </cell>
          <cell r="D338">
            <v>0</v>
          </cell>
          <cell r="E338">
            <v>0</v>
          </cell>
          <cell r="F338">
            <v>0</v>
          </cell>
        </row>
        <row r="339">
          <cell r="A339" t="str">
            <v>700-50-180</v>
          </cell>
          <cell r="B339" t="str">
            <v>SCAN AD</v>
          </cell>
          <cell r="C339">
            <v>0</v>
          </cell>
          <cell r="D339">
            <v>0</v>
          </cell>
          <cell r="E339">
            <v>0</v>
          </cell>
          <cell r="F339">
            <v>0</v>
          </cell>
        </row>
        <row r="340">
          <cell r="A340" t="str">
            <v>700-55-010</v>
          </cell>
          <cell r="B340" t="str">
            <v>DFCU LTD</v>
          </cell>
          <cell r="C340">
            <v>0</v>
          </cell>
          <cell r="D340">
            <v>0</v>
          </cell>
          <cell r="E340">
            <v>0</v>
          </cell>
          <cell r="F340">
            <v>0</v>
          </cell>
        </row>
        <row r="341">
          <cell r="A341" t="str">
            <v>700-55-020</v>
          </cell>
          <cell r="B341" t="str">
            <v>UGANDA CLAYS</v>
          </cell>
          <cell r="C341">
            <v>0</v>
          </cell>
          <cell r="D341">
            <v>0</v>
          </cell>
          <cell r="E341">
            <v>0</v>
          </cell>
          <cell r="F341">
            <v>0</v>
          </cell>
        </row>
        <row r="342">
          <cell r="A342" t="str">
            <v>700-55-022</v>
          </cell>
          <cell r="B342" t="str">
            <v>SPECIAL OPPORTUBNITIES FUND</v>
          </cell>
          <cell r="C342">
            <v>0</v>
          </cell>
          <cell r="D342">
            <v>0</v>
          </cell>
          <cell r="E342">
            <v>0</v>
          </cell>
          <cell r="F342">
            <v>0</v>
          </cell>
        </row>
        <row r="343">
          <cell r="A343" t="str">
            <v>700-55-025</v>
          </cell>
          <cell r="B343" t="str">
            <v>SPECULATIVE INVESTMENTS POOL</v>
          </cell>
          <cell r="C343">
            <v>0</v>
          </cell>
          <cell r="D343">
            <v>0</v>
          </cell>
          <cell r="E343">
            <v>0</v>
          </cell>
          <cell r="F343">
            <v>0</v>
          </cell>
        </row>
        <row r="344">
          <cell r="A344" t="str">
            <v>700-60-010</v>
          </cell>
          <cell r="B344" t="str">
            <v>FIXED DEPOSIT CBA</v>
          </cell>
          <cell r="C344">
            <v>0</v>
          </cell>
          <cell r="D344">
            <v>0</v>
          </cell>
          <cell r="E344">
            <v>0</v>
          </cell>
          <cell r="F344">
            <v>0</v>
          </cell>
        </row>
        <row r="345">
          <cell r="A345" t="str">
            <v>700-60-020</v>
          </cell>
          <cell r="B345" t="str">
            <v>OTHERS FIXED DEPOSIT</v>
          </cell>
          <cell r="C345">
            <v>0</v>
          </cell>
          <cell r="D345">
            <v>0</v>
          </cell>
          <cell r="E345">
            <v>0</v>
          </cell>
          <cell r="F345">
            <v>0</v>
          </cell>
        </row>
        <row r="346">
          <cell r="A346" t="str">
            <v>700-60-030</v>
          </cell>
          <cell r="B346" t="str">
            <v>ACCRUED INTEREST</v>
          </cell>
          <cell r="C346">
            <v>0</v>
          </cell>
          <cell r="D346">
            <v>0</v>
          </cell>
          <cell r="E346">
            <v>0</v>
          </cell>
          <cell r="F346">
            <v>0</v>
          </cell>
        </row>
        <row r="347">
          <cell r="A347" t="str">
            <v>700-60-040</v>
          </cell>
          <cell r="B347" t="str">
            <v>FIXED DEPOSIT-DELPHIS</v>
          </cell>
          <cell r="C347">
            <v>0</v>
          </cell>
          <cell r="D347">
            <v>0</v>
          </cell>
          <cell r="E347">
            <v>0</v>
          </cell>
          <cell r="F347">
            <v>0</v>
          </cell>
        </row>
        <row r="348">
          <cell r="A348" t="str">
            <v>700-60-050</v>
          </cell>
          <cell r="B348" t="str">
            <v>FIXED DEPOSIT TANZANIA</v>
          </cell>
          <cell r="C348">
            <v>0</v>
          </cell>
          <cell r="D348">
            <v>0</v>
          </cell>
          <cell r="E348">
            <v>0</v>
          </cell>
          <cell r="F348">
            <v>0</v>
          </cell>
        </row>
        <row r="349">
          <cell r="A349" t="str">
            <v>700-60-060</v>
          </cell>
          <cell r="B349" t="str">
            <v>DELPHIS-PROVISION</v>
          </cell>
          <cell r="C349">
            <v>0</v>
          </cell>
          <cell r="D349">
            <v>0</v>
          </cell>
          <cell r="E349">
            <v>0</v>
          </cell>
          <cell r="F349">
            <v>0</v>
          </cell>
        </row>
        <row r="350">
          <cell r="A350" t="str">
            <v>700-60-070</v>
          </cell>
          <cell r="B350" t="str">
            <v>STANBIC CUSTODIAN SERVICE</v>
          </cell>
          <cell r="C350">
            <v>0</v>
          </cell>
          <cell r="D350">
            <v>0</v>
          </cell>
          <cell r="E350">
            <v>0</v>
          </cell>
          <cell r="F350">
            <v>0</v>
          </cell>
        </row>
        <row r="351">
          <cell r="A351" t="str">
            <v>700-60-075</v>
          </cell>
          <cell r="B351" t="str">
            <v>STANBIC CUSTODIAL-BOND FUND</v>
          </cell>
          <cell r="C351">
            <v>0</v>
          </cell>
          <cell r="D351">
            <v>0</v>
          </cell>
          <cell r="E351">
            <v>0</v>
          </cell>
          <cell r="F351">
            <v>0</v>
          </cell>
        </row>
        <row r="352">
          <cell r="A352" t="str">
            <v>700-60-080</v>
          </cell>
          <cell r="B352" t="str">
            <v>STANBIC CUSTODIAL-EQUITY FUND</v>
          </cell>
          <cell r="C352">
            <v>0</v>
          </cell>
          <cell r="D352">
            <v>0</v>
          </cell>
          <cell r="E352">
            <v>0</v>
          </cell>
          <cell r="F352">
            <v>0</v>
          </cell>
        </row>
        <row r="353">
          <cell r="A353" t="str">
            <v>700-60-085</v>
          </cell>
          <cell r="B353" t="str">
            <v>STANBIC CUSTODIAL-SPECIAL OPPORTUNITIES</v>
          </cell>
          <cell r="C353">
            <v>0</v>
          </cell>
          <cell r="D353">
            <v>0</v>
          </cell>
          <cell r="E353">
            <v>0</v>
          </cell>
          <cell r="F353">
            <v>0</v>
          </cell>
        </row>
        <row r="354">
          <cell r="A354" t="str">
            <v>700-60-086</v>
          </cell>
          <cell r="B354" t="str">
            <v>STANBIC-CUSTODIAL MONEY MARKET FUND</v>
          </cell>
          <cell r="C354">
            <v>0</v>
          </cell>
          <cell r="D354">
            <v>0</v>
          </cell>
          <cell r="E354">
            <v>0</v>
          </cell>
          <cell r="F354">
            <v>0</v>
          </cell>
        </row>
        <row r="355">
          <cell r="A355" t="str">
            <v>700-70-020</v>
          </cell>
          <cell r="B355" t="str">
            <v>E.A.DEVELOPMENT BANK</v>
          </cell>
          <cell r="C355">
            <v>0</v>
          </cell>
          <cell r="D355">
            <v>0</v>
          </cell>
          <cell r="E355">
            <v>0</v>
          </cell>
          <cell r="F355">
            <v>0</v>
          </cell>
        </row>
        <row r="356">
          <cell r="A356" t="str">
            <v>700-70-025</v>
          </cell>
          <cell r="B356" t="str">
            <v>VARIABLE COUPON BONDS</v>
          </cell>
          <cell r="C356">
            <v>0</v>
          </cell>
          <cell r="D356">
            <v>0</v>
          </cell>
          <cell r="E356">
            <v>0</v>
          </cell>
          <cell r="F356">
            <v>0</v>
          </cell>
        </row>
        <row r="357">
          <cell r="A357" t="str">
            <v>700-70-030</v>
          </cell>
          <cell r="B357" t="str">
            <v>COMMERCIAL PAPER</v>
          </cell>
          <cell r="C357">
            <v>0</v>
          </cell>
          <cell r="D357">
            <v>0</v>
          </cell>
          <cell r="E357">
            <v>0</v>
          </cell>
          <cell r="F357">
            <v>0</v>
          </cell>
        </row>
        <row r="358">
          <cell r="A358" t="str">
            <v>700-70-040</v>
          </cell>
          <cell r="B358" t="str">
            <v>KENYA OIL LTD.</v>
          </cell>
          <cell r="C358">
            <v>0</v>
          </cell>
          <cell r="D358">
            <v>0</v>
          </cell>
          <cell r="E358">
            <v>0</v>
          </cell>
          <cell r="F358">
            <v>0</v>
          </cell>
        </row>
        <row r="359">
          <cell r="A359" t="str">
            <v>700-70-045</v>
          </cell>
          <cell r="B359" t="str">
            <v>PTA</v>
          </cell>
          <cell r="C359">
            <v>0</v>
          </cell>
          <cell r="D359">
            <v>0</v>
          </cell>
          <cell r="E359">
            <v>0</v>
          </cell>
          <cell r="F359">
            <v>0</v>
          </cell>
        </row>
        <row r="360">
          <cell r="A360" t="str">
            <v>700-70-050</v>
          </cell>
          <cell r="B360" t="str">
            <v>MABATI ROLLING MILLS</v>
          </cell>
          <cell r="C360">
            <v>0</v>
          </cell>
          <cell r="D360">
            <v>0</v>
          </cell>
          <cell r="E360">
            <v>0</v>
          </cell>
          <cell r="F360">
            <v>0</v>
          </cell>
        </row>
        <row r="361">
          <cell r="A361" t="str">
            <v>700-70-060</v>
          </cell>
          <cell r="B361" t="str">
            <v>ACCRUED INTEREST</v>
          </cell>
          <cell r="C361">
            <v>0</v>
          </cell>
          <cell r="D361">
            <v>0</v>
          </cell>
          <cell r="E361">
            <v>0</v>
          </cell>
          <cell r="F361">
            <v>0</v>
          </cell>
        </row>
        <row r="362">
          <cell r="A362" t="str">
            <v>700-70-065</v>
          </cell>
          <cell r="B362" t="str">
            <v>ATHI RIVER MINING</v>
          </cell>
          <cell r="C362">
            <v>0</v>
          </cell>
          <cell r="D362">
            <v>0</v>
          </cell>
          <cell r="E362">
            <v>0</v>
          </cell>
          <cell r="F362">
            <v>0</v>
          </cell>
        </row>
        <row r="363">
          <cell r="A363" t="str">
            <v>700-70-070</v>
          </cell>
          <cell r="B363" t="str">
            <v>CMC HOLDINGS</v>
          </cell>
          <cell r="C363">
            <v>0</v>
          </cell>
          <cell r="D363">
            <v>0</v>
          </cell>
          <cell r="E363">
            <v>0</v>
          </cell>
          <cell r="F363">
            <v>0</v>
          </cell>
        </row>
        <row r="364">
          <cell r="A364" t="str">
            <v>700-70-075</v>
          </cell>
          <cell r="B364" t="str">
            <v>GAIN/LOSS ON VALUATION</v>
          </cell>
          <cell r="C364">
            <v>0</v>
          </cell>
          <cell r="D364">
            <v>0</v>
          </cell>
          <cell r="E364">
            <v>0</v>
          </cell>
          <cell r="F364">
            <v>0</v>
          </cell>
        </row>
        <row r="365">
          <cell r="A365" t="str">
            <v>700-75-010</v>
          </cell>
          <cell r="B365" t="str">
            <v>LOAN ON MORTGAGE THIRD PARTY</v>
          </cell>
          <cell r="C365">
            <v>0</v>
          </cell>
          <cell r="D365">
            <v>0</v>
          </cell>
          <cell r="E365">
            <v>0</v>
          </cell>
          <cell r="F365">
            <v>0</v>
          </cell>
        </row>
        <row r="366">
          <cell r="A366" t="str">
            <v>700-75-020</v>
          </cell>
          <cell r="B366" t="str">
            <v>LOAN ON MORTGAGE -STAFF</v>
          </cell>
          <cell r="C366">
            <v>0</v>
          </cell>
          <cell r="D366">
            <v>0</v>
          </cell>
          <cell r="E366">
            <v>0</v>
          </cell>
          <cell r="F366">
            <v>0</v>
          </cell>
        </row>
        <row r="367">
          <cell r="A367" t="str">
            <v>700-75-025</v>
          </cell>
          <cell r="B367" t="str">
            <v>O/S INTEREST ON MORTGAGE</v>
          </cell>
          <cell r="C367">
            <v>0</v>
          </cell>
          <cell r="D367">
            <v>0</v>
          </cell>
          <cell r="E367">
            <v>0</v>
          </cell>
          <cell r="F367">
            <v>0</v>
          </cell>
        </row>
        <row r="368">
          <cell r="A368" t="str">
            <v>700-75-030</v>
          </cell>
          <cell r="B368" t="str">
            <v>MORTGAGE-RETREAT VILLA</v>
          </cell>
          <cell r="C368">
            <v>0</v>
          </cell>
          <cell r="D368">
            <v>0</v>
          </cell>
          <cell r="E368">
            <v>0</v>
          </cell>
          <cell r="F368">
            <v>0</v>
          </cell>
        </row>
        <row r="369">
          <cell r="A369" t="str">
            <v>700-78-010</v>
          </cell>
          <cell r="B369" t="str">
            <v>LOAN ON POLICY W/S/V</v>
          </cell>
          <cell r="C369">
            <v>0</v>
          </cell>
          <cell r="D369">
            <v>0</v>
          </cell>
          <cell r="E369">
            <v>0</v>
          </cell>
          <cell r="F369">
            <v>0</v>
          </cell>
        </row>
        <row r="370">
          <cell r="A370" t="str">
            <v>700-78-020</v>
          </cell>
          <cell r="B370" t="str">
            <v>LOAN ON POLICY TANZANIA</v>
          </cell>
          <cell r="C370">
            <v>0</v>
          </cell>
          <cell r="D370">
            <v>0</v>
          </cell>
          <cell r="E370">
            <v>0</v>
          </cell>
          <cell r="F370">
            <v>0</v>
          </cell>
        </row>
        <row r="371">
          <cell r="A371" t="str">
            <v>700-78-030</v>
          </cell>
          <cell r="B371" t="str">
            <v>LOAN ON POLICY REPAYMENT</v>
          </cell>
          <cell r="C371">
            <v>0</v>
          </cell>
          <cell r="D371">
            <v>0</v>
          </cell>
          <cell r="E371">
            <v>0</v>
          </cell>
          <cell r="F371">
            <v>0</v>
          </cell>
        </row>
        <row r="372">
          <cell r="A372" t="str">
            <v>700-78-040</v>
          </cell>
          <cell r="B372" t="str">
            <v>O/S INTEREST ON LOAN ON POLICY</v>
          </cell>
          <cell r="C372">
            <v>0</v>
          </cell>
          <cell r="D372">
            <v>0</v>
          </cell>
          <cell r="E372">
            <v>0</v>
          </cell>
          <cell r="F372">
            <v>0</v>
          </cell>
        </row>
        <row r="373">
          <cell r="A373" t="str">
            <v>700-78-050</v>
          </cell>
          <cell r="B373" t="str">
            <v>PROVISION FOR DOUBTFUL LOANS</v>
          </cell>
          <cell r="C373">
            <v>0</v>
          </cell>
          <cell r="D373">
            <v>0</v>
          </cell>
          <cell r="E373">
            <v>0</v>
          </cell>
          <cell r="F373">
            <v>0</v>
          </cell>
        </row>
        <row r="374">
          <cell r="A374" t="str">
            <v>700-79-010</v>
          </cell>
          <cell r="B374" t="str">
            <v>POLICY LOAN-FFFP</v>
          </cell>
          <cell r="C374">
            <v>0</v>
          </cell>
          <cell r="D374">
            <v>0</v>
          </cell>
          <cell r="E374">
            <v>0</v>
          </cell>
          <cell r="F374">
            <v>0</v>
          </cell>
        </row>
        <row r="375">
          <cell r="A375" t="str">
            <v>700-79-015</v>
          </cell>
          <cell r="B375" t="str">
            <v>LOAN REPAYMENT FFP</v>
          </cell>
          <cell r="C375">
            <v>0</v>
          </cell>
          <cell r="D375">
            <v>0</v>
          </cell>
          <cell r="E375">
            <v>0</v>
          </cell>
          <cell r="F375">
            <v>0</v>
          </cell>
        </row>
        <row r="376">
          <cell r="A376" t="str">
            <v>700-79-020</v>
          </cell>
          <cell r="B376" t="str">
            <v>POLICY LOAN WP</v>
          </cell>
          <cell r="C376">
            <v>0</v>
          </cell>
          <cell r="D376">
            <v>0</v>
          </cell>
          <cell r="E376">
            <v>0</v>
          </cell>
          <cell r="F376">
            <v>0</v>
          </cell>
        </row>
        <row r="377">
          <cell r="A377" t="str">
            <v>700-79-025</v>
          </cell>
          <cell r="B377" t="str">
            <v>LOAN REPAYMENT WP</v>
          </cell>
          <cell r="C377">
            <v>0</v>
          </cell>
          <cell r="D377">
            <v>0</v>
          </cell>
          <cell r="E377">
            <v>0</v>
          </cell>
          <cell r="F377">
            <v>0</v>
          </cell>
        </row>
        <row r="378">
          <cell r="A378" t="str">
            <v>700-79-030</v>
          </cell>
          <cell r="B378" t="str">
            <v>GAIN ON VALUATION</v>
          </cell>
          <cell r="C378">
            <v>0</v>
          </cell>
          <cell r="D378">
            <v>0</v>
          </cell>
          <cell r="E378">
            <v>0</v>
          </cell>
          <cell r="F378">
            <v>0</v>
          </cell>
        </row>
        <row r="379">
          <cell r="A379" t="str">
            <v>700-80-010</v>
          </cell>
          <cell r="B379" t="str">
            <v>STAFF LOANS</v>
          </cell>
          <cell r="C379">
            <v>0</v>
          </cell>
          <cell r="D379">
            <v>0</v>
          </cell>
          <cell r="E379">
            <v>0</v>
          </cell>
          <cell r="F379">
            <v>0</v>
          </cell>
        </row>
        <row r="380">
          <cell r="A380" t="str">
            <v>700-80-020</v>
          </cell>
          <cell r="B380" t="str">
            <v>AGENTS COMMISSION CONTROL ACCOUNT</v>
          </cell>
          <cell r="C380">
            <v>0</v>
          </cell>
          <cell r="D380">
            <v>0</v>
          </cell>
          <cell r="E380">
            <v>0</v>
          </cell>
          <cell r="F380">
            <v>0</v>
          </cell>
        </row>
        <row r="381">
          <cell r="A381" t="str">
            <v>700-80-025</v>
          </cell>
          <cell r="B381" t="str">
            <v>AGENTS LOAN -COP</v>
          </cell>
          <cell r="C381">
            <v>0</v>
          </cell>
          <cell r="D381">
            <v>0</v>
          </cell>
          <cell r="E381">
            <v>0</v>
          </cell>
          <cell r="F381">
            <v>0</v>
          </cell>
        </row>
        <row r="382">
          <cell r="A382" t="str">
            <v>700-80-030</v>
          </cell>
          <cell r="B382" t="str">
            <v>AGENTS LOAN-MV PREMIUMS</v>
          </cell>
          <cell r="C382">
            <v>0</v>
          </cell>
          <cell r="D382">
            <v>0</v>
          </cell>
          <cell r="E382">
            <v>0</v>
          </cell>
          <cell r="F382">
            <v>0</v>
          </cell>
        </row>
        <row r="383">
          <cell r="A383" t="str">
            <v>700-80-035</v>
          </cell>
          <cell r="B383" t="str">
            <v>AGENTS LOAN-MEDICAL PREMIUMS</v>
          </cell>
          <cell r="C383">
            <v>0</v>
          </cell>
          <cell r="D383">
            <v>0</v>
          </cell>
          <cell r="E383">
            <v>0</v>
          </cell>
          <cell r="F383">
            <v>0</v>
          </cell>
        </row>
        <row r="384">
          <cell r="A384" t="str">
            <v>700-80-040</v>
          </cell>
          <cell r="B384" t="str">
            <v>AGENTS LOAN-1,2,3,4</v>
          </cell>
          <cell r="C384">
            <v>0</v>
          </cell>
          <cell r="D384">
            <v>0</v>
          </cell>
          <cell r="E384">
            <v>0</v>
          </cell>
          <cell r="F384">
            <v>0</v>
          </cell>
        </row>
        <row r="385">
          <cell r="A385" t="str">
            <v>700-80-045</v>
          </cell>
          <cell r="B385" t="str">
            <v>AGENTS LOAN -OTHERS</v>
          </cell>
          <cell r="C385">
            <v>0</v>
          </cell>
          <cell r="D385">
            <v>0</v>
          </cell>
          <cell r="E385">
            <v>0</v>
          </cell>
          <cell r="F385">
            <v>0</v>
          </cell>
        </row>
        <row r="386">
          <cell r="A386" t="str">
            <v>700-80-050</v>
          </cell>
          <cell r="B386" t="str">
            <v>AGENTS CAR LOANS</v>
          </cell>
          <cell r="C386">
            <v>0</v>
          </cell>
          <cell r="D386">
            <v>0</v>
          </cell>
          <cell r="E386">
            <v>0</v>
          </cell>
          <cell r="F386">
            <v>0</v>
          </cell>
        </row>
        <row r="387">
          <cell r="A387" t="str">
            <v>700-80-051</v>
          </cell>
          <cell r="B387" t="str">
            <v>PROVISIONS FOR DOUBTFUL MORTGAGES</v>
          </cell>
          <cell r="C387">
            <v>0</v>
          </cell>
          <cell r="D387">
            <v>0</v>
          </cell>
          <cell r="E387">
            <v>0</v>
          </cell>
          <cell r="F387">
            <v>0</v>
          </cell>
        </row>
        <row r="388">
          <cell r="A388" t="str">
            <v>700-80-055</v>
          </cell>
          <cell r="B388" t="str">
            <v>STAFF CAR LOANS</v>
          </cell>
          <cell r="C388">
            <v>0</v>
          </cell>
          <cell r="D388">
            <v>0</v>
          </cell>
          <cell r="E388">
            <v>0</v>
          </cell>
          <cell r="F388">
            <v>0</v>
          </cell>
        </row>
        <row r="389">
          <cell r="A389" t="str">
            <v>700-80-060</v>
          </cell>
          <cell r="B389" t="str">
            <v>MORTGAGE LOANS</v>
          </cell>
          <cell r="C389">
            <v>0</v>
          </cell>
          <cell r="D389">
            <v>0</v>
          </cell>
          <cell r="E389">
            <v>0</v>
          </cell>
          <cell r="F389">
            <v>0</v>
          </cell>
        </row>
        <row r="390">
          <cell r="A390" t="str">
            <v>700-80-065</v>
          </cell>
          <cell r="B390" t="str">
            <v>N/L PREMIUMS</v>
          </cell>
          <cell r="C390">
            <v>0</v>
          </cell>
          <cell r="D390">
            <v>0</v>
          </cell>
          <cell r="E390">
            <v>0</v>
          </cell>
          <cell r="F390">
            <v>0</v>
          </cell>
        </row>
        <row r="391">
          <cell r="A391" t="str">
            <v>700-80-066</v>
          </cell>
          <cell r="B391" t="str">
            <v>CORPORATION TAX-TANZANIA</v>
          </cell>
          <cell r="C391">
            <v>0</v>
          </cell>
          <cell r="D391">
            <v>0</v>
          </cell>
          <cell r="E391">
            <v>0</v>
          </cell>
          <cell r="F391">
            <v>0</v>
          </cell>
        </row>
        <row r="392">
          <cell r="A392" t="str">
            <v>700-80-067</v>
          </cell>
          <cell r="B392" t="str">
            <v>PAN AFRICA INS. PENSION SCHEME</v>
          </cell>
          <cell r="C392">
            <v>0</v>
          </cell>
          <cell r="D392">
            <v>0</v>
          </cell>
          <cell r="E392">
            <v>0</v>
          </cell>
          <cell r="F392">
            <v>0</v>
          </cell>
        </row>
        <row r="393">
          <cell r="A393" t="str">
            <v>700-80-068</v>
          </cell>
          <cell r="B393" t="str">
            <v>RENT DEPOSITS</v>
          </cell>
          <cell r="C393">
            <v>0</v>
          </cell>
          <cell r="D393">
            <v>0</v>
          </cell>
          <cell r="E393">
            <v>0</v>
          </cell>
          <cell r="F393">
            <v>0</v>
          </cell>
        </row>
        <row r="394">
          <cell r="A394" t="str">
            <v>700-80-069</v>
          </cell>
          <cell r="B394" t="str">
            <v>TANZANIA AACOUNT</v>
          </cell>
          <cell r="C394">
            <v>0</v>
          </cell>
          <cell r="D394">
            <v>0</v>
          </cell>
          <cell r="E394">
            <v>0</v>
          </cell>
          <cell r="F394">
            <v>0</v>
          </cell>
        </row>
        <row r="395">
          <cell r="A395" t="str">
            <v>700-80-070</v>
          </cell>
          <cell r="B395" t="str">
            <v>STAFF MEDICAL - RECOVERABLE</v>
          </cell>
          <cell r="C395">
            <v>-3000</v>
          </cell>
          <cell r="D395">
            <v>0</v>
          </cell>
          <cell r="E395">
            <v>-3000</v>
          </cell>
          <cell r="F395">
            <v>-3000</v>
          </cell>
        </row>
        <row r="396">
          <cell r="A396" t="str">
            <v>700-81-010</v>
          </cell>
          <cell r="B396" t="str">
            <v>KNIGHT FRANK</v>
          </cell>
          <cell r="C396">
            <v>0</v>
          </cell>
          <cell r="D396">
            <v>0</v>
          </cell>
          <cell r="E396">
            <v>0</v>
          </cell>
          <cell r="F396">
            <v>0</v>
          </cell>
        </row>
        <row r="397">
          <cell r="A397" t="str">
            <v>700-81-015</v>
          </cell>
          <cell r="B397" t="str">
            <v>CASH IN TRANSIT</v>
          </cell>
          <cell r="C397">
            <v>6763</v>
          </cell>
          <cell r="D397">
            <v>0</v>
          </cell>
          <cell r="E397">
            <v>6763</v>
          </cell>
          <cell r="F397">
            <v>6763</v>
          </cell>
        </row>
        <row r="398">
          <cell r="A398" t="str">
            <v>700-81-020</v>
          </cell>
          <cell r="B398" t="str">
            <v>CBRE</v>
          </cell>
          <cell r="C398">
            <v>0</v>
          </cell>
          <cell r="D398">
            <v>0</v>
          </cell>
          <cell r="E398">
            <v>0</v>
          </cell>
          <cell r="F398">
            <v>0</v>
          </cell>
        </row>
        <row r="399">
          <cell r="A399" t="str">
            <v>700-82-010</v>
          </cell>
          <cell r="B399" t="str">
            <v>PREDEBIT DEBTOR-DDI</v>
          </cell>
          <cell r="C399">
            <v>0</v>
          </cell>
          <cell r="D399">
            <v>0</v>
          </cell>
          <cell r="E399">
            <v>0</v>
          </cell>
          <cell r="F399">
            <v>0</v>
          </cell>
        </row>
        <row r="400">
          <cell r="A400" t="str">
            <v>700-82-020</v>
          </cell>
          <cell r="B400" t="str">
            <v>PREDEBIT DEBTOR -BSO</v>
          </cell>
          <cell r="C400">
            <v>0</v>
          </cell>
          <cell r="D400">
            <v>0</v>
          </cell>
          <cell r="E400">
            <v>0</v>
          </cell>
          <cell r="F400">
            <v>0</v>
          </cell>
        </row>
        <row r="401">
          <cell r="A401" t="str">
            <v>700-82-030</v>
          </cell>
          <cell r="B401" t="str">
            <v>PREDEBIT DEBTOR- CHECK OFF</v>
          </cell>
          <cell r="C401">
            <v>0</v>
          </cell>
          <cell r="D401">
            <v>0</v>
          </cell>
          <cell r="E401">
            <v>0</v>
          </cell>
          <cell r="F401">
            <v>0</v>
          </cell>
        </row>
        <row r="402">
          <cell r="A402" t="str">
            <v>700-82-040</v>
          </cell>
          <cell r="B402" t="str">
            <v>PREDEBIT DEBTOR - CASH</v>
          </cell>
          <cell r="C402">
            <v>0</v>
          </cell>
          <cell r="D402">
            <v>0</v>
          </cell>
          <cell r="E402">
            <v>0</v>
          </cell>
          <cell r="F402">
            <v>0</v>
          </cell>
        </row>
        <row r="403">
          <cell r="A403" t="str">
            <v>700-82-050</v>
          </cell>
          <cell r="B403" t="str">
            <v>UNDEFINED DEBITS</v>
          </cell>
          <cell r="C403">
            <v>0</v>
          </cell>
          <cell r="D403">
            <v>0</v>
          </cell>
          <cell r="E403">
            <v>0</v>
          </cell>
          <cell r="F403">
            <v>0</v>
          </cell>
        </row>
        <row r="404">
          <cell r="A404" t="str">
            <v>700-83-010</v>
          </cell>
          <cell r="B404" t="str">
            <v>REINSURANCE DEBTOR</v>
          </cell>
          <cell r="C404">
            <v>-21363410</v>
          </cell>
          <cell r="D404">
            <v>0</v>
          </cell>
          <cell r="E404">
            <v>-21363410</v>
          </cell>
          <cell r="F404">
            <v>-21363410</v>
          </cell>
        </row>
        <row r="405">
          <cell r="A405" t="str">
            <v>700-84-010</v>
          </cell>
          <cell r="B405" t="str">
            <v>O/S PREMIUMS API</v>
          </cell>
          <cell r="C405">
            <v>0</v>
          </cell>
          <cell r="D405">
            <v>0</v>
          </cell>
          <cell r="E405">
            <v>0</v>
          </cell>
          <cell r="F405">
            <v>0</v>
          </cell>
        </row>
        <row r="406">
          <cell r="A406" t="str">
            <v>700-85-010</v>
          </cell>
          <cell r="B406" t="str">
            <v>PREPAYMENTS</v>
          </cell>
          <cell r="C406">
            <v>-7001</v>
          </cell>
          <cell r="D406">
            <v>0</v>
          </cell>
          <cell r="E406">
            <v>-7001</v>
          </cell>
          <cell r="F406">
            <v>-7001</v>
          </cell>
        </row>
        <row r="407">
          <cell r="A407" t="str">
            <v>700-85-015</v>
          </cell>
          <cell r="B407" t="str">
            <v>EXECUTIVE CONTRA</v>
          </cell>
          <cell r="C407">
            <v>0</v>
          </cell>
          <cell r="D407">
            <v>0</v>
          </cell>
          <cell r="E407">
            <v>0</v>
          </cell>
          <cell r="F407">
            <v>0</v>
          </cell>
        </row>
        <row r="408">
          <cell r="A408" t="str">
            <v>700-85-020</v>
          </cell>
          <cell r="B408" t="str">
            <v>STAFF CONTRA</v>
          </cell>
          <cell r="C408">
            <v>0</v>
          </cell>
          <cell r="D408">
            <v>0</v>
          </cell>
          <cell r="E408">
            <v>0</v>
          </cell>
          <cell r="F408">
            <v>0</v>
          </cell>
        </row>
        <row r="409">
          <cell r="A409" t="str">
            <v>700-85-025</v>
          </cell>
          <cell r="B409" t="str">
            <v>PREDEBIT DEBTOR</v>
          </cell>
          <cell r="C409">
            <v>-15252</v>
          </cell>
          <cell r="D409">
            <v>0</v>
          </cell>
          <cell r="E409">
            <v>-15252</v>
          </cell>
          <cell r="F409">
            <v>-15252</v>
          </cell>
        </row>
        <row r="410">
          <cell r="A410" t="str">
            <v>700-85-030</v>
          </cell>
          <cell r="B410" t="str">
            <v>HUBRIS HOLDINGS LTD</v>
          </cell>
          <cell r="C410">
            <v>0</v>
          </cell>
          <cell r="D410">
            <v>0</v>
          </cell>
          <cell r="E410">
            <v>0</v>
          </cell>
          <cell r="F410">
            <v>0</v>
          </cell>
        </row>
        <row r="411">
          <cell r="A411" t="str">
            <v>700-85-031</v>
          </cell>
          <cell r="B411" t="str">
            <v>SANLAM</v>
          </cell>
          <cell r="C411">
            <v>-4135323.38</v>
          </cell>
          <cell r="D411">
            <v>0</v>
          </cell>
          <cell r="E411">
            <v>-4135323.38</v>
          </cell>
          <cell r="F411">
            <v>-4135323.38</v>
          </cell>
        </row>
        <row r="412">
          <cell r="A412" t="str">
            <v>700-85-032</v>
          </cell>
          <cell r="B412" t="str">
            <v>SANLAM-CAPETOWN</v>
          </cell>
          <cell r="C412">
            <v>0</v>
          </cell>
          <cell r="D412">
            <v>0</v>
          </cell>
          <cell r="E412">
            <v>0</v>
          </cell>
          <cell r="F412">
            <v>0</v>
          </cell>
        </row>
        <row r="413">
          <cell r="A413" t="str">
            <v>700-85-040</v>
          </cell>
          <cell r="B413" t="str">
            <v>DEPOSITS ACCOUNT</v>
          </cell>
          <cell r="C413">
            <v>0</v>
          </cell>
          <cell r="D413">
            <v>0</v>
          </cell>
          <cell r="E413">
            <v>0</v>
          </cell>
          <cell r="F413">
            <v>0</v>
          </cell>
        </row>
        <row r="414">
          <cell r="A414" t="str">
            <v>700-85-045</v>
          </cell>
          <cell r="B414" t="str">
            <v>P A SECURITIES</v>
          </cell>
          <cell r="C414">
            <v>0</v>
          </cell>
          <cell r="D414">
            <v>0</v>
          </cell>
          <cell r="E414">
            <v>0</v>
          </cell>
          <cell r="F414">
            <v>0</v>
          </cell>
        </row>
        <row r="415">
          <cell r="A415" t="str">
            <v>700-85-050</v>
          </cell>
          <cell r="B415" t="str">
            <v>CORPORATE (PENSIONS SCHEMES)</v>
          </cell>
          <cell r="C415">
            <v>0</v>
          </cell>
          <cell r="D415">
            <v>0</v>
          </cell>
          <cell r="E415">
            <v>0</v>
          </cell>
          <cell r="F415">
            <v>0</v>
          </cell>
        </row>
        <row r="416">
          <cell r="A416" t="str">
            <v>700-85-055</v>
          </cell>
          <cell r="B416" t="str">
            <v>ALA - GHANA</v>
          </cell>
          <cell r="C416">
            <v>0</v>
          </cell>
          <cell r="D416">
            <v>0</v>
          </cell>
          <cell r="E416">
            <v>0</v>
          </cell>
          <cell r="F416">
            <v>0</v>
          </cell>
        </row>
        <row r="417">
          <cell r="A417" t="str">
            <v>700-85-060</v>
          </cell>
          <cell r="B417" t="str">
            <v>ALA - ZAMBIA</v>
          </cell>
          <cell r="C417">
            <v>0</v>
          </cell>
          <cell r="D417">
            <v>0</v>
          </cell>
          <cell r="E417">
            <v>0</v>
          </cell>
          <cell r="F417">
            <v>0</v>
          </cell>
        </row>
        <row r="418">
          <cell r="A418" t="str">
            <v>700-85-065</v>
          </cell>
          <cell r="B418" t="str">
            <v>BBK DEBTOR</v>
          </cell>
          <cell r="C418">
            <v>0</v>
          </cell>
          <cell r="D418">
            <v>0</v>
          </cell>
          <cell r="E418">
            <v>0</v>
          </cell>
          <cell r="F418">
            <v>0</v>
          </cell>
        </row>
        <row r="419">
          <cell r="A419" t="str">
            <v>700-85-070</v>
          </cell>
          <cell r="B419" t="str">
            <v>SECURITY DEPOSITS</v>
          </cell>
          <cell r="C419">
            <v>0</v>
          </cell>
          <cell r="D419">
            <v>0</v>
          </cell>
          <cell r="E419">
            <v>0</v>
          </cell>
          <cell r="F419">
            <v>0</v>
          </cell>
        </row>
        <row r="420">
          <cell r="A420" t="str">
            <v>700-85-075</v>
          </cell>
          <cell r="B420" t="str">
            <v>PRIDE OF SANLAM COMPETITION</v>
          </cell>
          <cell r="C420">
            <v>0</v>
          </cell>
          <cell r="D420">
            <v>0</v>
          </cell>
          <cell r="E420">
            <v>0</v>
          </cell>
          <cell r="F420">
            <v>0</v>
          </cell>
        </row>
        <row r="421">
          <cell r="A421" t="str">
            <v>700-86-010</v>
          </cell>
          <cell r="B421" t="str">
            <v>CLAIMS RECOVERABLE</v>
          </cell>
          <cell r="C421">
            <v>81739321.939999998</v>
          </cell>
          <cell r="D421">
            <v>-20691324.440000001</v>
          </cell>
          <cell r="E421">
            <v>61047997.5</v>
          </cell>
          <cell r="F421">
            <v>61047997.5</v>
          </cell>
        </row>
        <row r="422">
          <cell r="A422" t="str">
            <v>700-87-010</v>
          </cell>
          <cell r="B422" t="str">
            <v>AGENCY DEVELOPMENT FUND</v>
          </cell>
          <cell r="C422">
            <v>0</v>
          </cell>
          <cell r="D422">
            <v>0</v>
          </cell>
          <cell r="E422">
            <v>0</v>
          </cell>
          <cell r="F422">
            <v>0</v>
          </cell>
        </row>
        <row r="423">
          <cell r="A423" t="str">
            <v>700-90-010</v>
          </cell>
          <cell r="B423" t="str">
            <v>BANK OF BARODA</v>
          </cell>
          <cell r="C423">
            <v>0</v>
          </cell>
          <cell r="D423">
            <v>0</v>
          </cell>
          <cell r="E423">
            <v>0</v>
          </cell>
          <cell r="F423">
            <v>0</v>
          </cell>
        </row>
        <row r="424">
          <cell r="A424" t="str">
            <v>700-90-030</v>
          </cell>
          <cell r="B424" t="str">
            <v>CBA-WABERA STREET</v>
          </cell>
          <cell r="C424">
            <v>0</v>
          </cell>
          <cell r="D424">
            <v>0</v>
          </cell>
          <cell r="E424">
            <v>0</v>
          </cell>
          <cell r="F424">
            <v>0</v>
          </cell>
        </row>
        <row r="425">
          <cell r="A425" t="str">
            <v>700-90-040</v>
          </cell>
          <cell r="B425" t="str">
            <v>BBK-MOMBASA</v>
          </cell>
          <cell r="C425">
            <v>0</v>
          </cell>
          <cell r="D425">
            <v>0</v>
          </cell>
          <cell r="E425">
            <v>0</v>
          </cell>
          <cell r="F425">
            <v>0</v>
          </cell>
        </row>
        <row r="426">
          <cell r="A426" t="str">
            <v>700-90-050</v>
          </cell>
          <cell r="B426" t="str">
            <v>SCB-COLLECTION A/C</v>
          </cell>
          <cell r="C426">
            <v>0</v>
          </cell>
          <cell r="D426">
            <v>0</v>
          </cell>
          <cell r="E426">
            <v>0</v>
          </cell>
          <cell r="F426">
            <v>0</v>
          </cell>
        </row>
        <row r="427">
          <cell r="A427" t="str">
            <v>700-90-060</v>
          </cell>
          <cell r="B427" t="str">
            <v>CO-OP UKULIMA</v>
          </cell>
          <cell r="C427">
            <v>0</v>
          </cell>
          <cell r="D427">
            <v>0</v>
          </cell>
          <cell r="E427">
            <v>0</v>
          </cell>
          <cell r="F427">
            <v>0</v>
          </cell>
        </row>
        <row r="428">
          <cell r="A428" t="str">
            <v>700-90-080</v>
          </cell>
          <cell r="B428" t="str">
            <v>BBK MERU</v>
          </cell>
          <cell r="C428">
            <v>0</v>
          </cell>
          <cell r="D428">
            <v>0</v>
          </cell>
          <cell r="E428">
            <v>0</v>
          </cell>
          <cell r="F428">
            <v>0</v>
          </cell>
        </row>
        <row r="429">
          <cell r="A429" t="str">
            <v>700-90-090</v>
          </cell>
          <cell r="B429" t="str">
            <v>BBK-NYERI</v>
          </cell>
          <cell r="C429">
            <v>0</v>
          </cell>
          <cell r="D429">
            <v>0</v>
          </cell>
          <cell r="E429">
            <v>0</v>
          </cell>
          <cell r="F429">
            <v>0</v>
          </cell>
        </row>
        <row r="430">
          <cell r="A430" t="str">
            <v>700-90-100</v>
          </cell>
          <cell r="B430" t="str">
            <v>BBK NBI(5776890)</v>
          </cell>
          <cell r="C430">
            <v>114063.35</v>
          </cell>
          <cell r="D430">
            <v>0</v>
          </cell>
          <cell r="E430">
            <v>114063.35</v>
          </cell>
          <cell r="F430">
            <v>114063.35</v>
          </cell>
        </row>
        <row r="431">
          <cell r="A431" t="str">
            <v>700-90-120</v>
          </cell>
          <cell r="B431" t="str">
            <v>BBK NBI (5776688)</v>
          </cell>
          <cell r="C431">
            <v>0</v>
          </cell>
          <cell r="D431">
            <v>0</v>
          </cell>
          <cell r="E431">
            <v>0</v>
          </cell>
          <cell r="F431">
            <v>0</v>
          </cell>
        </row>
        <row r="432">
          <cell r="A432" t="str">
            <v>700-90-140</v>
          </cell>
          <cell r="B432" t="str">
            <v>BBK-KISII</v>
          </cell>
          <cell r="C432">
            <v>0</v>
          </cell>
          <cell r="D432">
            <v>0</v>
          </cell>
          <cell r="E432">
            <v>0</v>
          </cell>
          <cell r="F432">
            <v>0</v>
          </cell>
        </row>
        <row r="433">
          <cell r="A433" t="str">
            <v>700-90-150</v>
          </cell>
          <cell r="B433" t="str">
            <v>BBK-KISUMU</v>
          </cell>
          <cell r="C433">
            <v>0</v>
          </cell>
          <cell r="D433">
            <v>0</v>
          </cell>
          <cell r="E433">
            <v>0</v>
          </cell>
          <cell r="F433">
            <v>0</v>
          </cell>
        </row>
        <row r="434">
          <cell r="A434" t="str">
            <v>700-90-160</v>
          </cell>
          <cell r="B434" t="str">
            <v>NAKURU</v>
          </cell>
          <cell r="C434">
            <v>0</v>
          </cell>
          <cell r="D434">
            <v>0</v>
          </cell>
          <cell r="E434">
            <v>0</v>
          </cell>
          <cell r="F434">
            <v>0</v>
          </cell>
        </row>
        <row r="435">
          <cell r="A435" t="str">
            <v>700-90-170</v>
          </cell>
          <cell r="B435" t="str">
            <v>BBK-ELDORET</v>
          </cell>
          <cell r="C435">
            <v>0</v>
          </cell>
          <cell r="D435">
            <v>0</v>
          </cell>
          <cell r="E435">
            <v>0</v>
          </cell>
          <cell r="F435">
            <v>0</v>
          </cell>
        </row>
        <row r="436">
          <cell r="A436" t="str">
            <v>700-90-190</v>
          </cell>
          <cell r="B436" t="str">
            <v>BBK-EMBU</v>
          </cell>
          <cell r="C436">
            <v>0</v>
          </cell>
          <cell r="D436">
            <v>0</v>
          </cell>
          <cell r="E436">
            <v>0</v>
          </cell>
          <cell r="F436">
            <v>0</v>
          </cell>
        </row>
        <row r="437">
          <cell r="A437" t="str">
            <v>700-90-200</v>
          </cell>
          <cell r="B437" t="str">
            <v>CO-OP CHUKA</v>
          </cell>
          <cell r="C437">
            <v>0</v>
          </cell>
          <cell r="D437">
            <v>0</v>
          </cell>
          <cell r="E437">
            <v>0</v>
          </cell>
          <cell r="F437">
            <v>0</v>
          </cell>
        </row>
        <row r="438">
          <cell r="A438" t="str">
            <v>700-90-210</v>
          </cell>
          <cell r="B438" t="str">
            <v>STANBIC NBI</v>
          </cell>
          <cell r="C438">
            <v>4516468.75</v>
          </cell>
          <cell r="D438">
            <v>1774062.5</v>
          </cell>
          <cell r="E438">
            <v>6290531.25</v>
          </cell>
          <cell r="F438">
            <v>6290531.25</v>
          </cell>
        </row>
        <row r="439">
          <cell r="A439" t="str">
            <v>700-90-220</v>
          </cell>
          <cell r="B439" t="str">
            <v>HOLDCO</v>
          </cell>
          <cell r="C439">
            <v>0</v>
          </cell>
          <cell r="D439">
            <v>0</v>
          </cell>
          <cell r="E439">
            <v>0</v>
          </cell>
          <cell r="F439">
            <v>0</v>
          </cell>
        </row>
        <row r="440">
          <cell r="A440" t="str">
            <v>700-90-230</v>
          </cell>
          <cell r="B440" t="str">
            <v>GRATUITY US DOLLAR</v>
          </cell>
          <cell r="C440">
            <v>0</v>
          </cell>
          <cell r="D440">
            <v>0</v>
          </cell>
          <cell r="E440">
            <v>0</v>
          </cell>
          <cell r="F440">
            <v>0</v>
          </cell>
        </row>
        <row r="441">
          <cell r="A441" t="str">
            <v>700-90-240</v>
          </cell>
          <cell r="B441" t="str">
            <v>BBK-THIKA</v>
          </cell>
          <cell r="C441">
            <v>0</v>
          </cell>
          <cell r="D441">
            <v>0</v>
          </cell>
          <cell r="E441">
            <v>0</v>
          </cell>
          <cell r="F441">
            <v>0</v>
          </cell>
        </row>
        <row r="442">
          <cell r="A442" t="str">
            <v>700-90-260</v>
          </cell>
          <cell r="B442" t="str">
            <v>BBK(5039027)ADMINSTRATION</v>
          </cell>
          <cell r="C442">
            <v>0</v>
          </cell>
          <cell r="D442">
            <v>0</v>
          </cell>
          <cell r="E442">
            <v>0</v>
          </cell>
          <cell r="F442">
            <v>0</v>
          </cell>
        </row>
        <row r="443">
          <cell r="A443" t="str">
            <v>700-90-270</v>
          </cell>
          <cell r="B443" t="str">
            <v>BBK-(5039051)COLLECTIONS</v>
          </cell>
          <cell r="C443">
            <v>0</v>
          </cell>
          <cell r="D443">
            <v>0</v>
          </cell>
          <cell r="E443">
            <v>0</v>
          </cell>
          <cell r="F443">
            <v>0</v>
          </cell>
        </row>
        <row r="444">
          <cell r="A444" t="str">
            <v>700-90-280</v>
          </cell>
          <cell r="B444" t="str">
            <v>BBK(5039035) EXPENSES</v>
          </cell>
          <cell r="C444">
            <v>-6500</v>
          </cell>
          <cell r="D444">
            <v>0</v>
          </cell>
          <cell r="E444">
            <v>-6500</v>
          </cell>
          <cell r="F444">
            <v>-6500</v>
          </cell>
        </row>
        <row r="445">
          <cell r="A445" t="str">
            <v>700-90-285</v>
          </cell>
          <cell r="B445" t="str">
            <v>BBK MOI AVENUE - 5776793 -GROUP LIFE</v>
          </cell>
          <cell r="C445">
            <v>-24566592.949999999</v>
          </cell>
          <cell r="D445">
            <v>-9949822.1999999993</v>
          </cell>
          <cell r="E445">
            <v>-34516415.149999999</v>
          </cell>
          <cell r="F445">
            <v>-34516415.149999999</v>
          </cell>
        </row>
        <row r="446">
          <cell r="A446" t="str">
            <v>700-90-290</v>
          </cell>
          <cell r="B446" t="str">
            <v>N.I.C BANK - GROUP PENSION</v>
          </cell>
          <cell r="C446">
            <v>239579.7</v>
          </cell>
          <cell r="D446">
            <v>0</v>
          </cell>
          <cell r="E446">
            <v>239579.7</v>
          </cell>
          <cell r="F446">
            <v>239579.7</v>
          </cell>
        </row>
        <row r="447">
          <cell r="A447" t="str">
            <v>700-90-295</v>
          </cell>
          <cell r="B447" t="str">
            <v>NATIONAL BANK-01010153900</v>
          </cell>
          <cell r="C447">
            <v>-4230482.5</v>
          </cell>
          <cell r="D447">
            <v>-7400000</v>
          </cell>
          <cell r="E447">
            <v>-11630482.5</v>
          </cell>
          <cell r="F447">
            <v>-11630482.5</v>
          </cell>
        </row>
        <row r="448">
          <cell r="A448" t="str">
            <v>700-90-300</v>
          </cell>
          <cell r="B448" t="str">
            <v>STANCHART-SRBS</v>
          </cell>
          <cell r="C448">
            <v>-3500</v>
          </cell>
          <cell r="D448">
            <v>0</v>
          </cell>
          <cell r="E448">
            <v>-3500</v>
          </cell>
          <cell r="F448">
            <v>-3500</v>
          </cell>
        </row>
        <row r="449">
          <cell r="A449" t="str">
            <v>700-90-305</v>
          </cell>
          <cell r="B449" t="str">
            <v>EQUITY BANK-PREMIUM COLLECTION A/C</v>
          </cell>
          <cell r="C449">
            <v>0</v>
          </cell>
          <cell r="D449">
            <v>0</v>
          </cell>
          <cell r="E449">
            <v>0</v>
          </cell>
          <cell r="F449">
            <v>0</v>
          </cell>
        </row>
        <row r="450">
          <cell r="A450" t="str">
            <v>700-90-310</v>
          </cell>
          <cell r="B450" t="str">
            <v>FAMILY FINANCE-PREMIUM COLLECTION A/C</v>
          </cell>
          <cell r="C450">
            <v>0</v>
          </cell>
          <cell r="D450">
            <v>0</v>
          </cell>
          <cell r="E450">
            <v>0</v>
          </cell>
          <cell r="F450">
            <v>0</v>
          </cell>
        </row>
        <row r="451">
          <cell r="A451" t="str">
            <v>700-90-315</v>
          </cell>
          <cell r="B451" t="str">
            <v>BARCLAYS BANK - UNIT LINK 5024895</v>
          </cell>
          <cell r="C451">
            <v>0</v>
          </cell>
          <cell r="D451">
            <v>0</v>
          </cell>
          <cell r="E451">
            <v>0</v>
          </cell>
          <cell r="F451">
            <v>0</v>
          </cell>
        </row>
        <row r="452">
          <cell r="A452" t="str">
            <v>700-90-320</v>
          </cell>
          <cell r="B452" t="str">
            <v>KENYA COMMERCIAL BANK-017-229714944</v>
          </cell>
          <cell r="C452">
            <v>0</v>
          </cell>
          <cell r="D452">
            <v>0</v>
          </cell>
          <cell r="E452">
            <v>0</v>
          </cell>
          <cell r="F452">
            <v>0</v>
          </cell>
        </row>
        <row r="453">
          <cell r="A453" t="str">
            <v>700-90-321</v>
          </cell>
          <cell r="B453" t="str">
            <v>CALL DEPOSIT-BARLAYS PLAZA</v>
          </cell>
          <cell r="C453">
            <v>0</v>
          </cell>
          <cell r="D453">
            <v>0</v>
          </cell>
          <cell r="E453">
            <v>0</v>
          </cell>
          <cell r="F453">
            <v>0</v>
          </cell>
        </row>
        <row r="454">
          <cell r="A454" t="str">
            <v>700-90-322</v>
          </cell>
          <cell r="B454" t="str">
            <v>CALL DEPOSIT-BARLAYS CORPORATE BUSINESS</v>
          </cell>
          <cell r="C454">
            <v>41674621.329999998</v>
          </cell>
          <cell r="D454">
            <v>-6000000</v>
          </cell>
          <cell r="E454">
            <v>35674621.329999998</v>
          </cell>
          <cell r="F454">
            <v>35674621.329999998</v>
          </cell>
        </row>
        <row r="455">
          <cell r="A455" t="str">
            <v>700-90-325</v>
          </cell>
          <cell r="B455" t="str">
            <v>STANDARD CHARTERED - PAN AFRICA RENT</v>
          </cell>
          <cell r="C455">
            <v>0</v>
          </cell>
          <cell r="D455">
            <v>0</v>
          </cell>
          <cell r="E455">
            <v>0</v>
          </cell>
          <cell r="F455">
            <v>0</v>
          </cell>
        </row>
        <row r="456">
          <cell r="A456" t="str">
            <v>700-90-326</v>
          </cell>
          <cell r="B456" t="str">
            <v>YEAR END BANK BALANCES ADJUSTMENT</v>
          </cell>
          <cell r="C456">
            <v>0</v>
          </cell>
          <cell r="D456">
            <v>0</v>
          </cell>
          <cell r="E456">
            <v>0</v>
          </cell>
          <cell r="F456">
            <v>0</v>
          </cell>
        </row>
        <row r="457">
          <cell r="A457" t="str">
            <v>700-95-010</v>
          </cell>
          <cell r="B457" t="str">
            <v>PETTY CASH</v>
          </cell>
          <cell r="C457">
            <v>0</v>
          </cell>
          <cell r="D457">
            <v>0</v>
          </cell>
          <cell r="E457">
            <v>0</v>
          </cell>
          <cell r="F457">
            <v>0</v>
          </cell>
        </row>
        <row r="458">
          <cell r="A458" t="str">
            <v>700-96-010</v>
          </cell>
          <cell r="B458" t="str">
            <v>GROUP PREMIUM DEBTOR</v>
          </cell>
          <cell r="C458">
            <v>217026585.06999999</v>
          </cell>
          <cell r="D458">
            <v>-18608854.699999999</v>
          </cell>
          <cell r="E458">
            <v>198417730.37</v>
          </cell>
          <cell r="F458">
            <v>198417730.37</v>
          </cell>
        </row>
        <row r="459">
          <cell r="A459" t="str">
            <v>800-10-010</v>
          </cell>
          <cell r="B459" t="str">
            <v>CHANGE IN POLICYHOLDER LIABILITIES</v>
          </cell>
          <cell r="C459">
            <v>-406302000</v>
          </cell>
          <cell r="D459">
            <v>0</v>
          </cell>
          <cell r="E459">
            <v>-406302000</v>
          </cell>
          <cell r="F459">
            <v>-406302000</v>
          </cell>
        </row>
        <row r="460">
          <cell r="A460" t="str">
            <v>800-10-011</v>
          </cell>
          <cell r="B460" t="str">
            <v>DEFERRED INCOME PRIOR YEAR ADJUSTMENT</v>
          </cell>
          <cell r="C460">
            <v>0</v>
          </cell>
          <cell r="D460">
            <v>0</v>
          </cell>
          <cell r="E460">
            <v>0</v>
          </cell>
          <cell r="F460">
            <v>0</v>
          </cell>
        </row>
        <row r="461">
          <cell r="A461" t="str">
            <v>800-10-015</v>
          </cell>
          <cell r="B461" t="str">
            <v>GENERAL FUND</v>
          </cell>
          <cell r="C461">
            <v>0</v>
          </cell>
          <cell r="D461">
            <v>0</v>
          </cell>
          <cell r="E461">
            <v>0</v>
          </cell>
          <cell r="F461">
            <v>0</v>
          </cell>
        </row>
        <row r="462">
          <cell r="A462" t="str">
            <v>800-10-020</v>
          </cell>
          <cell r="B462" t="str">
            <v>CLAIMS RESERVES</v>
          </cell>
          <cell r="C462">
            <v>0</v>
          </cell>
          <cell r="D462">
            <v>0</v>
          </cell>
          <cell r="E462">
            <v>0</v>
          </cell>
          <cell r="F462">
            <v>0</v>
          </cell>
        </row>
        <row r="463">
          <cell r="A463" t="str">
            <v>800-10-025</v>
          </cell>
          <cell r="B463" t="str">
            <v>UNIT LINK INVESTMENTS</v>
          </cell>
          <cell r="C463">
            <v>0</v>
          </cell>
          <cell r="D463">
            <v>0</v>
          </cell>
          <cell r="E463">
            <v>0</v>
          </cell>
          <cell r="F463">
            <v>0</v>
          </cell>
        </row>
        <row r="464">
          <cell r="A464" t="str">
            <v>800-10-050</v>
          </cell>
          <cell r="B464" t="str">
            <v>TRANSFER TO SHAREHOLDERS FUND</v>
          </cell>
          <cell r="C464">
            <v>0</v>
          </cell>
          <cell r="D464">
            <v>0</v>
          </cell>
          <cell r="E464">
            <v>0</v>
          </cell>
          <cell r="F464">
            <v>0</v>
          </cell>
        </row>
        <row r="465">
          <cell r="A465" t="str">
            <v>800-12-010</v>
          </cell>
          <cell r="B465" t="str">
            <v>MEMORANDUM ENTRIES</v>
          </cell>
          <cell r="C465">
            <v>0</v>
          </cell>
          <cell r="D465">
            <v>0</v>
          </cell>
          <cell r="E465">
            <v>0</v>
          </cell>
          <cell r="F465">
            <v>0</v>
          </cell>
        </row>
        <row r="466">
          <cell r="A466" t="str">
            <v>800-15-010</v>
          </cell>
          <cell r="B466" t="str">
            <v>UNPROCESSED PREMIUMS-DDI</v>
          </cell>
          <cell r="C466">
            <v>-132100.35</v>
          </cell>
          <cell r="D466">
            <v>0</v>
          </cell>
          <cell r="E466">
            <v>-132100.35</v>
          </cell>
          <cell r="F466">
            <v>-132100.35</v>
          </cell>
        </row>
        <row r="467">
          <cell r="A467" t="str">
            <v>800-15-011</v>
          </cell>
          <cell r="B467" t="str">
            <v>UNPROCESSED PREMIUMS-BSO</v>
          </cell>
          <cell r="C467">
            <v>0</v>
          </cell>
          <cell r="D467">
            <v>0</v>
          </cell>
          <cell r="E467">
            <v>0</v>
          </cell>
          <cell r="F467">
            <v>0</v>
          </cell>
        </row>
        <row r="468">
          <cell r="A468" t="str">
            <v>800-15-012</v>
          </cell>
          <cell r="B468" t="str">
            <v>UNPROCESSED PREMIUMS-CHECK OFF</v>
          </cell>
          <cell r="C468">
            <v>0</v>
          </cell>
          <cell r="D468">
            <v>0</v>
          </cell>
          <cell r="E468">
            <v>0</v>
          </cell>
          <cell r="F468">
            <v>0</v>
          </cell>
        </row>
        <row r="469">
          <cell r="A469" t="str">
            <v>800-15-013</v>
          </cell>
          <cell r="B469" t="str">
            <v>UNPROCESSED PREMIUMS-CASH</v>
          </cell>
          <cell r="C469">
            <v>0</v>
          </cell>
          <cell r="D469">
            <v>0</v>
          </cell>
          <cell r="E469">
            <v>0</v>
          </cell>
          <cell r="F469">
            <v>0</v>
          </cell>
        </row>
        <row r="470">
          <cell r="A470" t="str">
            <v>800-15-014</v>
          </cell>
          <cell r="B470" t="str">
            <v>UNPROCESSED PREMIUMS-WOP</v>
          </cell>
          <cell r="C470">
            <v>0</v>
          </cell>
          <cell r="D470">
            <v>0</v>
          </cell>
          <cell r="E470">
            <v>0</v>
          </cell>
          <cell r="F470">
            <v>0</v>
          </cell>
        </row>
        <row r="471">
          <cell r="A471" t="str">
            <v>800-15-020</v>
          </cell>
          <cell r="B471" t="str">
            <v>INACTIVE LEDGER</v>
          </cell>
          <cell r="C471">
            <v>0</v>
          </cell>
          <cell r="D471">
            <v>0</v>
          </cell>
          <cell r="E471">
            <v>0</v>
          </cell>
          <cell r="F471">
            <v>0</v>
          </cell>
        </row>
        <row r="472">
          <cell r="A472" t="str">
            <v>800-15-025</v>
          </cell>
          <cell r="B472" t="str">
            <v>PREMIUMS-INADVANCE</v>
          </cell>
          <cell r="C472">
            <v>0</v>
          </cell>
          <cell r="D472">
            <v>0</v>
          </cell>
          <cell r="E472">
            <v>0</v>
          </cell>
          <cell r="F472">
            <v>0</v>
          </cell>
        </row>
        <row r="473">
          <cell r="A473" t="str">
            <v>800-15-030</v>
          </cell>
          <cell r="B473" t="str">
            <v>REFUND ON MATURITIES</v>
          </cell>
          <cell r="C473">
            <v>0</v>
          </cell>
          <cell r="D473">
            <v>0</v>
          </cell>
          <cell r="E473">
            <v>0</v>
          </cell>
          <cell r="F473">
            <v>0</v>
          </cell>
        </row>
        <row r="474">
          <cell r="A474" t="str">
            <v>800-15-035</v>
          </cell>
          <cell r="B474" t="str">
            <v>REFUND ON CANCELLED POLICIES</v>
          </cell>
          <cell r="C474">
            <v>0</v>
          </cell>
          <cell r="D474">
            <v>0</v>
          </cell>
          <cell r="E474">
            <v>0</v>
          </cell>
          <cell r="F474">
            <v>0</v>
          </cell>
        </row>
        <row r="475">
          <cell r="A475" t="str">
            <v>800-15-040</v>
          </cell>
          <cell r="B475" t="str">
            <v>REFUND ON CANCELLED PROPOSALS</v>
          </cell>
          <cell r="C475">
            <v>0</v>
          </cell>
          <cell r="D475">
            <v>0</v>
          </cell>
          <cell r="E475">
            <v>0</v>
          </cell>
          <cell r="F475">
            <v>0</v>
          </cell>
        </row>
        <row r="476">
          <cell r="A476" t="str">
            <v>800-15-045</v>
          </cell>
          <cell r="B476" t="str">
            <v>REFUND ON SURRENDERS</v>
          </cell>
          <cell r="C476">
            <v>0</v>
          </cell>
          <cell r="D476">
            <v>0</v>
          </cell>
          <cell r="E476">
            <v>0</v>
          </cell>
          <cell r="F476">
            <v>0</v>
          </cell>
        </row>
        <row r="477">
          <cell r="A477" t="str">
            <v>800-15-050</v>
          </cell>
          <cell r="B477" t="str">
            <v>REFUND ON ERRONEOUS DEDUCTION</v>
          </cell>
          <cell r="C477">
            <v>0</v>
          </cell>
          <cell r="D477">
            <v>0</v>
          </cell>
          <cell r="E477">
            <v>0</v>
          </cell>
          <cell r="F477">
            <v>0</v>
          </cell>
        </row>
        <row r="478">
          <cell r="A478" t="str">
            <v>800-15-055</v>
          </cell>
          <cell r="B478" t="str">
            <v>REFUND ON 56,44,21 OTHERS</v>
          </cell>
          <cell r="C478">
            <v>0</v>
          </cell>
          <cell r="D478">
            <v>0</v>
          </cell>
          <cell r="E478">
            <v>0</v>
          </cell>
          <cell r="F478">
            <v>0</v>
          </cell>
        </row>
        <row r="479">
          <cell r="A479" t="str">
            <v>800-15-060</v>
          </cell>
          <cell r="B479" t="str">
            <v>UNDEFINED CREDITS</v>
          </cell>
          <cell r="C479">
            <v>0</v>
          </cell>
          <cell r="D479">
            <v>0</v>
          </cell>
          <cell r="E479">
            <v>0</v>
          </cell>
          <cell r="F479">
            <v>0</v>
          </cell>
        </row>
        <row r="480">
          <cell r="A480" t="str">
            <v>800-15-070</v>
          </cell>
          <cell r="B480" t="str">
            <v>PAYPOINT SUSPENSE</v>
          </cell>
          <cell r="C480">
            <v>0</v>
          </cell>
          <cell r="D480">
            <v>0</v>
          </cell>
          <cell r="E480">
            <v>0</v>
          </cell>
          <cell r="F480">
            <v>0</v>
          </cell>
        </row>
        <row r="481">
          <cell r="A481" t="str">
            <v>800-15-080</v>
          </cell>
          <cell r="B481" t="str">
            <v>MANUAL SUSPENSE</v>
          </cell>
          <cell r="C481">
            <v>0</v>
          </cell>
          <cell r="D481">
            <v>0</v>
          </cell>
          <cell r="E481">
            <v>0</v>
          </cell>
          <cell r="F481">
            <v>0</v>
          </cell>
        </row>
        <row r="482">
          <cell r="A482" t="str">
            <v>800-25-010</v>
          </cell>
          <cell r="B482" t="str">
            <v>LEASE LEGAL</v>
          </cell>
          <cell r="C482">
            <v>0</v>
          </cell>
          <cell r="D482">
            <v>0</v>
          </cell>
          <cell r="E482">
            <v>0</v>
          </cell>
          <cell r="F482">
            <v>0</v>
          </cell>
        </row>
        <row r="483">
          <cell r="A483" t="str">
            <v>800-25-015</v>
          </cell>
          <cell r="B483" t="str">
            <v>DEPOSITS RECEIVED(BUILDINGS)</v>
          </cell>
          <cell r="C483">
            <v>0</v>
          </cell>
          <cell r="D483">
            <v>0</v>
          </cell>
          <cell r="E483">
            <v>0</v>
          </cell>
          <cell r="F483">
            <v>0</v>
          </cell>
        </row>
        <row r="484">
          <cell r="A484" t="str">
            <v>800-25-020</v>
          </cell>
          <cell r="B484" t="str">
            <v>RENT RECEIVED IN ADVANCE-ANNUITY</v>
          </cell>
          <cell r="C484">
            <v>0</v>
          </cell>
          <cell r="D484">
            <v>0</v>
          </cell>
          <cell r="E484">
            <v>0</v>
          </cell>
          <cell r="F484">
            <v>0</v>
          </cell>
        </row>
        <row r="485">
          <cell r="A485" t="str">
            <v>800-25-030</v>
          </cell>
          <cell r="B485" t="str">
            <v>RENTAL ACCRUALS</v>
          </cell>
          <cell r="C485">
            <v>0</v>
          </cell>
          <cell r="D485">
            <v>0</v>
          </cell>
          <cell r="E485">
            <v>0</v>
          </cell>
          <cell r="F485">
            <v>0</v>
          </cell>
        </row>
        <row r="486">
          <cell r="A486" t="str">
            <v>800-30-010</v>
          </cell>
          <cell r="B486" t="str">
            <v>OUTPUT VAT</v>
          </cell>
          <cell r="C486">
            <v>-1040</v>
          </cell>
          <cell r="D486">
            <v>0</v>
          </cell>
          <cell r="E486">
            <v>-1040</v>
          </cell>
          <cell r="F486">
            <v>-1040</v>
          </cell>
        </row>
        <row r="487">
          <cell r="A487" t="str">
            <v>800-30-015</v>
          </cell>
          <cell r="B487" t="str">
            <v>CASH-IN-LIEU LEAVE</v>
          </cell>
          <cell r="C487">
            <v>-116853</v>
          </cell>
          <cell r="D487">
            <v>0</v>
          </cell>
          <cell r="E487">
            <v>-116853</v>
          </cell>
          <cell r="F487">
            <v>-116853</v>
          </cell>
        </row>
        <row r="488">
          <cell r="A488" t="str">
            <v>800-30-016</v>
          </cell>
          <cell r="B488" t="str">
            <v>OTHER ACCRUALS</v>
          </cell>
          <cell r="C488">
            <v>0</v>
          </cell>
          <cell r="D488">
            <v>0</v>
          </cell>
          <cell r="E488">
            <v>0</v>
          </cell>
          <cell r="F488">
            <v>0</v>
          </cell>
        </row>
        <row r="489">
          <cell r="A489" t="str">
            <v>800-30-017</v>
          </cell>
          <cell r="B489" t="str">
            <v>CUSTODY FEES</v>
          </cell>
          <cell r="C489">
            <v>0</v>
          </cell>
          <cell r="D489">
            <v>0</v>
          </cell>
          <cell r="E489">
            <v>0</v>
          </cell>
          <cell r="F489">
            <v>0</v>
          </cell>
        </row>
        <row r="490">
          <cell r="A490" t="str">
            <v>800-30-018</v>
          </cell>
          <cell r="B490" t="str">
            <v>O/S TAX</v>
          </cell>
          <cell r="C490">
            <v>0</v>
          </cell>
          <cell r="D490">
            <v>0</v>
          </cell>
          <cell r="E490">
            <v>0</v>
          </cell>
          <cell r="F490">
            <v>0</v>
          </cell>
        </row>
        <row r="491">
          <cell r="A491" t="str">
            <v>800-30-019</v>
          </cell>
          <cell r="B491" t="str">
            <v>DISPOSAL PROCEEDS FREE LANDER</v>
          </cell>
          <cell r="C491">
            <v>0</v>
          </cell>
          <cell r="D491">
            <v>0</v>
          </cell>
          <cell r="E491">
            <v>0</v>
          </cell>
          <cell r="F491">
            <v>0</v>
          </cell>
        </row>
        <row r="492">
          <cell r="A492" t="str">
            <v>800-30-020</v>
          </cell>
          <cell r="B492" t="str">
            <v>TRADE CREDITORS</v>
          </cell>
          <cell r="C492">
            <v>-484409.2</v>
          </cell>
          <cell r="D492">
            <v>0</v>
          </cell>
          <cell r="E492">
            <v>-484409.2</v>
          </cell>
          <cell r="F492">
            <v>-484409.2</v>
          </cell>
        </row>
        <row r="493">
          <cell r="A493" t="str">
            <v>800-30-025</v>
          </cell>
          <cell r="B493" t="str">
            <v>PROVISIONS FOR EXPENSES</v>
          </cell>
          <cell r="C493">
            <v>-44572405</v>
          </cell>
          <cell r="D493">
            <v>0</v>
          </cell>
          <cell r="E493">
            <v>-44572405</v>
          </cell>
          <cell r="F493">
            <v>-44572405</v>
          </cell>
        </row>
        <row r="494">
          <cell r="A494" t="str">
            <v>800-30-026</v>
          </cell>
          <cell r="B494" t="str">
            <v>PROVISION FOR BAD DEBTS-PREMIUM INCOME</v>
          </cell>
          <cell r="C494">
            <v>0</v>
          </cell>
          <cell r="D494">
            <v>0</v>
          </cell>
          <cell r="E494">
            <v>0</v>
          </cell>
          <cell r="F494">
            <v>0</v>
          </cell>
        </row>
        <row r="495">
          <cell r="A495" t="str">
            <v>800-30-029</v>
          </cell>
          <cell r="B495" t="str">
            <v>APA INSURANCE</v>
          </cell>
          <cell r="C495">
            <v>0</v>
          </cell>
          <cell r="D495">
            <v>0</v>
          </cell>
          <cell r="E495">
            <v>0</v>
          </cell>
          <cell r="F495">
            <v>0</v>
          </cell>
        </row>
        <row r="496">
          <cell r="A496" t="str">
            <v>800-30-030</v>
          </cell>
          <cell r="B496" t="str">
            <v>ALA TZ</v>
          </cell>
          <cell r="C496">
            <v>0</v>
          </cell>
          <cell r="D496">
            <v>0</v>
          </cell>
          <cell r="E496">
            <v>0</v>
          </cell>
          <cell r="F496">
            <v>0</v>
          </cell>
        </row>
        <row r="497">
          <cell r="A497" t="str">
            <v>800-30-031</v>
          </cell>
          <cell r="B497" t="str">
            <v>PA SECURITIES</v>
          </cell>
          <cell r="C497">
            <v>1851488.24</v>
          </cell>
          <cell r="D497">
            <v>0</v>
          </cell>
          <cell r="E497">
            <v>1851488.24</v>
          </cell>
          <cell r="F497">
            <v>1851488.24</v>
          </cell>
        </row>
        <row r="498">
          <cell r="A498" t="str">
            <v>800-30-032</v>
          </cell>
          <cell r="B498" t="str">
            <v>EXECUTIVE CONTRA</v>
          </cell>
          <cell r="C498">
            <v>0</v>
          </cell>
          <cell r="D498">
            <v>0</v>
          </cell>
          <cell r="E498">
            <v>0</v>
          </cell>
          <cell r="F498">
            <v>0</v>
          </cell>
        </row>
        <row r="499">
          <cell r="A499" t="str">
            <v>800-30-033</v>
          </cell>
          <cell r="B499" t="str">
            <v>DELOITTE(ACTUARY)</v>
          </cell>
          <cell r="C499">
            <v>0</v>
          </cell>
          <cell r="D499">
            <v>0</v>
          </cell>
          <cell r="E499">
            <v>0</v>
          </cell>
          <cell r="F499">
            <v>0</v>
          </cell>
        </row>
        <row r="500">
          <cell r="A500" t="str">
            <v>800-30-034</v>
          </cell>
          <cell r="B500" t="str">
            <v>PAIC HOLDINGS</v>
          </cell>
          <cell r="C500">
            <v>2962686.52</v>
          </cell>
          <cell r="D500">
            <v>0</v>
          </cell>
          <cell r="E500">
            <v>2962686.52</v>
          </cell>
          <cell r="F500">
            <v>2962686.52</v>
          </cell>
        </row>
        <row r="501">
          <cell r="A501" t="str">
            <v>800-30-035</v>
          </cell>
          <cell r="B501" t="str">
            <v>ALA-INTERCOMPANY</v>
          </cell>
          <cell r="C501">
            <v>0</v>
          </cell>
          <cell r="D501">
            <v>0</v>
          </cell>
          <cell r="E501">
            <v>0</v>
          </cell>
          <cell r="F501">
            <v>0</v>
          </cell>
        </row>
        <row r="502">
          <cell r="A502" t="str">
            <v>800-30-036</v>
          </cell>
          <cell r="B502" t="str">
            <v>POLICY LOANS ON UNIT LINK</v>
          </cell>
          <cell r="C502">
            <v>0</v>
          </cell>
          <cell r="D502">
            <v>0</v>
          </cell>
          <cell r="E502">
            <v>0</v>
          </cell>
          <cell r="F502">
            <v>0</v>
          </cell>
        </row>
        <row r="503">
          <cell r="A503" t="str">
            <v>800-30-037</v>
          </cell>
          <cell r="B503" t="str">
            <v>PAHL-INVESTMENT INCOME</v>
          </cell>
          <cell r="C503">
            <v>-10713739</v>
          </cell>
          <cell r="D503">
            <v>0</v>
          </cell>
          <cell r="E503">
            <v>-10713739</v>
          </cell>
          <cell r="F503">
            <v>-10713739</v>
          </cell>
        </row>
        <row r="504">
          <cell r="A504" t="str">
            <v>800-30-040</v>
          </cell>
          <cell r="B504" t="str">
            <v>NET PAY</v>
          </cell>
          <cell r="C504">
            <v>0</v>
          </cell>
          <cell r="D504">
            <v>0</v>
          </cell>
          <cell r="E504">
            <v>0</v>
          </cell>
          <cell r="F504">
            <v>0</v>
          </cell>
        </row>
        <row r="505">
          <cell r="A505" t="str">
            <v>800-30-045</v>
          </cell>
          <cell r="B505" t="str">
            <v>CO-OP SAVING - STAFF</v>
          </cell>
          <cell r="C505">
            <v>0</v>
          </cell>
          <cell r="D505">
            <v>0</v>
          </cell>
          <cell r="E505">
            <v>0</v>
          </cell>
          <cell r="F505">
            <v>0</v>
          </cell>
        </row>
        <row r="506">
          <cell r="A506" t="str">
            <v>800-30-050</v>
          </cell>
          <cell r="B506" t="str">
            <v>PAYROLL CREDITORS - STAFF</v>
          </cell>
          <cell r="C506">
            <v>0</v>
          </cell>
          <cell r="D506">
            <v>0</v>
          </cell>
          <cell r="E506">
            <v>0</v>
          </cell>
          <cell r="F506">
            <v>0</v>
          </cell>
        </row>
        <row r="507">
          <cell r="A507" t="str">
            <v>800-30-051</v>
          </cell>
          <cell r="B507" t="str">
            <v>MANCOM SINBIN</v>
          </cell>
          <cell r="C507">
            <v>0</v>
          </cell>
          <cell r="D507">
            <v>0</v>
          </cell>
          <cell r="E507">
            <v>0</v>
          </cell>
          <cell r="F507">
            <v>0</v>
          </cell>
        </row>
        <row r="508">
          <cell r="A508" t="str">
            <v>800-30-052</v>
          </cell>
          <cell r="B508" t="str">
            <v>STAFF DONATIONS</v>
          </cell>
          <cell r="C508">
            <v>0</v>
          </cell>
          <cell r="D508">
            <v>0</v>
          </cell>
          <cell r="E508">
            <v>0</v>
          </cell>
          <cell r="F508">
            <v>0</v>
          </cell>
        </row>
        <row r="509">
          <cell r="A509" t="str">
            <v>800-30-055</v>
          </cell>
          <cell r="B509" t="str">
            <v>PENSION - STAFF</v>
          </cell>
          <cell r="C509">
            <v>0</v>
          </cell>
          <cell r="D509">
            <v>0</v>
          </cell>
          <cell r="E509">
            <v>0</v>
          </cell>
          <cell r="F509">
            <v>0</v>
          </cell>
        </row>
        <row r="510">
          <cell r="A510" t="str">
            <v>800-30-060</v>
          </cell>
          <cell r="B510" t="str">
            <v>N .H .I. F</v>
          </cell>
          <cell r="C510">
            <v>0</v>
          </cell>
          <cell r="D510">
            <v>0</v>
          </cell>
          <cell r="E510">
            <v>0</v>
          </cell>
          <cell r="F510">
            <v>0</v>
          </cell>
        </row>
        <row r="511">
          <cell r="A511" t="str">
            <v>800-30-065</v>
          </cell>
          <cell r="B511" t="str">
            <v>N.S.S.F</v>
          </cell>
          <cell r="C511">
            <v>0</v>
          </cell>
          <cell r="D511">
            <v>0</v>
          </cell>
          <cell r="E511">
            <v>0</v>
          </cell>
          <cell r="F511">
            <v>0</v>
          </cell>
        </row>
        <row r="512">
          <cell r="A512" t="str">
            <v>800-30-070</v>
          </cell>
          <cell r="B512" t="str">
            <v>ACTUARIAL FEES</v>
          </cell>
          <cell r="C512">
            <v>-199999</v>
          </cell>
          <cell r="D512">
            <v>0</v>
          </cell>
          <cell r="E512">
            <v>-199999</v>
          </cell>
          <cell r="F512">
            <v>-199999</v>
          </cell>
        </row>
        <row r="513">
          <cell r="A513" t="str">
            <v>800-30-071</v>
          </cell>
          <cell r="B513" t="str">
            <v>GRATUITY</v>
          </cell>
          <cell r="C513">
            <v>0</v>
          </cell>
          <cell r="D513">
            <v>0</v>
          </cell>
          <cell r="E513">
            <v>0</v>
          </cell>
          <cell r="F513">
            <v>0</v>
          </cell>
        </row>
        <row r="514">
          <cell r="A514" t="str">
            <v>800-30-072</v>
          </cell>
          <cell r="B514" t="str">
            <v>AIG FEES</v>
          </cell>
          <cell r="C514">
            <v>-366969</v>
          </cell>
          <cell r="D514">
            <v>0</v>
          </cell>
          <cell r="E514">
            <v>-366969</v>
          </cell>
          <cell r="F514">
            <v>-366969</v>
          </cell>
        </row>
        <row r="515">
          <cell r="A515" t="str">
            <v>800-30-073</v>
          </cell>
          <cell r="B515" t="str">
            <v>CUSTODY FEES</v>
          </cell>
          <cell r="C515">
            <v>-72879</v>
          </cell>
          <cell r="D515">
            <v>0</v>
          </cell>
          <cell r="E515">
            <v>-72879</v>
          </cell>
          <cell r="F515">
            <v>-72879</v>
          </cell>
        </row>
        <row r="516">
          <cell r="A516" t="str">
            <v>800-30-075</v>
          </cell>
          <cell r="B516" t="str">
            <v>AUDIT FEES</v>
          </cell>
          <cell r="C516">
            <v>0</v>
          </cell>
          <cell r="D516">
            <v>0</v>
          </cell>
          <cell r="E516">
            <v>0</v>
          </cell>
          <cell r="F516">
            <v>0</v>
          </cell>
        </row>
        <row r="517">
          <cell r="A517" t="str">
            <v>800-30-080</v>
          </cell>
          <cell r="B517" t="str">
            <v>STAFF BONUS</v>
          </cell>
          <cell r="C517">
            <v>-10741328</v>
          </cell>
          <cell r="D517">
            <v>-696666</v>
          </cell>
          <cell r="E517">
            <v>-11437994</v>
          </cell>
          <cell r="F517">
            <v>-11437994</v>
          </cell>
        </row>
        <row r="518">
          <cell r="A518" t="str">
            <v>800-30-081</v>
          </cell>
          <cell r="B518" t="str">
            <v>STAFF BONUS-PRIOR YEAR PROV</v>
          </cell>
          <cell r="C518">
            <v>0</v>
          </cell>
          <cell r="D518">
            <v>0</v>
          </cell>
          <cell r="E518">
            <v>0</v>
          </cell>
          <cell r="F518">
            <v>0</v>
          </cell>
        </row>
        <row r="519">
          <cell r="A519" t="str">
            <v>800-30-082</v>
          </cell>
          <cell r="B519" t="str">
            <v>LONG TERM INCENTIVE PLAN</v>
          </cell>
          <cell r="C519">
            <v>18250000</v>
          </cell>
          <cell r="D519">
            <v>0</v>
          </cell>
          <cell r="E519">
            <v>18250000</v>
          </cell>
          <cell r="F519">
            <v>18250000</v>
          </cell>
        </row>
        <row r="520">
          <cell r="A520" t="str">
            <v>800-30-085</v>
          </cell>
          <cell r="B520" t="str">
            <v>W/TAX-AGENTS</v>
          </cell>
          <cell r="C520">
            <v>0</v>
          </cell>
          <cell r="D520">
            <v>0</v>
          </cell>
          <cell r="E520">
            <v>0</v>
          </cell>
          <cell r="F520">
            <v>0</v>
          </cell>
        </row>
        <row r="521">
          <cell r="A521" t="str">
            <v>800-30-090</v>
          </cell>
          <cell r="B521" t="str">
            <v>RETAINED COMMISSION</v>
          </cell>
          <cell r="C521">
            <v>-765</v>
          </cell>
          <cell r="D521">
            <v>0</v>
          </cell>
          <cell r="E521">
            <v>-765</v>
          </cell>
          <cell r="F521">
            <v>-765</v>
          </cell>
        </row>
        <row r="522">
          <cell r="A522" t="str">
            <v>800-30-095</v>
          </cell>
          <cell r="B522" t="str">
            <v>KNIGHT FRANK</v>
          </cell>
          <cell r="C522">
            <v>0</v>
          </cell>
          <cell r="D522">
            <v>0</v>
          </cell>
          <cell r="E522">
            <v>0</v>
          </cell>
          <cell r="F522">
            <v>0</v>
          </cell>
        </row>
        <row r="523">
          <cell r="A523" t="str">
            <v>800-30-100</v>
          </cell>
          <cell r="B523" t="str">
            <v>PAYE</v>
          </cell>
          <cell r="C523">
            <v>0</v>
          </cell>
          <cell r="D523">
            <v>0</v>
          </cell>
          <cell r="E523">
            <v>0</v>
          </cell>
          <cell r="F523">
            <v>0</v>
          </cell>
        </row>
        <row r="524">
          <cell r="A524" t="str">
            <v>800-30-105</v>
          </cell>
          <cell r="B524" t="str">
            <v>ALA GROUP CHARGES</v>
          </cell>
          <cell r="C524">
            <v>-114890</v>
          </cell>
          <cell r="D524">
            <v>0</v>
          </cell>
          <cell r="E524">
            <v>-114890</v>
          </cell>
          <cell r="F524">
            <v>-114890</v>
          </cell>
        </row>
        <row r="525">
          <cell r="A525" t="str">
            <v>800-30-110</v>
          </cell>
          <cell r="B525" t="str">
            <v>AGENTS PAYROLL CREDITORS</v>
          </cell>
          <cell r="C525">
            <v>0</v>
          </cell>
          <cell r="D525">
            <v>0</v>
          </cell>
          <cell r="E525">
            <v>0</v>
          </cell>
          <cell r="F525">
            <v>0</v>
          </cell>
        </row>
        <row r="526">
          <cell r="A526" t="str">
            <v>800-30-115</v>
          </cell>
          <cell r="B526" t="str">
            <v>AGENCY PENSION</v>
          </cell>
          <cell r="C526">
            <v>0</v>
          </cell>
          <cell r="D526">
            <v>0</v>
          </cell>
          <cell r="E526">
            <v>0</v>
          </cell>
          <cell r="F526">
            <v>0</v>
          </cell>
        </row>
        <row r="527">
          <cell r="A527" t="str">
            <v>800-30-120</v>
          </cell>
          <cell r="B527" t="str">
            <v>AGENTS CO-OP SAVINGS</v>
          </cell>
          <cell r="C527">
            <v>0</v>
          </cell>
          <cell r="D527">
            <v>0</v>
          </cell>
          <cell r="E527">
            <v>0</v>
          </cell>
          <cell r="F527">
            <v>0</v>
          </cell>
        </row>
        <row r="528">
          <cell r="A528" t="str">
            <v>800-30-122</v>
          </cell>
          <cell r="B528" t="str">
            <v>N.H.I.F - AGENTS</v>
          </cell>
          <cell r="C528">
            <v>0</v>
          </cell>
          <cell r="D528">
            <v>0</v>
          </cell>
          <cell r="E528">
            <v>0</v>
          </cell>
          <cell r="F528">
            <v>0</v>
          </cell>
        </row>
        <row r="529">
          <cell r="A529" t="str">
            <v>800-30-123</v>
          </cell>
          <cell r="B529" t="str">
            <v>N.S.S.F-AGENTS</v>
          </cell>
          <cell r="C529">
            <v>0</v>
          </cell>
          <cell r="D529">
            <v>0</v>
          </cell>
          <cell r="E529">
            <v>0</v>
          </cell>
          <cell r="F529">
            <v>0</v>
          </cell>
        </row>
        <row r="530">
          <cell r="A530" t="str">
            <v>800-30-125</v>
          </cell>
          <cell r="B530" t="str">
            <v>STALE CHEQUES - 5039035</v>
          </cell>
          <cell r="C530">
            <v>0</v>
          </cell>
          <cell r="D530">
            <v>0</v>
          </cell>
          <cell r="E530">
            <v>0</v>
          </cell>
          <cell r="F530">
            <v>0</v>
          </cell>
        </row>
        <row r="531">
          <cell r="A531" t="str">
            <v>800-30-130</v>
          </cell>
          <cell r="B531" t="str">
            <v>STALE CHEQUES - CBA</v>
          </cell>
          <cell r="C531">
            <v>0</v>
          </cell>
          <cell r="D531">
            <v>0</v>
          </cell>
          <cell r="E531">
            <v>0</v>
          </cell>
          <cell r="F531">
            <v>0</v>
          </cell>
        </row>
        <row r="532">
          <cell r="A532" t="str">
            <v>800-30-135</v>
          </cell>
          <cell r="B532" t="str">
            <v>STALE CHEQUES - INDOSUEZ</v>
          </cell>
          <cell r="C532">
            <v>0</v>
          </cell>
          <cell r="D532">
            <v>0</v>
          </cell>
          <cell r="E532">
            <v>0</v>
          </cell>
          <cell r="F532">
            <v>0</v>
          </cell>
        </row>
        <row r="533">
          <cell r="A533" t="str">
            <v>800-30-140</v>
          </cell>
          <cell r="B533" t="str">
            <v>STALE CHEQUES -5776688</v>
          </cell>
          <cell r="C533">
            <v>0</v>
          </cell>
          <cell r="D533">
            <v>0</v>
          </cell>
          <cell r="E533">
            <v>0</v>
          </cell>
          <cell r="F533">
            <v>0</v>
          </cell>
        </row>
        <row r="534">
          <cell r="A534" t="str">
            <v>800-30-145</v>
          </cell>
          <cell r="B534" t="str">
            <v>STALE CHEQUES -5039027</v>
          </cell>
          <cell r="C534">
            <v>0</v>
          </cell>
          <cell r="D534">
            <v>0</v>
          </cell>
          <cell r="E534">
            <v>0</v>
          </cell>
          <cell r="F534">
            <v>0</v>
          </cell>
        </row>
        <row r="535">
          <cell r="A535" t="str">
            <v>800-30-150</v>
          </cell>
          <cell r="B535" t="str">
            <v>STALE CHEQUES-5776793</v>
          </cell>
          <cell r="C535">
            <v>-5473743</v>
          </cell>
          <cell r="D535">
            <v>0</v>
          </cell>
          <cell r="E535">
            <v>-5473743</v>
          </cell>
          <cell r="F535">
            <v>-5473743</v>
          </cell>
        </row>
        <row r="536">
          <cell r="A536" t="str">
            <v>800-30-155</v>
          </cell>
          <cell r="B536" t="str">
            <v>STALE CHEQUES - MOMBASA</v>
          </cell>
          <cell r="C536">
            <v>0</v>
          </cell>
          <cell r="D536">
            <v>0</v>
          </cell>
          <cell r="E536">
            <v>0</v>
          </cell>
          <cell r="F536">
            <v>0</v>
          </cell>
        </row>
        <row r="537">
          <cell r="A537" t="str">
            <v>800-30-160</v>
          </cell>
          <cell r="B537" t="str">
            <v>BROKERAGE W/TAX</v>
          </cell>
          <cell r="C537">
            <v>2283824.64</v>
          </cell>
          <cell r="D537">
            <v>0</v>
          </cell>
          <cell r="E537">
            <v>2283824.64</v>
          </cell>
          <cell r="F537">
            <v>2283824.64</v>
          </cell>
        </row>
        <row r="538">
          <cell r="A538" t="str">
            <v>800-30-165</v>
          </cell>
          <cell r="B538" t="str">
            <v>GROUP CREDITORS</v>
          </cell>
          <cell r="C538">
            <v>-582357</v>
          </cell>
          <cell r="D538">
            <v>0</v>
          </cell>
          <cell r="E538">
            <v>-582357</v>
          </cell>
          <cell r="F538">
            <v>-582357</v>
          </cell>
        </row>
        <row r="539">
          <cell r="A539" t="str">
            <v>800-30-170</v>
          </cell>
          <cell r="B539" t="str">
            <v>UNEARNED INTEREST</v>
          </cell>
          <cell r="C539">
            <v>0</v>
          </cell>
          <cell r="D539">
            <v>0</v>
          </cell>
          <cell r="E539">
            <v>0</v>
          </cell>
          <cell r="F539">
            <v>0</v>
          </cell>
        </row>
        <row r="540">
          <cell r="A540" t="str">
            <v>800-30-174</v>
          </cell>
          <cell r="B540" t="str">
            <v>DEPOSIT ON MORTGAGE</v>
          </cell>
          <cell r="C540">
            <v>0</v>
          </cell>
          <cell r="D540">
            <v>0</v>
          </cell>
          <cell r="E540">
            <v>0</v>
          </cell>
          <cell r="F540">
            <v>0</v>
          </cell>
        </row>
        <row r="541">
          <cell r="A541" t="str">
            <v>800-30-175</v>
          </cell>
          <cell r="B541" t="str">
            <v>CONTRA ACCOUNT(COST CENTRES)</v>
          </cell>
          <cell r="C541">
            <v>79066409.909999996</v>
          </cell>
          <cell r="D541">
            <v>903357.83</v>
          </cell>
          <cell r="E541">
            <v>79969767.739999995</v>
          </cell>
          <cell r="F541">
            <v>79969767.739999995</v>
          </cell>
        </row>
        <row r="542">
          <cell r="A542" t="str">
            <v>800-30-180</v>
          </cell>
          <cell r="B542" t="str">
            <v>W/TAX - OTHERS</v>
          </cell>
          <cell r="C542">
            <v>-1733134.45</v>
          </cell>
          <cell r="D542">
            <v>92676</v>
          </cell>
          <cell r="E542">
            <v>-1640458.45</v>
          </cell>
          <cell r="F542">
            <v>-1640458.45</v>
          </cell>
        </row>
        <row r="543">
          <cell r="A543" t="str">
            <v>800-30-185</v>
          </cell>
          <cell r="B543" t="str">
            <v>BROKERAGE COMMISSION CONTROL ACCOUNT</v>
          </cell>
          <cell r="C543">
            <v>0</v>
          </cell>
          <cell r="D543">
            <v>0</v>
          </cell>
          <cell r="E543">
            <v>0</v>
          </cell>
          <cell r="F543">
            <v>0</v>
          </cell>
        </row>
        <row r="544">
          <cell r="A544" t="str">
            <v>800-30-190</v>
          </cell>
          <cell r="B544" t="str">
            <v>TRANSFERS CONTRA ACCOUNT</v>
          </cell>
          <cell r="C544">
            <v>0</v>
          </cell>
          <cell r="D544">
            <v>0</v>
          </cell>
          <cell r="E544">
            <v>0</v>
          </cell>
          <cell r="F544">
            <v>0</v>
          </cell>
        </row>
        <row r="545">
          <cell r="A545" t="str">
            <v>800-30-195</v>
          </cell>
          <cell r="B545" t="str">
            <v>STALE CHEQUES - UNIT LINK ACCOUNT</v>
          </cell>
          <cell r="C545">
            <v>0</v>
          </cell>
          <cell r="D545">
            <v>0</v>
          </cell>
          <cell r="E545">
            <v>0</v>
          </cell>
          <cell r="F545">
            <v>0</v>
          </cell>
        </row>
        <row r="546">
          <cell r="A546" t="str">
            <v>800-30-200</v>
          </cell>
          <cell r="B546" t="str">
            <v>STALE CHEQUES - NIC</v>
          </cell>
          <cell r="C546">
            <v>0</v>
          </cell>
          <cell r="D546">
            <v>0</v>
          </cell>
          <cell r="E546">
            <v>0</v>
          </cell>
          <cell r="F546">
            <v>0</v>
          </cell>
        </row>
        <row r="547">
          <cell r="A547" t="str">
            <v>800-30-205</v>
          </cell>
          <cell r="B547" t="str">
            <v>STAFF SOCIAL CLUB</v>
          </cell>
          <cell r="C547">
            <v>0</v>
          </cell>
          <cell r="D547">
            <v>0</v>
          </cell>
          <cell r="E547">
            <v>0</v>
          </cell>
          <cell r="F547">
            <v>0</v>
          </cell>
        </row>
        <row r="548">
          <cell r="A548" t="str">
            <v>800-30-210</v>
          </cell>
          <cell r="B548" t="str">
            <v>PROVISION FOR TERMINATED AGENTS</v>
          </cell>
          <cell r="C548">
            <v>0</v>
          </cell>
          <cell r="D548">
            <v>0</v>
          </cell>
          <cell r="E548">
            <v>0</v>
          </cell>
          <cell r="F548">
            <v>0</v>
          </cell>
        </row>
        <row r="549">
          <cell r="A549" t="str">
            <v>800-30-215</v>
          </cell>
          <cell r="B549" t="str">
            <v>GROUP LIFE BENEFITS</v>
          </cell>
          <cell r="C549">
            <v>0</v>
          </cell>
          <cell r="D549">
            <v>0</v>
          </cell>
          <cell r="E549">
            <v>0</v>
          </cell>
          <cell r="F549">
            <v>0</v>
          </cell>
        </row>
        <row r="550">
          <cell r="A550" t="str">
            <v>800-40-010</v>
          </cell>
          <cell r="B550" t="str">
            <v>KENYA REINSURANCE CORP-REIN PREMIUM</v>
          </cell>
          <cell r="C550">
            <v>-4449255.67</v>
          </cell>
          <cell r="D550">
            <v>-12499835.23</v>
          </cell>
          <cell r="E550">
            <v>-16949090.899999999</v>
          </cell>
          <cell r="F550">
            <v>-16949090.899999999</v>
          </cell>
        </row>
        <row r="551">
          <cell r="A551" t="str">
            <v>800-40-020</v>
          </cell>
          <cell r="B551" t="str">
            <v>EAST AFRICA REINSURANCE LTD-REIN PREM</v>
          </cell>
          <cell r="C551">
            <v>2046918.07</v>
          </cell>
          <cell r="D551">
            <v>4055486.66</v>
          </cell>
          <cell r="E551">
            <v>6102404.7300000004</v>
          </cell>
          <cell r="F551">
            <v>6102404.7300000004</v>
          </cell>
        </row>
        <row r="552">
          <cell r="A552" t="str">
            <v>800-40-030</v>
          </cell>
          <cell r="B552" t="str">
            <v>AFRICA REINSURANCE CORP-REIN PREM</v>
          </cell>
          <cell r="C552">
            <v>471514.02</v>
          </cell>
          <cell r="D552">
            <v>126329.56</v>
          </cell>
          <cell r="E552">
            <v>597843.57999999996</v>
          </cell>
          <cell r="F552">
            <v>597843.57999999996</v>
          </cell>
        </row>
        <row r="553">
          <cell r="A553" t="str">
            <v>800-40-040</v>
          </cell>
          <cell r="B553" t="str">
            <v>PTA REINSURANCE</v>
          </cell>
          <cell r="C553">
            <v>-340100</v>
          </cell>
          <cell r="D553">
            <v>0</v>
          </cell>
          <cell r="E553">
            <v>-340100</v>
          </cell>
          <cell r="F553">
            <v>-340100</v>
          </cell>
        </row>
        <row r="554">
          <cell r="A554" t="str">
            <v>800-40-050</v>
          </cell>
          <cell r="B554" t="str">
            <v>CICA RE</v>
          </cell>
          <cell r="C554">
            <v>0</v>
          </cell>
          <cell r="D554">
            <v>0</v>
          </cell>
          <cell r="E554">
            <v>0</v>
          </cell>
          <cell r="F554">
            <v>0</v>
          </cell>
        </row>
        <row r="555">
          <cell r="A555" t="str">
            <v>800-40-060</v>
          </cell>
          <cell r="B555" t="str">
            <v>GHANA RE</v>
          </cell>
          <cell r="C555">
            <v>0</v>
          </cell>
          <cell r="D555">
            <v>0</v>
          </cell>
          <cell r="E555">
            <v>0</v>
          </cell>
          <cell r="F555">
            <v>0</v>
          </cell>
        </row>
        <row r="556">
          <cell r="A556" t="str">
            <v>800-50-010</v>
          </cell>
          <cell r="B556" t="str">
            <v>O/S MATURITY CLAIMS</v>
          </cell>
          <cell r="C556">
            <v>0</v>
          </cell>
          <cell r="D556">
            <v>0</v>
          </cell>
          <cell r="E556">
            <v>0</v>
          </cell>
          <cell r="F556">
            <v>0</v>
          </cell>
        </row>
        <row r="557">
          <cell r="A557" t="str">
            <v>800-50-020</v>
          </cell>
          <cell r="B557" t="str">
            <v>O/S CLAIMS ENDOWMENT</v>
          </cell>
          <cell r="C557">
            <v>0</v>
          </cell>
          <cell r="D557">
            <v>0</v>
          </cell>
          <cell r="E557">
            <v>0</v>
          </cell>
          <cell r="F557">
            <v>0</v>
          </cell>
        </row>
        <row r="558">
          <cell r="A558" t="str">
            <v>800-50-030</v>
          </cell>
          <cell r="B558" t="str">
            <v>O/S DEATH CLAIMS -ORDINARY</v>
          </cell>
          <cell r="C558">
            <v>0</v>
          </cell>
          <cell r="D558">
            <v>0</v>
          </cell>
          <cell r="E558">
            <v>0</v>
          </cell>
          <cell r="F558">
            <v>0</v>
          </cell>
        </row>
        <row r="559">
          <cell r="A559" t="str">
            <v>800-50-040</v>
          </cell>
          <cell r="B559" t="str">
            <v>O/S ANNUITY CLAIMS</v>
          </cell>
          <cell r="C559">
            <v>0</v>
          </cell>
          <cell r="D559">
            <v>0</v>
          </cell>
          <cell r="E559">
            <v>0</v>
          </cell>
          <cell r="F559">
            <v>0</v>
          </cell>
        </row>
        <row r="560">
          <cell r="A560" t="str">
            <v>800-50-050</v>
          </cell>
          <cell r="B560" t="str">
            <v>O/S DEATH-TANZANIA</v>
          </cell>
          <cell r="C560">
            <v>0</v>
          </cell>
          <cell r="D560">
            <v>0</v>
          </cell>
          <cell r="E560">
            <v>0</v>
          </cell>
          <cell r="F560">
            <v>0</v>
          </cell>
        </row>
        <row r="561">
          <cell r="A561" t="str">
            <v>800-50-060</v>
          </cell>
          <cell r="B561" t="str">
            <v>O/S MATURIRT CLMS-TANZANIA</v>
          </cell>
          <cell r="C561">
            <v>0</v>
          </cell>
          <cell r="D561">
            <v>0</v>
          </cell>
          <cell r="E561">
            <v>0</v>
          </cell>
          <cell r="F561">
            <v>0</v>
          </cell>
        </row>
        <row r="562">
          <cell r="A562" t="str">
            <v>800-50-070</v>
          </cell>
          <cell r="B562" t="str">
            <v>O/S FFFP DEATH CLAIMS</v>
          </cell>
          <cell r="C562">
            <v>0</v>
          </cell>
          <cell r="D562">
            <v>0</v>
          </cell>
          <cell r="E562">
            <v>0</v>
          </cell>
          <cell r="F562">
            <v>0</v>
          </cell>
        </row>
        <row r="563">
          <cell r="A563" t="str">
            <v>800-50-080</v>
          </cell>
          <cell r="B563" t="str">
            <v>O/S WP CLAIMS</v>
          </cell>
          <cell r="C563">
            <v>0</v>
          </cell>
          <cell r="D563">
            <v>0</v>
          </cell>
          <cell r="E563">
            <v>0</v>
          </cell>
          <cell r="F563">
            <v>0</v>
          </cell>
        </row>
        <row r="564">
          <cell r="A564" t="str">
            <v>800-50-085</v>
          </cell>
          <cell r="B564" t="str">
            <v>O/S PENSIONS</v>
          </cell>
          <cell r="C564">
            <v>0</v>
          </cell>
          <cell r="D564">
            <v>0</v>
          </cell>
          <cell r="E564">
            <v>0</v>
          </cell>
          <cell r="F564">
            <v>0</v>
          </cell>
        </row>
        <row r="565">
          <cell r="A565" t="str">
            <v>800-50-090</v>
          </cell>
          <cell r="B565" t="str">
            <v>O/S GROUP DEATH CLAIMS</v>
          </cell>
          <cell r="C565">
            <v>-83442160.629999995</v>
          </cell>
          <cell r="D565">
            <v>-12312438</v>
          </cell>
          <cell r="E565">
            <v>-95754598.629999995</v>
          </cell>
          <cell r="F565">
            <v>-95754598.629999995</v>
          </cell>
        </row>
        <row r="566">
          <cell r="A566" t="str">
            <v>800-50-095</v>
          </cell>
          <cell r="B566" t="str">
            <v>O/S GROUP MATURITIES</v>
          </cell>
          <cell r="C566">
            <v>0</v>
          </cell>
          <cell r="D566">
            <v>0</v>
          </cell>
          <cell r="E566">
            <v>0</v>
          </cell>
          <cell r="F566">
            <v>0</v>
          </cell>
        </row>
        <row r="567">
          <cell r="A567" t="str">
            <v>800-50-100</v>
          </cell>
          <cell r="B567" t="str">
            <v>O/S GROUP ANTICIPATED</v>
          </cell>
          <cell r="C567">
            <v>-71430</v>
          </cell>
          <cell r="D567">
            <v>0</v>
          </cell>
          <cell r="E567">
            <v>-71430</v>
          </cell>
          <cell r="F567">
            <v>-71430</v>
          </cell>
        </row>
        <row r="568">
          <cell r="A568" t="str">
            <v>800-50-110</v>
          </cell>
          <cell r="B568" t="str">
            <v>O/S RETIREMENT ANNUITIES</v>
          </cell>
          <cell r="C568">
            <v>-1954426</v>
          </cell>
          <cell r="D568">
            <v>0</v>
          </cell>
          <cell r="E568">
            <v>-1954426</v>
          </cell>
          <cell r="F568">
            <v>-1954426</v>
          </cell>
        </row>
        <row r="569">
          <cell r="A569" t="str">
            <v>800-50-115</v>
          </cell>
          <cell r="B569" t="str">
            <v>GROUP HARAMBEE SURRENDERS</v>
          </cell>
          <cell r="C569">
            <v>0</v>
          </cell>
          <cell r="D569">
            <v>0</v>
          </cell>
          <cell r="E569">
            <v>0</v>
          </cell>
          <cell r="F569">
            <v>0</v>
          </cell>
        </row>
        <row r="570">
          <cell r="A570" t="str">
            <v>800-60-010</v>
          </cell>
          <cell r="B570" t="str">
            <v>PREMIUM TAX</v>
          </cell>
          <cell r="C570">
            <v>0</v>
          </cell>
          <cell r="D570">
            <v>0</v>
          </cell>
          <cell r="E570">
            <v>0</v>
          </cell>
          <cell r="F570">
            <v>0</v>
          </cell>
        </row>
        <row r="571">
          <cell r="A571" t="str">
            <v>800-60-015</v>
          </cell>
          <cell r="B571" t="str">
            <v>POLICY HOLDER COMPENSATION LEVY</v>
          </cell>
          <cell r="C571">
            <v>0</v>
          </cell>
          <cell r="D571">
            <v>0</v>
          </cell>
          <cell r="E571">
            <v>0</v>
          </cell>
          <cell r="F571">
            <v>0</v>
          </cell>
        </row>
        <row r="572">
          <cell r="A572" t="str">
            <v>800-65-010</v>
          </cell>
          <cell r="B572" t="str">
            <v>RESIDENTIAL HOUSE-LORESHO</v>
          </cell>
          <cell r="C572">
            <v>0</v>
          </cell>
          <cell r="D572">
            <v>0</v>
          </cell>
          <cell r="E572">
            <v>0</v>
          </cell>
          <cell r="F572">
            <v>0</v>
          </cell>
        </row>
        <row r="573">
          <cell r="A573" t="str">
            <v>800-68-010</v>
          </cell>
          <cell r="B573" t="str">
            <v>RESIDENTIAL -LORESHO HSE</v>
          </cell>
          <cell r="C573">
            <v>0</v>
          </cell>
          <cell r="D573">
            <v>0</v>
          </cell>
          <cell r="E573">
            <v>0</v>
          </cell>
          <cell r="F573">
            <v>0</v>
          </cell>
        </row>
        <row r="574">
          <cell r="A574" t="str">
            <v>800-68-015</v>
          </cell>
          <cell r="B574" t="str">
            <v>REVALUATION SURPLUS</v>
          </cell>
          <cell r="C574">
            <v>0</v>
          </cell>
          <cell r="D574">
            <v>0</v>
          </cell>
          <cell r="E574">
            <v>0</v>
          </cell>
          <cell r="F574">
            <v>0</v>
          </cell>
        </row>
        <row r="575">
          <cell r="A575" t="str">
            <v>800-68-020</v>
          </cell>
          <cell r="B575" t="str">
            <v>REVALUATION - POLICY LOANS</v>
          </cell>
          <cell r="C575">
            <v>0</v>
          </cell>
          <cell r="D575">
            <v>0</v>
          </cell>
          <cell r="E575">
            <v>0</v>
          </cell>
          <cell r="F575">
            <v>0</v>
          </cell>
        </row>
        <row r="576">
          <cell r="A576" t="str">
            <v>800-70-010</v>
          </cell>
          <cell r="B576" t="str">
            <v>ACC.DEP-MOTOR</v>
          </cell>
          <cell r="C576">
            <v>0</v>
          </cell>
          <cell r="D576">
            <v>0</v>
          </cell>
          <cell r="E576">
            <v>0</v>
          </cell>
          <cell r="F576">
            <v>0</v>
          </cell>
        </row>
        <row r="577">
          <cell r="A577" t="str">
            <v>800-70-020</v>
          </cell>
          <cell r="B577" t="str">
            <v>ACC.DEP-COMPUTER</v>
          </cell>
          <cell r="C577">
            <v>11436.62</v>
          </cell>
          <cell r="D577">
            <v>0</v>
          </cell>
          <cell r="E577">
            <v>11436.62</v>
          </cell>
          <cell r="F577">
            <v>11436.62</v>
          </cell>
        </row>
        <row r="578">
          <cell r="A578" t="str">
            <v>800-70-025</v>
          </cell>
          <cell r="B578" t="str">
            <v>AMMORTISATION-INTANGIBLE ASSETS</v>
          </cell>
          <cell r="C578">
            <v>0</v>
          </cell>
          <cell r="D578">
            <v>0</v>
          </cell>
          <cell r="E578">
            <v>0</v>
          </cell>
          <cell r="F578">
            <v>0</v>
          </cell>
        </row>
        <row r="579">
          <cell r="A579" t="str">
            <v>800-70-030</v>
          </cell>
          <cell r="B579" t="str">
            <v>FURNITURE &amp; FITTING</v>
          </cell>
          <cell r="C579">
            <v>-3209.9</v>
          </cell>
          <cell r="D579">
            <v>0</v>
          </cell>
          <cell r="E579">
            <v>-3209.9</v>
          </cell>
          <cell r="F579">
            <v>-3209.9</v>
          </cell>
        </row>
        <row r="580">
          <cell r="A580" t="str">
            <v>900-05-010</v>
          </cell>
          <cell r="B580" t="str">
            <v>SHARE CAPITAL</v>
          </cell>
          <cell r="C580">
            <v>0</v>
          </cell>
          <cell r="D580">
            <v>0</v>
          </cell>
          <cell r="E580">
            <v>0</v>
          </cell>
          <cell r="F580">
            <v>0</v>
          </cell>
        </row>
        <row r="581">
          <cell r="A581" t="str">
            <v>900-05-015</v>
          </cell>
          <cell r="B581" t="str">
            <v>SHARE PREMIUM</v>
          </cell>
          <cell r="C581">
            <v>0</v>
          </cell>
          <cell r="D581">
            <v>0</v>
          </cell>
          <cell r="E581">
            <v>0</v>
          </cell>
          <cell r="F581">
            <v>0</v>
          </cell>
        </row>
        <row r="582">
          <cell r="A582" t="str">
            <v>900-05-020</v>
          </cell>
          <cell r="B582" t="str">
            <v>RETAINED EARNINGS</v>
          </cell>
          <cell r="C582">
            <v>0</v>
          </cell>
          <cell r="D582">
            <v>0</v>
          </cell>
          <cell r="E582">
            <v>0</v>
          </cell>
          <cell r="F582">
            <v>0</v>
          </cell>
        </row>
        <row r="583">
          <cell r="A583" t="str">
            <v>ACCOUNT</v>
          </cell>
          <cell r="B583" t="str">
            <v>ACCOUNT NAME</v>
          </cell>
          <cell r="C583" t="str">
            <v>OPENING BALANCE</v>
          </cell>
          <cell r="D583" t="e">
            <v>#VALUE!</v>
          </cell>
          <cell r="E583" t="e">
            <v>#VALUE!</v>
          </cell>
          <cell r="F583" t="str">
            <v>YR-TO-DATE</v>
          </cell>
        </row>
        <row r="584">
          <cell r="A584" t="str">
            <v>ACCOUNT</v>
          </cell>
          <cell r="B584" t="str">
            <v>ACCOUNT NAME</v>
          </cell>
          <cell r="C584" t="str">
            <v>OPENING BALANCE</v>
          </cell>
          <cell r="D584" t="e">
            <v>#VALUE!</v>
          </cell>
          <cell r="E584" t="e">
            <v>#VALUE!</v>
          </cell>
          <cell r="F584" t="str">
            <v>YR-TO-DATE</v>
          </cell>
        </row>
        <row r="585">
          <cell r="A585" t="str">
            <v>ACCOUNT</v>
          </cell>
          <cell r="B585" t="str">
            <v>ACCOUNT NAME</v>
          </cell>
          <cell r="C585" t="str">
            <v>OPENING BALANCE</v>
          </cell>
          <cell r="D585" t="e">
            <v>#VALUE!</v>
          </cell>
          <cell r="E585" t="e">
            <v>#VALUE!</v>
          </cell>
          <cell r="F585" t="str">
            <v>YR-TO-DATE</v>
          </cell>
        </row>
        <row r="586">
          <cell r="A586" t="str">
            <v>ACCOUNT</v>
          </cell>
          <cell r="B586" t="str">
            <v>ACCOUNT NAME</v>
          </cell>
          <cell r="C586" t="str">
            <v>OPENING BALANCE</v>
          </cell>
          <cell r="D586" t="e">
            <v>#VALUE!</v>
          </cell>
          <cell r="E586" t="e">
            <v>#VALUE!</v>
          </cell>
          <cell r="F586" t="str">
            <v>YR-TO-DATE</v>
          </cell>
        </row>
        <row r="587">
          <cell r="A587" t="str">
            <v>ACCOUNT</v>
          </cell>
          <cell r="B587" t="str">
            <v>ACCOUNT NAME</v>
          </cell>
          <cell r="C587" t="str">
            <v>OPENING BALANCE</v>
          </cell>
          <cell r="D587" t="e">
            <v>#VALUE!</v>
          </cell>
          <cell r="E587" t="e">
            <v>#VALUE!</v>
          </cell>
          <cell r="F587" t="str">
            <v>YR-TO-DATE</v>
          </cell>
        </row>
        <row r="588">
          <cell r="A588" t="str">
            <v>ACCOUNT</v>
          </cell>
          <cell r="B588" t="str">
            <v>ACCOUNT NAME</v>
          </cell>
          <cell r="C588" t="str">
            <v>OPENING BALANCE</v>
          </cell>
          <cell r="D588" t="e">
            <v>#VALUE!</v>
          </cell>
          <cell r="E588" t="e">
            <v>#VALUE!</v>
          </cell>
          <cell r="F588" t="str">
            <v>YR-TO-DATE</v>
          </cell>
        </row>
        <row r="589">
          <cell r="A589" t="str">
            <v>ACCOUNT</v>
          </cell>
          <cell r="B589" t="str">
            <v>ACCOUNT NAME</v>
          </cell>
          <cell r="C589" t="str">
            <v>OPENING BALANCE</v>
          </cell>
          <cell r="D589" t="e">
            <v>#VALUE!</v>
          </cell>
          <cell r="E589" t="e">
            <v>#VALUE!</v>
          </cell>
          <cell r="F589" t="str">
            <v>YR-TO-DATE</v>
          </cell>
        </row>
        <row r="590">
          <cell r="A590" t="str">
            <v>ACCOUNT</v>
          </cell>
          <cell r="B590" t="str">
            <v>ACCOUNT NAME</v>
          </cell>
          <cell r="C590" t="str">
            <v>OPENING BALANCE</v>
          </cell>
          <cell r="D590" t="e">
            <v>#VALUE!</v>
          </cell>
          <cell r="E590" t="e">
            <v>#VALUE!</v>
          </cell>
          <cell r="F590" t="str">
            <v>YR-TO-DATE</v>
          </cell>
        </row>
        <row r="591">
          <cell r="A591" t="str">
            <v>ACCOUNT</v>
          </cell>
          <cell r="B591" t="str">
            <v>ACCOUNT NAME</v>
          </cell>
          <cell r="C591" t="str">
            <v>OPENING BALANCE</v>
          </cell>
          <cell r="D591" t="e">
            <v>#VALUE!</v>
          </cell>
          <cell r="E591" t="e">
            <v>#VALUE!</v>
          </cell>
          <cell r="F591" t="str">
            <v>YR-TO-DATE</v>
          </cell>
        </row>
        <row r="592">
          <cell r="A592" t="str">
            <v>ACCOUNT</v>
          </cell>
          <cell r="B592" t="str">
            <v>ACCOUNT NAME</v>
          </cell>
          <cell r="C592" t="str">
            <v>OPENING BALANCE</v>
          </cell>
          <cell r="D592" t="e">
            <v>#VALUE!</v>
          </cell>
          <cell r="E592" t="e">
            <v>#VALUE!</v>
          </cell>
          <cell r="F592" t="str">
            <v>YR-TO-DATE</v>
          </cell>
        </row>
        <row r="593">
          <cell r="A593" t="str">
            <v>ACCOUNT</v>
          </cell>
          <cell r="B593" t="str">
            <v>ACCOUNT NAME</v>
          </cell>
          <cell r="C593" t="str">
            <v>OPENING BALANCE</v>
          </cell>
          <cell r="D593" t="e">
            <v>#VALUE!</v>
          </cell>
          <cell r="E593" t="e">
            <v>#VALUE!</v>
          </cell>
          <cell r="F593" t="str">
            <v>YR-TO-DATE</v>
          </cell>
        </row>
        <row r="594">
          <cell r="A594" t="str">
            <v>ACCOUNT</v>
          </cell>
          <cell r="B594" t="str">
            <v>ACCOUNT NAME</v>
          </cell>
          <cell r="C594" t="str">
            <v>OPENING BALANCE</v>
          </cell>
          <cell r="D594" t="e">
            <v>#VALUE!</v>
          </cell>
          <cell r="E594" t="e">
            <v>#VALUE!</v>
          </cell>
          <cell r="F594" t="str">
            <v>YR-TO-DATE</v>
          </cell>
        </row>
        <row r="595">
          <cell r="A595" t="str">
            <v>ACCOUNT</v>
          </cell>
          <cell r="B595" t="str">
            <v>ACCOUNT NAME</v>
          </cell>
          <cell r="C595" t="str">
            <v>OPENING BALANCE</v>
          </cell>
          <cell r="D595" t="e">
            <v>#VALUE!</v>
          </cell>
          <cell r="E595" t="e">
            <v>#VALUE!</v>
          </cell>
          <cell r="F595" t="str">
            <v>YR-TO-DATE</v>
          </cell>
        </row>
        <row r="596">
          <cell r="A596" t="str">
            <v>ACCOUNT</v>
          </cell>
          <cell r="B596" t="str">
            <v>ACCOUNT NAME</v>
          </cell>
          <cell r="C596" t="str">
            <v>OPENING BALANCE</v>
          </cell>
          <cell r="D596" t="e">
            <v>#VALUE!</v>
          </cell>
          <cell r="E596" t="e">
            <v>#VALUE!</v>
          </cell>
          <cell r="F596" t="str">
            <v>YR-TO-DATE</v>
          </cell>
        </row>
        <row r="597">
          <cell r="A597" t="str">
            <v>ACCOUNT</v>
          </cell>
          <cell r="B597" t="str">
            <v>ACCOUNT NAME</v>
          </cell>
          <cell r="C597" t="str">
            <v>OPENING BALANCE</v>
          </cell>
          <cell r="D597" t="e">
            <v>#VALUE!</v>
          </cell>
          <cell r="E597" t="e">
            <v>#VALUE!</v>
          </cell>
          <cell r="F597" t="str">
            <v>YR-TO-DATE</v>
          </cell>
        </row>
        <row r="598">
          <cell r="A598" t="str">
            <v>ACCOUNT</v>
          </cell>
          <cell r="B598" t="str">
            <v>ACCOUNT NAME</v>
          </cell>
          <cell r="C598" t="str">
            <v>OPENING BALANCE</v>
          </cell>
          <cell r="D598" t="e">
            <v>#VALUE!</v>
          </cell>
          <cell r="E598" t="e">
            <v>#VALUE!</v>
          </cell>
          <cell r="F598" t="str">
            <v>YR-TO-DATE</v>
          </cell>
        </row>
        <row r="599">
          <cell r="A599" t="str">
            <v>ACCOUNT</v>
          </cell>
          <cell r="B599" t="str">
            <v>ACCOUNT NAME</v>
          </cell>
          <cell r="C599" t="str">
            <v>OPENING BALANCE</v>
          </cell>
          <cell r="D599" t="e">
            <v>#VALUE!</v>
          </cell>
          <cell r="E599" t="e">
            <v>#VALUE!</v>
          </cell>
          <cell r="F599" t="str">
            <v>YR-TO-DATE</v>
          </cell>
        </row>
        <row r="600">
          <cell r="A600" t="str">
            <v>ACCOUNT</v>
          </cell>
          <cell r="B600" t="str">
            <v>ACCOUNT NAME</v>
          </cell>
          <cell r="C600" t="str">
            <v>OPENING BALANCE</v>
          </cell>
          <cell r="D600" t="e">
            <v>#VALUE!</v>
          </cell>
          <cell r="E600" t="e">
            <v>#VALUE!</v>
          </cell>
          <cell r="F600" t="str">
            <v>YR-TO-DATE</v>
          </cell>
        </row>
      </sheetData>
      <sheetData sheetId="44">
        <row r="1">
          <cell r="A1" t="str">
            <v>ACCOUNT</v>
          </cell>
          <cell r="B1" t="str">
            <v>ACCOUNT NAME</v>
          </cell>
          <cell r="C1" t="str">
            <v>OPENING BALANCE</v>
          </cell>
          <cell r="D1" t="str">
            <v>Month</v>
          </cell>
          <cell r="E1" t="str">
            <v>Year</v>
          </cell>
          <cell r="F1" t="str">
            <v>YTD</v>
          </cell>
        </row>
        <row r="2">
          <cell r="A2" t="str">
            <v>__________</v>
          </cell>
          <cell r="B2" t="str">
            <v>__________________________________________</v>
          </cell>
          <cell r="C2" t="str">
            <v>____________________</v>
          </cell>
          <cell r="D2" t="e">
            <v>#VALUE!</v>
          </cell>
          <cell r="E2" t="e">
            <v>#VALUE!</v>
          </cell>
          <cell r="F2" t="str">
            <v>_____________</v>
          </cell>
        </row>
        <row r="3">
          <cell r="A3" t="str">
            <v>__________</v>
          </cell>
          <cell r="B3" t="str">
            <v>__________________________________________</v>
          </cell>
          <cell r="C3" t="str">
            <v>____________________</v>
          </cell>
          <cell r="D3" t="e">
            <v>#VALUE!</v>
          </cell>
          <cell r="E3" t="e">
            <v>#VALUE!</v>
          </cell>
          <cell r="F3" t="str">
            <v>_____________</v>
          </cell>
        </row>
        <row r="4">
          <cell r="A4" t="str">
            <v>__________</v>
          </cell>
          <cell r="B4" t="str">
            <v>__________________________________________</v>
          </cell>
          <cell r="C4" t="str">
            <v>____________________</v>
          </cell>
          <cell r="D4" t="e">
            <v>#VALUE!</v>
          </cell>
          <cell r="E4" t="e">
            <v>#VALUE!</v>
          </cell>
          <cell r="F4" t="str">
            <v>_____________</v>
          </cell>
        </row>
        <row r="5">
          <cell r="A5" t="str">
            <v>__________</v>
          </cell>
          <cell r="B5" t="str">
            <v>__________________________________________</v>
          </cell>
          <cell r="C5" t="str">
            <v>____________________</v>
          </cell>
          <cell r="D5" t="e">
            <v>#VALUE!</v>
          </cell>
          <cell r="E5" t="e">
            <v>#VALUE!</v>
          </cell>
          <cell r="F5" t="str">
            <v>_____________</v>
          </cell>
        </row>
        <row r="6">
          <cell r="A6" t="str">
            <v>__________</v>
          </cell>
          <cell r="B6" t="str">
            <v>__________________________________________</v>
          </cell>
          <cell r="C6" t="str">
            <v>____________________</v>
          </cell>
          <cell r="D6" t="e">
            <v>#VALUE!</v>
          </cell>
          <cell r="E6" t="e">
            <v>#VALUE!</v>
          </cell>
          <cell r="F6" t="str">
            <v>_____________</v>
          </cell>
        </row>
        <row r="7">
          <cell r="A7" t="str">
            <v>__________</v>
          </cell>
          <cell r="B7" t="str">
            <v>__________________________________________</v>
          </cell>
          <cell r="C7" t="str">
            <v>____________________</v>
          </cell>
          <cell r="D7" t="e">
            <v>#VALUE!</v>
          </cell>
          <cell r="E7" t="e">
            <v>#VALUE!</v>
          </cell>
          <cell r="F7" t="str">
            <v>_____________</v>
          </cell>
        </row>
        <row r="8">
          <cell r="A8" t="str">
            <v>__________</v>
          </cell>
          <cell r="B8" t="str">
            <v>__________________________________________</v>
          </cell>
          <cell r="C8" t="str">
            <v>____________________</v>
          </cell>
          <cell r="D8" t="e">
            <v>#VALUE!</v>
          </cell>
          <cell r="E8" t="e">
            <v>#VALUE!</v>
          </cell>
          <cell r="F8" t="str">
            <v>_____________</v>
          </cell>
        </row>
        <row r="9">
          <cell r="A9" t="str">
            <v>__________</v>
          </cell>
          <cell r="B9" t="str">
            <v>__________________________________________</v>
          </cell>
          <cell r="C9" t="str">
            <v>____________________</v>
          </cell>
          <cell r="D9" t="e">
            <v>#VALUE!</v>
          </cell>
          <cell r="E9" t="e">
            <v>#VALUE!</v>
          </cell>
          <cell r="F9" t="str">
            <v>_____________</v>
          </cell>
        </row>
        <row r="10">
          <cell r="A10" t="str">
            <v>__________</v>
          </cell>
          <cell r="B10" t="str">
            <v>__________________________________________</v>
          </cell>
          <cell r="C10" t="str">
            <v>____________________</v>
          </cell>
          <cell r="D10" t="e">
            <v>#VALUE!</v>
          </cell>
          <cell r="E10" t="e">
            <v>#VALUE!</v>
          </cell>
          <cell r="F10" t="str">
            <v>_____________</v>
          </cell>
        </row>
        <row r="11">
          <cell r="A11" t="str">
            <v>__________</v>
          </cell>
          <cell r="B11" t="str">
            <v>__________________________________________</v>
          </cell>
          <cell r="C11" t="str">
            <v>____________________</v>
          </cell>
          <cell r="D11" t="e">
            <v>#VALUE!</v>
          </cell>
          <cell r="E11" t="e">
            <v>#VALUE!</v>
          </cell>
          <cell r="F11" t="str">
            <v>_____________</v>
          </cell>
        </row>
        <row r="12">
          <cell r="A12" t="str">
            <v>100-10-010</v>
          </cell>
          <cell r="B12" t="str">
            <v>NEW BUSINESS PREMIUM PAIC</v>
          </cell>
          <cell r="C12">
            <v>152218</v>
          </cell>
          <cell r="D12">
            <v>3655</v>
          </cell>
          <cell r="E12">
            <v>155873</v>
          </cell>
          <cell r="F12">
            <v>155873</v>
          </cell>
        </row>
        <row r="13">
          <cell r="A13" t="str">
            <v>100-10-020</v>
          </cell>
          <cell r="B13" t="str">
            <v>NEW BUSINESS FFFP</v>
          </cell>
          <cell r="C13">
            <v>0</v>
          </cell>
          <cell r="D13">
            <v>0</v>
          </cell>
          <cell r="E13">
            <v>0</v>
          </cell>
          <cell r="F13">
            <v>0</v>
          </cell>
        </row>
        <row r="14">
          <cell r="A14" t="str">
            <v>100-10-030</v>
          </cell>
          <cell r="B14" t="str">
            <v>NEW BUSINESS W/P</v>
          </cell>
          <cell r="C14">
            <v>0</v>
          </cell>
          <cell r="D14">
            <v>0</v>
          </cell>
          <cell r="E14">
            <v>0</v>
          </cell>
          <cell r="F14">
            <v>0</v>
          </cell>
        </row>
        <row r="15">
          <cell r="A15" t="str">
            <v>100-10-035</v>
          </cell>
          <cell r="B15" t="str">
            <v>NEW BUSINESS KINGA HALISI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</row>
        <row r="16">
          <cell r="A16" t="str">
            <v>100-10-036</v>
          </cell>
          <cell r="B16" t="str">
            <v>NEW BUSINESS FLEXI SAVER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</row>
        <row r="17">
          <cell r="A17" t="str">
            <v>100-10-037</v>
          </cell>
          <cell r="B17" t="str">
            <v>NEW BUSINESS EDUCATOR</v>
          </cell>
          <cell r="C17">
            <v>0</v>
          </cell>
          <cell r="D17">
            <v>0</v>
          </cell>
          <cell r="E17">
            <v>0</v>
          </cell>
          <cell r="F17">
            <v>0</v>
          </cell>
        </row>
        <row r="18">
          <cell r="A18" t="str">
            <v>100-10-040</v>
          </cell>
          <cell r="B18" t="str">
            <v>SINGLE PREMIUMS</v>
          </cell>
          <cell r="C18">
            <v>0</v>
          </cell>
          <cell r="D18">
            <v>0</v>
          </cell>
          <cell r="E18">
            <v>0</v>
          </cell>
          <cell r="F18">
            <v>0</v>
          </cell>
        </row>
        <row r="19">
          <cell r="A19" t="str">
            <v>100-10-050</v>
          </cell>
          <cell r="B19" t="str">
            <v>PERSONAL ACCIDENT PREMIUMS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</row>
        <row r="20">
          <cell r="A20" t="str">
            <v>100-12-010</v>
          </cell>
          <cell r="B20" t="str">
            <v>INVESTMENT ALLOCATION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</row>
        <row r="21">
          <cell r="A21" t="str">
            <v>100-14-010</v>
          </cell>
          <cell r="B21" t="str">
            <v>PREMIUM UPDATES -FFP</v>
          </cell>
          <cell r="C21">
            <v>0</v>
          </cell>
          <cell r="D21">
            <v>0</v>
          </cell>
          <cell r="E21">
            <v>0</v>
          </cell>
          <cell r="F21">
            <v>0</v>
          </cell>
        </row>
        <row r="22">
          <cell r="A22" t="str">
            <v>100-14-020</v>
          </cell>
          <cell r="B22" t="str">
            <v>PREMIUM UPDATES-WP</v>
          </cell>
          <cell r="C22">
            <v>0</v>
          </cell>
          <cell r="D22">
            <v>0</v>
          </cell>
          <cell r="E22">
            <v>0</v>
          </cell>
          <cell r="F22">
            <v>0</v>
          </cell>
        </row>
        <row r="23">
          <cell r="A23" t="str">
            <v>100-14-030</v>
          </cell>
          <cell r="B23" t="str">
            <v>PREMIUM UPDATE - KINGA HALISI</v>
          </cell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A24" t="str">
            <v>100-15-010</v>
          </cell>
          <cell r="B24" t="str">
            <v>RENEWAL PREMIUMS -PAIC</v>
          </cell>
          <cell r="C24">
            <v>0</v>
          </cell>
          <cell r="D24">
            <v>0</v>
          </cell>
          <cell r="E24">
            <v>0</v>
          </cell>
          <cell r="F24">
            <v>0</v>
          </cell>
        </row>
        <row r="25">
          <cell r="A25" t="str">
            <v>100-15-020</v>
          </cell>
          <cell r="B25" t="str">
            <v>RENEWAL PREMIUMS -FFP</v>
          </cell>
          <cell r="C25">
            <v>0</v>
          </cell>
          <cell r="D25">
            <v>0</v>
          </cell>
          <cell r="E25">
            <v>0</v>
          </cell>
          <cell r="F25">
            <v>0</v>
          </cell>
        </row>
        <row r="26">
          <cell r="A26" t="str">
            <v>100-15-030</v>
          </cell>
          <cell r="B26" t="str">
            <v>RENEWAL PREMIUMS -WP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</row>
        <row r="27">
          <cell r="A27" t="str">
            <v>100-15-040</v>
          </cell>
          <cell r="B27" t="str">
            <v>RENEWAL PREMIUMS- KINGA HALISI</v>
          </cell>
          <cell r="C27">
            <v>0</v>
          </cell>
          <cell r="D27">
            <v>0</v>
          </cell>
          <cell r="E27">
            <v>0</v>
          </cell>
          <cell r="F27">
            <v>0</v>
          </cell>
        </row>
        <row r="28">
          <cell r="A28" t="str">
            <v>100-15-050</v>
          </cell>
          <cell r="B28" t="str">
            <v>RENEWAL PREMIUM - EDUCATOR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</row>
        <row r="29">
          <cell r="A29" t="str">
            <v>100-15-060</v>
          </cell>
          <cell r="B29" t="str">
            <v>RENEWAL PREMIUM - FLEXI SAVER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</row>
        <row r="30">
          <cell r="A30" t="str">
            <v>100-20-010</v>
          </cell>
          <cell r="B30" t="str">
            <v>LAPSES NEW BUSINESS -FFP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</row>
        <row r="31">
          <cell r="A31" t="str">
            <v>100-20-020</v>
          </cell>
          <cell r="B31" t="str">
            <v>LAPSES NEW BUSINESS -WP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</row>
        <row r="32">
          <cell r="A32" t="str">
            <v>100-20-025</v>
          </cell>
          <cell r="B32" t="str">
            <v>LAPSES NEW BUSINESS - KINGA HALISI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</row>
        <row r="33">
          <cell r="A33" t="str">
            <v>100-20-030</v>
          </cell>
          <cell r="B33" t="str">
            <v>NEW BUSINESS LAPSES - FLEXI SAVER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</row>
        <row r="34">
          <cell r="A34" t="str">
            <v>100-20-035</v>
          </cell>
          <cell r="B34" t="str">
            <v>NEW BUSINESS LAPSES - FLEXI EDUCATOR</v>
          </cell>
          <cell r="C34">
            <v>0</v>
          </cell>
          <cell r="D34">
            <v>0</v>
          </cell>
          <cell r="E34">
            <v>0</v>
          </cell>
          <cell r="F34">
            <v>0</v>
          </cell>
        </row>
        <row r="35">
          <cell r="A35" t="str">
            <v>100-20-050</v>
          </cell>
          <cell r="B35" t="str">
            <v>LAPSES RENEWAL -FFP</v>
          </cell>
          <cell r="C35">
            <v>0</v>
          </cell>
          <cell r="D35">
            <v>0</v>
          </cell>
          <cell r="E35">
            <v>0</v>
          </cell>
          <cell r="F35">
            <v>0</v>
          </cell>
        </row>
        <row r="36">
          <cell r="A36" t="str">
            <v>100-20-060</v>
          </cell>
          <cell r="B36" t="str">
            <v>LAPSES RENEWAL -WP</v>
          </cell>
          <cell r="C36">
            <v>0</v>
          </cell>
          <cell r="D36">
            <v>0</v>
          </cell>
          <cell r="E36">
            <v>0</v>
          </cell>
          <cell r="F36">
            <v>0</v>
          </cell>
        </row>
        <row r="37">
          <cell r="A37" t="str">
            <v>100-20-070</v>
          </cell>
          <cell r="B37" t="str">
            <v>LAPSES RENEWAL -PAIC</v>
          </cell>
          <cell r="C37">
            <v>0</v>
          </cell>
          <cell r="D37">
            <v>0</v>
          </cell>
          <cell r="E37">
            <v>0</v>
          </cell>
          <cell r="F37">
            <v>0</v>
          </cell>
        </row>
        <row r="38">
          <cell r="A38" t="str">
            <v>100-20-080</v>
          </cell>
          <cell r="B38" t="str">
            <v>LAPSES RENEWAL - KINGA HALISI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</row>
        <row r="39">
          <cell r="A39" t="str">
            <v>100-20-085</v>
          </cell>
          <cell r="B39" t="str">
            <v>RENEWAL BUSINESS LAPSES - FLEXI SAVER</v>
          </cell>
          <cell r="C39">
            <v>0</v>
          </cell>
          <cell r="D39">
            <v>0</v>
          </cell>
          <cell r="E39">
            <v>0</v>
          </cell>
          <cell r="F39">
            <v>0</v>
          </cell>
        </row>
        <row r="40">
          <cell r="A40" t="str">
            <v>100-20-090</v>
          </cell>
          <cell r="B40" t="str">
            <v>RENEWAL  BUSINESS LAPSES - FLEXI EDUCATO</v>
          </cell>
          <cell r="C40">
            <v>0</v>
          </cell>
          <cell r="D40">
            <v>0</v>
          </cell>
          <cell r="E40">
            <v>0</v>
          </cell>
          <cell r="F40">
            <v>0</v>
          </cell>
        </row>
        <row r="41">
          <cell r="A41" t="str">
            <v>100-25-010</v>
          </cell>
          <cell r="B41" t="str">
            <v>SINGLE PREMIUMS</v>
          </cell>
          <cell r="C41">
            <v>0</v>
          </cell>
          <cell r="D41">
            <v>0</v>
          </cell>
          <cell r="E41">
            <v>0</v>
          </cell>
          <cell r="F41">
            <v>0</v>
          </cell>
        </row>
        <row r="42">
          <cell r="A42" t="str">
            <v>100-25-020</v>
          </cell>
          <cell r="B42" t="str">
            <v>RENEWAL WP</v>
          </cell>
          <cell r="C42">
            <v>0</v>
          </cell>
          <cell r="D42">
            <v>0</v>
          </cell>
          <cell r="E42">
            <v>0</v>
          </cell>
          <cell r="F42">
            <v>0</v>
          </cell>
        </row>
        <row r="43">
          <cell r="A43" t="str">
            <v>100-25-025</v>
          </cell>
          <cell r="B43" t="str">
            <v>PREMIUM INJECTIONS-WP</v>
          </cell>
          <cell r="C43">
            <v>0</v>
          </cell>
          <cell r="D43">
            <v>0</v>
          </cell>
          <cell r="E43">
            <v>0</v>
          </cell>
          <cell r="F43">
            <v>0</v>
          </cell>
        </row>
        <row r="44">
          <cell r="A44" t="str">
            <v>100-25-030</v>
          </cell>
          <cell r="B44" t="str">
            <v>PREMIUM INJECTIONS-FFP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</row>
        <row r="45">
          <cell r="A45" t="str">
            <v>100-26-010</v>
          </cell>
          <cell r="B45" t="str">
            <v>PREMIUM RECOVERIES</v>
          </cell>
          <cell r="C45">
            <v>-195338</v>
          </cell>
          <cell r="D45">
            <v>-21454</v>
          </cell>
          <cell r="E45">
            <v>-216792</v>
          </cell>
          <cell r="F45">
            <v>-216792</v>
          </cell>
        </row>
        <row r="46">
          <cell r="A46" t="str">
            <v>100-30-010</v>
          </cell>
          <cell r="B46" t="str">
            <v>GROUP LIFE SCHEME</v>
          </cell>
          <cell r="C46">
            <v>0</v>
          </cell>
          <cell r="D46">
            <v>0</v>
          </cell>
          <cell r="E46">
            <v>0</v>
          </cell>
          <cell r="F46">
            <v>0</v>
          </cell>
        </row>
        <row r="47">
          <cell r="A47" t="str">
            <v>100-30-020</v>
          </cell>
          <cell r="B47" t="str">
            <v>GROUP DISABILITY SCHEME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</row>
        <row r="48">
          <cell r="A48" t="str">
            <v>100-30-030</v>
          </cell>
          <cell r="B48" t="str">
            <v>GROUP CREDIT SCHEME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</row>
        <row r="49">
          <cell r="A49" t="str">
            <v>100-30-040</v>
          </cell>
          <cell r="B49" t="str">
            <v>GROUP LAST EXPENSE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</row>
        <row r="50">
          <cell r="A50" t="str">
            <v>100-30-050</v>
          </cell>
          <cell r="B50" t="str">
            <v>GROUP MORTGAGE SCHEME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</row>
        <row r="51">
          <cell r="A51" t="str">
            <v>100-30-060</v>
          </cell>
          <cell r="B51" t="str">
            <v>GROUP PENSION SCHEME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</row>
        <row r="52">
          <cell r="A52" t="str">
            <v>100-30-070</v>
          </cell>
          <cell r="B52" t="str">
            <v>HARAMBEE SCHEME</v>
          </cell>
          <cell r="C52">
            <v>0</v>
          </cell>
          <cell r="D52">
            <v>0</v>
          </cell>
          <cell r="E52">
            <v>0</v>
          </cell>
          <cell r="F52">
            <v>0</v>
          </cell>
        </row>
        <row r="53">
          <cell r="A53" t="str">
            <v>100-40-010</v>
          </cell>
          <cell r="B53" t="str">
            <v>NEW BUSINESS - GROUP LIFE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</row>
        <row r="54">
          <cell r="A54" t="str">
            <v>100-40-020</v>
          </cell>
          <cell r="B54" t="str">
            <v>NEW BUSINESS - DISABILITY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</row>
        <row r="55">
          <cell r="A55" t="str">
            <v>100-40-030</v>
          </cell>
          <cell r="B55" t="str">
            <v>NWE BUSINESS - GROUP CREDIT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</row>
        <row r="56">
          <cell r="A56" t="str">
            <v>100-40-040</v>
          </cell>
          <cell r="B56" t="str">
            <v>NEW BUSINESS - LAST EXPENSE</v>
          </cell>
          <cell r="C56">
            <v>0</v>
          </cell>
          <cell r="D56">
            <v>0</v>
          </cell>
          <cell r="E56">
            <v>0</v>
          </cell>
          <cell r="F56">
            <v>0</v>
          </cell>
        </row>
        <row r="57">
          <cell r="A57" t="str">
            <v>100-40-050</v>
          </cell>
          <cell r="B57" t="str">
            <v>NEW BUSINESS - GROUP MORTGAGE</v>
          </cell>
          <cell r="C57">
            <v>0</v>
          </cell>
          <cell r="D57">
            <v>0</v>
          </cell>
          <cell r="E57">
            <v>0</v>
          </cell>
          <cell r="F57">
            <v>0</v>
          </cell>
        </row>
        <row r="58">
          <cell r="A58" t="str">
            <v>100-40-060</v>
          </cell>
          <cell r="B58" t="str">
            <v>NEW BUSINESS - PENSION</v>
          </cell>
          <cell r="C58">
            <v>0</v>
          </cell>
          <cell r="D58">
            <v>0</v>
          </cell>
          <cell r="E58">
            <v>0</v>
          </cell>
          <cell r="F58">
            <v>0</v>
          </cell>
        </row>
        <row r="59">
          <cell r="A59" t="str">
            <v>100-40-070</v>
          </cell>
          <cell r="B59" t="str">
            <v>RETIREMENT ANNUITIES</v>
          </cell>
          <cell r="C59">
            <v>0</v>
          </cell>
          <cell r="D59">
            <v>0</v>
          </cell>
          <cell r="E59">
            <v>0</v>
          </cell>
          <cell r="F59">
            <v>0</v>
          </cell>
        </row>
        <row r="60">
          <cell r="A60" t="str">
            <v>200-10-011</v>
          </cell>
          <cell r="B60" t="str">
            <v>REASSURANCE PREM/ENDOWMENT POLICY</v>
          </cell>
          <cell r="C60">
            <v>0</v>
          </cell>
          <cell r="D60">
            <v>0</v>
          </cell>
          <cell r="E60">
            <v>0</v>
          </cell>
          <cell r="F60">
            <v>0</v>
          </cell>
        </row>
        <row r="61">
          <cell r="A61" t="str">
            <v>200-10-012</v>
          </cell>
          <cell r="B61" t="str">
            <v>REASSURACE PREM FFFP POLICIES</v>
          </cell>
          <cell r="C61">
            <v>0</v>
          </cell>
          <cell r="D61">
            <v>0</v>
          </cell>
          <cell r="E61">
            <v>0</v>
          </cell>
          <cell r="F61">
            <v>0</v>
          </cell>
        </row>
        <row r="62">
          <cell r="A62" t="str">
            <v>200-10-013</v>
          </cell>
          <cell r="B62" t="str">
            <v>REASSURANCE PREM WP/POLICIES</v>
          </cell>
          <cell r="C62">
            <v>0</v>
          </cell>
          <cell r="D62">
            <v>0</v>
          </cell>
          <cell r="E62">
            <v>0</v>
          </cell>
          <cell r="F62">
            <v>0</v>
          </cell>
        </row>
        <row r="63">
          <cell r="A63" t="str">
            <v>200-10-014</v>
          </cell>
          <cell r="B63" t="str">
            <v>REASSURANCE PREMIUMS- KINGA HALISI</v>
          </cell>
          <cell r="C63">
            <v>0</v>
          </cell>
          <cell r="D63">
            <v>0</v>
          </cell>
          <cell r="E63">
            <v>0</v>
          </cell>
          <cell r="F63">
            <v>0</v>
          </cell>
        </row>
        <row r="64">
          <cell r="A64" t="str">
            <v>200-10-015</v>
          </cell>
          <cell r="B64" t="str">
            <v>NEW BUSINESS REINSURANCE PREMIUM-KINGA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</row>
        <row r="65">
          <cell r="A65" t="str">
            <v>200-10-016</v>
          </cell>
          <cell r="B65" t="str">
            <v>NEW BUSINESS REINSURANCE-WP</v>
          </cell>
          <cell r="C65">
            <v>0</v>
          </cell>
          <cell r="D65">
            <v>0</v>
          </cell>
          <cell r="E65">
            <v>0</v>
          </cell>
          <cell r="F65">
            <v>0</v>
          </cell>
        </row>
        <row r="66">
          <cell r="A66" t="str">
            <v>200-15-011</v>
          </cell>
          <cell r="B66" t="str">
            <v>REASSURANCE PREMIUMS -GROUP LIFE</v>
          </cell>
          <cell r="C66">
            <v>0</v>
          </cell>
          <cell r="D66">
            <v>0</v>
          </cell>
          <cell r="E66">
            <v>0</v>
          </cell>
          <cell r="F66">
            <v>0</v>
          </cell>
        </row>
        <row r="67">
          <cell r="A67" t="str">
            <v>200-15-012</v>
          </cell>
          <cell r="B67" t="str">
            <v>REASSURANCE PREMIUMS-GROUP MORTGAGE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</row>
        <row r="68">
          <cell r="A68" t="str">
            <v>200-15-013</v>
          </cell>
          <cell r="B68" t="str">
            <v>REASSURANCE PREMIUMS-GROUP CREDIT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</row>
        <row r="69">
          <cell r="A69" t="str">
            <v>200-15-014</v>
          </cell>
          <cell r="B69" t="str">
            <v>REASSURANCE PREMIUMS -GROUP DISABILITY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</row>
        <row r="70">
          <cell r="A70" t="str">
            <v>200-15-015</v>
          </cell>
          <cell r="B70" t="str">
            <v>REASSURANCE PREMIUMS- GROUP LAST EXPENSE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</row>
        <row r="71">
          <cell r="A71" t="str">
            <v>200-15-016</v>
          </cell>
          <cell r="B71" t="str">
            <v>REASSURANCE PREMIUMS - CATASTROPHE COVER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</row>
        <row r="72">
          <cell r="A72" t="str">
            <v>200-15-017</v>
          </cell>
          <cell r="B72" t="str">
            <v>GROUP HARAMBEE SCHEMES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</row>
        <row r="73">
          <cell r="A73" t="str">
            <v>200-16-011</v>
          </cell>
          <cell r="B73" t="str">
            <v>NEW BUSINESS - REASS.PREM - G LIFE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</row>
        <row r="74">
          <cell r="A74" t="str">
            <v>200-16-012</v>
          </cell>
          <cell r="B74" t="str">
            <v>NEW BUSINESS - REASS. PREM - G MORTGAGE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</row>
        <row r="75">
          <cell r="A75" t="str">
            <v>200-16-013</v>
          </cell>
          <cell r="B75" t="str">
            <v>NEW BUSINESS - RAESS. PREM. - G CREDIT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</row>
        <row r="76">
          <cell r="A76" t="str">
            <v>200-16-014</v>
          </cell>
          <cell r="B76" t="str">
            <v>NEW BUSINESS - REASS.PREM - G DISABILITY</v>
          </cell>
          <cell r="C76">
            <v>0</v>
          </cell>
          <cell r="D76">
            <v>0</v>
          </cell>
          <cell r="E76">
            <v>0</v>
          </cell>
          <cell r="F76">
            <v>0</v>
          </cell>
        </row>
        <row r="77">
          <cell r="A77" t="str">
            <v>200-16-015</v>
          </cell>
          <cell r="B77" t="str">
            <v>NEW BUSINESS - REASS.PREM - G LAST EXP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</row>
        <row r="78">
          <cell r="A78" t="str">
            <v>200-20-011</v>
          </cell>
          <cell r="B78" t="str">
            <v>REASSURANCE COMM.WP</v>
          </cell>
          <cell r="C78">
            <v>0</v>
          </cell>
          <cell r="D78">
            <v>0</v>
          </cell>
          <cell r="E78">
            <v>0</v>
          </cell>
          <cell r="F78">
            <v>0</v>
          </cell>
        </row>
        <row r="79">
          <cell r="A79" t="str">
            <v>200-20-012</v>
          </cell>
          <cell r="B79" t="str">
            <v>REASSURANCE COMM.FFFP</v>
          </cell>
          <cell r="C79">
            <v>0</v>
          </cell>
          <cell r="D79">
            <v>0</v>
          </cell>
          <cell r="E79">
            <v>0</v>
          </cell>
          <cell r="F79">
            <v>0</v>
          </cell>
        </row>
        <row r="80">
          <cell r="A80" t="str">
            <v>200-20-013</v>
          </cell>
          <cell r="B80" t="str">
            <v>REASSURANCE COMMISSION-GROUP LIFE</v>
          </cell>
          <cell r="C80">
            <v>0</v>
          </cell>
          <cell r="D80">
            <v>0</v>
          </cell>
          <cell r="E80">
            <v>0</v>
          </cell>
          <cell r="F80">
            <v>0</v>
          </cell>
        </row>
        <row r="81">
          <cell r="A81" t="str">
            <v>200-20-014</v>
          </cell>
          <cell r="B81" t="str">
            <v>REASSUARANCE COMMISSION-GROUP MORTGAGE</v>
          </cell>
          <cell r="C81">
            <v>0</v>
          </cell>
          <cell r="D81">
            <v>0</v>
          </cell>
          <cell r="E81">
            <v>0</v>
          </cell>
          <cell r="F81">
            <v>0</v>
          </cell>
        </row>
        <row r="82">
          <cell r="A82" t="str">
            <v>200-20-015</v>
          </cell>
          <cell r="B82" t="str">
            <v>REASSURANCE COMM-GROUP CREDIT</v>
          </cell>
          <cell r="C82">
            <v>0</v>
          </cell>
          <cell r="D82">
            <v>0</v>
          </cell>
          <cell r="E82">
            <v>0</v>
          </cell>
          <cell r="F82">
            <v>0</v>
          </cell>
        </row>
        <row r="83">
          <cell r="A83" t="str">
            <v>200-20-016</v>
          </cell>
          <cell r="B83" t="str">
            <v>REASSURANCE COMM-GROUP DISABILITY</v>
          </cell>
          <cell r="C83">
            <v>0</v>
          </cell>
          <cell r="D83">
            <v>0</v>
          </cell>
          <cell r="E83">
            <v>0</v>
          </cell>
          <cell r="F83">
            <v>0</v>
          </cell>
        </row>
        <row r="84">
          <cell r="A84" t="str">
            <v>200-20-017</v>
          </cell>
          <cell r="B84" t="str">
            <v>REASSURANCE COMMISSION - LAST EXPENSE</v>
          </cell>
          <cell r="C84">
            <v>0</v>
          </cell>
          <cell r="D84">
            <v>0</v>
          </cell>
          <cell r="E84">
            <v>0</v>
          </cell>
          <cell r="F84">
            <v>0</v>
          </cell>
        </row>
        <row r="85">
          <cell r="A85" t="str">
            <v>200-20-018</v>
          </cell>
          <cell r="B85" t="str">
            <v>REASSURANCE COMMISSION - KINGA HALISI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</row>
        <row r="86">
          <cell r="A86" t="str">
            <v>200-25-013</v>
          </cell>
          <cell r="B86" t="str">
            <v>NEW BUSINESS - REASS.COMM - G LIFE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</row>
        <row r="87">
          <cell r="A87" t="str">
            <v>200-25-014</v>
          </cell>
          <cell r="B87" t="str">
            <v>NEW BUSINESS - REASS. COMM - G MORTGAGE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</row>
        <row r="88">
          <cell r="A88" t="str">
            <v>200-25-015</v>
          </cell>
          <cell r="B88" t="str">
            <v>NEW BUSINESS - REASS. COMM - G CREDIT</v>
          </cell>
          <cell r="C88">
            <v>0</v>
          </cell>
          <cell r="D88">
            <v>0</v>
          </cell>
          <cell r="E88">
            <v>0</v>
          </cell>
          <cell r="F88">
            <v>0</v>
          </cell>
        </row>
        <row r="89">
          <cell r="A89" t="str">
            <v>200-25-016</v>
          </cell>
          <cell r="B89" t="str">
            <v>NEW BUSINESS - REASS. COMM - G DISABILIT</v>
          </cell>
          <cell r="C89">
            <v>0</v>
          </cell>
          <cell r="D89">
            <v>0</v>
          </cell>
          <cell r="E89">
            <v>0</v>
          </cell>
          <cell r="F89">
            <v>0</v>
          </cell>
        </row>
        <row r="90">
          <cell r="A90" t="str">
            <v>200-25-017</v>
          </cell>
          <cell r="B90" t="str">
            <v>NEW BUSINESS - REASS. COMM - G LAST EXP</v>
          </cell>
          <cell r="C90">
            <v>0</v>
          </cell>
          <cell r="D90">
            <v>0</v>
          </cell>
          <cell r="E90">
            <v>0</v>
          </cell>
          <cell r="F90">
            <v>0</v>
          </cell>
        </row>
        <row r="91">
          <cell r="A91" t="str">
            <v>200-25-018</v>
          </cell>
          <cell r="B91" t="str">
            <v>NEW BUSINESS REINSURANCE COMM-KINGAHALI</v>
          </cell>
          <cell r="C91">
            <v>0</v>
          </cell>
          <cell r="D91">
            <v>0</v>
          </cell>
          <cell r="E91">
            <v>0</v>
          </cell>
          <cell r="F91">
            <v>0</v>
          </cell>
        </row>
        <row r="92">
          <cell r="A92" t="str">
            <v>200-25-019</v>
          </cell>
          <cell r="B92" t="str">
            <v>NEW BUSINESS REINSURANCE COMMISSION-WP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</row>
        <row r="93">
          <cell r="A93" t="str">
            <v>200-30-011</v>
          </cell>
          <cell r="B93" t="str">
            <v>CLAIMS RECOVERED -GROUP LIFE ASSURANCE</v>
          </cell>
          <cell r="C93">
            <v>0</v>
          </cell>
          <cell r="D93">
            <v>0</v>
          </cell>
          <cell r="E93">
            <v>0</v>
          </cell>
          <cell r="F93">
            <v>0</v>
          </cell>
        </row>
        <row r="94">
          <cell r="A94" t="str">
            <v>200-30-012</v>
          </cell>
          <cell r="B94" t="str">
            <v>CLAIMS RECOVERED GROUP MORTGAGE</v>
          </cell>
          <cell r="C94">
            <v>0</v>
          </cell>
          <cell r="D94">
            <v>0</v>
          </cell>
          <cell r="E94">
            <v>0</v>
          </cell>
          <cell r="F94">
            <v>0</v>
          </cell>
        </row>
        <row r="95">
          <cell r="A95" t="str">
            <v>200-30-013</v>
          </cell>
          <cell r="B95" t="str">
            <v>CLAIMS RECOVERED-GROUP LAST EXPENSE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</row>
        <row r="96">
          <cell r="A96" t="str">
            <v>200-30-014</v>
          </cell>
          <cell r="B96" t="str">
            <v>CLAIMS RECOVERED -GROUP CREDIT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</row>
        <row r="97">
          <cell r="A97" t="str">
            <v>200-30-015</v>
          </cell>
          <cell r="B97" t="str">
            <v>CLAIMS RECOVERED -GROUP DISABILITY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</row>
        <row r="98">
          <cell r="A98" t="str">
            <v>300-10-010</v>
          </cell>
          <cell r="B98" t="str">
            <v>LORESHO HOUSE</v>
          </cell>
          <cell r="C98">
            <v>0</v>
          </cell>
          <cell r="D98">
            <v>0</v>
          </cell>
          <cell r="E98">
            <v>0</v>
          </cell>
          <cell r="F98">
            <v>0</v>
          </cell>
        </row>
        <row r="99">
          <cell r="A99" t="str">
            <v>300-10-020</v>
          </cell>
          <cell r="B99" t="str">
            <v>RETREAT VILLAS</v>
          </cell>
          <cell r="C99">
            <v>0</v>
          </cell>
          <cell r="D99">
            <v>0</v>
          </cell>
          <cell r="E99">
            <v>0</v>
          </cell>
          <cell r="F99">
            <v>0</v>
          </cell>
        </row>
        <row r="100">
          <cell r="A100" t="str">
            <v>300-10-030</v>
          </cell>
          <cell r="B100" t="str">
            <v>ARCADE PETROL STATION</v>
          </cell>
          <cell r="C100">
            <v>0</v>
          </cell>
          <cell r="D100">
            <v>0</v>
          </cell>
          <cell r="E100">
            <v>0</v>
          </cell>
          <cell r="F100">
            <v>0</v>
          </cell>
        </row>
        <row r="101">
          <cell r="A101" t="str">
            <v>300-10-040</v>
          </cell>
          <cell r="B101" t="str">
            <v>AMBALAL HOUSE</v>
          </cell>
          <cell r="C101">
            <v>0</v>
          </cell>
          <cell r="D101">
            <v>0</v>
          </cell>
          <cell r="E101">
            <v>0</v>
          </cell>
          <cell r="F101">
            <v>0</v>
          </cell>
        </row>
        <row r="102">
          <cell r="A102" t="str">
            <v>300-10-050</v>
          </cell>
          <cell r="B102" t="str">
            <v>PAN AFRICA HOUSE NBI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</row>
        <row r="103">
          <cell r="A103" t="str">
            <v>300-10-060</v>
          </cell>
          <cell r="B103" t="str">
            <v>AMMORTIZATION OF LAND AND BUILDINGS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</row>
        <row r="104">
          <cell r="A104" t="str">
            <v>300-10-070</v>
          </cell>
          <cell r="B104" t="str">
            <v>INVESTMENT INCOME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</row>
        <row r="105">
          <cell r="A105" t="str">
            <v>300-14-010</v>
          </cell>
          <cell r="B105" t="str">
            <v>LOSS ON DISPOSAL OF PROPERTIES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</row>
        <row r="106">
          <cell r="A106" t="str">
            <v>300-14-040</v>
          </cell>
          <cell r="B106" t="str">
            <v>LOSS/PROFIT DISPOSAL OF MOTOR VEHICLE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</row>
        <row r="107">
          <cell r="A107" t="str">
            <v>300-15-010</v>
          </cell>
          <cell r="B107" t="str">
            <v>MISC INCOMES</v>
          </cell>
          <cell r="C107">
            <v>-290615.77</v>
          </cell>
          <cell r="D107">
            <v>-89000</v>
          </cell>
          <cell r="E107">
            <v>-379615.77</v>
          </cell>
          <cell r="F107">
            <v>-379615.77</v>
          </cell>
        </row>
        <row r="108">
          <cell r="A108" t="str">
            <v>300-15-015</v>
          </cell>
          <cell r="B108" t="str">
            <v>GAIN/LOSS ON FEREIGN EXCHAGE</v>
          </cell>
          <cell r="C108">
            <v>0</v>
          </cell>
          <cell r="D108">
            <v>0</v>
          </cell>
          <cell r="E108">
            <v>0</v>
          </cell>
          <cell r="F108">
            <v>0</v>
          </cell>
        </row>
        <row r="109">
          <cell r="A109" t="str">
            <v>300-15-020</v>
          </cell>
          <cell r="B109" t="str">
            <v>MORTAGE INTEREST STAFF</v>
          </cell>
          <cell r="C109">
            <v>0</v>
          </cell>
          <cell r="D109">
            <v>0</v>
          </cell>
          <cell r="E109">
            <v>0</v>
          </cell>
          <cell r="F109">
            <v>0</v>
          </cell>
        </row>
        <row r="110">
          <cell r="A110" t="str">
            <v>300-15-021</v>
          </cell>
          <cell r="B110" t="str">
            <v>STAFF INTEREST ON ADVANCES,N/L,CARLOANS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</row>
        <row r="111">
          <cell r="A111" t="str">
            <v>300-15-025</v>
          </cell>
          <cell r="B111" t="str">
            <v>PROFIT SHARE-REINSURANCE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</row>
        <row r="112">
          <cell r="A112" t="str">
            <v>300-15-026</v>
          </cell>
          <cell r="B112" t="str">
            <v>GAIN OR LOSS ON VALUATION</v>
          </cell>
          <cell r="C112">
            <v>0</v>
          </cell>
          <cell r="D112">
            <v>0</v>
          </cell>
          <cell r="E112">
            <v>0</v>
          </cell>
          <cell r="F112">
            <v>0</v>
          </cell>
        </row>
        <row r="113">
          <cell r="A113" t="str">
            <v>300-20-030</v>
          </cell>
          <cell r="B113" t="str">
            <v>DIVIDENED INCOME</v>
          </cell>
          <cell r="C113">
            <v>-904148</v>
          </cell>
          <cell r="D113">
            <v>0</v>
          </cell>
          <cell r="E113">
            <v>-904148</v>
          </cell>
          <cell r="F113">
            <v>-904148</v>
          </cell>
        </row>
        <row r="114">
          <cell r="A114" t="str">
            <v>300-30-010</v>
          </cell>
          <cell r="B114" t="str">
            <v>SERVICE CHARGE LOAN ON POLICY</v>
          </cell>
          <cell r="C114">
            <v>-2099000</v>
          </cell>
          <cell r="D114">
            <v>0</v>
          </cell>
          <cell r="E114">
            <v>-2099000</v>
          </cell>
          <cell r="F114">
            <v>-2099000</v>
          </cell>
        </row>
        <row r="115">
          <cell r="A115" t="str">
            <v>300-30-020</v>
          </cell>
          <cell r="B115" t="str">
            <v>INTEREST ON LOAN ON POLICY</v>
          </cell>
          <cell r="C115">
            <v>0</v>
          </cell>
          <cell r="D115">
            <v>0</v>
          </cell>
          <cell r="E115">
            <v>0</v>
          </cell>
          <cell r="F115">
            <v>0</v>
          </cell>
        </row>
        <row r="116">
          <cell r="A116" t="str">
            <v>300-30-030</v>
          </cell>
          <cell r="B116" t="str">
            <v>INTEREST ON COMMERCIAL PAPER</v>
          </cell>
          <cell r="C116">
            <v>0</v>
          </cell>
          <cell r="D116">
            <v>0</v>
          </cell>
          <cell r="E116">
            <v>0</v>
          </cell>
          <cell r="F116">
            <v>0</v>
          </cell>
        </row>
        <row r="117">
          <cell r="A117" t="str">
            <v>300-30-040</v>
          </cell>
          <cell r="B117" t="str">
            <v>PREMIUM ON BONDS</v>
          </cell>
          <cell r="C117">
            <v>0</v>
          </cell>
          <cell r="D117">
            <v>0</v>
          </cell>
          <cell r="E117">
            <v>0</v>
          </cell>
          <cell r="F117">
            <v>0</v>
          </cell>
        </row>
        <row r="118">
          <cell r="A118" t="str">
            <v>300-30-050</v>
          </cell>
          <cell r="B118" t="str">
            <v>INTEREST ON FD</v>
          </cell>
          <cell r="C118">
            <v>0</v>
          </cell>
          <cell r="D118">
            <v>0</v>
          </cell>
          <cell r="E118">
            <v>0</v>
          </cell>
          <cell r="F118">
            <v>0</v>
          </cell>
        </row>
        <row r="119">
          <cell r="A119" t="str">
            <v>300-30-060</v>
          </cell>
          <cell r="B119" t="str">
            <v>INTEREST ON TB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</row>
        <row r="120">
          <cell r="A120" t="str">
            <v>300-30-062</v>
          </cell>
          <cell r="B120" t="str">
            <v>INTEREST ON BONDS UNDER LIEN</v>
          </cell>
          <cell r="C120">
            <v>-5773400</v>
          </cell>
          <cell r="D120">
            <v>-6284533</v>
          </cell>
          <cell r="E120">
            <v>-12057933</v>
          </cell>
          <cell r="F120">
            <v>-12057933</v>
          </cell>
        </row>
        <row r="121">
          <cell r="A121" t="str">
            <v>300-30-065</v>
          </cell>
          <cell r="B121" t="str">
            <v>FUND MANAGEMENT FEES</v>
          </cell>
          <cell r="C121">
            <v>27670844.699999999</v>
          </cell>
          <cell r="D121">
            <v>138633</v>
          </cell>
          <cell r="E121">
            <v>27809477.699999999</v>
          </cell>
          <cell r="F121">
            <v>27809477.699999999</v>
          </cell>
        </row>
        <row r="122">
          <cell r="A122" t="str">
            <v>300-30-070</v>
          </cell>
          <cell r="B122" t="str">
            <v>FUND CUSTODIAL FEES</v>
          </cell>
          <cell r="C122">
            <v>512023.8</v>
          </cell>
          <cell r="D122">
            <v>3363327.4</v>
          </cell>
          <cell r="E122">
            <v>3875351.2</v>
          </cell>
          <cell r="F122">
            <v>3875351.2</v>
          </cell>
        </row>
        <row r="123">
          <cell r="A123" t="str">
            <v>300-30-075</v>
          </cell>
          <cell r="B123" t="str">
            <v>UNREALISED GAIN/LOSS BOND FUND</v>
          </cell>
          <cell r="C123">
            <v>0</v>
          </cell>
          <cell r="D123">
            <v>0</v>
          </cell>
          <cell r="E123">
            <v>0</v>
          </cell>
          <cell r="F123">
            <v>0</v>
          </cell>
        </row>
        <row r="124">
          <cell r="A124" t="str">
            <v>300-30-076</v>
          </cell>
          <cell r="B124" t="str">
            <v>UNREALISED GAIN/LOSS MONEY MARKET FUND</v>
          </cell>
          <cell r="C124">
            <v>0</v>
          </cell>
          <cell r="D124">
            <v>0</v>
          </cell>
          <cell r="E124">
            <v>0</v>
          </cell>
          <cell r="F124">
            <v>0</v>
          </cell>
        </row>
        <row r="125">
          <cell r="A125" t="str">
            <v>300-30-080</v>
          </cell>
          <cell r="B125" t="str">
            <v>ADVERTISING(UNIT PRICE)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</row>
        <row r="126">
          <cell r="A126" t="str">
            <v>300-85-010</v>
          </cell>
          <cell r="B126" t="str">
            <v>REALIZED GAINS ON SHARES</v>
          </cell>
          <cell r="C126">
            <v>0</v>
          </cell>
          <cell r="D126">
            <v>0</v>
          </cell>
          <cell r="E126">
            <v>0</v>
          </cell>
          <cell r="F126">
            <v>0</v>
          </cell>
        </row>
        <row r="127">
          <cell r="A127" t="str">
            <v>300-85-015</v>
          </cell>
          <cell r="B127" t="str">
            <v>REALISED GAIN/LOSS ON SALE OF CP</v>
          </cell>
          <cell r="C127">
            <v>0</v>
          </cell>
          <cell r="D127">
            <v>0</v>
          </cell>
          <cell r="E127">
            <v>0</v>
          </cell>
          <cell r="F127">
            <v>0</v>
          </cell>
        </row>
        <row r="128">
          <cell r="A128" t="str">
            <v>300-86-010</v>
          </cell>
          <cell r="B128" t="str">
            <v>REALISED GAIN/LOSS BONDS&amp;TBILLS</v>
          </cell>
          <cell r="C128">
            <v>0</v>
          </cell>
          <cell r="D128">
            <v>0</v>
          </cell>
          <cell r="E128">
            <v>0</v>
          </cell>
          <cell r="F128">
            <v>0</v>
          </cell>
        </row>
        <row r="129">
          <cell r="A129" t="str">
            <v>300-95-010</v>
          </cell>
          <cell r="B129" t="str">
            <v>UNREALISED GAIN/LOSS ON EQUITIES</v>
          </cell>
          <cell r="C129">
            <v>0</v>
          </cell>
          <cell r="D129">
            <v>0</v>
          </cell>
          <cell r="E129">
            <v>0</v>
          </cell>
          <cell r="F129">
            <v>0</v>
          </cell>
        </row>
        <row r="130">
          <cell r="A130" t="str">
            <v>300-99-100</v>
          </cell>
          <cell r="B130" t="str">
            <v>INVESTMENT INCOME AS PER FUND MANAGERS</v>
          </cell>
          <cell r="C130">
            <v>0</v>
          </cell>
          <cell r="D130">
            <v>0</v>
          </cell>
          <cell r="E130">
            <v>0</v>
          </cell>
          <cell r="F130">
            <v>0</v>
          </cell>
        </row>
        <row r="131">
          <cell r="A131" t="str">
            <v>300-99-110</v>
          </cell>
          <cell r="B131" t="str">
            <v>INCOME ON BOND FUND</v>
          </cell>
          <cell r="C131">
            <v>-40684692</v>
          </cell>
          <cell r="D131">
            <v>-7337320</v>
          </cell>
          <cell r="E131">
            <v>-48022012</v>
          </cell>
          <cell r="F131">
            <v>-48022012</v>
          </cell>
        </row>
        <row r="132">
          <cell r="A132" t="str">
            <v>300-99-120</v>
          </cell>
          <cell r="B132" t="str">
            <v>INCOME ON MONEY MARKET</v>
          </cell>
          <cell r="C132">
            <v>-13301548</v>
          </cell>
          <cell r="D132">
            <v>-2132084</v>
          </cell>
          <cell r="E132">
            <v>-15433632</v>
          </cell>
          <cell r="F132">
            <v>-15433632</v>
          </cell>
        </row>
        <row r="133">
          <cell r="A133" t="str">
            <v>300-99-130</v>
          </cell>
          <cell r="B133" t="str">
            <v>INCOME ON EQUITY FUND</v>
          </cell>
          <cell r="C133">
            <v>-19930091</v>
          </cell>
          <cell r="D133">
            <v>44925521</v>
          </cell>
          <cell r="E133">
            <v>24995430</v>
          </cell>
          <cell r="F133">
            <v>24995430</v>
          </cell>
        </row>
        <row r="134">
          <cell r="A134" t="str">
            <v>300-99-140</v>
          </cell>
          <cell r="B134" t="str">
            <v>INCOME ON SPECULATIVE FUND</v>
          </cell>
          <cell r="C134">
            <v>-11316444</v>
          </cell>
          <cell r="D134">
            <v>-1069832</v>
          </cell>
          <cell r="E134">
            <v>-12386276</v>
          </cell>
          <cell r="F134">
            <v>-12386276</v>
          </cell>
        </row>
        <row r="135">
          <cell r="A135" t="str">
            <v>400-10-010</v>
          </cell>
          <cell r="B135" t="str">
            <v>BASIC SALARY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</row>
        <row r="136">
          <cell r="A136" t="str">
            <v>400-10-012</v>
          </cell>
          <cell r="B136" t="str">
            <v>PROVISION FOR MORT.RATE</v>
          </cell>
          <cell r="C136">
            <v>0</v>
          </cell>
          <cell r="D136">
            <v>0</v>
          </cell>
          <cell r="E136">
            <v>0</v>
          </cell>
          <cell r="F136">
            <v>0</v>
          </cell>
        </row>
        <row r="137">
          <cell r="A137" t="str">
            <v>400-10-020</v>
          </cell>
          <cell r="B137" t="str">
            <v>OTHER BENEFITS</v>
          </cell>
          <cell r="C137">
            <v>0</v>
          </cell>
          <cell r="D137">
            <v>0</v>
          </cell>
          <cell r="E137">
            <v>0</v>
          </cell>
          <cell r="F137">
            <v>0</v>
          </cell>
        </row>
        <row r="138">
          <cell r="A138" t="str">
            <v>400-10-030</v>
          </cell>
          <cell r="B138" t="str">
            <v>TELEPHONE ALLOWANCE</v>
          </cell>
          <cell r="C138">
            <v>0</v>
          </cell>
          <cell r="D138">
            <v>0</v>
          </cell>
          <cell r="E138">
            <v>0</v>
          </cell>
          <cell r="F138">
            <v>0</v>
          </cell>
        </row>
        <row r="139">
          <cell r="A139" t="str">
            <v>400-10-040</v>
          </cell>
          <cell r="B139" t="str">
            <v>SECURITY ALLOWANCE</v>
          </cell>
          <cell r="C139">
            <v>0</v>
          </cell>
          <cell r="D139">
            <v>0</v>
          </cell>
          <cell r="E139">
            <v>0</v>
          </cell>
          <cell r="F139">
            <v>0</v>
          </cell>
        </row>
        <row r="140">
          <cell r="A140" t="str">
            <v>400-10-050</v>
          </cell>
          <cell r="B140" t="str">
            <v>EDUCATION ALLOWANCE</v>
          </cell>
          <cell r="C140">
            <v>0</v>
          </cell>
          <cell r="D140">
            <v>0</v>
          </cell>
          <cell r="E140">
            <v>0</v>
          </cell>
          <cell r="F140">
            <v>0</v>
          </cell>
        </row>
        <row r="141">
          <cell r="A141" t="str">
            <v>400-10-060</v>
          </cell>
          <cell r="B141" t="str">
            <v>TRAVEL ALLOWANCE</v>
          </cell>
          <cell r="C141">
            <v>0</v>
          </cell>
          <cell r="D141">
            <v>0</v>
          </cell>
          <cell r="E141">
            <v>0</v>
          </cell>
          <cell r="F141">
            <v>0</v>
          </cell>
        </row>
        <row r="142">
          <cell r="A142" t="str">
            <v>400-10-065</v>
          </cell>
          <cell r="B142" t="str">
            <v>CLUB SUBSCRIPTION</v>
          </cell>
          <cell r="C142">
            <v>0</v>
          </cell>
          <cell r="D142">
            <v>0</v>
          </cell>
          <cell r="E142">
            <v>0</v>
          </cell>
          <cell r="F142">
            <v>0</v>
          </cell>
        </row>
        <row r="143">
          <cell r="A143" t="str">
            <v>400-10-070</v>
          </cell>
          <cell r="B143" t="str">
            <v>PENSION</v>
          </cell>
          <cell r="C143">
            <v>0</v>
          </cell>
          <cell r="D143">
            <v>0</v>
          </cell>
          <cell r="E143">
            <v>0</v>
          </cell>
          <cell r="F143">
            <v>0</v>
          </cell>
        </row>
        <row r="144">
          <cell r="A144" t="str">
            <v>400-10-075</v>
          </cell>
          <cell r="B144" t="str">
            <v>LONG SERVICE AWARDS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</row>
        <row r="145">
          <cell r="A145" t="str">
            <v>400-10-080</v>
          </cell>
          <cell r="B145" t="str">
            <v>LAST EXPENSE</v>
          </cell>
          <cell r="C145">
            <v>0</v>
          </cell>
          <cell r="D145">
            <v>0</v>
          </cell>
          <cell r="E145">
            <v>0</v>
          </cell>
          <cell r="F145">
            <v>0</v>
          </cell>
        </row>
        <row r="146">
          <cell r="A146" t="str">
            <v>400-10-085</v>
          </cell>
          <cell r="B146" t="str">
            <v>ACADEMIC ACHIEVEMENTS</v>
          </cell>
          <cell r="C146">
            <v>0</v>
          </cell>
          <cell r="D146">
            <v>0</v>
          </cell>
          <cell r="E146">
            <v>0</v>
          </cell>
          <cell r="F146">
            <v>0</v>
          </cell>
        </row>
        <row r="147">
          <cell r="A147" t="str">
            <v>400-10-090</v>
          </cell>
          <cell r="B147" t="str">
            <v>GROUP LIFE ASSURANCE</v>
          </cell>
          <cell r="C147">
            <v>0</v>
          </cell>
          <cell r="D147">
            <v>0</v>
          </cell>
          <cell r="E147">
            <v>0</v>
          </cell>
          <cell r="F147">
            <v>0</v>
          </cell>
        </row>
        <row r="148">
          <cell r="A148" t="str">
            <v>400-10-100</v>
          </cell>
          <cell r="B148" t="str">
            <v>STAFF MEDICAL</v>
          </cell>
          <cell r="C148">
            <v>0</v>
          </cell>
          <cell r="D148">
            <v>0</v>
          </cell>
          <cell r="E148">
            <v>0</v>
          </cell>
          <cell r="F148">
            <v>0</v>
          </cell>
        </row>
        <row r="149">
          <cell r="A149" t="str">
            <v>400-10-110</v>
          </cell>
          <cell r="B149" t="str">
            <v>CASH IN LIUE OF LEAVE</v>
          </cell>
          <cell r="C149">
            <v>0</v>
          </cell>
          <cell r="D149">
            <v>0</v>
          </cell>
          <cell r="E149">
            <v>0</v>
          </cell>
          <cell r="F149">
            <v>0</v>
          </cell>
        </row>
        <row r="150">
          <cell r="A150" t="str">
            <v>400-10-120</v>
          </cell>
          <cell r="B150" t="str">
            <v>GRATUITY</v>
          </cell>
          <cell r="C150">
            <v>0</v>
          </cell>
          <cell r="D150">
            <v>0</v>
          </cell>
          <cell r="E150">
            <v>0</v>
          </cell>
          <cell r="F150">
            <v>0</v>
          </cell>
        </row>
        <row r="151">
          <cell r="A151" t="str">
            <v>400-10-130</v>
          </cell>
          <cell r="B151" t="str">
            <v>STAFF RECRUTMENT &amp; REMOVAL</v>
          </cell>
          <cell r="C151">
            <v>0</v>
          </cell>
          <cell r="D151">
            <v>0</v>
          </cell>
          <cell r="E151">
            <v>0</v>
          </cell>
          <cell r="F151">
            <v>0</v>
          </cell>
        </row>
        <row r="152">
          <cell r="A152" t="str">
            <v>400-10-140</v>
          </cell>
          <cell r="B152" t="str">
            <v>TERMINAL DUES</v>
          </cell>
          <cell r="C152">
            <v>0</v>
          </cell>
          <cell r="D152">
            <v>0</v>
          </cell>
          <cell r="E152">
            <v>0</v>
          </cell>
          <cell r="F152">
            <v>0</v>
          </cell>
        </row>
        <row r="153">
          <cell r="A153" t="str">
            <v>400-20-010</v>
          </cell>
          <cell r="B153" t="str">
            <v>N.S.S.F</v>
          </cell>
          <cell r="C153">
            <v>0</v>
          </cell>
          <cell r="D153">
            <v>0</v>
          </cell>
          <cell r="E153">
            <v>0</v>
          </cell>
          <cell r="F153">
            <v>0</v>
          </cell>
        </row>
        <row r="154">
          <cell r="A154" t="str">
            <v>400-20-020</v>
          </cell>
          <cell r="B154" t="str">
            <v>N.H.I.F.</v>
          </cell>
          <cell r="C154">
            <v>0</v>
          </cell>
          <cell r="D154">
            <v>0</v>
          </cell>
          <cell r="E154">
            <v>0</v>
          </cell>
          <cell r="F154">
            <v>0</v>
          </cell>
        </row>
        <row r="155">
          <cell r="A155" t="str">
            <v>400-30-010</v>
          </cell>
          <cell r="B155" t="str">
            <v>DEPRECIATION-FURNITURE</v>
          </cell>
          <cell r="C155">
            <v>0</v>
          </cell>
          <cell r="D155">
            <v>0</v>
          </cell>
          <cell r="E155">
            <v>0</v>
          </cell>
          <cell r="F155">
            <v>0</v>
          </cell>
        </row>
        <row r="156">
          <cell r="A156" t="str">
            <v>400-30-020</v>
          </cell>
          <cell r="B156" t="str">
            <v>DEPRECIATION COMPUTER</v>
          </cell>
          <cell r="C156">
            <v>0</v>
          </cell>
          <cell r="D156">
            <v>0</v>
          </cell>
          <cell r="E156">
            <v>0</v>
          </cell>
          <cell r="F156">
            <v>0</v>
          </cell>
        </row>
        <row r="157">
          <cell r="A157" t="str">
            <v>400-30-030</v>
          </cell>
          <cell r="B157" t="str">
            <v>DEPRECIATION MOTOR VEHICLE</v>
          </cell>
          <cell r="C157">
            <v>0</v>
          </cell>
          <cell r="D157">
            <v>0</v>
          </cell>
          <cell r="E157">
            <v>0</v>
          </cell>
          <cell r="F157">
            <v>0</v>
          </cell>
        </row>
        <row r="158">
          <cell r="A158" t="str">
            <v>400-30-035</v>
          </cell>
          <cell r="B158" t="str">
            <v>AMORTISATION CHARGE-INTANGIBLE ASSET</v>
          </cell>
          <cell r="C158">
            <v>0</v>
          </cell>
          <cell r="D158">
            <v>0</v>
          </cell>
          <cell r="E158">
            <v>0</v>
          </cell>
          <cell r="F158">
            <v>0</v>
          </cell>
        </row>
        <row r="159">
          <cell r="A159" t="str">
            <v>400-30-040</v>
          </cell>
          <cell r="B159" t="str">
            <v>OFFICE RENT</v>
          </cell>
          <cell r="C159">
            <v>0</v>
          </cell>
          <cell r="D159">
            <v>0</v>
          </cell>
          <cell r="E159">
            <v>0</v>
          </cell>
          <cell r="F159">
            <v>0</v>
          </cell>
        </row>
        <row r="160">
          <cell r="A160" t="str">
            <v>400-30-050</v>
          </cell>
          <cell r="B160" t="str">
            <v>OFFICE CATERING</v>
          </cell>
          <cell r="C160">
            <v>0</v>
          </cell>
          <cell r="D160">
            <v>0</v>
          </cell>
          <cell r="E160">
            <v>0</v>
          </cell>
          <cell r="F160">
            <v>0</v>
          </cell>
        </row>
        <row r="161">
          <cell r="A161" t="str">
            <v>400-30-060</v>
          </cell>
          <cell r="B161" t="str">
            <v>OFFICE WATER</v>
          </cell>
          <cell r="C161">
            <v>0</v>
          </cell>
          <cell r="D161">
            <v>0</v>
          </cell>
          <cell r="E161">
            <v>0</v>
          </cell>
          <cell r="F161">
            <v>0</v>
          </cell>
        </row>
        <row r="162">
          <cell r="A162" t="str">
            <v>400-30-070</v>
          </cell>
          <cell r="B162" t="str">
            <v>OFFICE ELECTRICITY</v>
          </cell>
          <cell r="C162">
            <v>0</v>
          </cell>
          <cell r="D162">
            <v>0</v>
          </cell>
          <cell r="E162">
            <v>0</v>
          </cell>
          <cell r="F162">
            <v>0</v>
          </cell>
        </row>
        <row r="163">
          <cell r="A163" t="str">
            <v>400-30-080</v>
          </cell>
          <cell r="B163" t="str">
            <v>OFFICE SECURITY</v>
          </cell>
          <cell r="C163">
            <v>0</v>
          </cell>
          <cell r="D163">
            <v>0</v>
          </cell>
          <cell r="E163">
            <v>0</v>
          </cell>
          <cell r="F163">
            <v>0</v>
          </cell>
        </row>
        <row r="164">
          <cell r="A164" t="str">
            <v>400-40-005</v>
          </cell>
          <cell r="B164" t="str">
            <v>BANK CHARGES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</row>
        <row r="165">
          <cell r="A165" t="str">
            <v>400-40-006</v>
          </cell>
          <cell r="B165" t="str">
            <v>DONATIONS</v>
          </cell>
          <cell r="C165">
            <v>0</v>
          </cell>
          <cell r="D165">
            <v>0</v>
          </cell>
          <cell r="E165">
            <v>0</v>
          </cell>
          <cell r="F165">
            <v>0</v>
          </cell>
        </row>
        <row r="166">
          <cell r="A166" t="str">
            <v>400-40-007</v>
          </cell>
          <cell r="B166" t="str">
            <v>NEWSPAPERS &amp; JOURNALS</v>
          </cell>
          <cell r="C166">
            <v>0</v>
          </cell>
          <cell r="D166">
            <v>0</v>
          </cell>
          <cell r="E166">
            <v>0</v>
          </cell>
          <cell r="F166">
            <v>0</v>
          </cell>
        </row>
        <row r="167">
          <cell r="A167" t="str">
            <v>400-40-008</v>
          </cell>
          <cell r="B167" t="str">
            <v>ENTERTAINMENT</v>
          </cell>
          <cell r="C167">
            <v>0</v>
          </cell>
          <cell r="D167">
            <v>0</v>
          </cell>
          <cell r="E167">
            <v>0</v>
          </cell>
          <cell r="F167">
            <v>0</v>
          </cell>
        </row>
        <row r="168">
          <cell r="A168" t="str">
            <v>400-40-009</v>
          </cell>
          <cell r="B168" t="str">
            <v>COURIER &amp; FREIGHT CHARGES</v>
          </cell>
          <cell r="C168">
            <v>0</v>
          </cell>
          <cell r="D168">
            <v>0</v>
          </cell>
          <cell r="E168">
            <v>0</v>
          </cell>
          <cell r="F168">
            <v>0</v>
          </cell>
        </row>
        <row r="169">
          <cell r="A169" t="str">
            <v>400-40-010</v>
          </cell>
          <cell r="B169" t="str">
            <v>ALA GROUP CHARGES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</row>
        <row r="170">
          <cell r="A170" t="str">
            <v>400-40-011</v>
          </cell>
          <cell r="B170" t="str">
            <v>ADVERTISING &amp; PUBLICITY</v>
          </cell>
          <cell r="C170">
            <v>0</v>
          </cell>
          <cell r="D170">
            <v>0</v>
          </cell>
          <cell r="E170">
            <v>0</v>
          </cell>
          <cell r="F170">
            <v>0</v>
          </cell>
        </row>
        <row r="171">
          <cell r="A171" t="str">
            <v>400-40-012</v>
          </cell>
          <cell r="B171" t="str">
            <v>TRADE LICENCES</v>
          </cell>
          <cell r="C171">
            <v>0</v>
          </cell>
          <cell r="D171">
            <v>0</v>
          </cell>
          <cell r="E171">
            <v>0</v>
          </cell>
          <cell r="F171">
            <v>0</v>
          </cell>
        </row>
        <row r="172">
          <cell r="A172" t="str">
            <v>400-40-013</v>
          </cell>
          <cell r="B172" t="str">
            <v>INSURANCES</v>
          </cell>
          <cell r="C172">
            <v>0</v>
          </cell>
          <cell r="D172">
            <v>0</v>
          </cell>
          <cell r="E172">
            <v>0</v>
          </cell>
          <cell r="F172">
            <v>0</v>
          </cell>
        </row>
        <row r="173">
          <cell r="A173" t="str">
            <v>400-40-014</v>
          </cell>
          <cell r="B173" t="str">
            <v>PHOTOCOPY</v>
          </cell>
          <cell r="C173">
            <v>0</v>
          </cell>
          <cell r="D173">
            <v>0</v>
          </cell>
          <cell r="E173">
            <v>0</v>
          </cell>
          <cell r="F173">
            <v>0</v>
          </cell>
        </row>
        <row r="174">
          <cell r="A174" t="str">
            <v>400-40-015</v>
          </cell>
          <cell r="B174" t="str">
            <v>COMPUTER MAINTENANCE</v>
          </cell>
          <cell r="C174">
            <v>0</v>
          </cell>
          <cell r="D174">
            <v>0</v>
          </cell>
          <cell r="E174">
            <v>0</v>
          </cell>
          <cell r="F174">
            <v>0</v>
          </cell>
        </row>
        <row r="175">
          <cell r="A175" t="str">
            <v>400-40-016</v>
          </cell>
          <cell r="B175" t="str">
            <v>EQUIPMENT MAINTENANCE</v>
          </cell>
          <cell r="C175">
            <v>0</v>
          </cell>
          <cell r="D175">
            <v>0</v>
          </cell>
          <cell r="E175">
            <v>0</v>
          </cell>
          <cell r="F175">
            <v>0</v>
          </cell>
        </row>
        <row r="176">
          <cell r="A176" t="str">
            <v>400-40-017</v>
          </cell>
          <cell r="B176" t="str">
            <v>SEMINARS &amp; SHORT TERM COURSES</v>
          </cell>
          <cell r="C176">
            <v>0</v>
          </cell>
          <cell r="D176">
            <v>0</v>
          </cell>
          <cell r="E176">
            <v>0</v>
          </cell>
          <cell r="F176">
            <v>0</v>
          </cell>
        </row>
        <row r="177">
          <cell r="A177" t="str">
            <v>400-40-018</v>
          </cell>
          <cell r="B177" t="str">
            <v>SALES PROMOTION</v>
          </cell>
          <cell r="C177">
            <v>0</v>
          </cell>
          <cell r="D177">
            <v>0</v>
          </cell>
          <cell r="E177">
            <v>0</v>
          </cell>
          <cell r="F177">
            <v>0</v>
          </cell>
        </row>
        <row r="178">
          <cell r="A178" t="str">
            <v>400-40-019</v>
          </cell>
          <cell r="B178" t="str">
            <v>COMPUTER CONSUMABLES</v>
          </cell>
          <cell r="C178">
            <v>0</v>
          </cell>
          <cell r="D178">
            <v>0</v>
          </cell>
          <cell r="E178">
            <v>0</v>
          </cell>
          <cell r="F178">
            <v>0</v>
          </cell>
        </row>
        <row r="179">
          <cell r="A179" t="str">
            <v>400-40-020</v>
          </cell>
          <cell r="B179" t="str">
            <v>ACTURIAL FEES</v>
          </cell>
          <cell r="C179">
            <v>0</v>
          </cell>
          <cell r="D179">
            <v>0</v>
          </cell>
          <cell r="E179">
            <v>0</v>
          </cell>
          <cell r="F179">
            <v>0</v>
          </cell>
        </row>
        <row r="180">
          <cell r="A180" t="str">
            <v>400-40-021</v>
          </cell>
          <cell r="B180" t="str">
            <v>PRINTING &amp; STATIONERY</v>
          </cell>
          <cell r="C180">
            <v>0</v>
          </cell>
          <cell r="D180">
            <v>0</v>
          </cell>
          <cell r="E180">
            <v>0</v>
          </cell>
          <cell r="F180">
            <v>0</v>
          </cell>
        </row>
        <row r="181">
          <cell r="A181" t="str">
            <v>400-40-022</v>
          </cell>
          <cell r="B181" t="str">
            <v>STRATEGIC PLANNING</v>
          </cell>
          <cell r="C181">
            <v>0</v>
          </cell>
          <cell r="D181">
            <v>0</v>
          </cell>
          <cell r="E181">
            <v>0</v>
          </cell>
          <cell r="F181">
            <v>0</v>
          </cell>
        </row>
        <row r="182">
          <cell r="A182" t="str">
            <v>400-40-023</v>
          </cell>
          <cell r="B182" t="str">
            <v>PROFESSIONAL SUBSCRIPTION</v>
          </cell>
          <cell r="C182">
            <v>0</v>
          </cell>
          <cell r="D182">
            <v>0</v>
          </cell>
          <cell r="E182">
            <v>0</v>
          </cell>
          <cell r="F182">
            <v>0</v>
          </cell>
        </row>
        <row r="183">
          <cell r="A183" t="str">
            <v>400-40-024</v>
          </cell>
          <cell r="B183" t="str">
            <v>SUBSCRIPTION-COMPANY</v>
          </cell>
          <cell r="C183">
            <v>0</v>
          </cell>
          <cell r="D183">
            <v>0</v>
          </cell>
          <cell r="E183">
            <v>0</v>
          </cell>
          <cell r="F183">
            <v>0</v>
          </cell>
        </row>
        <row r="184">
          <cell r="A184" t="str">
            <v>400-40-025</v>
          </cell>
          <cell r="B184" t="str">
            <v>TRAVEL &amp; ACCOMODATION</v>
          </cell>
          <cell r="C184">
            <v>0</v>
          </cell>
          <cell r="D184">
            <v>0</v>
          </cell>
          <cell r="E184">
            <v>0</v>
          </cell>
          <cell r="F184">
            <v>0</v>
          </cell>
        </row>
        <row r="185">
          <cell r="A185" t="str">
            <v>400-40-026</v>
          </cell>
          <cell r="B185" t="str">
            <v>MOTOR VEHICLE EXPENSES</v>
          </cell>
          <cell r="C185">
            <v>0</v>
          </cell>
          <cell r="D185">
            <v>0</v>
          </cell>
          <cell r="E185">
            <v>0</v>
          </cell>
          <cell r="F185">
            <v>0</v>
          </cell>
        </row>
        <row r="186">
          <cell r="A186" t="str">
            <v>400-40-027</v>
          </cell>
          <cell r="B186" t="str">
            <v>POSTAGE</v>
          </cell>
          <cell r="C186">
            <v>0</v>
          </cell>
          <cell r="D186">
            <v>0</v>
          </cell>
          <cell r="E186">
            <v>0</v>
          </cell>
          <cell r="F186">
            <v>0</v>
          </cell>
        </row>
        <row r="187">
          <cell r="A187" t="str">
            <v>400-40-028</v>
          </cell>
          <cell r="B187" t="str">
            <v>TELEPHONE &amp; FAX</v>
          </cell>
          <cell r="C187">
            <v>0</v>
          </cell>
          <cell r="D187">
            <v>0</v>
          </cell>
          <cell r="E187">
            <v>0</v>
          </cell>
          <cell r="F187">
            <v>0</v>
          </cell>
        </row>
        <row r="188">
          <cell r="A188" t="str">
            <v>400-40-029</v>
          </cell>
          <cell r="B188" t="str">
            <v>PROFESSIONAL TRAINING</v>
          </cell>
          <cell r="C188">
            <v>0</v>
          </cell>
          <cell r="D188">
            <v>0</v>
          </cell>
          <cell r="E188">
            <v>0</v>
          </cell>
          <cell r="F188">
            <v>0</v>
          </cell>
        </row>
        <row r="189">
          <cell r="A189" t="str">
            <v>400-40-030</v>
          </cell>
          <cell r="B189" t="str">
            <v>AUDIT FEES</v>
          </cell>
          <cell r="C189">
            <v>0</v>
          </cell>
          <cell r="D189">
            <v>0</v>
          </cell>
          <cell r="E189">
            <v>0</v>
          </cell>
          <cell r="F189">
            <v>0</v>
          </cell>
        </row>
        <row r="190">
          <cell r="A190" t="str">
            <v>400-40-031</v>
          </cell>
          <cell r="B190" t="str">
            <v>STAFF SOCIAL CLUB</v>
          </cell>
          <cell r="C190">
            <v>0</v>
          </cell>
          <cell r="D190">
            <v>0</v>
          </cell>
          <cell r="E190">
            <v>0</v>
          </cell>
          <cell r="F190">
            <v>0</v>
          </cell>
        </row>
        <row r="191">
          <cell r="A191" t="str">
            <v>400-40-032</v>
          </cell>
          <cell r="B191" t="str">
            <v>LEASED LINES-INTERNET SERVICES</v>
          </cell>
          <cell r="C191">
            <v>0</v>
          </cell>
          <cell r="D191">
            <v>0</v>
          </cell>
          <cell r="E191">
            <v>0</v>
          </cell>
          <cell r="F191">
            <v>0</v>
          </cell>
        </row>
        <row r="192">
          <cell r="A192" t="str">
            <v>400-40-033</v>
          </cell>
          <cell r="B192" t="str">
            <v>SOFTWARE LICENCES</v>
          </cell>
          <cell r="C192">
            <v>0</v>
          </cell>
          <cell r="D192">
            <v>0</v>
          </cell>
          <cell r="E192">
            <v>0</v>
          </cell>
          <cell r="F192">
            <v>0</v>
          </cell>
        </row>
        <row r="193">
          <cell r="A193" t="str">
            <v>400-40-034</v>
          </cell>
          <cell r="B193" t="str">
            <v>DEPRECIATION OF BUILDING</v>
          </cell>
          <cell r="C193">
            <v>0</v>
          </cell>
          <cell r="D193">
            <v>0</v>
          </cell>
          <cell r="E193">
            <v>0</v>
          </cell>
          <cell r="F193">
            <v>0</v>
          </cell>
        </row>
        <row r="194">
          <cell r="A194" t="str">
            <v>400-40-035</v>
          </cell>
          <cell r="B194" t="str">
            <v>EDUCATION EXPENSES</v>
          </cell>
          <cell r="C194">
            <v>0</v>
          </cell>
          <cell r="D194">
            <v>0</v>
          </cell>
          <cell r="E194">
            <v>0</v>
          </cell>
          <cell r="F194">
            <v>0</v>
          </cell>
        </row>
        <row r="195">
          <cell r="A195" t="str">
            <v>400-40-036</v>
          </cell>
          <cell r="B195" t="str">
            <v>TRAVEL AND ACCOMODATION - ALA</v>
          </cell>
          <cell r="C195">
            <v>0</v>
          </cell>
          <cell r="D195">
            <v>0</v>
          </cell>
          <cell r="E195">
            <v>0</v>
          </cell>
          <cell r="F195">
            <v>0</v>
          </cell>
        </row>
        <row r="196">
          <cell r="A196" t="str">
            <v>400-40-040</v>
          </cell>
          <cell r="B196" t="str">
            <v>LEGAL FEES</v>
          </cell>
          <cell r="C196">
            <v>0</v>
          </cell>
          <cell r="D196">
            <v>0</v>
          </cell>
          <cell r="E196">
            <v>0</v>
          </cell>
          <cell r="F196">
            <v>0</v>
          </cell>
        </row>
        <row r="197">
          <cell r="A197" t="str">
            <v>400-40-050</v>
          </cell>
          <cell r="B197" t="str">
            <v>TAX CONSULTATION FEES</v>
          </cell>
          <cell r="C197">
            <v>0</v>
          </cell>
          <cell r="D197">
            <v>0</v>
          </cell>
          <cell r="E197">
            <v>0</v>
          </cell>
          <cell r="F197">
            <v>0</v>
          </cell>
        </row>
        <row r="198">
          <cell r="A198" t="str">
            <v>400-40-060</v>
          </cell>
          <cell r="B198" t="str">
            <v>INTRA-COMPANY -INDIVIDUAL</v>
          </cell>
          <cell r="C198">
            <v>0</v>
          </cell>
          <cell r="D198">
            <v>0</v>
          </cell>
          <cell r="E198">
            <v>0</v>
          </cell>
          <cell r="F198">
            <v>0</v>
          </cell>
        </row>
        <row r="199">
          <cell r="A199" t="str">
            <v>400-40-065</v>
          </cell>
          <cell r="B199" t="str">
            <v>RECHARGE FROM IT</v>
          </cell>
          <cell r="C199">
            <v>0</v>
          </cell>
          <cell r="D199">
            <v>0</v>
          </cell>
          <cell r="E199">
            <v>0</v>
          </cell>
          <cell r="F199">
            <v>0</v>
          </cell>
        </row>
        <row r="200">
          <cell r="A200" t="str">
            <v>400-40-070</v>
          </cell>
          <cell r="B200" t="str">
            <v>RECHARGE TO CORPORATE BUSINESS</v>
          </cell>
          <cell r="C200">
            <v>0</v>
          </cell>
          <cell r="D200">
            <v>0</v>
          </cell>
          <cell r="E200">
            <v>0</v>
          </cell>
          <cell r="F200">
            <v>0</v>
          </cell>
        </row>
        <row r="201">
          <cell r="A201" t="str">
            <v>400-40-075</v>
          </cell>
          <cell r="B201" t="str">
            <v>RECHARGE FROM HR</v>
          </cell>
          <cell r="C201">
            <v>0</v>
          </cell>
          <cell r="D201">
            <v>0</v>
          </cell>
          <cell r="E201">
            <v>0</v>
          </cell>
          <cell r="F201">
            <v>0</v>
          </cell>
        </row>
        <row r="202">
          <cell r="A202" t="str">
            <v>400-40-080</v>
          </cell>
          <cell r="B202" t="str">
            <v>EXECUTIVE RECHARGE TO HR &amp; CORPORATE</v>
          </cell>
          <cell r="C202">
            <v>0</v>
          </cell>
          <cell r="D202">
            <v>0</v>
          </cell>
          <cell r="E202">
            <v>0</v>
          </cell>
          <cell r="F202">
            <v>0</v>
          </cell>
        </row>
        <row r="203">
          <cell r="A203" t="str">
            <v>400-40-090</v>
          </cell>
          <cell r="B203" t="str">
            <v>RECHARGE FOR HOLDINGS</v>
          </cell>
          <cell r="C203">
            <v>0</v>
          </cell>
          <cell r="D203">
            <v>0</v>
          </cell>
          <cell r="E203">
            <v>0</v>
          </cell>
          <cell r="F203">
            <v>0</v>
          </cell>
        </row>
        <row r="204">
          <cell r="A204" t="str">
            <v>400-40-095</v>
          </cell>
          <cell r="B204" t="str">
            <v>RECHARGE TO SIM</v>
          </cell>
          <cell r="C204">
            <v>0</v>
          </cell>
          <cell r="D204">
            <v>0</v>
          </cell>
          <cell r="E204">
            <v>0</v>
          </cell>
          <cell r="F204">
            <v>0</v>
          </cell>
        </row>
        <row r="205">
          <cell r="A205" t="str">
            <v>400-40-100</v>
          </cell>
          <cell r="B205" t="str">
            <v>PROFESSIONAL FEES</v>
          </cell>
          <cell r="C205">
            <v>0</v>
          </cell>
          <cell r="D205">
            <v>0</v>
          </cell>
          <cell r="E205">
            <v>0</v>
          </cell>
          <cell r="F205">
            <v>0</v>
          </cell>
        </row>
        <row r="206">
          <cell r="A206" t="str">
            <v>400-40-110</v>
          </cell>
          <cell r="B206" t="str">
            <v>RECHARGE TO PA SECURITIES</v>
          </cell>
          <cell r="C206">
            <v>0</v>
          </cell>
          <cell r="D206">
            <v>0</v>
          </cell>
          <cell r="E206">
            <v>0</v>
          </cell>
          <cell r="F206">
            <v>0</v>
          </cell>
        </row>
        <row r="207">
          <cell r="A207" t="str">
            <v>400-40-115</v>
          </cell>
          <cell r="B207" t="str">
            <v>RECHARGE FROM LIFE OPS</v>
          </cell>
          <cell r="C207">
            <v>0</v>
          </cell>
          <cell r="D207">
            <v>0</v>
          </cell>
          <cell r="E207">
            <v>0</v>
          </cell>
          <cell r="F207">
            <v>0</v>
          </cell>
        </row>
        <row r="208">
          <cell r="A208" t="str">
            <v>400-40-120</v>
          </cell>
          <cell r="B208" t="str">
            <v>OUTSOURCING OF STAFF PAYROLL</v>
          </cell>
          <cell r="C208">
            <v>0</v>
          </cell>
          <cell r="D208">
            <v>0</v>
          </cell>
          <cell r="E208">
            <v>0</v>
          </cell>
          <cell r="F208">
            <v>0</v>
          </cell>
        </row>
        <row r="209">
          <cell r="A209" t="str">
            <v>400-40-125</v>
          </cell>
          <cell r="B209" t="str">
            <v>RECHARGE TO ALA</v>
          </cell>
          <cell r="C209">
            <v>0</v>
          </cell>
          <cell r="D209">
            <v>0</v>
          </cell>
          <cell r="E209">
            <v>0</v>
          </cell>
          <cell r="F209">
            <v>0</v>
          </cell>
        </row>
        <row r="210">
          <cell r="A210" t="str">
            <v>400-40-130</v>
          </cell>
          <cell r="B210" t="str">
            <v>PRODUCT DEVELOPMENT COST</v>
          </cell>
          <cell r="C210">
            <v>0</v>
          </cell>
          <cell r="D210">
            <v>0</v>
          </cell>
          <cell r="E210">
            <v>0</v>
          </cell>
          <cell r="F210">
            <v>0</v>
          </cell>
        </row>
        <row r="211">
          <cell r="A211" t="str">
            <v>400-40-135</v>
          </cell>
          <cell r="B211" t="str">
            <v>DIRECTORS FEES</v>
          </cell>
          <cell r="C211">
            <v>0</v>
          </cell>
          <cell r="D211">
            <v>0</v>
          </cell>
          <cell r="E211">
            <v>0</v>
          </cell>
          <cell r="F211">
            <v>0</v>
          </cell>
        </row>
        <row r="212">
          <cell r="A212" t="str">
            <v>400-40-140</v>
          </cell>
          <cell r="B212" t="str">
            <v>PRIOR YEAR ITEM</v>
          </cell>
          <cell r="C212">
            <v>0</v>
          </cell>
          <cell r="D212">
            <v>0</v>
          </cell>
          <cell r="E212">
            <v>0</v>
          </cell>
          <cell r="F212">
            <v>0</v>
          </cell>
        </row>
        <row r="213">
          <cell r="A213" t="str">
            <v>400-40-145</v>
          </cell>
          <cell r="B213" t="str">
            <v>REDUNDANCY LINK TO ISP</v>
          </cell>
          <cell r="C213">
            <v>0</v>
          </cell>
          <cell r="D213">
            <v>0</v>
          </cell>
          <cell r="E213">
            <v>0</v>
          </cell>
          <cell r="F213">
            <v>0</v>
          </cell>
        </row>
        <row r="214">
          <cell r="A214" t="str">
            <v>400-40-150</v>
          </cell>
          <cell r="B214" t="str">
            <v>BACKUP FOR DOC'MGT SERVER</v>
          </cell>
          <cell r="C214">
            <v>0</v>
          </cell>
          <cell r="D214">
            <v>0</v>
          </cell>
          <cell r="E214">
            <v>0</v>
          </cell>
          <cell r="F214">
            <v>0</v>
          </cell>
        </row>
        <row r="215">
          <cell r="A215" t="str">
            <v>400-40-155</v>
          </cell>
          <cell r="B215" t="str">
            <v>SAVINGS (IST STAFF)</v>
          </cell>
          <cell r="C215">
            <v>0</v>
          </cell>
          <cell r="D215">
            <v>0</v>
          </cell>
          <cell r="E215">
            <v>0</v>
          </cell>
          <cell r="F215">
            <v>0</v>
          </cell>
        </row>
        <row r="216">
          <cell r="A216" t="str">
            <v>400-40-165</v>
          </cell>
          <cell r="B216" t="str">
            <v>GROUP LIFE FEE PER CONTRACT</v>
          </cell>
          <cell r="C216">
            <v>0</v>
          </cell>
          <cell r="D216">
            <v>0</v>
          </cell>
          <cell r="E216">
            <v>0</v>
          </cell>
          <cell r="F216">
            <v>0</v>
          </cell>
        </row>
        <row r="217">
          <cell r="A217" t="str">
            <v>400-40-170</v>
          </cell>
          <cell r="B217" t="str">
            <v>GROUP CREDIT LIFE FEE PER CONTRACT</v>
          </cell>
          <cell r="C217">
            <v>0</v>
          </cell>
          <cell r="D217">
            <v>0</v>
          </cell>
          <cell r="E217">
            <v>0</v>
          </cell>
          <cell r="F217">
            <v>0</v>
          </cell>
        </row>
        <row r="218">
          <cell r="A218" t="str">
            <v>400-40-175</v>
          </cell>
          <cell r="B218" t="str">
            <v>ORACLE LICENCE</v>
          </cell>
          <cell r="C218">
            <v>0</v>
          </cell>
          <cell r="D218">
            <v>0</v>
          </cell>
          <cell r="E218">
            <v>0</v>
          </cell>
          <cell r="F218">
            <v>0</v>
          </cell>
        </row>
        <row r="219">
          <cell r="A219" t="str">
            <v>400-40-180</v>
          </cell>
          <cell r="B219" t="str">
            <v>IST PROJECT COSTS</v>
          </cell>
          <cell r="C219">
            <v>0</v>
          </cell>
          <cell r="D219">
            <v>0</v>
          </cell>
          <cell r="E219">
            <v>0</v>
          </cell>
          <cell r="F219">
            <v>0</v>
          </cell>
        </row>
        <row r="220">
          <cell r="A220" t="str">
            <v>400-40-195</v>
          </cell>
          <cell r="B220" t="str">
            <v>POLICY DOCUMENT PRINTING</v>
          </cell>
          <cell r="C220">
            <v>0</v>
          </cell>
          <cell r="D220">
            <v>0</v>
          </cell>
          <cell r="E220">
            <v>0</v>
          </cell>
          <cell r="F220">
            <v>0</v>
          </cell>
        </row>
        <row r="221">
          <cell r="A221" t="str">
            <v>400-43-010</v>
          </cell>
          <cell r="B221" t="str">
            <v>PRIOR ITEMS</v>
          </cell>
          <cell r="C221">
            <v>0</v>
          </cell>
          <cell r="D221">
            <v>0</v>
          </cell>
          <cell r="E221">
            <v>0</v>
          </cell>
          <cell r="F221">
            <v>0</v>
          </cell>
        </row>
        <row r="222">
          <cell r="A222" t="str">
            <v>400-45-010</v>
          </cell>
          <cell r="B222" t="str">
            <v>STAMP DUTY EXPENSES</v>
          </cell>
          <cell r="C222">
            <v>-102624.09</v>
          </cell>
          <cell r="D222">
            <v>0</v>
          </cell>
          <cell r="E222">
            <v>-102624.09</v>
          </cell>
          <cell r="F222">
            <v>-102624.09</v>
          </cell>
        </row>
        <row r="223">
          <cell r="A223" t="str">
            <v>400-45-020</v>
          </cell>
          <cell r="B223" t="str">
            <v>PREMIUM TAX EXPENSE</v>
          </cell>
          <cell r="C223">
            <v>0</v>
          </cell>
          <cell r="D223">
            <v>0</v>
          </cell>
          <cell r="E223">
            <v>0</v>
          </cell>
          <cell r="F223">
            <v>0</v>
          </cell>
        </row>
        <row r="224">
          <cell r="A224" t="str">
            <v>400-45-025</v>
          </cell>
          <cell r="B224" t="str">
            <v>POLICY HOLDER COLLECTION LEVY</v>
          </cell>
          <cell r="C224">
            <v>0</v>
          </cell>
          <cell r="D224">
            <v>0</v>
          </cell>
          <cell r="E224">
            <v>0</v>
          </cell>
          <cell r="F224">
            <v>0</v>
          </cell>
        </row>
        <row r="225">
          <cell r="A225" t="str">
            <v>500-10-010</v>
          </cell>
          <cell r="B225" t="str">
            <v>NEW COMMISSION</v>
          </cell>
          <cell r="C225">
            <v>0</v>
          </cell>
          <cell r="D225">
            <v>0</v>
          </cell>
          <cell r="E225">
            <v>0</v>
          </cell>
          <cell r="F225">
            <v>0</v>
          </cell>
        </row>
        <row r="226">
          <cell r="A226" t="str">
            <v>500-20-010</v>
          </cell>
          <cell r="B226" t="str">
            <v>RENEWAL COMMISSION</v>
          </cell>
          <cell r="C226">
            <v>0</v>
          </cell>
          <cell r="D226">
            <v>0</v>
          </cell>
          <cell r="E226">
            <v>0</v>
          </cell>
          <cell r="F226">
            <v>0</v>
          </cell>
        </row>
        <row r="227">
          <cell r="A227" t="str">
            <v>500-25-010</v>
          </cell>
          <cell r="B227" t="str">
            <v>AGENCY OVERRIDES</v>
          </cell>
          <cell r="C227">
            <v>0</v>
          </cell>
          <cell r="D227">
            <v>0</v>
          </cell>
          <cell r="E227">
            <v>0</v>
          </cell>
          <cell r="F227">
            <v>0</v>
          </cell>
        </row>
        <row r="228">
          <cell r="A228" t="str">
            <v>500-25-015</v>
          </cell>
          <cell r="B228" t="str">
            <v>UNIT OVERRIDES</v>
          </cell>
          <cell r="C228">
            <v>0</v>
          </cell>
          <cell r="D228">
            <v>0</v>
          </cell>
          <cell r="E228">
            <v>0</v>
          </cell>
          <cell r="F228">
            <v>0</v>
          </cell>
        </row>
        <row r="229">
          <cell r="A229" t="str">
            <v>500-25-020</v>
          </cell>
          <cell r="B229" t="str">
            <v>RETAINER</v>
          </cell>
          <cell r="C229">
            <v>0</v>
          </cell>
          <cell r="D229">
            <v>0</v>
          </cell>
          <cell r="E229">
            <v>0</v>
          </cell>
          <cell r="F229">
            <v>0</v>
          </cell>
        </row>
        <row r="230">
          <cell r="A230" t="str">
            <v>500-25-025</v>
          </cell>
          <cell r="B230" t="str">
            <v>GUARANTEE</v>
          </cell>
          <cell r="C230">
            <v>0</v>
          </cell>
          <cell r="D230">
            <v>0</v>
          </cell>
          <cell r="E230">
            <v>0</v>
          </cell>
          <cell r="F230">
            <v>0</v>
          </cell>
        </row>
        <row r="231">
          <cell r="A231" t="str">
            <v>500-30-030</v>
          </cell>
          <cell r="B231" t="str">
            <v>SALES PROMOTION &amp; COMPETITIONS</v>
          </cell>
          <cell r="C231">
            <v>0</v>
          </cell>
          <cell r="D231">
            <v>0</v>
          </cell>
          <cell r="E231">
            <v>0</v>
          </cell>
          <cell r="F231">
            <v>0</v>
          </cell>
        </row>
        <row r="232">
          <cell r="A232" t="str">
            <v>500-30-035</v>
          </cell>
          <cell r="B232" t="str">
            <v>SALES PROMOTION - INTERNATIONAL TRAVEL</v>
          </cell>
          <cell r="C232">
            <v>0</v>
          </cell>
          <cell r="D232">
            <v>0</v>
          </cell>
          <cell r="E232">
            <v>0</v>
          </cell>
          <cell r="F232">
            <v>0</v>
          </cell>
        </row>
        <row r="233">
          <cell r="A233" t="str">
            <v>500-30-040</v>
          </cell>
          <cell r="B233" t="str">
            <v>PREMIUM COLLECTION CHARGES</v>
          </cell>
          <cell r="C233">
            <v>0</v>
          </cell>
          <cell r="D233">
            <v>0</v>
          </cell>
          <cell r="E233">
            <v>0</v>
          </cell>
          <cell r="F233">
            <v>0</v>
          </cell>
        </row>
        <row r="234">
          <cell r="A234" t="str">
            <v>500-30-045</v>
          </cell>
          <cell r="B234" t="str">
            <v>SALES PROMOTION - AAYA</v>
          </cell>
          <cell r="C234">
            <v>0</v>
          </cell>
          <cell r="D234">
            <v>0</v>
          </cell>
          <cell r="E234">
            <v>0</v>
          </cell>
          <cell r="F234">
            <v>0</v>
          </cell>
        </row>
        <row r="235">
          <cell r="A235" t="str">
            <v>500-30-055</v>
          </cell>
          <cell r="B235" t="str">
            <v>AGENCY SUBSIDY</v>
          </cell>
          <cell r="C235">
            <v>0</v>
          </cell>
          <cell r="D235">
            <v>0</v>
          </cell>
          <cell r="E235">
            <v>0</v>
          </cell>
          <cell r="F235">
            <v>0</v>
          </cell>
        </row>
        <row r="236">
          <cell r="A236" t="str">
            <v>500-30-060</v>
          </cell>
          <cell r="B236" t="str">
            <v>STAFF BONUS</v>
          </cell>
          <cell r="C236">
            <v>0</v>
          </cell>
          <cell r="D236">
            <v>0</v>
          </cell>
          <cell r="E236">
            <v>0</v>
          </cell>
          <cell r="F236">
            <v>0</v>
          </cell>
        </row>
        <row r="237">
          <cell r="A237" t="str">
            <v>500-30-065</v>
          </cell>
          <cell r="B237" t="str">
            <v>LONG TERM INCENTIVE PLAN</v>
          </cell>
          <cell r="C237">
            <v>0</v>
          </cell>
          <cell r="D237">
            <v>0</v>
          </cell>
          <cell r="E237">
            <v>0</v>
          </cell>
          <cell r="F237">
            <v>0</v>
          </cell>
        </row>
        <row r="238">
          <cell r="A238" t="str">
            <v>500-35-010</v>
          </cell>
          <cell r="B238" t="str">
            <v>GROUP COMMISSION</v>
          </cell>
          <cell r="C238">
            <v>0</v>
          </cell>
          <cell r="D238">
            <v>0</v>
          </cell>
          <cell r="E238">
            <v>0</v>
          </cell>
          <cell r="F238">
            <v>0</v>
          </cell>
        </row>
        <row r="239">
          <cell r="A239" t="str">
            <v>500-35-020</v>
          </cell>
          <cell r="B239" t="str">
            <v>PREMIUM ADMINISTRATION FEE - GROUP</v>
          </cell>
          <cell r="C239">
            <v>0</v>
          </cell>
          <cell r="D239">
            <v>0</v>
          </cell>
          <cell r="E239">
            <v>0</v>
          </cell>
          <cell r="F239">
            <v>0</v>
          </cell>
        </row>
        <row r="240">
          <cell r="A240" t="str">
            <v>500-35-030</v>
          </cell>
          <cell r="B240" t="str">
            <v>MEDICAL COSTS - GROUP</v>
          </cell>
          <cell r="C240">
            <v>0</v>
          </cell>
          <cell r="D240">
            <v>0</v>
          </cell>
          <cell r="E240">
            <v>0</v>
          </cell>
          <cell r="F240">
            <v>0</v>
          </cell>
        </row>
        <row r="241">
          <cell r="A241" t="str">
            <v>500-35-040</v>
          </cell>
          <cell r="B241" t="str">
            <v>PROFIT SHARE</v>
          </cell>
          <cell r="C241">
            <v>0</v>
          </cell>
          <cell r="D241">
            <v>0</v>
          </cell>
          <cell r="E241">
            <v>0</v>
          </cell>
          <cell r="F241">
            <v>0</v>
          </cell>
        </row>
        <row r="242">
          <cell r="A242" t="str">
            <v>500-40-010</v>
          </cell>
          <cell r="B242" t="str">
            <v>AGENCY PENSION</v>
          </cell>
          <cell r="C242">
            <v>0</v>
          </cell>
          <cell r="D242">
            <v>0</v>
          </cell>
          <cell r="E242">
            <v>0</v>
          </cell>
          <cell r="F242">
            <v>0</v>
          </cell>
        </row>
        <row r="243">
          <cell r="A243" t="str">
            <v>500-40-020</v>
          </cell>
          <cell r="B243" t="str">
            <v>AGENCY GLA</v>
          </cell>
          <cell r="C243">
            <v>0</v>
          </cell>
          <cell r="D243">
            <v>0</v>
          </cell>
          <cell r="E243">
            <v>0</v>
          </cell>
          <cell r="F243">
            <v>0</v>
          </cell>
        </row>
        <row r="244">
          <cell r="A244" t="str">
            <v>500-40-030</v>
          </cell>
          <cell r="B244" t="str">
            <v>AGENCY LAST EXPENSE</v>
          </cell>
          <cell r="C244">
            <v>0</v>
          </cell>
          <cell r="D244">
            <v>0</v>
          </cell>
          <cell r="E244">
            <v>0</v>
          </cell>
          <cell r="F244">
            <v>0</v>
          </cell>
        </row>
        <row r="245">
          <cell r="A245" t="str">
            <v>500-40-040</v>
          </cell>
          <cell r="B245" t="str">
            <v>AGENCY MEDICAL</v>
          </cell>
          <cell r="C245">
            <v>0</v>
          </cell>
          <cell r="D245">
            <v>0</v>
          </cell>
          <cell r="E245">
            <v>0</v>
          </cell>
          <cell r="F245">
            <v>0</v>
          </cell>
        </row>
        <row r="246">
          <cell r="A246" t="str">
            <v>500-45-010</v>
          </cell>
          <cell r="B246" t="str">
            <v>MEDICAL EXPENSES</v>
          </cell>
          <cell r="C246">
            <v>0</v>
          </cell>
          <cell r="D246">
            <v>0</v>
          </cell>
          <cell r="E246">
            <v>0</v>
          </cell>
          <cell r="F246">
            <v>0</v>
          </cell>
        </row>
        <row r="247">
          <cell r="A247" t="str">
            <v>600-10-021</v>
          </cell>
          <cell r="B247" t="str">
            <v>MATURITY CLAIMS</v>
          </cell>
          <cell r="C247">
            <v>0</v>
          </cell>
          <cell r="D247">
            <v>0</v>
          </cell>
          <cell r="E247">
            <v>0</v>
          </cell>
          <cell r="F247">
            <v>0</v>
          </cell>
        </row>
        <row r="248">
          <cell r="A248" t="str">
            <v>600-10-022</v>
          </cell>
          <cell r="B248" t="str">
            <v>MATURITY CLAIMS ENDOWMENT</v>
          </cell>
          <cell r="C248">
            <v>-69511</v>
          </cell>
          <cell r="D248">
            <v>-12324</v>
          </cell>
          <cell r="E248">
            <v>-81835</v>
          </cell>
          <cell r="F248">
            <v>-81835</v>
          </cell>
        </row>
        <row r="249">
          <cell r="A249" t="str">
            <v>600-10-023</v>
          </cell>
          <cell r="B249" t="str">
            <v>MATURITY CLAIMS EXPENSE</v>
          </cell>
          <cell r="C249">
            <v>0</v>
          </cell>
          <cell r="D249">
            <v>0</v>
          </cell>
          <cell r="E249">
            <v>0</v>
          </cell>
          <cell r="F249">
            <v>0</v>
          </cell>
        </row>
        <row r="250">
          <cell r="A250" t="str">
            <v>600-10-024</v>
          </cell>
          <cell r="B250" t="str">
            <v>DEATH CLAIMS -ORDINARY</v>
          </cell>
          <cell r="C250">
            <v>0</v>
          </cell>
          <cell r="D250">
            <v>0</v>
          </cell>
          <cell r="E250">
            <v>0</v>
          </cell>
          <cell r="F250">
            <v>0</v>
          </cell>
        </row>
        <row r="251">
          <cell r="A251" t="str">
            <v>600-10-025</v>
          </cell>
          <cell r="B251" t="str">
            <v>PERSONAL ACCIDENTS</v>
          </cell>
          <cell r="C251">
            <v>0</v>
          </cell>
          <cell r="D251">
            <v>0</v>
          </cell>
          <cell r="E251">
            <v>0</v>
          </cell>
          <cell r="F251">
            <v>0</v>
          </cell>
        </row>
        <row r="252">
          <cell r="A252" t="str">
            <v>600-10-026</v>
          </cell>
          <cell r="B252" t="str">
            <v>ANNUITY CLAIMS</v>
          </cell>
          <cell r="C252">
            <v>0</v>
          </cell>
          <cell r="D252">
            <v>0</v>
          </cell>
          <cell r="E252">
            <v>0</v>
          </cell>
          <cell r="F252">
            <v>0</v>
          </cell>
        </row>
        <row r="253">
          <cell r="A253" t="str">
            <v>600-10-027</v>
          </cell>
          <cell r="B253" t="str">
            <v>CASH SURRENDER VALUE</v>
          </cell>
          <cell r="C253">
            <v>0</v>
          </cell>
          <cell r="D253">
            <v>0</v>
          </cell>
          <cell r="E253">
            <v>0</v>
          </cell>
          <cell r="F253">
            <v>0</v>
          </cell>
        </row>
        <row r="254">
          <cell r="A254" t="str">
            <v>600-10-028</v>
          </cell>
          <cell r="B254" t="str">
            <v>FFF DEATH CLAIMS</v>
          </cell>
          <cell r="C254">
            <v>0</v>
          </cell>
          <cell r="D254">
            <v>0</v>
          </cell>
          <cell r="E254">
            <v>0</v>
          </cell>
          <cell r="F254">
            <v>0</v>
          </cell>
        </row>
        <row r="255">
          <cell r="A255" t="str">
            <v>600-10-029</v>
          </cell>
          <cell r="B255" t="str">
            <v>CASH SURRENDER VALUE -WP</v>
          </cell>
          <cell r="C255">
            <v>26734054.719999999</v>
          </cell>
          <cell r="D255">
            <v>4161099.8</v>
          </cell>
          <cell r="E255">
            <v>30895154.52</v>
          </cell>
          <cell r="F255">
            <v>30895154.52</v>
          </cell>
        </row>
        <row r="256">
          <cell r="A256" t="str">
            <v>600-10-030</v>
          </cell>
          <cell r="B256" t="str">
            <v>CASH SURRENDER VALUE-FFP</v>
          </cell>
          <cell r="C256">
            <v>0</v>
          </cell>
          <cell r="D256">
            <v>0</v>
          </cell>
          <cell r="E256">
            <v>0</v>
          </cell>
          <cell r="F256">
            <v>0</v>
          </cell>
        </row>
        <row r="257">
          <cell r="A257" t="str">
            <v>600-10-031</v>
          </cell>
          <cell r="B257" t="str">
            <v>PREMIUM REFUNDS</v>
          </cell>
          <cell r="C257">
            <v>0</v>
          </cell>
          <cell r="D257">
            <v>0</v>
          </cell>
          <cell r="E257">
            <v>0</v>
          </cell>
          <cell r="F257">
            <v>0</v>
          </cell>
        </row>
        <row r="258">
          <cell r="A258" t="str">
            <v>600-10-032</v>
          </cell>
          <cell r="B258" t="str">
            <v>WAIVER OF PREMIUMS EXPENSE</v>
          </cell>
          <cell r="C258">
            <v>0</v>
          </cell>
          <cell r="D258">
            <v>0</v>
          </cell>
          <cell r="E258">
            <v>0</v>
          </cell>
          <cell r="F258">
            <v>0</v>
          </cell>
        </row>
        <row r="259">
          <cell r="A259" t="str">
            <v>600-10-033</v>
          </cell>
          <cell r="B259" t="str">
            <v>CASH BONUS BENEFIT-FFFP</v>
          </cell>
          <cell r="C259">
            <v>7386631.9000000004</v>
          </cell>
          <cell r="D259">
            <v>3287475</v>
          </cell>
          <cell r="E259">
            <v>10674106.9</v>
          </cell>
          <cell r="F259">
            <v>10674106.9</v>
          </cell>
        </row>
        <row r="260">
          <cell r="A260" t="str">
            <v>600-10-034</v>
          </cell>
          <cell r="B260" t="str">
            <v>PENALTIES RECOVERIES-FFFP</v>
          </cell>
          <cell r="C260">
            <v>0</v>
          </cell>
          <cell r="D260">
            <v>0</v>
          </cell>
          <cell r="E260">
            <v>0</v>
          </cell>
          <cell r="F260">
            <v>0</v>
          </cell>
        </row>
        <row r="261">
          <cell r="A261" t="str">
            <v>600-10-035</v>
          </cell>
          <cell r="B261" t="str">
            <v>UNITS ENCASHMENT-WP</v>
          </cell>
          <cell r="C261">
            <v>254098186.44</v>
          </cell>
          <cell r="D261">
            <v>0</v>
          </cell>
          <cell r="E261">
            <v>254098186.44</v>
          </cell>
          <cell r="F261">
            <v>254098186.44</v>
          </cell>
        </row>
        <row r="262">
          <cell r="A262" t="str">
            <v>600-10-036</v>
          </cell>
          <cell r="B262" t="str">
            <v>PENALTIES UNITS ENCASHMENT</v>
          </cell>
          <cell r="C262">
            <v>0</v>
          </cell>
          <cell r="D262">
            <v>0</v>
          </cell>
          <cell r="E262">
            <v>0</v>
          </cell>
          <cell r="F262">
            <v>0</v>
          </cell>
        </row>
        <row r="263">
          <cell r="A263" t="str">
            <v>600-10-037</v>
          </cell>
          <cell r="B263" t="str">
            <v>WP CLAIMS</v>
          </cell>
          <cell r="C263">
            <v>6716104</v>
          </cell>
          <cell r="D263">
            <v>1049519</v>
          </cell>
          <cell r="E263">
            <v>7765623</v>
          </cell>
          <cell r="F263">
            <v>7765623</v>
          </cell>
        </row>
        <row r="264">
          <cell r="A264" t="str">
            <v>600-10-038</v>
          </cell>
          <cell r="B264" t="str">
            <v>PENALTIES ON CASH-BONUS  FFFP</v>
          </cell>
          <cell r="C264">
            <v>0</v>
          </cell>
          <cell r="D264">
            <v>0</v>
          </cell>
          <cell r="E264">
            <v>0</v>
          </cell>
          <cell r="F264">
            <v>0</v>
          </cell>
        </row>
        <row r="265">
          <cell r="A265" t="str">
            <v>600-10-039</v>
          </cell>
          <cell r="B265" t="str">
            <v>CLAIMS EXPENSE</v>
          </cell>
          <cell r="C265">
            <v>0</v>
          </cell>
          <cell r="D265">
            <v>0</v>
          </cell>
          <cell r="E265">
            <v>0</v>
          </cell>
          <cell r="F265">
            <v>0</v>
          </cell>
        </row>
        <row r="266">
          <cell r="A266" t="str">
            <v>600-10-040</v>
          </cell>
          <cell r="B266" t="str">
            <v>ADVERTISING (UNIT PRICE)</v>
          </cell>
          <cell r="C266">
            <v>0</v>
          </cell>
          <cell r="D266">
            <v>0</v>
          </cell>
          <cell r="E266">
            <v>0</v>
          </cell>
          <cell r="F266">
            <v>0</v>
          </cell>
        </row>
        <row r="267">
          <cell r="A267" t="str">
            <v>600-10-041</v>
          </cell>
          <cell r="B267" t="str">
            <v>MATURITY CLAIMS-UNIT LINKED</v>
          </cell>
          <cell r="C267">
            <v>38816319.5</v>
          </cell>
          <cell r="D267">
            <v>8940436.4499999993</v>
          </cell>
          <cell r="E267">
            <v>47756755.950000003</v>
          </cell>
          <cell r="F267">
            <v>47756755.950000003</v>
          </cell>
        </row>
        <row r="268">
          <cell r="A268" t="str">
            <v>600-15-010</v>
          </cell>
          <cell r="B268" t="str">
            <v>LAST EXPENSE CLAIM</v>
          </cell>
          <cell r="C268">
            <v>0</v>
          </cell>
          <cell r="D268">
            <v>0</v>
          </cell>
          <cell r="E268">
            <v>0</v>
          </cell>
          <cell r="F268">
            <v>0</v>
          </cell>
        </row>
        <row r="269">
          <cell r="A269" t="str">
            <v>600-15-020</v>
          </cell>
          <cell r="B269" t="str">
            <v>PENSION SCHEME CLAIM</v>
          </cell>
          <cell r="C269">
            <v>0</v>
          </cell>
          <cell r="D269">
            <v>0</v>
          </cell>
          <cell r="E269">
            <v>0</v>
          </cell>
          <cell r="F269">
            <v>0</v>
          </cell>
        </row>
        <row r="270">
          <cell r="A270" t="str">
            <v>600-15-030</v>
          </cell>
          <cell r="B270" t="str">
            <v>DEATH CLAIMS GROUP</v>
          </cell>
          <cell r="C270">
            <v>0</v>
          </cell>
          <cell r="D270">
            <v>0</v>
          </cell>
          <cell r="E270">
            <v>0</v>
          </cell>
          <cell r="F270">
            <v>0</v>
          </cell>
        </row>
        <row r="271">
          <cell r="A271" t="str">
            <v>600-15-040</v>
          </cell>
          <cell r="B271" t="str">
            <v>GROUP MATURITY CLAIMS</v>
          </cell>
          <cell r="C271">
            <v>0</v>
          </cell>
          <cell r="D271">
            <v>0</v>
          </cell>
          <cell r="E271">
            <v>0</v>
          </cell>
          <cell r="F271">
            <v>0</v>
          </cell>
        </row>
        <row r="272">
          <cell r="A272" t="str">
            <v>600-15-045</v>
          </cell>
          <cell r="B272" t="str">
            <v>GROUP SURRENDERS</v>
          </cell>
          <cell r="C272">
            <v>0</v>
          </cell>
          <cell r="D272">
            <v>0</v>
          </cell>
          <cell r="E272">
            <v>0</v>
          </cell>
          <cell r="F272">
            <v>0</v>
          </cell>
        </row>
        <row r="273">
          <cell r="A273" t="str">
            <v>600-15-050</v>
          </cell>
          <cell r="B273" t="str">
            <v>GROUP ANTICIPATED CLAIMS</v>
          </cell>
          <cell r="C273">
            <v>0</v>
          </cell>
          <cell r="D273">
            <v>0</v>
          </cell>
          <cell r="E273">
            <v>0</v>
          </cell>
          <cell r="F273">
            <v>0</v>
          </cell>
        </row>
        <row r="274">
          <cell r="A274" t="str">
            <v>600-15-055</v>
          </cell>
          <cell r="B274" t="str">
            <v>HARAMBEE CLAIMS</v>
          </cell>
          <cell r="C274">
            <v>0</v>
          </cell>
          <cell r="D274">
            <v>0</v>
          </cell>
          <cell r="E274">
            <v>0</v>
          </cell>
          <cell r="F274">
            <v>0</v>
          </cell>
        </row>
        <row r="275">
          <cell r="A275" t="str">
            <v>600-15-060</v>
          </cell>
          <cell r="B275" t="str">
            <v>GROUP CREDIT SCHEMES CLAIMS</v>
          </cell>
          <cell r="C275">
            <v>0</v>
          </cell>
          <cell r="D275">
            <v>0</v>
          </cell>
          <cell r="E275">
            <v>0</v>
          </cell>
          <cell r="F275">
            <v>0</v>
          </cell>
        </row>
        <row r="276">
          <cell r="A276" t="str">
            <v>600-15-065</v>
          </cell>
          <cell r="B276" t="str">
            <v>GROUP DISABILITY CLAIMS</v>
          </cell>
          <cell r="C276">
            <v>0</v>
          </cell>
          <cell r="D276">
            <v>0</v>
          </cell>
          <cell r="E276">
            <v>0</v>
          </cell>
          <cell r="F276">
            <v>0</v>
          </cell>
        </row>
        <row r="277">
          <cell r="A277" t="str">
            <v>600-15-070</v>
          </cell>
          <cell r="B277" t="str">
            <v>GROUP RETIEMENT ANNUITIES</v>
          </cell>
          <cell r="C277">
            <v>0</v>
          </cell>
          <cell r="D277">
            <v>0</v>
          </cell>
          <cell r="E277">
            <v>0</v>
          </cell>
          <cell r="F277">
            <v>0</v>
          </cell>
        </row>
        <row r="278">
          <cell r="A278" t="str">
            <v>600-15-075</v>
          </cell>
          <cell r="B278" t="str">
            <v>AUDIT FEES</v>
          </cell>
          <cell r="C278">
            <v>0</v>
          </cell>
          <cell r="D278">
            <v>0</v>
          </cell>
          <cell r="E278">
            <v>0</v>
          </cell>
          <cell r="F278">
            <v>0</v>
          </cell>
        </row>
        <row r="279">
          <cell r="A279" t="str">
            <v>600-15-080</v>
          </cell>
          <cell r="B279" t="str">
            <v>MANAGEMENT FEES</v>
          </cell>
          <cell r="C279">
            <v>0</v>
          </cell>
          <cell r="D279">
            <v>0</v>
          </cell>
          <cell r="E279">
            <v>0</v>
          </cell>
          <cell r="F279">
            <v>0</v>
          </cell>
        </row>
        <row r="280">
          <cell r="A280" t="str">
            <v>600-15-085</v>
          </cell>
          <cell r="B280" t="str">
            <v>RBA LEVIES</v>
          </cell>
          <cell r="C280">
            <v>0</v>
          </cell>
          <cell r="D280">
            <v>0</v>
          </cell>
          <cell r="E280">
            <v>0</v>
          </cell>
          <cell r="F280">
            <v>0</v>
          </cell>
        </row>
        <row r="281">
          <cell r="A281" t="str">
            <v>600-15-090</v>
          </cell>
          <cell r="B281" t="str">
            <v>ACTUARIAL FEES</v>
          </cell>
          <cell r="C281">
            <v>0</v>
          </cell>
          <cell r="D281">
            <v>0</v>
          </cell>
          <cell r="E281">
            <v>0</v>
          </cell>
          <cell r="F281">
            <v>0</v>
          </cell>
        </row>
        <row r="282">
          <cell r="A282" t="str">
            <v>600-15-095</v>
          </cell>
          <cell r="B282" t="str">
            <v>GROUP MORTGAGE CLAIMS</v>
          </cell>
          <cell r="C282">
            <v>0</v>
          </cell>
          <cell r="D282">
            <v>0</v>
          </cell>
          <cell r="E282">
            <v>0</v>
          </cell>
          <cell r="F282">
            <v>0</v>
          </cell>
        </row>
        <row r="283">
          <cell r="A283" t="str">
            <v>600-15-100</v>
          </cell>
          <cell r="B283" t="str">
            <v>PREMIUM REFUND</v>
          </cell>
          <cell r="C283">
            <v>0</v>
          </cell>
          <cell r="D283">
            <v>0</v>
          </cell>
          <cell r="E283">
            <v>0</v>
          </cell>
          <cell r="F283">
            <v>0</v>
          </cell>
        </row>
        <row r="284">
          <cell r="A284" t="str">
            <v>700-05-010</v>
          </cell>
          <cell r="B284" t="str">
            <v>AMBALAL HOUSE</v>
          </cell>
          <cell r="C284">
            <v>0</v>
          </cell>
          <cell r="D284">
            <v>0</v>
          </cell>
          <cell r="E284">
            <v>0</v>
          </cell>
          <cell r="F284">
            <v>0</v>
          </cell>
        </row>
        <row r="285">
          <cell r="A285" t="str">
            <v>700-05-015</v>
          </cell>
          <cell r="B285" t="str">
            <v>RUNDA PLOT</v>
          </cell>
          <cell r="C285">
            <v>0</v>
          </cell>
          <cell r="D285">
            <v>0</v>
          </cell>
          <cell r="E285">
            <v>0</v>
          </cell>
          <cell r="F285">
            <v>0</v>
          </cell>
        </row>
        <row r="286">
          <cell r="A286" t="str">
            <v>700-05-020</v>
          </cell>
          <cell r="B286" t="str">
            <v>PAN AFRICA HOUSE NBI</v>
          </cell>
          <cell r="C286">
            <v>0</v>
          </cell>
          <cell r="D286">
            <v>0</v>
          </cell>
          <cell r="E286">
            <v>0</v>
          </cell>
          <cell r="F286">
            <v>0</v>
          </cell>
        </row>
        <row r="287">
          <cell r="A287" t="str">
            <v>700-05-025</v>
          </cell>
          <cell r="B287" t="str">
            <v>RESIDENTIAL HSE -RETREAT VILLAS</v>
          </cell>
          <cell r="C287">
            <v>0</v>
          </cell>
          <cell r="D287">
            <v>0</v>
          </cell>
          <cell r="E287">
            <v>0</v>
          </cell>
          <cell r="F287">
            <v>0</v>
          </cell>
        </row>
        <row r="288">
          <cell r="A288" t="str">
            <v>700-05-030</v>
          </cell>
          <cell r="B288" t="str">
            <v>PAN AFRICA INS. ARCADE PETROL STATION</v>
          </cell>
          <cell r="C288">
            <v>0</v>
          </cell>
          <cell r="D288">
            <v>0</v>
          </cell>
          <cell r="E288">
            <v>0</v>
          </cell>
          <cell r="F288">
            <v>0</v>
          </cell>
        </row>
        <row r="289">
          <cell r="A289" t="str">
            <v>700-10-010</v>
          </cell>
          <cell r="B289" t="str">
            <v>MOTOR VEHICLES</v>
          </cell>
          <cell r="C289">
            <v>0</v>
          </cell>
          <cell r="D289">
            <v>0</v>
          </cell>
          <cell r="E289">
            <v>0</v>
          </cell>
          <cell r="F289">
            <v>0</v>
          </cell>
        </row>
        <row r="290">
          <cell r="A290" t="str">
            <v>700-10-020</v>
          </cell>
          <cell r="B290" t="str">
            <v>COMPUTER EQUIPMENT</v>
          </cell>
          <cell r="C290">
            <v>0</v>
          </cell>
          <cell r="D290">
            <v>0</v>
          </cell>
          <cell r="E290">
            <v>0</v>
          </cell>
          <cell r="F290">
            <v>0</v>
          </cell>
        </row>
        <row r="291">
          <cell r="A291" t="str">
            <v>700-10-030</v>
          </cell>
          <cell r="B291" t="str">
            <v>FIXTURES &amp; FITTINGS</v>
          </cell>
          <cell r="C291">
            <v>0</v>
          </cell>
          <cell r="D291">
            <v>0</v>
          </cell>
          <cell r="E291">
            <v>0</v>
          </cell>
          <cell r="F291">
            <v>0</v>
          </cell>
        </row>
        <row r="292">
          <cell r="A292" t="str">
            <v>700-10-035</v>
          </cell>
          <cell r="B292" t="str">
            <v>INTANGIBLE ASSETS-SOFTWARE</v>
          </cell>
          <cell r="C292">
            <v>0</v>
          </cell>
          <cell r="D292">
            <v>0</v>
          </cell>
          <cell r="E292">
            <v>0</v>
          </cell>
          <cell r="F292">
            <v>0</v>
          </cell>
        </row>
        <row r="293">
          <cell r="A293" t="str">
            <v>700-10-040</v>
          </cell>
          <cell r="B293" t="str">
            <v>PROJECT MARA</v>
          </cell>
          <cell r="C293">
            <v>0</v>
          </cell>
          <cell r="D293">
            <v>0</v>
          </cell>
          <cell r="E293">
            <v>0</v>
          </cell>
          <cell r="F293">
            <v>0</v>
          </cell>
        </row>
        <row r="294">
          <cell r="A294" t="str">
            <v>700-20-010</v>
          </cell>
          <cell r="B294" t="str">
            <v>PAN AFRICA HSE NBI</v>
          </cell>
          <cell r="C294">
            <v>0</v>
          </cell>
          <cell r="D294">
            <v>0</v>
          </cell>
          <cell r="E294">
            <v>0</v>
          </cell>
          <cell r="F294">
            <v>0</v>
          </cell>
        </row>
        <row r="295">
          <cell r="A295" t="str">
            <v>700-20-020</v>
          </cell>
          <cell r="B295" t="str">
            <v>RESIDENTIAL HSE-LORESHO</v>
          </cell>
          <cell r="C295">
            <v>0</v>
          </cell>
          <cell r="D295">
            <v>0</v>
          </cell>
          <cell r="E295">
            <v>0</v>
          </cell>
          <cell r="F295">
            <v>0</v>
          </cell>
        </row>
        <row r="296">
          <cell r="A296" t="str">
            <v>700-20-025</v>
          </cell>
          <cell r="B296" t="str">
            <v>REVALUATION SURPLUS</v>
          </cell>
          <cell r="C296">
            <v>0</v>
          </cell>
          <cell r="D296">
            <v>0</v>
          </cell>
          <cell r="E296">
            <v>0</v>
          </cell>
          <cell r="F296">
            <v>0</v>
          </cell>
        </row>
        <row r="297">
          <cell r="A297" t="str">
            <v>700-20-030</v>
          </cell>
          <cell r="B297" t="str">
            <v>RESIDENTIAL HSE-RETREAT</v>
          </cell>
          <cell r="C297">
            <v>0</v>
          </cell>
          <cell r="D297">
            <v>0</v>
          </cell>
          <cell r="E297">
            <v>0</v>
          </cell>
          <cell r="F297">
            <v>0</v>
          </cell>
        </row>
        <row r="298">
          <cell r="A298" t="str">
            <v>700-25-010</v>
          </cell>
          <cell r="B298" t="str">
            <v>LORESHO RESIDENTIAL</v>
          </cell>
          <cell r="C298">
            <v>0</v>
          </cell>
          <cell r="D298">
            <v>0</v>
          </cell>
          <cell r="E298">
            <v>0</v>
          </cell>
          <cell r="F298">
            <v>0</v>
          </cell>
        </row>
        <row r="299">
          <cell r="A299" t="str">
            <v>700-30-010</v>
          </cell>
          <cell r="B299" t="str">
            <v>TREASURY BONDS</v>
          </cell>
          <cell r="C299">
            <v>0</v>
          </cell>
          <cell r="D299">
            <v>0</v>
          </cell>
          <cell r="E299">
            <v>0</v>
          </cell>
          <cell r="F299">
            <v>0</v>
          </cell>
        </row>
        <row r="300">
          <cell r="A300" t="str">
            <v>700-30-020</v>
          </cell>
          <cell r="B300" t="str">
            <v>TREASURY BILLS</v>
          </cell>
          <cell r="C300">
            <v>0</v>
          </cell>
          <cell r="D300">
            <v>0</v>
          </cell>
          <cell r="E300">
            <v>0</v>
          </cell>
          <cell r="F300">
            <v>0</v>
          </cell>
        </row>
        <row r="301">
          <cell r="A301" t="str">
            <v>700-30-025</v>
          </cell>
          <cell r="B301" t="str">
            <v>FIXED INCOME INVESTMENTS POOL</v>
          </cell>
          <cell r="C301">
            <v>0</v>
          </cell>
          <cell r="D301">
            <v>0</v>
          </cell>
          <cell r="E301">
            <v>0</v>
          </cell>
          <cell r="F301">
            <v>0</v>
          </cell>
        </row>
        <row r="302">
          <cell r="A302" t="str">
            <v>700-30-026</v>
          </cell>
          <cell r="B302" t="str">
            <v>BOND FUND</v>
          </cell>
          <cell r="C302">
            <v>720978668</v>
          </cell>
          <cell r="D302">
            <v>7337320</v>
          </cell>
          <cell r="E302">
            <v>728315988</v>
          </cell>
          <cell r="F302">
            <v>728315988</v>
          </cell>
        </row>
        <row r="303">
          <cell r="A303" t="str">
            <v>700-30-027</v>
          </cell>
          <cell r="B303" t="str">
            <v>MONEY MARKET FUND</v>
          </cell>
          <cell r="C303">
            <v>300443232</v>
          </cell>
          <cell r="D303">
            <v>2132084</v>
          </cell>
          <cell r="E303">
            <v>302575316</v>
          </cell>
          <cell r="F303">
            <v>302575316</v>
          </cell>
        </row>
        <row r="304">
          <cell r="A304" t="str">
            <v>700-30-030</v>
          </cell>
          <cell r="B304" t="str">
            <v>ACCRUED INTEREST</v>
          </cell>
          <cell r="C304">
            <v>0</v>
          </cell>
          <cell r="D304">
            <v>0</v>
          </cell>
          <cell r="E304">
            <v>0</v>
          </cell>
          <cell r="F304">
            <v>0</v>
          </cell>
        </row>
        <row r="305">
          <cell r="A305" t="str">
            <v>700-30-040</v>
          </cell>
          <cell r="B305" t="str">
            <v>PREM ON BOND</v>
          </cell>
          <cell r="C305">
            <v>0</v>
          </cell>
          <cell r="D305">
            <v>0</v>
          </cell>
          <cell r="E305">
            <v>0</v>
          </cell>
          <cell r="F305">
            <v>0</v>
          </cell>
        </row>
        <row r="306">
          <cell r="A306" t="str">
            <v>700-30-045</v>
          </cell>
          <cell r="B306" t="str">
            <v>GAIN/LOSS ON VALUATION-TBS</v>
          </cell>
          <cell r="C306">
            <v>0</v>
          </cell>
          <cell r="D306">
            <v>0</v>
          </cell>
          <cell r="E306">
            <v>0</v>
          </cell>
          <cell r="F306">
            <v>0</v>
          </cell>
        </row>
        <row r="307">
          <cell r="A307" t="str">
            <v>700-35-010</v>
          </cell>
          <cell r="B307" t="str">
            <v>TREASURY BONDS</v>
          </cell>
          <cell r="C307">
            <v>1871798</v>
          </cell>
          <cell r="D307">
            <v>4155658</v>
          </cell>
          <cell r="E307">
            <v>6027456</v>
          </cell>
          <cell r="F307">
            <v>6027456</v>
          </cell>
        </row>
        <row r="308">
          <cell r="A308" t="str">
            <v>700-50-010</v>
          </cell>
          <cell r="B308" t="str">
            <v>BROOKE BOND LEIBERG</v>
          </cell>
          <cell r="C308">
            <v>0</v>
          </cell>
          <cell r="D308">
            <v>0</v>
          </cell>
          <cell r="E308">
            <v>0</v>
          </cell>
          <cell r="F308">
            <v>0</v>
          </cell>
        </row>
        <row r="309">
          <cell r="A309" t="str">
            <v>700-50-020</v>
          </cell>
          <cell r="B309" t="str">
            <v>EQUITIES INVESTMENT POOL</v>
          </cell>
          <cell r="C309">
            <v>0</v>
          </cell>
          <cell r="D309">
            <v>0</v>
          </cell>
          <cell r="E309">
            <v>0</v>
          </cell>
          <cell r="F309">
            <v>0</v>
          </cell>
        </row>
        <row r="310">
          <cell r="A310" t="str">
            <v>700-50-021</v>
          </cell>
          <cell r="B310" t="str">
            <v>EQUITY FUND</v>
          </cell>
          <cell r="C310">
            <v>557137782</v>
          </cell>
          <cell r="D310">
            <v>-44925521</v>
          </cell>
          <cell r="E310">
            <v>512212261</v>
          </cell>
          <cell r="F310">
            <v>512212261</v>
          </cell>
        </row>
        <row r="311">
          <cell r="A311" t="str">
            <v>700-50-022</v>
          </cell>
          <cell r="B311" t="str">
            <v>SPECIAL OPPORTUNITIES FUND</v>
          </cell>
          <cell r="C311">
            <v>53698464</v>
          </cell>
          <cell r="D311">
            <v>1069832</v>
          </cell>
          <cell r="E311">
            <v>54768296</v>
          </cell>
          <cell r="F311">
            <v>54768296</v>
          </cell>
        </row>
        <row r="312">
          <cell r="A312" t="str">
            <v>700-50-025</v>
          </cell>
          <cell r="B312" t="str">
            <v>EQUITY POOL-INTEREST FIXED DEPOSIT</v>
          </cell>
          <cell r="C312">
            <v>0</v>
          </cell>
          <cell r="D312">
            <v>0</v>
          </cell>
          <cell r="E312">
            <v>0</v>
          </cell>
          <cell r="F312">
            <v>0</v>
          </cell>
        </row>
        <row r="313">
          <cell r="A313" t="str">
            <v>700-50-030</v>
          </cell>
          <cell r="B313" t="str">
            <v>SHARE SETTLEMENT CASH IN TRANSIT-EQUITY</v>
          </cell>
          <cell r="C313">
            <v>0</v>
          </cell>
          <cell r="D313">
            <v>0</v>
          </cell>
          <cell r="E313">
            <v>0</v>
          </cell>
          <cell r="F313">
            <v>0</v>
          </cell>
        </row>
        <row r="314">
          <cell r="A314" t="str">
            <v>700-50-035</v>
          </cell>
          <cell r="B314" t="str">
            <v>BAMBURI CEMENT</v>
          </cell>
          <cell r="C314">
            <v>0</v>
          </cell>
          <cell r="D314">
            <v>0</v>
          </cell>
          <cell r="E314">
            <v>0</v>
          </cell>
          <cell r="F314">
            <v>0</v>
          </cell>
        </row>
        <row r="315">
          <cell r="A315" t="str">
            <v>700-50-040</v>
          </cell>
          <cell r="B315" t="str">
            <v>SASINI TEA &amp; COFFEE LTD</v>
          </cell>
          <cell r="C315">
            <v>0</v>
          </cell>
          <cell r="D315">
            <v>0</v>
          </cell>
          <cell r="E315">
            <v>0</v>
          </cell>
          <cell r="F315">
            <v>0</v>
          </cell>
        </row>
        <row r="316">
          <cell r="A316" t="str">
            <v>700-50-050</v>
          </cell>
          <cell r="B316" t="str">
            <v>E.A BREWERIES</v>
          </cell>
          <cell r="C316">
            <v>0</v>
          </cell>
          <cell r="D316">
            <v>0</v>
          </cell>
          <cell r="E316">
            <v>0</v>
          </cell>
          <cell r="F316">
            <v>0</v>
          </cell>
        </row>
        <row r="317">
          <cell r="A317" t="str">
            <v>700-50-055</v>
          </cell>
          <cell r="B317" t="str">
            <v>EAST AFRICA PORTLAND</v>
          </cell>
          <cell r="C317">
            <v>0</v>
          </cell>
          <cell r="D317">
            <v>0</v>
          </cell>
          <cell r="E317">
            <v>0</v>
          </cell>
          <cell r="F317">
            <v>0</v>
          </cell>
        </row>
        <row r="318">
          <cell r="A318" t="str">
            <v>700-50-060</v>
          </cell>
          <cell r="B318" t="str">
            <v>UNGA GROUP</v>
          </cell>
          <cell r="C318">
            <v>0</v>
          </cell>
          <cell r="D318">
            <v>0</v>
          </cell>
          <cell r="E318">
            <v>0</v>
          </cell>
          <cell r="F318">
            <v>0</v>
          </cell>
        </row>
        <row r="319">
          <cell r="A319" t="str">
            <v>700-50-065</v>
          </cell>
          <cell r="B319" t="str">
            <v>STANCHART</v>
          </cell>
          <cell r="C319">
            <v>0</v>
          </cell>
          <cell r="D319">
            <v>0</v>
          </cell>
          <cell r="E319">
            <v>0</v>
          </cell>
          <cell r="F319">
            <v>0</v>
          </cell>
        </row>
        <row r="320">
          <cell r="A320" t="str">
            <v>700-50-070</v>
          </cell>
          <cell r="B320" t="str">
            <v>NATIONAL IND.CREDIT BANK</v>
          </cell>
          <cell r="C320">
            <v>0</v>
          </cell>
          <cell r="D320">
            <v>0</v>
          </cell>
          <cell r="E320">
            <v>0</v>
          </cell>
          <cell r="F320">
            <v>0</v>
          </cell>
        </row>
        <row r="321">
          <cell r="A321" t="str">
            <v>700-50-075</v>
          </cell>
          <cell r="B321" t="str">
            <v>KENYA AIRWAYS</v>
          </cell>
          <cell r="C321">
            <v>0</v>
          </cell>
          <cell r="D321">
            <v>0</v>
          </cell>
          <cell r="E321">
            <v>0</v>
          </cell>
          <cell r="F321">
            <v>0</v>
          </cell>
        </row>
        <row r="322">
          <cell r="A322" t="str">
            <v>700-50-080</v>
          </cell>
          <cell r="B322" t="str">
            <v>BRITISH AMERICAN TOBACCO</v>
          </cell>
          <cell r="C322">
            <v>0</v>
          </cell>
          <cell r="D322">
            <v>0</v>
          </cell>
          <cell r="E322">
            <v>0</v>
          </cell>
          <cell r="F322">
            <v>0</v>
          </cell>
        </row>
        <row r="323">
          <cell r="A323" t="str">
            <v>700-50-090</v>
          </cell>
          <cell r="B323" t="str">
            <v>KENYA OIL COMPANY LTD.</v>
          </cell>
          <cell r="C323">
            <v>0</v>
          </cell>
          <cell r="D323">
            <v>0</v>
          </cell>
          <cell r="E323">
            <v>0</v>
          </cell>
          <cell r="F323">
            <v>0</v>
          </cell>
        </row>
        <row r="324">
          <cell r="A324" t="str">
            <v>700-50-100</v>
          </cell>
          <cell r="B324" t="str">
            <v>FIRESTONE E.A.</v>
          </cell>
          <cell r="C324">
            <v>0</v>
          </cell>
          <cell r="D324">
            <v>0</v>
          </cell>
          <cell r="E324">
            <v>0</v>
          </cell>
          <cell r="F324">
            <v>0</v>
          </cell>
        </row>
        <row r="325">
          <cell r="A325" t="str">
            <v>700-50-110</v>
          </cell>
          <cell r="B325" t="str">
            <v>ATHI RIVER MINING</v>
          </cell>
          <cell r="C325">
            <v>0</v>
          </cell>
          <cell r="D325">
            <v>0</v>
          </cell>
          <cell r="E325">
            <v>0</v>
          </cell>
          <cell r="F325">
            <v>0</v>
          </cell>
        </row>
        <row r="326">
          <cell r="A326" t="str">
            <v>700-50-115</v>
          </cell>
          <cell r="B326" t="str">
            <v>MUMIAS LIMITED</v>
          </cell>
          <cell r="C326">
            <v>0</v>
          </cell>
          <cell r="D326">
            <v>0</v>
          </cell>
          <cell r="E326">
            <v>0</v>
          </cell>
          <cell r="F326">
            <v>0</v>
          </cell>
        </row>
        <row r="327">
          <cell r="A327" t="str">
            <v>700-50-120</v>
          </cell>
          <cell r="B327" t="str">
            <v>BARCLAYS BANK OF KENYA</v>
          </cell>
          <cell r="C327">
            <v>0</v>
          </cell>
          <cell r="D327">
            <v>0</v>
          </cell>
          <cell r="E327">
            <v>0</v>
          </cell>
          <cell r="F327">
            <v>0</v>
          </cell>
        </row>
        <row r="328">
          <cell r="A328" t="str">
            <v>700-50-125</v>
          </cell>
          <cell r="B328" t="str">
            <v>EAST AFRICA PORTLAND</v>
          </cell>
          <cell r="C328">
            <v>0</v>
          </cell>
          <cell r="D328">
            <v>0</v>
          </cell>
          <cell r="E328">
            <v>0</v>
          </cell>
          <cell r="F328">
            <v>0</v>
          </cell>
        </row>
        <row r="329">
          <cell r="A329" t="str">
            <v>700-50-130</v>
          </cell>
          <cell r="B329" t="str">
            <v>NATION MEDIA GROUP</v>
          </cell>
          <cell r="C329">
            <v>0</v>
          </cell>
          <cell r="D329">
            <v>0</v>
          </cell>
          <cell r="E329">
            <v>0</v>
          </cell>
          <cell r="F329">
            <v>0</v>
          </cell>
        </row>
        <row r="330">
          <cell r="A330" t="str">
            <v>700-50-135</v>
          </cell>
          <cell r="B330" t="str">
            <v>ICDC INVESTMENTS SHARES</v>
          </cell>
          <cell r="C330">
            <v>0</v>
          </cell>
          <cell r="D330">
            <v>0</v>
          </cell>
          <cell r="E330">
            <v>0</v>
          </cell>
          <cell r="F330">
            <v>0</v>
          </cell>
        </row>
        <row r="331">
          <cell r="A331" t="str">
            <v>700-50-140</v>
          </cell>
          <cell r="B331" t="str">
            <v>KENYA COMMERCIAL BANK</v>
          </cell>
          <cell r="C331">
            <v>0</v>
          </cell>
          <cell r="D331">
            <v>0</v>
          </cell>
          <cell r="E331">
            <v>0</v>
          </cell>
          <cell r="F331">
            <v>0</v>
          </cell>
        </row>
        <row r="332">
          <cell r="A332" t="str">
            <v>700-50-145</v>
          </cell>
          <cell r="B332" t="str">
            <v>TOTAL KENYA KTD.</v>
          </cell>
          <cell r="C332">
            <v>0</v>
          </cell>
          <cell r="D332">
            <v>0</v>
          </cell>
          <cell r="E332">
            <v>0</v>
          </cell>
          <cell r="F332">
            <v>0</v>
          </cell>
        </row>
        <row r="333">
          <cell r="A333" t="str">
            <v>700-50-150</v>
          </cell>
          <cell r="B333" t="str">
            <v>K P L C</v>
          </cell>
          <cell r="C333">
            <v>0</v>
          </cell>
          <cell r="D333">
            <v>0</v>
          </cell>
          <cell r="E333">
            <v>0</v>
          </cell>
          <cell r="F333">
            <v>0</v>
          </cell>
        </row>
        <row r="334">
          <cell r="A334" t="str">
            <v>700-50-155</v>
          </cell>
          <cell r="B334" t="str">
            <v>C F C BANK LTD.</v>
          </cell>
          <cell r="C334">
            <v>0</v>
          </cell>
          <cell r="D334">
            <v>0</v>
          </cell>
          <cell r="E334">
            <v>0</v>
          </cell>
          <cell r="F334">
            <v>0</v>
          </cell>
        </row>
        <row r="335">
          <cell r="A335" t="str">
            <v>700-50-160</v>
          </cell>
          <cell r="B335" t="str">
            <v>KAKUZI LTD.</v>
          </cell>
          <cell r="C335">
            <v>0</v>
          </cell>
          <cell r="D335">
            <v>0</v>
          </cell>
          <cell r="E335">
            <v>0</v>
          </cell>
          <cell r="F335">
            <v>0</v>
          </cell>
        </row>
        <row r="336">
          <cell r="A336" t="str">
            <v>700-50-165</v>
          </cell>
          <cell r="B336" t="str">
            <v>CMC HOLDINGS</v>
          </cell>
          <cell r="C336">
            <v>0</v>
          </cell>
          <cell r="D336">
            <v>0</v>
          </cell>
          <cell r="E336">
            <v>0</v>
          </cell>
          <cell r="F336">
            <v>0</v>
          </cell>
        </row>
        <row r="337">
          <cell r="A337" t="str">
            <v>700-50-170</v>
          </cell>
          <cell r="B337" t="str">
            <v>DIAMOND TRUST BANK LTD</v>
          </cell>
          <cell r="C337">
            <v>0</v>
          </cell>
          <cell r="D337">
            <v>0</v>
          </cell>
          <cell r="E337">
            <v>0</v>
          </cell>
          <cell r="F337">
            <v>0</v>
          </cell>
        </row>
        <row r="338">
          <cell r="A338" t="str">
            <v>700-50-175</v>
          </cell>
          <cell r="B338" t="str">
            <v>KENGEN LTD</v>
          </cell>
          <cell r="C338">
            <v>0</v>
          </cell>
          <cell r="D338">
            <v>0</v>
          </cell>
          <cell r="E338">
            <v>0</v>
          </cell>
          <cell r="F338">
            <v>0</v>
          </cell>
        </row>
        <row r="339">
          <cell r="A339" t="str">
            <v>700-50-180</v>
          </cell>
          <cell r="B339" t="str">
            <v>SCAN AD</v>
          </cell>
          <cell r="C339">
            <v>0</v>
          </cell>
          <cell r="D339">
            <v>0</v>
          </cell>
          <cell r="E339">
            <v>0</v>
          </cell>
          <cell r="F339">
            <v>0</v>
          </cell>
        </row>
        <row r="340">
          <cell r="A340" t="str">
            <v>700-55-010</v>
          </cell>
          <cell r="B340" t="str">
            <v>DFCU LTD</v>
          </cell>
          <cell r="C340">
            <v>0</v>
          </cell>
          <cell r="D340">
            <v>0</v>
          </cell>
          <cell r="E340">
            <v>0</v>
          </cell>
          <cell r="F340">
            <v>0</v>
          </cell>
        </row>
        <row r="341">
          <cell r="A341" t="str">
            <v>700-55-020</v>
          </cell>
          <cell r="B341" t="str">
            <v>UGANDA CLAYS</v>
          </cell>
          <cell r="C341">
            <v>0</v>
          </cell>
          <cell r="D341">
            <v>0</v>
          </cell>
          <cell r="E341">
            <v>0</v>
          </cell>
          <cell r="F341">
            <v>0</v>
          </cell>
        </row>
        <row r="342">
          <cell r="A342" t="str">
            <v>700-55-022</v>
          </cell>
          <cell r="B342" t="str">
            <v>SPECIAL OPPORTUBNITIES FUND</v>
          </cell>
          <cell r="C342">
            <v>0</v>
          </cell>
          <cell r="D342">
            <v>0</v>
          </cell>
          <cell r="E342">
            <v>0</v>
          </cell>
          <cell r="F342">
            <v>0</v>
          </cell>
        </row>
        <row r="343">
          <cell r="A343" t="str">
            <v>700-55-025</v>
          </cell>
          <cell r="B343" t="str">
            <v>SPECULATIVE INVESTMENTS POOL</v>
          </cell>
          <cell r="C343">
            <v>0</v>
          </cell>
          <cell r="D343">
            <v>0</v>
          </cell>
          <cell r="E343">
            <v>0</v>
          </cell>
          <cell r="F343">
            <v>0</v>
          </cell>
        </row>
        <row r="344">
          <cell r="A344" t="str">
            <v>700-60-010</v>
          </cell>
          <cell r="B344" t="str">
            <v>FIXED DEPOSIT CBA</v>
          </cell>
          <cell r="C344">
            <v>0</v>
          </cell>
          <cell r="D344">
            <v>0</v>
          </cell>
          <cell r="E344">
            <v>0</v>
          </cell>
          <cell r="F344">
            <v>0</v>
          </cell>
        </row>
        <row r="345">
          <cell r="A345" t="str">
            <v>700-60-020</v>
          </cell>
          <cell r="B345" t="str">
            <v>OTHERS FIXED DEPOSIT</v>
          </cell>
          <cell r="C345">
            <v>0</v>
          </cell>
          <cell r="D345">
            <v>0</v>
          </cell>
          <cell r="E345">
            <v>0</v>
          </cell>
          <cell r="F345">
            <v>0</v>
          </cell>
        </row>
        <row r="346">
          <cell r="A346" t="str">
            <v>700-60-030</v>
          </cell>
          <cell r="B346" t="str">
            <v>ACCRUED INTEREST</v>
          </cell>
          <cell r="C346">
            <v>0</v>
          </cell>
          <cell r="D346">
            <v>0</v>
          </cell>
          <cell r="E346">
            <v>0</v>
          </cell>
          <cell r="F346">
            <v>0</v>
          </cell>
        </row>
        <row r="347">
          <cell r="A347" t="str">
            <v>700-60-040</v>
          </cell>
          <cell r="B347" t="str">
            <v>FIXED DEPOSIT-DELPHIS</v>
          </cell>
          <cell r="C347">
            <v>0</v>
          </cell>
          <cell r="D347">
            <v>0</v>
          </cell>
          <cell r="E347">
            <v>0</v>
          </cell>
          <cell r="F347">
            <v>0</v>
          </cell>
        </row>
        <row r="348">
          <cell r="A348" t="str">
            <v>700-60-050</v>
          </cell>
          <cell r="B348" t="str">
            <v>FIXED DEPOSIT TANZANIA</v>
          </cell>
          <cell r="C348">
            <v>0</v>
          </cell>
          <cell r="D348">
            <v>0</v>
          </cell>
          <cell r="E348">
            <v>0</v>
          </cell>
          <cell r="F348">
            <v>0</v>
          </cell>
        </row>
        <row r="349">
          <cell r="A349" t="str">
            <v>700-60-060</v>
          </cell>
          <cell r="B349" t="str">
            <v>DELPHIS-PROVISION</v>
          </cell>
          <cell r="C349">
            <v>0</v>
          </cell>
          <cell r="D349">
            <v>0</v>
          </cell>
          <cell r="E349">
            <v>0</v>
          </cell>
          <cell r="F349">
            <v>0</v>
          </cell>
        </row>
        <row r="350">
          <cell r="A350" t="str">
            <v>700-60-070</v>
          </cell>
          <cell r="B350" t="str">
            <v>STANBIC CUSTODIAN SERVICE</v>
          </cell>
          <cell r="C350">
            <v>0</v>
          </cell>
          <cell r="D350">
            <v>0</v>
          </cell>
          <cell r="E350">
            <v>0</v>
          </cell>
          <cell r="F350">
            <v>0</v>
          </cell>
        </row>
        <row r="351">
          <cell r="A351" t="str">
            <v>700-60-075</v>
          </cell>
          <cell r="B351" t="str">
            <v>STANBIC CUSTODIAL-BOND FUND</v>
          </cell>
          <cell r="C351">
            <v>0</v>
          </cell>
          <cell r="D351">
            <v>0</v>
          </cell>
          <cell r="E351">
            <v>0</v>
          </cell>
          <cell r="F351">
            <v>0</v>
          </cell>
        </row>
        <row r="352">
          <cell r="A352" t="str">
            <v>700-60-080</v>
          </cell>
          <cell r="B352" t="str">
            <v>STANBIC CUSTODIAL-EQUITY FUND</v>
          </cell>
          <cell r="C352">
            <v>0</v>
          </cell>
          <cell r="D352">
            <v>0</v>
          </cell>
          <cell r="E352">
            <v>0</v>
          </cell>
          <cell r="F352">
            <v>0</v>
          </cell>
        </row>
        <row r="353">
          <cell r="A353" t="str">
            <v>700-60-085</v>
          </cell>
          <cell r="B353" t="str">
            <v>STANBIC CUSTODIAL-SPECIAL OPPORTUNITIES</v>
          </cell>
          <cell r="C353">
            <v>0</v>
          </cell>
          <cell r="D353">
            <v>0</v>
          </cell>
          <cell r="E353">
            <v>0</v>
          </cell>
          <cell r="F353">
            <v>0</v>
          </cell>
        </row>
        <row r="354">
          <cell r="A354" t="str">
            <v>700-60-086</v>
          </cell>
          <cell r="B354" t="str">
            <v>STANBIC-CUSTODIAL MONEY MARKET FUND</v>
          </cell>
          <cell r="C354">
            <v>0</v>
          </cell>
          <cell r="D354">
            <v>0</v>
          </cell>
          <cell r="E354">
            <v>0</v>
          </cell>
          <cell r="F354">
            <v>0</v>
          </cell>
        </row>
        <row r="355">
          <cell r="A355" t="str">
            <v>700-70-020</v>
          </cell>
          <cell r="B355" t="str">
            <v>E.A.DEVELOPMENT BANK</v>
          </cell>
          <cell r="C355">
            <v>0</v>
          </cell>
          <cell r="D355">
            <v>0</v>
          </cell>
          <cell r="E355">
            <v>0</v>
          </cell>
          <cell r="F355">
            <v>0</v>
          </cell>
        </row>
        <row r="356">
          <cell r="A356" t="str">
            <v>700-70-025</v>
          </cell>
          <cell r="B356" t="str">
            <v>VARIABLE COUPON BONDS</v>
          </cell>
          <cell r="C356">
            <v>0</v>
          </cell>
          <cell r="D356">
            <v>0</v>
          </cell>
          <cell r="E356">
            <v>0</v>
          </cell>
          <cell r="F356">
            <v>0</v>
          </cell>
        </row>
        <row r="357">
          <cell r="A357" t="str">
            <v>700-70-030</v>
          </cell>
          <cell r="B357" t="str">
            <v>COMMERCIAL PAPER</v>
          </cell>
          <cell r="C357">
            <v>0</v>
          </cell>
          <cell r="D357">
            <v>0</v>
          </cell>
          <cell r="E357">
            <v>0</v>
          </cell>
          <cell r="F357">
            <v>0</v>
          </cell>
        </row>
        <row r="358">
          <cell r="A358" t="str">
            <v>700-70-040</v>
          </cell>
          <cell r="B358" t="str">
            <v>KENYA OIL LTD.</v>
          </cell>
          <cell r="C358">
            <v>0</v>
          </cell>
          <cell r="D358">
            <v>0</v>
          </cell>
          <cell r="E358">
            <v>0</v>
          </cell>
          <cell r="F358">
            <v>0</v>
          </cell>
        </row>
        <row r="359">
          <cell r="A359" t="str">
            <v>700-70-045</v>
          </cell>
          <cell r="B359" t="str">
            <v>PTA</v>
          </cell>
          <cell r="C359">
            <v>0</v>
          </cell>
          <cell r="D359">
            <v>0</v>
          </cell>
          <cell r="E359">
            <v>0</v>
          </cell>
          <cell r="F359">
            <v>0</v>
          </cell>
        </row>
        <row r="360">
          <cell r="A360" t="str">
            <v>700-70-050</v>
          </cell>
          <cell r="B360" t="str">
            <v>MABATI ROLLING MILLS</v>
          </cell>
          <cell r="C360">
            <v>0</v>
          </cell>
          <cell r="D360">
            <v>0</v>
          </cell>
          <cell r="E360">
            <v>0</v>
          </cell>
          <cell r="F360">
            <v>0</v>
          </cell>
        </row>
        <row r="361">
          <cell r="A361" t="str">
            <v>700-70-060</v>
          </cell>
          <cell r="B361" t="str">
            <v>ACCRUED INTEREST</v>
          </cell>
          <cell r="C361">
            <v>0</v>
          </cell>
          <cell r="D361">
            <v>0</v>
          </cell>
          <cell r="E361">
            <v>0</v>
          </cell>
          <cell r="F361">
            <v>0</v>
          </cell>
        </row>
        <row r="362">
          <cell r="A362" t="str">
            <v>700-70-065</v>
          </cell>
          <cell r="B362" t="str">
            <v>ATHI RIVER MINING</v>
          </cell>
          <cell r="C362">
            <v>0</v>
          </cell>
          <cell r="D362">
            <v>0</v>
          </cell>
          <cell r="E362">
            <v>0</v>
          </cell>
          <cell r="F362">
            <v>0</v>
          </cell>
        </row>
        <row r="363">
          <cell r="A363" t="str">
            <v>700-70-070</v>
          </cell>
          <cell r="B363" t="str">
            <v>CMC HOLDINGS</v>
          </cell>
          <cell r="C363">
            <v>0</v>
          </cell>
          <cell r="D363">
            <v>0</v>
          </cell>
          <cell r="E363">
            <v>0</v>
          </cell>
          <cell r="F363">
            <v>0</v>
          </cell>
        </row>
        <row r="364">
          <cell r="A364" t="str">
            <v>700-70-075</v>
          </cell>
          <cell r="B364" t="str">
            <v>GAIN/LOSS ON VALUATION</v>
          </cell>
          <cell r="C364">
            <v>0</v>
          </cell>
          <cell r="D364">
            <v>0</v>
          </cell>
          <cell r="E364">
            <v>0</v>
          </cell>
          <cell r="F364">
            <v>0</v>
          </cell>
        </row>
        <row r="365">
          <cell r="A365" t="str">
            <v>700-75-010</v>
          </cell>
          <cell r="B365" t="str">
            <v>LOAN ON MORTGAGE THIRD PARTY</v>
          </cell>
          <cell r="C365">
            <v>0</v>
          </cell>
          <cell r="D365">
            <v>0</v>
          </cell>
          <cell r="E365">
            <v>0</v>
          </cell>
          <cell r="F365">
            <v>0</v>
          </cell>
        </row>
        <row r="366">
          <cell r="A366" t="str">
            <v>700-75-020</v>
          </cell>
          <cell r="B366" t="str">
            <v>LOAN ON MORTGAGE -STAFF</v>
          </cell>
          <cell r="C366">
            <v>0</v>
          </cell>
          <cell r="D366">
            <v>0</v>
          </cell>
          <cell r="E366">
            <v>0</v>
          </cell>
          <cell r="F366">
            <v>0</v>
          </cell>
        </row>
        <row r="367">
          <cell r="A367" t="str">
            <v>700-75-025</v>
          </cell>
          <cell r="B367" t="str">
            <v>O/S INTEREST ON MORTGAGE</v>
          </cell>
          <cell r="C367">
            <v>0</v>
          </cell>
          <cell r="D367">
            <v>0</v>
          </cell>
          <cell r="E367">
            <v>0</v>
          </cell>
          <cell r="F367">
            <v>0</v>
          </cell>
        </row>
        <row r="368">
          <cell r="A368" t="str">
            <v>700-75-030</v>
          </cell>
          <cell r="B368" t="str">
            <v>MORTGAGE-RETREAT VILLA</v>
          </cell>
          <cell r="C368">
            <v>0</v>
          </cell>
          <cell r="D368">
            <v>0</v>
          </cell>
          <cell r="E368">
            <v>0</v>
          </cell>
          <cell r="F368">
            <v>0</v>
          </cell>
        </row>
        <row r="369">
          <cell r="A369" t="str">
            <v>700-78-010</v>
          </cell>
          <cell r="B369" t="str">
            <v>LOAN ON POLICY W/S/V</v>
          </cell>
          <cell r="C369">
            <v>24670</v>
          </cell>
          <cell r="D369">
            <v>0</v>
          </cell>
          <cell r="E369">
            <v>24670</v>
          </cell>
          <cell r="F369">
            <v>24670</v>
          </cell>
        </row>
        <row r="370">
          <cell r="A370" t="str">
            <v>700-78-020</v>
          </cell>
          <cell r="B370" t="str">
            <v>LOAN ON POLICY TANZANIA</v>
          </cell>
          <cell r="C370">
            <v>0</v>
          </cell>
          <cell r="D370">
            <v>0</v>
          </cell>
          <cell r="E370">
            <v>0</v>
          </cell>
          <cell r="F370">
            <v>0</v>
          </cell>
        </row>
        <row r="371">
          <cell r="A371" t="str">
            <v>700-78-030</v>
          </cell>
          <cell r="B371" t="str">
            <v>LOAN ON POLICY REPAYMENT</v>
          </cell>
          <cell r="C371">
            <v>-19979</v>
          </cell>
          <cell r="D371">
            <v>-791416</v>
          </cell>
          <cell r="E371">
            <v>-811395</v>
          </cell>
          <cell r="F371">
            <v>-811395</v>
          </cell>
        </row>
        <row r="372">
          <cell r="A372" t="str">
            <v>700-78-040</v>
          </cell>
          <cell r="B372" t="str">
            <v>O/S INTEREST ON LOAN ON POLICY</v>
          </cell>
          <cell r="C372">
            <v>0</v>
          </cell>
          <cell r="D372">
            <v>0</v>
          </cell>
          <cell r="E372">
            <v>0</v>
          </cell>
          <cell r="F372">
            <v>0</v>
          </cell>
        </row>
        <row r="373">
          <cell r="A373" t="str">
            <v>700-78-050</v>
          </cell>
          <cell r="B373" t="str">
            <v>PROVISION FOR DOUBTFUL LOANS</v>
          </cell>
          <cell r="C373">
            <v>0</v>
          </cell>
          <cell r="D373">
            <v>0</v>
          </cell>
          <cell r="E373">
            <v>0</v>
          </cell>
          <cell r="F373">
            <v>0</v>
          </cell>
        </row>
        <row r="374">
          <cell r="A374" t="str">
            <v>700-79-010</v>
          </cell>
          <cell r="B374" t="str">
            <v>POLICY LOAN-FFFP</v>
          </cell>
          <cell r="C374">
            <v>0</v>
          </cell>
          <cell r="D374">
            <v>0</v>
          </cell>
          <cell r="E374">
            <v>0</v>
          </cell>
          <cell r="F374">
            <v>0</v>
          </cell>
        </row>
        <row r="375">
          <cell r="A375" t="str">
            <v>700-79-015</v>
          </cell>
          <cell r="B375" t="str">
            <v>LOAN REPAYMENT FFP</v>
          </cell>
          <cell r="C375">
            <v>0</v>
          </cell>
          <cell r="D375">
            <v>0</v>
          </cell>
          <cell r="E375">
            <v>0</v>
          </cell>
          <cell r="F375">
            <v>0</v>
          </cell>
        </row>
        <row r="376">
          <cell r="A376" t="str">
            <v>700-79-020</v>
          </cell>
          <cell r="B376" t="str">
            <v>POLICY LOAN WP</v>
          </cell>
          <cell r="C376">
            <v>-0.6</v>
          </cell>
          <cell r="D376">
            <v>0</v>
          </cell>
          <cell r="E376">
            <v>-0.6</v>
          </cell>
          <cell r="F376">
            <v>-0.6</v>
          </cell>
        </row>
        <row r="377">
          <cell r="A377" t="str">
            <v>700-79-025</v>
          </cell>
          <cell r="B377" t="str">
            <v>LOAN REPAYMENT WP</v>
          </cell>
          <cell r="C377">
            <v>0</v>
          </cell>
          <cell r="D377">
            <v>-1547141.25</v>
          </cell>
          <cell r="E377">
            <v>-1547141.25</v>
          </cell>
          <cell r="F377">
            <v>-1547141.25</v>
          </cell>
        </row>
        <row r="378">
          <cell r="A378" t="str">
            <v>700-79-030</v>
          </cell>
          <cell r="B378" t="str">
            <v>GAIN ON VALUATION</v>
          </cell>
          <cell r="C378">
            <v>0</v>
          </cell>
          <cell r="D378">
            <v>0</v>
          </cell>
          <cell r="E378">
            <v>0</v>
          </cell>
          <cell r="F378">
            <v>0</v>
          </cell>
        </row>
        <row r="379">
          <cell r="A379" t="str">
            <v>700-80-010</v>
          </cell>
          <cell r="B379" t="str">
            <v>STAFF LOANS</v>
          </cell>
          <cell r="C379">
            <v>0</v>
          </cell>
          <cell r="D379">
            <v>0</v>
          </cell>
          <cell r="E379">
            <v>0</v>
          </cell>
          <cell r="F379">
            <v>0</v>
          </cell>
        </row>
        <row r="380">
          <cell r="A380" t="str">
            <v>700-80-020</v>
          </cell>
          <cell r="B380" t="str">
            <v>AGENTS COMMISSION CONTROL ACCOUNT</v>
          </cell>
          <cell r="C380">
            <v>0</v>
          </cell>
          <cell r="D380">
            <v>0</v>
          </cell>
          <cell r="E380">
            <v>0</v>
          </cell>
          <cell r="F380">
            <v>0</v>
          </cell>
        </row>
        <row r="381">
          <cell r="A381" t="str">
            <v>700-80-025</v>
          </cell>
          <cell r="B381" t="str">
            <v>AGENTS LOAN -COP</v>
          </cell>
          <cell r="C381">
            <v>0</v>
          </cell>
          <cell r="D381">
            <v>0</v>
          </cell>
          <cell r="E381">
            <v>0</v>
          </cell>
          <cell r="F381">
            <v>0</v>
          </cell>
        </row>
        <row r="382">
          <cell r="A382" t="str">
            <v>700-80-030</v>
          </cell>
          <cell r="B382" t="str">
            <v>AGENTS LOAN-MV PREMIUMS</v>
          </cell>
          <cell r="C382">
            <v>0</v>
          </cell>
          <cell r="D382">
            <v>0</v>
          </cell>
          <cell r="E382">
            <v>0</v>
          </cell>
          <cell r="F382">
            <v>0</v>
          </cell>
        </row>
        <row r="383">
          <cell r="A383" t="str">
            <v>700-80-035</v>
          </cell>
          <cell r="B383" t="str">
            <v>AGENTS LOAN-MEDICAL PREMIUMS</v>
          </cell>
          <cell r="C383">
            <v>0</v>
          </cell>
          <cell r="D383">
            <v>0</v>
          </cell>
          <cell r="E383">
            <v>0</v>
          </cell>
          <cell r="F383">
            <v>0</v>
          </cell>
        </row>
        <row r="384">
          <cell r="A384" t="str">
            <v>700-80-040</v>
          </cell>
          <cell r="B384" t="str">
            <v>AGENTS LOAN-1,2,3,4</v>
          </cell>
          <cell r="C384">
            <v>0</v>
          </cell>
          <cell r="D384">
            <v>0</v>
          </cell>
          <cell r="E384">
            <v>0</v>
          </cell>
          <cell r="F384">
            <v>0</v>
          </cell>
        </row>
        <row r="385">
          <cell r="A385" t="str">
            <v>700-80-045</v>
          </cell>
          <cell r="B385" t="str">
            <v>AGENTS LOAN -OTHERS</v>
          </cell>
          <cell r="C385">
            <v>0</v>
          </cell>
          <cell r="D385">
            <v>0</v>
          </cell>
          <cell r="E385">
            <v>0</v>
          </cell>
          <cell r="F385">
            <v>0</v>
          </cell>
        </row>
        <row r="386">
          <cell r="A386" t="str">
            <v>700-80-050</v>
          </cell>
          <cell r="B386" t="str">
            <v>AGENTS CAR LOANS</v>
          </cell>
          <cell r="C386">
            <v>0</v>
          </cell>
          <cell r="D386">
            <v>0</v>
          </cell>
          <cell r="E386">
            <v>0</v>
          </cell>
          <cell r="F386">
            <v>0</v>
          </cell>
        </row>
        <row r="387">
          <cell r="A387" t="str">
            <v>700-80-051</v>
          </cell>
          <cell r="B387" t="str">
            <v>PROVISIONS FOR DOUBTFUL MORTGAGES</v>
          </cell>
          <cell r="C387">
            <v>0</v>
          </cell>
          <cell r="D387">
            <v>0</v>
          </cell>
          <cell r="E387">
            <v>0</v>
          </cell>
          <cell r="F387">
            <v>0</v>
          </cell>
        </row>
        <row r="388">
          <cell r="A388" t="str">
            <v>700-80-055</v>
          </cell>
          <cell r="B388" t="str">
            <v>STAFF CAR LOANS</v>
          </cell>
          <cell r="C388">
            <v>0</v>
          </cell>
          <cell r="D388">
            <v>0</v>
          </cell>
          <cell r="E388">
            <v>0</v>
          </cell>
          <cell r="F388">
            <v>0</v>
          </cell>
        </row>
        <row r="389">
          <cell r="A389" t="str">
            <v>700-80-060</v>
          </cell>
          <cell r="B389" t="str">
            <v>MORTGAGE LOANS</v>
          </cell>
          <cell r="C389">
            <v>0</v>
          </cell>
          <cell r="D389">
            <v>0</v>
          </cell>
          <cell r="E389">
            <v>0</v>
          </cell>
          <cell r="F389">
            <v>0</v>
          </cell>
        </row>
        <row r="390">
          <cell r="A390" t="str">
            <v>700-80-065</v>
          </cell>
          <cell r="B390" t="str">
            <v>N/L PREMIUMS</v>
          </cell>
          <cell r="C390">
            <v>0</v>
          </cell>
          <cell r="D390">
            <v>0</v>
          </cell>
          <cell r="E390">
            <v>0</v>
          </cell>
          <cell r="F390">
            <v>0</v>
          </cell>
        </row>
        <row r="391">
          <cell r="A391" t="str">
            <v>700-80-066</v>
          </cell>
          <cell r="B391" t="str">
            <v>CORPORATION TAX-TANZANIA</v>
          </cell>
          <cell r="C391">
            <v>0</v>
          </cell>
          <cell r="D391">
            <v>0</v>
          </cell>
          <cell r="E391">
            <v>0</v>
          </cell>
          <cell r="F391">
            <v>0</v>
          </cell>
        </row>
        <row r="392">
          <cell r="A392" t="str">
            <v>700-80-067</v>
          </cell>
          <cell r="B392" t="str">
            <v>PAN AFRICA INS. PENSION SCHEME</v>
          </cell>
          <cell r="C392">
            <v>0</v>
          </cell>
          <cell r="D392">
            <v>0</v>
          </cell>
          <cell r="E392">
            <v>0</v>
          </cell>
          <cell r="F392">
            <v>0</v>
          </cell>
        </row>
        <row r="393">
          <cell r="A393" t="str">
            <v>700-80-068</v>
          </cell>
          <cell r="B393" t="str">
            <v>RENT DEPOSITS</v>
          </cell>
          <cell r="C393">
            <v>0</v>
          </cell>
          <cell r="D393">
            <v>0</v>
          </cell>
          <cell r="E393">
            <v>0</v>
          </cell>
          <cell r="F393">
            <v>0</v>
          </cell>
        </row>
        <row r="394">
          <cell r="A394" t="str">
            <v>700-80-069</v>
          </cell>
          <cell r="B394" t="str">
            <v>TANZANIA AACOUNT</v>
          </cell>
          <cell r="C394">
            <v>0</v>
          </cell>
          <cell r="D394">
            <v>0</v>
          </cell>
          <cell r="E394">
            <v>0</v>
          </cell>
          <cell r="F394">
            <v>0</v>
          </cell>
        </row>
        <row r="395">
          <cell r="A395" t="str">
            <v>700-80-070</v>
          </cell>
          <cell r="B395" t="str">
            <v>STAFF MEDICAL - RECOVERABLE</v>
          </cell>
          <cell r="C395">
            <v>0</v>
          </cell>
          <cell r="D395">
            <v>0</v>
          </cell>
          <cell r="E395">
            <v>0</v>
          </cell>
          <cell r="F395">
            <v>0</v>
          </cell>
        </row>
        <row r="396">
          <cell r="A396" t="str">
            <v>700-81-010</v>
          </cell>
          <cell r="B396" t="str">
            <v>KNIGHT FRANK</v>
          </cell>
          <cell r="C396">
            <v>0</v>
          </cell>
          <cell r="D396">
            <v>0</v>
          </cell>
          <cell r="E396">
            <v>0</v>
          </cell>
          <cell r="F396">
            <v>0</v>
          </cell>
        </row>
        <row r="397">
          <cell r="A397" t="str">
            <v>700-81-015</v>
          </cell>
          <cell r="B397" t="str">
            <v>CASH IN TRANSIT</v>
          </cell>
          <cell r="C397">
            <v>8717</v>
          </cell>
          <cell r="D397">
            <v>0</v>
          </cell>
          <cell r="E397">
            <v>8717</v>
          </cell>
          <cell r="F397">
            <v>8717</v>
          </cell>
        </row>
        <row r="398">
          <cell r="A398" t="str">
            <v>700-81-020</v>
          </cell>
          <cell r="B398" t="str">
            <v>CBRE</v>
          </cell>
          <cell r="C398">
            <v>0</v>
          </cell>
          <cell r="F398">
            <v>0</v>
          </cell>
        </row>
        <row r="399">
          <cell r="A399" t="str">
            <v>700-82-010</v>
          </cell>
          <cell r="B399" t="str">
            <v>PREDEBIT DEBTOR-DDI</v>
          </cell>
          <cell r="C399">
            <v>0</v>
          </cell>
          <cell r="F399">
            <v>0</v>
          </cell>
        </row>
        <row r="400">
          <cell r="A400" t="str">
            <v>700-82-020</v>
          </cell>
          <cell r="B400" t="str">
            <v>PREDEBIT DEBTOR -BSO</v>
          </cell>
          <cell r="C400">
            <v>0</v>
          </cell>
          <cell r="F400">
            <v>0</v>
          </cell>
        </row>
        <row r="401">
          <cell r="A401" t="str">
            <v>700-82-030</v>
          </cell>
          <cell r="B401" t="str">
            <v>PREDEBIT DEBTOR- CHECK OFF</v>
          </cell>
          <cell r="C401">
            <v>0</v>
          </cell>
          <cell r="F401">
            <v>0</v>
          </cell>
        </row>
        <row r="402">
          <cell r="A402" t="str">
            <v>700-82-040</v>
          </cell>
          <cell r="B402" t="str">
            <v>PREDEBIT DEBTOR - CASH</v>
          </cell>
          <cell r="C402">
            <v>0</v>
          </cell>
          <cell r="F402">
            <v>0</v>
          </cell>
        </row>
        <row r="403">
          <cell r="A403" t="str">
            <v>700-82-050</v>
          </cell>
          <cell r="B403" t="str">
            <v>UNDEFINED DEBITS</v>
          </cell>
          <cell r="C403">
            <v>0</v>
          </cell>
          <cell r="F403">
            <v>0</v>
          </cell>
        </row>
        <row r="404">
          <cell r="A404" t="str">
            <v>700-83-010</v>
          </cell>
          <cell r="B404" t="str">
            <v>REINSURANCE DEBTOR</v>
          </cell>
          <cell r="C404">
            <v>0</v>
          </cell>
          <cell r="F404">
            <v>0</v>
          </cell>
        </row>
        <row r="405">
          <cell r="A405" t="str">
            <v>700-84-010</v>
          </cell>
          <cell r="B405" t="str">
            <v>O/S PREMIUMS API</v>
          </cell>
          <cell r="C405">
            <v>0</v>
          </cell>
          <cell r="F405">
            <v>0</v>
          </cell>
        </row>
        <row r="406">
          <cell r="A406" t="str">
            <v>700-85-010</v>
          </cell>
          <cell r="B406" t="str">
            <v>PREPAYMENTS</v>
          </cell>
          <cell r="C406">
            <v>0</v>
          </cell>
          <cell r="F406">
            <v>0</v>
          </cell>
        </row>
        <row r="407">
          <cell r="A407" t="str">
            <v>700-85-015</v>
          </cell>
          <cell r="B407" t="str">
            <v>EXECUTIVE CONTRA</v>
          </cell>
          <cell r="C407">
            <v>0</v>
          </cell>
          <cell r="F407">
            <v>0</v>
          </cell>
        </row>
        <row r="408">
          <cell r="A408" t="str">
            <v>700-85-020</v>
          </cell>
          <cell r="B408" t="str">
            <v>STAFF CONTRA</v>
          </cell>
          <cell r="C408">
            <v>0</v>
          </cell>
          <cell r="F408">
            <v>0</v>
          </cell>
        </row>
        <row r="409">
          <cell r="A409" t="str">
            <v>700-85-025</v>
          </cell>
          <cell r="B409" t="str">
            <v>PREDEBIT DEBTOR</v>
          </cell>
          <cell r="C409">
            <v>-17162</v>
          </cell>
          <cell r="F409">
            <v>-17162</v>
          </cell>
        </row>
        <row r="410">
          <cell r="A410" t="str">
            <v>700-85-030</v>
          </cell>
          <cell r="B410" t="str">
            <v>HUBRIS HOLDINGS LTD</v>
          </cell>
          <cell r="C410">
            <v>0</v>
          </cell>
          <cell r="F410">
            <v>0</v>
          </cell>
        </row>
        <row r="411">
          <cell r="A411" t="str">
            <v>700-85-031</v>
          </cell>
          <cell r="B411" t="str">
            <v>SANLAM</v>
          </cell>
          <cell r="C411">
            <v>-6730679.1100000003</v>
          </cell>
          <cell r="F411">
            <v>-6730679.1100000003</v>
          </cell>
        </row>
        <row r="412">
          <cell r="A412" t="str">
            <v>700-85-032</v>
          </cell>
          <cell r="B412" t="str">
            <v>SANLAM-CAPETOWN</v>
          </cell>
          <cell r="C412">
            <v>0</v>
          </cell>
          <cell r="F412">
            <v>0</v>
          </cell>
        </row>
        <row r="413">
          <cell r="A413" t="str">
            <v>700-85-040</v>
          </cell>
          <cell r="B413" t="str">
            <v>DEPOSITS ACCOUNT</v>
          </cell>
          <cell r="C413">
            <v>0</v>
          </cell>
          <cell r="F413">
            <v>0</v>
          </cell>
        </row>
        <row r="414">
          <cell r="A414" t="str">
            <v>700-85-045</v>
          </cell>
          <cell r="B414" t="str">
            <v>P A SECURITIES</v>
          </cell>
          <cell r="C414">
            <v>0</v>
          </cell>
          <cell r="F414">
            <v>0</v>
          </cell>
        </row>
        <row r="415">
          <cell r="A415" t="str">
            <v>700-85-050</v>
          </cell>
          <cell r="B415" t="str">
            <v>CORPORATE (PENSIONS SCHEMES)</v>
          </cell>
          <cell r="C415">
            <v>0</v>
          </cell>
          <cell r="F415">
            <v>0</v>
          </cell>
        </row>
        <row r="416">
          <cell r="A416" t="str">
            <v>700-85-055</v>
          </cell>
          <cell r="B416" t="str">
            <v>ALA - GHANA</v>
          </cell>
          <cell r="C416">
            <v>0</v>
          </cell>
          <cell r="F416">
            <v>0</v>
          </cell>
        </row>
        <row r="417">
          <cell r="A417" t="str">
            <v>700-85-060</v>
          </cell>
          <cell r="B417" t="str">
            <v>ALA - ZAMBIA</v>
          </cell>
          <cell r="C417">
            <v>0</v>
          </cell>
          <cell r="F417">
            <v>0</v>
          </cell>
        </row>
        <row r="418">
          <cell r="A418" t="str">
            <v>700-85-065</v>
          </cell>
          <cell r="B418" t="str">
            <v>BBK DEBTOR</v>
          </cell>
          <cell r="C418">
            <v>0</v>
          </cell>
          <cell r="F418">
            <v>0</v>
          </cell>
        </row>
        <row r="419">
          <cell r="A419" t="str">
            <v>700-85-070</v>
          </cell>
          <cell r="B419" t="str">
            <v>SECURITY DEPOSITS</v>
          </cell>
          <cell r="C419">
            <v>0</v>
          </cell>
          <cell r="F419">
            <v>0</v>
          </cell>
        </row>
        <row r="420">
          <cell r="A420" t="str">
            <v>700-85-075</v>
          </cell>
          <cell r="B420" t="str">
            <v>PRIDE OF SANLAM COMPETITION</v>
          </cell>
          <cell r="C420">
            <v>0</v>
          </cell>
          <cell r="F420">
            <v>0</v>
          </cell>
        </row>
        <row r="421">
          <cell r="A421" t="str">
            <v>700-86-010</v>
          </cell>
          <cell r="B421" t="str">
            <v>CLAIMS RECOVERABLE</v>
          </cell>
          <cell r="C421">
            <v>0</v>
          </cell>
          <cell r="F421">
            <v>0</v>
          </cell>
        </row>
        <row r="422">
          <cell r="A422" t="str">
            <v>700-87-010</v>
          </cell>
          <cell r="B422" t="str">
            <v>AGENCY DEVELOPMENT FUND</v>
          </cell>
          <cell r="C422">
            <v>0</v>
          </cell>
          <cell r="F422">
            <v>0</v>
          </cell>
        </row>
        <row r="423">
          <cell r="A423" t="str">
            <v>700-90-010</v>
          </cell>
          <cell r="B423" t="str">
            <v>BANK OF BARODA</v>
          </cell>
          <cell r="C423">
            <v>0</v>
          </cell>
          <cell r="F423">
            <v>0</v>
          </cell>
        </row>
        <row r="424">
          <cell r="A424" t="str">
            <v>700-90-030</v>
          </cell>
          <cell r="B424" t="str">
            <v>CBA-WABERA STREET</v>
          </cell>
          <cell r="C424">
            <v>0</v>
          </cell>
          <cell r="F424">
            <v>0</v>
          </cell>
        </row>
        <row r="425">
          <cell r="A425" t="str">
            <v>700-90-040</v>
          </cell>
          <cell r="B425" t="str">
            <v>BBK-MOMBASA</v>
          </cell>
          <cell r="C425">
            <v>0</v>
          </cell>
          <cell r="F425">
            <v>0</v>
          </cell>
        </row>
        <row r="426">
          <cell r="A426" t="str">
            <v>700-90-050</v>
          </cell>
          <cell r="B426" t="str">
            <v>SCB-COLLECTION A/C</v>
          </cell>
          <cell r="C426">
            <v>0</v>
          </cell>
          <cell r="F426">
            <v>0</v>
          </cell>
        </row>
        <row r="427">
          <cell r="A427" t="str">
            <v>700-90-060</v>
          </cell>
          <cell r="B427" t="str">
            <v>CO-OP UKULIMA</v>
          </cell>
          <cell r="C427">
            <v>0</v>
          </cell>
          <cell r="F427">
            <v>0</v>
          </cell>
        </row>
        <row r="428">
          <cell r="A428" t="str">
            <v>700-90-080</v>
          </cell>
          <cell r="B428" t="str">
            <v>BBK MERU</v>
          </cell>
          <cell r="C428">
            <v>0</v>
          </cell>
          <cell r="F428">
            <v>0</v>
          </cell>
        </row>
        <row r="429">
          <cell r="A429" t="str">
            <v>700-90-090</v>
          </cell>
          <cell r="B429" t="str">
            <v>BBK-NYERI</v>
          </cell>
          <cell r="C429">
            <v>0</v>
          </cell>
          <cell r="F429">
            <v>0</v>
          </cell>
        </row>
        <row r="430">
          <cell r="A430" t="str">
            <v>700-90-100</v>
          </cell>
          <cell r="B430" t="str">
            <v>BBK NBI(5776890)</v>
          </cell>
          <cell r="C430">
            <v>179798.8</v>
          </cell>
          <cell r="F430">
            <v>181574.8</v>
          </cell>
        </row>
        <row r="431">
          <cell r="A431" t="str">
            <v>700-90-120</v>
          </cell>
          <cell r="B431" t="str">
            <v>BBK NBI (5776688)</v>
          </cell>
          <cell r="C431">
            <v>0</v>
          </cell>
          <cell r="F431">
            <v>0</v>
          </cell>
        </row>
        <row r="432">
          <cell r="A432" t="str">
            <v>700-90-140</v>
          </cell>
          <cell r="B432" t="str">
            <v>BBK-KISII</v>
          </cell>
          <cell r="C432">
            <v>0</v>
          </cell>
          <cell r="F432">
            <v>0</v>
          </cell>
        </row>
        <row r="433">
          <cell r="A433" t="str">
            <v>700-90-150</v>
          </cell>
          <cell r="B433" t="str">
            <v>BBK-KISUMU</v>
          </cell>
          <cell r="C433">
            <v>0</v>
          </cell>
          <cell r="F433">
            <v>0</v>
          </cell>
        </row>
        <row r="434">
          <cell r="A434" t="str">
            <v>700-90-160</v>
          </cell>
          <cell r="B434" t="str">
            <v>NAKURU</v>
          </cell>
          <cell r="C434">
            <v>0</v>
          </cell>
          <cell r="F434">
            <v>0</v>
          </cell>
        </row>
        <row r="435">
          <cell r="A435" t="str">
            <v>700-90-170</v>
          </cell>
          <cell r="B435" t="str">
            <v>BBK-ELDORET</v>
          </cell>
          <cell r="C435">
            <v>0</v>
          </cell>
          <cell r="F435">
            <v>0</v>
          </cell>
        </row>
        <row r="436">
          <cell r="A436" t="str">
            <v>700-90-190</v>
          </cell>
          <cell r="B436" t="str">
            <v>BBK-EMBU</v>
          </cell>
          <cell r="C436">
            <v>0</v>
          </cell>
          <cell r="F436">
            <v>0</v>
          </cell>
        </row>
        <row r="437">
          <cell r="A437" t="str">
            <v>700-90-200</v>
          </cell>
          <cell r="B437" t="str">
            <v>CO-OP CHUKA</v>
          </cell>
          <cell r="C437">
            <v>0</v>
          </cell>
          <cell r="F437">
            <v>0</v>
          </cell>
        </row>
        <row r="438">
          <cell r="A438" t="str">
            <v>700-90-210</v>
          </cell>
          <cell r="B438" t="str">
            <v>STANBIC NBI</v>
          </cell>
          <cell r="C438">
            <v>5419762.5</v>
          </cell>
          <cell r="F438">
            <v>7548637.5</v>
          </cell>
        </row>
        <row r="439">
          <cell r="A439" t="str">
            <v>700-90-220</v>
          </cell>
          <cell r="B439" t="str">
            <v>HOLDCO</v>
          </cell>
          <cell r="C439">
            <v>0</v>
          </cell>
          <cell r="F439">
            <v>0</v>
          </cell>
        </row>
        <row r="440">
          <cell r="A440" t="str">
            <v>700-90-230</v>
          </cell>
          <cell r="B440" t="str">
            <v>GRATUITY US DOLLAR</v>
          </cell>
          <cell r="C440">
            <v>0</v>
          </cell>
          <cell r="F440">
            <v>0</v>
          </cell>
        </row>
        <row r="441">
          <cell r="A441" t="str">
            <v>700-90-240</v>
          </cell>
          <cell r="B441" t="str">
            <v>BBK-THIKA</v>
          </cell>
          <cell r="C441">
            <v>0</v>
          </cell>
          <cell r="F441">
            <v>0</v>
          </cell>
        </row>
        <row r="442">
          <cell r="A442" t="str">
            <v>700-90-260</v>
          </cell>
          <cell r="B442" t="str">
            <v>BBK(5039027)ADMINSTRATION</v>
          </cell>
          <cell r="C442">
            <v>-5639283.5</v>
          </cell>
          <cell r="F442">
            <v>-6691017.5</v>
          </cell>
        </row>
        <row r="443">
          <cell r="A443" t="str">
            <v>700-90-270</v>
          </cell>
          <cell r="B443" t="str">
            <v>BBK-(5039051)COLLECTIONS</v>
          </cell>
          <cell r="C443">
            <v>0</v>
          </cell>
          <cell r="F443">
            <v>0</v>
          </cell>
        </row>
        <row r="444">
          <cell r="A444" t="str">
            <v>700-90-280</v>
          </cell>
          <cell r="B444" t="str">
            <v>BBK(5039035) EXPENSES</v>
          </cell>
          <cell r="C444">
            <v>-21400</v>
          </cell>
          <cell r="F444">
            <v>-21400</v>
          </cell>
        </row>
        <row r="445">
          <cell r="A445" t="str">
            <v>700-90-285</v>
          </cell>
          <cell r="B445" t="str">
            <v>BBK MOI AVENUE - 5776793 -GROUP LIFE</v>
          </cell>
          <cell r="C445">
            <v>0</v>
          </cell>
          <cell r="F445">
            <v>0</v>
          </cell>
        </row>
        <row r="446">
          <cell r="A446" t="str">
            <v>700-90-290</v>
          </cell>
          <cell r="B446" t="str">
            <v>N.I.C BANK - GROUP PENSION</v>
          </cell>
          <cell r="C446">
            <v>0</v>
          </cell>
          <cell r="F446">
            <v>0</v>
          </cell>
        </row>
        <row r="447">
          <cell r="A447" t="str">
            <v>700-90-295</v>
          </cell>
          <cell r="B447" t="str">
            <v>NATIONAL BANK-01010153900</v>
          </cell>
          <cell r="C447">
            <v>0</v>
          </cell>
          <cell r="F447">
            <v>0</v>
          </cell>
        </row>
        <row r="448">
          <cell r="A448" t="str">
            <v>700-90-300</v>
          </cell>
          <cell r="B448" t="str">
            <v>STANCHART-SRBS</v>
          </cell>
          <cell r="C448">
            <v>0</v>
          </cell>
          <cell r="F448">
            <v>0</v>
          </cell>
        </row>
        <row r="449">
          <cell r="A449" t="str">
            <v>700-90-305</v>
          </cell>
          <cell r="B449" t="str">
            <v>EQUITY BANK-PREMIUM COLLECTION A/C</v>
          </cell>
          <cell r="C449">
            <v>0</v>
          </cell>
          <cell r="F449">
            <v>0</v>
          </cell>
        </row>
        <row r="450">
          <cell r="A450" t="str">
            <v>700-90-310</v>
          </cell>
          <cell r="B450" t="str">
            <v>FAMILY FINANCE-PREMIUM COLLECTION A/C</v>
          </cell>
          <cell r="C450">
            <v>0</v>
          </cell>
          <cell r="F450">
            <v>0</v>
          </cell>
        </row>
        <row r="451">
          <cell r="A451" t="str">
            <v>700-90-315</v>
          </cell>
          <cell r="B451" t="str">
            <v>BARCLAYS BANK - UNIT LINK 5024895</v>
          </cell>
          <cell r="C451">
            <v>-64286525.93</v>
          </cell>
          <cell r="F451">
            <v>-78240369.980000004</v>
          </cell>
        </row>
        <row r="452">
          <cell r="A452" t="str">
            <v>700-90-320</v>
          </cell>
          <cell r="B452" t="str">
            <v>KENYA COMMERCIAL BANK-017-229714944</v>
          </cell>
          <cell r="C452">
            <v>0</v>
          </cell>
          <cell r="F452">
            <v>0</v>
          </cell>
        </row>
        <row r="453">
          <cell r="A453" t="str">
            <v>700-90-321</v>
          </cell>
          <cell r="B453" t="str">
            <v>CALL DEPOSIT-BARLAYS PLAZA</v>
          </cell>
          <cell r="C453">
            <v>0</v>
          </cell>
          <cell r="F453">
            <v>0</v>
          </cell>
        </row>
        <row r="454">
          <cell r="A454" t="str">
            <v>700-90-322</v>
          </cell>
          <cell r="B454" t="str">
            <v>CALL DEPOSIT-BARLAYS CORPORATE BUSINESS</v>
          </cell>
          <cell r="C454">
            <v>0</v>
          </cell>
          <cell r="F454">
            <v>0</v>
          </cell>
        </row>
        <row r="455">
          <cell r="A455" t="str">
            <v>700-90-325</v>
          </cell>
          <cell r="B455" t="str">
            <v>STANDARD CHARTERED - PAN AFRICA RENT</v>
          </cell>
          <cell r="C455">
            <v>0</v>
          </cell>
          <cell r="F455">
            <v>0</v>
          </cell>
        </row>
        <row r="456">
          <cell r="A456" t="str">
            <v>700-90-326</v>
          </cell>
          <cell r="B456" t="str">
            <v>YEAR END BANK BALANCES ADJUSTMENT</v>
          </cell>
          <cell r="C456">
            <v>0</v>
          </cell>
          <cell r="F456">
            <v>0</v>
          </cell>
        </row>
        <row r="457">
          <cell r="A457" t="str">
            <v>700-95-010</v>
          </cell>
          <cell r="B457" t="str">
            <v>PETTY CASH</v>
          </cell>
          <cell r="C457">
            <v>0</v>
          </cell>
          <cell r="F457">
            <v>0</v>
          </cell>
        </row>
        <row r="458">
          <cell r="A458" t="str">
            <v>700-96-010</v>
          </cell>
          <cell r="B458" t="str">
            <v>GROUP PREMIUM DEBTOR</v>
          </cell>
          <cell r="C458">
            <v>0</v>
          </cell>
          <cell r="F458">
            <v>0</v>
          </cell>
        </row>
        <row r="459">
          <cell r="A459" t="str">
            <v>800-10-010</v>
          </cell>
          <cell r="B459" t="str">
            <v>CHANGE IN POLICYHOLDER LIABILITIES</v>
          </cell>
          <cell r="C459">
            <v>-1519030936.75</v>
          </cell>
          <cell r="F459">
            <v>-1519030936.75</v>
          </cell>
        </row>
        <row r="460">
          <cell r="A460" t="str">
            <v>800-10-011</v>
          </cell>
          <cell r="B460" t="str">
            <v>DEFERRED INCOME PRIOR YEAR ADJUSTMENT</v>
          </cell>
          <cell r="C460">
            <v>0</v>
          </cell>
          <cell r="F460">
            <v>0</v>
          </cell>
        </row>
        <row r="461">
          <cell r="A461" t="str">
            <v>800-10-015</v>
          </cell>
          <cell r="B461" t="str">
            <v>GENERAL FUND</v>
          </cell>
          <cell r="C461">
            <v>0</v>
          </cell>
          <cell r="F461">
            <v>0</v>
          </cell>
        </row>
        <row r="462">
          <cell r="A462" t="str">
            <v>800-10-020</v>
          </cell>
          <cell r="B462" t="str">
            <v>CLAIMS RESERVES</v>
          </cell>
          <cell r="C462">
            <v>0</v>
          </cell>
          <cell r="F462">
            <v>0</v>
          </cell>
        </row>
        <row r="463">
          <cell r="A463" t="str">
            <v>800-10-025</v>
          </cell>
          <cell r="B463" t="str">
            <v>UNIT LINK INVESTMENTS</v>
          </cell>
          <cell r="C463">
            <v>0</v>
          </cell>
          <cell r="F463">
            <v>0</v>
          </cell>
        </row>
        <row r="464">
          <cell r="A464" t="str">
            <v>800-10-050</v>
          </cell>
          <cell r="B464" t="str">
            <v>TRANSFER TO SHAREHOLDERS FUND</v>
          </cell>
          <cell r="C464">
            <v>0</v>
          </cell>
          <cell r="F464">
            <v>0</v>
          </cell>
        </row>
        <row r="465">
          <cell r="A465" t="str">
            <v>800-12-010</v>
          </cell>
          <cell r="B465" t="str">
            <v>MEMORANDUM ENTRIES</v>
          </cell>
          <cell r="C465">
            <v>0</v>
          </cell>
          <cell r="F465">
            <v>0</v>
          </cell>
        </row>
        <row r="466">
          <cell r="A466" t="str">
            <v>800-15-010</v>
          </cell>
          <cell r="B466" t="str">
            <v>UNPROCESSED PREMIUMS-DDI</v>
          </cell>
          <cell r="C466">
            <v>-1043567.6</v>
          </cell>
          <cell r="F466">
            <v>-1045343.6</v>
          </cell>
        </row>
        <row r="467">
          <cell r="A467" t="str">
            <v>800-15-011</v>
          </cell>
          <cell r="B467" t="str">
            <v>UNPROCESSED PREMIUMS-BSO</v>
          </cell>
          <cell r="C467">
            <v>0</v>
          </cell>
          <cell r="F467">
            <v>0</v>
          </cell>
        </row>
        <row r="468">
          <cell r="A468" t="str">
            <v>800-15-012</v>
          </cell>
          <cell r="B468" t="str">
            <v>UNPROCESSED PREMIUMS-CHECK OFF</v>
          </cell>
          <cell r="C468">
            <v>0</v>
          </cell>
          <cell r="F468">
            <v>0</v>
          </cell>
        </row>
        <row r="469">
          <cell r="A469" t="str">
            <v>800-15-013</v>
          </cell>
          <cell r="B469" t="str">
            <v>UNPROCESSED PREMIUMS-CASH</v>
          </cell>
          <cell r="C469">
            <v>0</v>
          </cell>
          <cell r="F469">
            <v>0</v>
          </cell>
        </row>
        <row r="470">
          <cell r="A470" t="str">
            <v>800-15-014</v>
          </cell>
          <cell r="B470" t="str">
            <v>UNPROCESSED PREMIUMS-WOP</v>
          </cell>
          <cell r="C470">
            <v>0</v>
          </cell>
          <cell r="F470">
            <v>0</v>
          </cell>
        </row>
        <row r="471">
          <cell r="A471" t="str">
            <v>800-15-020</v>
          </cell>
          <cell r="B471" t="str">
            <v>INACTIVE LEDGER</v>
          </cell>
          <cell r="C471">
            <v>0</v>
          </cell>
          <cell r="F471">
            <v>0</v>
          </cell>
        </row>
        <row r="472">
          <cell r="A472" t="str">
            <v>800-15-025</v>
          </cell>
          <cell r="B472" t="str">
            <v>PREMIUMS-INADVANCE</v>
          </cell>
          <cell r="C472">
            <v>6318</v>
          </cell>
          <cell r="F472">
            <v>6318</v>
          </cell>
        </row>
        <row r="473">
          <cell r="A473" t="str">
            <v>800-15-030</v>
          </cell>
          <cell r="B473" t="str">
            <v>REFUND ON MATURITIES</v>
          </cell>
          <cell r="C473">
            <v>1965</v>
          </cell>
          <cell r="F473">
            <v>1965</v>
          </cell>
        </row>
        <row r="474">
          <cell r="A474" t="str">
            <v>800-15-035</v>
          </cell>
          <cell r="B474" t="str">
            <v>REFUND ON CANCELLED POLICIES</v>
          </cell>
          <cell r="C474">
            <v>1753442</v>
          </cell>
          <cell r="F474">
            <v>1753442</v>
          </cell>
        </row>
        <row r="475">
          <cell r="A475" t="str">
            <v>800-15-040</v>
          </cell>
          <cell r="B475" t="str">
            <v>REFUND ON CANCELLED PROPOSALS</v>
          </cell>
          <cell r="C475">
            <v>13020</v>
          </cell>
          <cell r="F475">
            <v>13020</v>
          </cell>
        </row>
        <row r="476">
          <cell r="A476" t="str">
            <v>800-15-045</v>
          </cell>
          <cell r="B476" t="str">
            <v>REFUND ON SURRENDERS</v>
          </cell>
          <cell r="C476">
            <v>11030</v>
          </cell>
          <cell r="F476">
            <v>11030</v>
          </cell>
        </row>
        <row r="477">
          <cell r="A477" t="str">
            <v>800-15-050</v>
          </cell>
          <cell r="B477" t="str">
            <v>REFUND ON ERRONEOUS DEDUCTION</v>
          </cell>
          <cell r="C477">
            <v>110359</v>
          </cell>
          <cell r="F477">
            <v>110359</v>
          </cell>
        </row>
        <row r="478">
          <cell r="A478" t="str">
            <v>800-15-055</v>
          </cell>
          <cell r="B478" t="str">
            <v>REFUND ON 56,44,21 OTHERS</v>
          </cell>
          <cell r="C478">
            <v>5760</v>
          </cell>
          <cell r="F478">
            <v>5760</v>
          </cell>
        </row>
        <row r="479">
          <cell r="A479" t="str">
            <v>800-15-060</v>
          </cell>
          <cell r="B479" t="str">
            <v>UNDEFINED CREDITS</v>
          </cell>
          <cell r="C479">
            <v>0</v>
          </cell>
          <cell r="F479">
            <v>0</v>
          </cell>
        </row>
        <row r="480">
          <cell r="A480" t="str">
            <v>800-15-070</v>
          </cell>
          <cell r="B480" t="str">
            <v>PAYPOINT SUSPENSE</v>
          </cell>
          <cell r="C480">
            <v>5187181</v>
          </cell>
          <cell r="F480">
            <v>5187181</v>
          </cell>
        </row>
        <row r="481">
          <cell r="A481" t="str">
            <v>800-15-080</v>
          </cell>
          <cell r="B481" t="str">
            <v>MANUAL SUSPENSE</v>
          </cell>
          <cell r="C481">
            <v>0</v>
          </cell>
          <cell r="F481">
            <v>0</v>
          </cell>
        </row>
        <row r="482">
          <cell r="A482" t="str">
            <v>800-25-010</v>
          </cell>
          <cell r="B482" t="str">
            <v>LEASE LEGAL</v>
          </cell>
          <cell r="C482">
            <v>0</v>
          </cell>
          <cell r="F482">
            <v>0</v>
          </cell>
        </row>
        <row r="483">
          <cell r="A483" t="str">
            <v>800-25-015</v>
          </cell>
          <cell r="B483" t="str">
            <v>DEPOSITS RECEIVED(BUILDINGS)</v>
          </cell>
          <cell r="C483">
            <v>0</v>
          </cell>
          <cell r="F483">
            <v>0</v>
          </cell>
        </row>
        <row r="484">
          <cell r="A484" t="str">
            <v>800-25-020</v>
          </cell>
          <cell r="B484" t="str">
            <v>RENT RECEIVED IN ADVANCE-ANNUITY</v>
          </cell>
          <cell r="C484">
            <v>0</v>
          </cell>
          <cell r="F484">
            <v>0</v>
          </cell>
        </row>
        <row r="485">
          <cell r="A485" t="str">
            <v>800-25-030</v>
          </cell>
          <cell r="B485" t="str">
            <v>RENTAL ACCRUALS</v>
          </cell>
          <cell r="C485">
            <v>0</v>
          </cell>
          <cell r="F485">
            <v>0</v>
          </cell>
        </row>
        <row r="486">
          <cell r="A486" t="str">
            <v>800-30-010</v>
          </cell>
          <cell r="B486" t="str">
            <v>OUTPUT VAT</v>
          </cell>
          <cell r="C486">
            <v>-77131</v>
          </cell>
          <cell r="F486">
            <v>-77131</v>
          </cell>
        </row>
        <row r="487">
          <cell r="A487" t="str">
            <v>800-30-015</v>
          </cell>
          <cell r="B487" t="str">
            <v>CASH-IN-LIEU LEAVE</v>
          </cell>
          <cell r="C487">
            <v>0</v>
          </cell>
          <cell r="F487">
            <v>0</v>
          </cell>
        </row>
        <row r="488">
          <cell r="A488" t="str">
            <v>800-30-016</v>
          </cell>
          <cell r="B488" t="str">
            <v>OTHER ACCRUALS</v>
          </cell>
          <cell r="C488">
            <v>0</v>
          </cell>
          <cell r="F488">
            <v>0</v>
          </cell>
        </row>
        <row r="489">
          <cell r="A489" t="str">
            <v>800-30-017</v>
          </cell>
          <cell r="B489" t="str">
            <v>CUSTODY FEES</v>
          </cell>
          <cell r="C489">
            <v>0</v>
          </cell>
          <cell r="F489">
            <v>0</v>
          </cell>
        </row>
        <row r="490">
          <cell r="A490" t="str">
            <v>800-30-018</v>
          </cell>
          <cell r="B490" t="str">
            <v>O/S TAX</v>
          </cell>
          <cell r="C490">
            <v>0</v>
          </cell>
          <cell r="F490">
            <v>0</v>
          </cell>
        </row>
        <row r="491">
          <cell r="A491" t="str">
            <v>800-30-019</v>
          </cell>
          <cell r="B491" t="str">
            <v>DISPOSAL PROCEEDS FREE LANDER</v>
          </cell>
          <cell r="C491">
            <v>0</v>
          </cell>
          <cell r="F491">
            <v>0</v>
          </cell>
        </row>
        <row r="492">
          <cell r="A492" t="str">
            <v>800-30-020</v>
          </cell>
          <cell r="B492" t="str">
            <v>TRADE CREDITORS</v>
          </cell>
          <cell r="C492">
            <v>-1636125.4</v>
          </cell>
          <cell r="F492">
            <v>-1636125.4</v>
          </cell>
        </row>
        <row r="493">
          <cell r="A493" t="str">
            <v>800-30-025</v>
          </cell>
          <cell r="B493" t="str">
            <v>PROVISIONS FOR EXPENSES</v>
          </cell>
          <cell r="C493">
            <v>0</v>
          </cell>
          <cell r="F493">
            <v>0</v>
          </cell>
        </row>
        <row r="494">
          <cell r="A494" t="str">
            <v>800-30-026</v>
          </cell>
          <cell r="B494" t="str">
            <v>PROVISION FOR BAD DEBTS-PREMIUM INCOME</v>
          </cell>
          <cell r="C494">
            <v>0</v>
          </cell>
          <cell r="F494">
            <v>0</v>
          </cell>
        </row>
        <row r="495">
          <cell r="A495" t="str">
            <v>800-30-029</v>
          </cell>
          <cell r="B495" t="str">
            <v>APA INSURANCE</v>
          </cell>
          <cell r="C495">
            <v>0</v>
          </cell>
          <cell r="F495">
            <v>0</v>
          </cell>
        </row>
        <row r="496">
          <cell r="A496" t="str">
            <v>800-30-030</v>
          </cell>
          <cell r="B496" t="str">
            <v>ALA TZ</v>
          </cell>
          <cell r="C496">
            <v>0</v>
          </cell>
          <cell r="F496">
            <v>0</v>
          </cell>
        </row>
        <row r="497">
          <cell r="A497" t="str">
            <v>800-30-031</v>
          </cell>
          <cell r="B497" t="str">
            <v>PA SECURITIES</v>
          </cell>
          <cell r="C497">
            <v>0</v>
          </cell>
          <cell r="F497">
            <v>0</v>
          </cell>
        </row>
        <row r="498">
          <cell r="A498" t="str">
            <v>800-30-032</v>
          </cell>
          <cell r="B498" t="str">
            <v>EXECUTIVE CONTRA</v>
          </cell>
          <cell r="C498">
            <v>0</v>
          </cell>
          <cell r="F498">
            <v>0</v>
          </cell>
        </row>
        <row r="499">
          <cell r="A499" t="str">
            <v>800-30-033</v>
          </cell>
          <cell r="B499" t="str">
            <v>DELOITTE(ACTUARY)</v>
          </cell>
          <cell r="C499">
            <v>0</v>
          </cell>
          <cell r="F499">
            <v>0</v>
          </cell>
        </row>
        <row r="500">
          <cell r="A500" t="str">
            <v>800-30-034</v>
          </cell>
          <cell r="B500" t="str">
            <v>PAIC HOLDINGS</v>
          </cell>
          <cell r="C500">
            <v>0</v>
          </cell>
          <cell r="F500">
            <v>0</v>
          </cell>
        </row>
        <row r="501">
          <cell r="A501" t="str">
            <v>800-30-035</v>
          </cell>
          <cell r="B501" t="str">
            <v>ALA-INTERCOMPANY</v>
          </cell>
          <cell r="C501">
            <v>0</v>
          </cell>
          <cell r="F501">
            <v>0</v>
          </cell>
        </row>
        <row r="502">
          <cell r="A502" t="str">
            <v>800-30-036</v>
          </cell>
          <cell r="B502" t="str">
            <v>POLICY LOANS ON UNIT LINK</v>
          </cell>
          <cell r="C502">
            <v>-246917</v>
          </cell>
          <cell r="F502">
            <v>-246917</v>
          </cell>
        </row>
        <row r="503">
          <cell r="A503" t="str">
            <v>800-30-037</v>
          </cell>
          <cell r="B503" t="str">
            <v>PAHL-INVESTMENT INCOME</v>
          </cell>
          <cell r="C503">
            <v>11897412</v>
          </cell>
          <cell r="F503">
            <v>11897412</v>
          </cell>
        </row>
        <row r="504">
          <cell r="A504" t="str">
            <v>800-30-040</v>
          </cell>
          <cell r="B504" t="str">
            <v>NET PAY</v>
          </cell>
          <cell r="C504">
            <v>0</v>
          </cell>
          <cell r="F504">
            <v>0</v>
          </cell>
        </row>
        <row r="505">
          <cell r="A505" t="str">
            <v>800-30-045</v>
          </cell>
          <cell r="B505" t="str">
            <v>CO-OP SAVING - STAFF</v>
          </cell>
          <cell r="C505">
            <v>0</v>
          </cell>
          <cell r="F505">
            <v>0</v>
          </cell>
        </row>
        <row r="506">
          <cell r="A506" t="str">
            <v>800-30-050</v>
          </cell>
          <cell r="B506" t="str">
            <v>PAYROLL CREDITORS - STAFF</v>
          </cell>
          <cell r="C506">
            <v>0</v>
          </cell>
          <cell r="F506">
            <v>0</v>
          </cell>
        </row>
        <row r="507">
          <cell r="A507" t="str">
            <v>800-30-051</v>
          </cell>
          <cell r="B507" t="str">
            <v>MANCOM SINBIN</v>
          </cell>
          <cell r="C507">
            <v>0</v>
          </cell>
          <cell r="F507">
            <v>0</v>
          </cell>
        </row>
        <row r="508">
          <cell r="A508" t="str">
            <v>800-30-052</v>
          </cell>
          <cell r="B508" t="str">
            <v>STAFF DONATIONS</v>
          </cell>
          <cell r="C508">
            <v>0</v>
          </cell>
          <cell r="F508">
            <v>0</v>
          </cell>
        </row>
        <row r="509">
          <cell r="A509" t="str">
            <v>800-30-055</v>
          </cell>
          <cell r="B509" t="str">
            <v>PENSION - STAFF</v>
          </cell>
          <cell r="C509">
            <v>0</v>
          </cell>
          <cell r="F509">
            <v>0</v>
          </cell>
        </row>
        <row r="510">
          <cell r="A510" t="str">
            <v>800-30-060</v>
          </cell>
          <cell r="B510" t="str">
            <v>N .H .I. F</v>
          </cell>
          <cell r="C510">
            <v>0</v>
          </cell>
          <cell r="F510">
            <v>0</v>
          </cell>
        </row>
        <row r="511">
          <cell r="A511" t="str">
            <v>800-30-065</v>
          </cell>
          <cell r="B511" t="str">
            <v>N.S.S.F</v>
          </cell>
          <cell r="C511">
            <v>0</v>
          </cell>
          <cell r="F511">
            <v>0</v>
          </cell>
        </row>
        <row r="512">
          <cell r="A512" t="str">
            <v>800-30-070</v>
          </cell>
          <cell r="B512" t="str">
            <v>ACTUARIAL FEES</v>
          </cell>
          <cell r="C512">
            <v>0</v>
          </cell>
          <cell r="F512">
            <v>0</v>
          </cell>
        </row>
        <row r="513">
          <cell r="A513" t="str">
            <v>800-30-071</v>
          </cell>
          <cell r="B513" t="str">
            <v>GRATUITY</v>
          </cell>
          <cell r="C513">
            <v>0</v>
          </cell>
          <cell r="F513">
            <v>0</v>
          </cell>
        </row>
        <row r="514">
          <cell r="A514" t="str">
            <v>800-30-072</v>
          </cell>
          <cell r="B514" t="str">
            <v>AIG FEES</v>
          </cell>
          <cell r="C514">
            <v>-520567</v>
          </cell>
          <cell r="F514">
            <v>-520567</v>
          </cell>
        </row>
        <row r="515">
          <cell r="A515" t="str">
            <v>800-30-073</v>
          </cell>
          <cell r="B515" t="str">
            <v>CUSTODY FEES</v>
          </cell>
          <cell r="C515">
            <v>-38400</v>
          </cell>
          <cell r="F515">
            <v>-38400</v>
          </cell>
        </row>
        <row r="516">
          <cell r="A516" t="str">
            <v>800-30-075</v>
          </cell>
          <cell r="B516" t="str">
            <v>AUDIT FEES</v>
          </cell>
          <cell r="C516">
            <v>0</v>
          </cell>
          <cell r="F516">
            <v>0</v>
          </cell>
        </row>
        <row r="517">
          <cell r="A517" t="str">
            <v>800-30-080</v>
          </cell>
          <cell r="B517" t="str">
            <v>STAFF BONUS</v>
          </cell>
          <cell r="C517">
            <v>0</v>
          </cell>
          <cell r="F517">
            <v>0</v>
          </cell>
        </row>
        <row r="518">
          <cell r="A518" t="str">
            <v>800-30-081</v>
          </cell>
          <cell r="B518" t="str">
            <v>STAFF BONUS-PRIOR YEAR PROV</v>
          </cell>
          <cell r="C518">
            <v>0</v>
          </cell>
          <cell r="F518">
            <v>0</v>
          </cell>
        </row>
        <row r="519">
          <cell r="A519" t="str">
            <v>800-30-082</v>
          </cell>
          <cell r="B519" t="str">
            <v>LONG TERM INCENTIVE PLAN</v>
          </cell>
          <cell r="C519">
            <v>0</v>
          </cell>
          <cell r="F519">
            <v>0</v>
          </cell>
        </row>
        <row r="520">
          <cell r="A520" t="str">
            <v>800-30-085</v>
          </cell>
          <cell r="B520" t="str">
            <v>W/TAX-AGENTS</v>
          </cell>
          <cell r="C520">
            <v>0</v>
          </cell>
          <cell r="F520">
            <v>0</v>
          </cell>
        </row>
        <row r="521">
          <cell r="A521" t="str">
            <v>800-30-090</v>
          </cell>
          <cell r="B521" t="str">
            <v>RETAINED COMMISSION</v>
          </cell>
          <cell r="C521">
            <v>0</v>
          </cell>
          <cell r="F521">
            <v>0</v>
          </cell>
        </row>
        <row r="522">
          <cell r="A522" t="str">
            <v>800-30-095</v>
          </cell>
          <cell r="B522" t="str">
            <v>KNIGHT FRANK</v>
          </cell>
          <cell r="C522">
            <v>0</v>
          </cell>
          <cell r="F522">
            <v>0</v>
          </cell>
        </row>
        <row r="523">
          <cell r="A523" t="str">
            <v>800-30-100</v>
          </cell>
          <cell r="B523" t="str">
            <v>PAYE</v>
          </cell>
          <cell r="C523">
            <v>0</v>
          </cell>
          <cell r="F523">
            <v>0</v>
          </cell>
        </row>
        <row r="524">
          <cell r="A524" t="str">
            <v>800-30-105</v>
          </cell>
          <cell r="B524" t="str">
            <v>ALA GROUP CHARGES</v>
          </cell>
          <cell r="C524">
            <v>0</v>
          </cell>
          <cell r="F524">
            <v>0</v>
          </cell>
        </row>
        <row r="525">
          <cell r="A525" t="str">
            <v>800-30-110</v>
          </cell>
          <cell r="B525" t="str">
            <v>AGENTS PAYROLL CREDITORS</v>
          </cell>
          <cell r="C525">
            <v>0</v>
          </cell>
          <cell r="F525">
            <v>0</v>
          </cell>
        </row>
        <row r="526">
          <cell r="A526" t="str">
            <v>800-30-115</v>
          </cell>
          <cell r="B526" t="str">
            <v>AGENCY PENSION</v>
          </cell>
          <cell r="C526">
            <v>0</v>
          </cell>
          <cell r="F526">
            <v>0</v>
          </cell>
        </row>
        <row r="527">
          <cell r="A527" t="str">
            <v>800-30-120</v>
          </cell>
          <cell r="B527" t="str">
            <v>AGENTS CO-OP SAVINGS</v>
          </cell>
          <cell r="C527">
            <v>0</v>
          </cell>
          <cell r="F527">
            <v>0</v>
          </cell>
        </row>
        <row r="528">
          <cell r="A528" t="str">
            <v>800-30-122</v>
          </cell>
          <cell r="B528" t="str">
            <v>N.H.I.F - AGENTS</v>
          </cell>
          <cell r="C528">
            <v>0</v>
          </cell>
          <cell r="F528">
            <v>0</v>
          </cell>
        </row>
        <row r="529">
          <cell r="A529" t="str">
            <v>800-30-123</v>
          </cell>
          <cell r="B529" t="str">
            <v>N.S.S.F-AGENTS</v>
          </cell>
          <cell r="C529">
            <v>0</v>
          </cell>
          <cell r="F529">
            <v>0</v>
          </cell>
        </row>
        <row r="530">
          <cell r="A530" t="str">
            <v>800-30-125</v>
          </cell>
          <cell r="B530" t="str">
            <v>STALE CHEQUES - 5039035</v>
          </cell>
          <cell r="C530">
            <v>-1050</v>
          </cell>
          <cell r="F530">
            <v>-1050</v>
          </cell>
        </row>
        <row r="531">
          <cell r="A531" t="str">
            <v>800-30-130</v>
          </cell>
          <cell r="B531" t="str">
            <v>STALE CHEQUES - CBA</v>
          </cell>
          <cell r="C531">
            <v>0</v>
          </cell>
          <cell r="F531">
            <v>0</v>
          </cell>
        </row>
        <row r="532">
          <cell r="A532" t="str">
            <v>800-30-135</v>
          </cell>
          <cell r="B532" t="str">
            <v>STALE CHEQUES - INDOSUEZ</v>
          </cell>
          <cell r="C532">
            <v>0</v>
          </cell>
          <cell r="F532">
            <v>0</v>
          </cell>
        </row>
        <row r="533">
          <cell r="A533" t="str">
            <v>800-30-140</v>
          </cell>
          <cell r="B533" t="str">
            <v>STALE CHEQUES -5776688</v>
          </cell>
          <cell r="C533">
            <v>0</v>
          </cell>
          <cell r="F533">
            <v>0</v>
          </cell>
        </row>
        <row r="534">
          <cell r="A534" t="str">
            <v>800-30-145</v>
          </cell>
          <cell r="B534" t="str">
            <v>STALE CHEQUES -5039027</v>
          </cell>
          <cell r="C534">
            <v>94932</v>
          </cell>
          <cell r="F534">
            <v>94932</v>
          </cell>
        </row>
        <row r="535">
          <cell r="A535" t="str">
            <v>800-30-150</v>
          </cell>
          <cell r="B535" t="str">
            <v>STALE CHEQUES-5776793</v>
          </cell>
          <cell r="C535">
            <v>0</v>
          </cell>
          <cell r="F535">
            <v>0</v>
          </cell>
        </row>
        <row r="536">
          <cell r="A536" t="str">
            <v>800-30-155</v>
          </cell>
          <cell r="B536" t="str">
            <v>STALE CHEQUES - MOMBASA</v>
          </cell>
          <cell r="C536">
            <v>0</v>
          </cell>
          <cell r="F536">
            <v>0</v>
          </cell>
        </row>
        <row r="537">
          <cell r="A537" t="str">
            <v>800-30-160</v>
          </cell>
          <cell r="B537" t="str">
            <v>BROKERAGE W/TAX</v>
          </cell>
          <cell r="C537">
            <v>0</v>
          </cell>
          <cell r="F537">
            <v>0</v>
          </cell>
        </row>
        <row r="538">
          <cell r="A538" t="str">
            <v>800-30-165</v>
          </cell>
          <cell r="B538" t="str">
            <v>GROUP CREDITORS</v>
          </cell>
          <cell r="C538">
            <v>0</v>
          </cell>
          <cell r="F538">
            <v>0</v>
          </cell>
        </row>
        <row r="539">
          <cell r="A539" t="str">
            <v>800-30-170</v>
          </cell>
          <cell r="B539" t="str">
            <v>UNEARNED INTEREST</v>
          </cell>
          <cell r="C539">
            <v>0</v>
          </cell>
          <cell r="F539">
            <v>0</v>
          </cell>
        </row>
        <row r="540">
          <cell r="A540" t="str">
            <v>800-30-174</v>
          </cell>
          <cell r="B540" t="str">
            <v>DEPOSIT ON MORTGAGE</v>
          </cell>
          <cell r="C540">
            <v>0</v>
          </cell>
          <cell r="F540">
            <v>0</v>
          </cell>
        </row>
        <row r="541">
          <cell r="A541" t="str">
            <v>800-30-175</v>
          </cell>
          <cell r="B541" t="str">
            <v>CONTRA ACCOUNT(COST CENTRES)</v>
          </cell>
          <cell r="C541">
            <v>-317608803.99000001</v>
          </cell>
          <cell r="F541">
            <v>-321086036.33999997</v>
          </cell>
        </row>
        <row r="542">
          <cell r="A542" t="str">
            <v>800-30-180</v>
          </cell>
          <cell r="B542" t="str">
            <v>W/TAX - OTHERS</v>
          </cell>
          <cell r="C542">
            <v>46900</v>
          </cell>
          <cell r="F542">
            <v>46900</v>
          </cell>
        </row>
        <row r="543">
          <cell r="A543" t="str">
            <v>800-30-185</v>
          </cell>
          <cell r="B543" t="str">
            <v>BROKERAGE COMMISSION CONTROL ACCOUNT</v>
          </cell>
          <cell r="C543">
            <v>0</v>
          </cell>
          <cell r="F543">
            <v>0</v>
          </cell>
        </row>
        <row r="544">
          <cell r="A544" t="str">
            <v>800-30-190</v>
          </cell>
          <cell r="B544" t="str">
            <v>TRANSFERS CONTRA ACCOUNT</v>
          </cell>
          <cell r="C544">
            <v>0</v>
          </cell>
          <cell r="F544">
            <v>0</v>
          </cell>
        </row>
        <row r="545">
          <cell r="A545" t="str">
            <v>800-30-195</v>
          </cell>
          <cell r="B545" t="str">
            <v>STALE CHEQUES - UNIT LINK ACCOUNT</v>
          </cell>
          <cell r="C545">
            <v>-2971051.62</v>
          </cell>
          <cell r="F545">
            <v>-2971051.62</v>
          </cell>
        </row>
        <row r="546">
          <cell r="A546" t="str">
            <v>800-30-200</v>
          </cell>
          <cell r="B546" t="str">
            <v>STALE CHEQUES - NIC</v>
          </cell>
          <cell r="C546">
            <v>0</v>
          </cell>
          <cell r="F546">
            <v>0</v>
          </cell>
        </row>
        <row r="547">
          <cell r="A547" t="str">
            <v>800-30-205</v>
          </cell>
          <cell r="B547" t="str">
            <v>STAFF SOCIAL CLUB</v>
          </cell>
          <cell r="C547">
            <v>0</v>
          </cell>
          <cell r="F547">
            <v>0</v>
          </cell>
        </row>
        <row r="548">
          <cell r="A548" t="str">
            <v>800-30-210</v>
          </cell>
          <cell r="B548" t="str">
            <v>PROVISION FOR TERMINATED AGENTS</v>
          </cell>
          <cell r="C548">
            <v>0</v>
          </cell>
          <cell r="F548">
            <v>0</v>
          </cell>
        </row>
        <row r="549">
          <cell r="A549" t="str">
            <v>800-30-215</v>
          </cell>
          <cell r="B549" t="str">
            <v>GROUP LIFE BENEFITS</v>
          </cell>
          <cell r="C549">
            <v>0</v>
          </cell>
          <cell r="F549">
            <v>0</v>
          </cell>
        </row>
        <row r="550">
          <cell r="A550" t="str">
            <v>800-40-010</v>
          </cell>
          <cell r="B550" t="str">
            <v>KENYA REINSURANCE CORP-REIN PREMIUM</v>
          </cell>
          <cell r="C550">
            <v>0</v>
          </cell>
          <cell r="F550">
            <v>0</v>
          </cell>
        </row>
        <row r="551">
          <cell r="A551" t="str">
            <v>800-40-020</v>
          </cell>
          <cell r="B551" t="str">
            <v>EAST AFRICA REINSURANCE LTD-REIN PREM</v>
          </cell>
          <cell r="C551">
            <v>0</v>
          </cell>
          <cell r="F551">
            <v>0</v>
          </cell>
        </row>
        <row r="552">
          <cell r="A552" t="str">
            <v>800-40-030</v>
          </cell>
          <cell r="B552" t="str">
            <v>AFRICA REINSURANCE CORP-REIN PREM</v>
          </cell>
          <cell r="C552">
            <v>0</v>
          </cell>
          <cell r="F552">
            <v>0</v>
          </cell>
        </row>
        <row r="553">
          <cell r="A553" t="str">
            <v>800-40-040</v>
          </cell>
          <cell r="B553" t="str">
            <v>PTA REINSURANCE</v>
          </cell>
          <cell r="C553">
            <v>0</v>
          </cell>
          <cell r="F553">
            <v>0</v>
          </cell>
        </row>
        <row r="554">
          <cell r="A554" t="str">
            <v>800-40-050</v>
          </cell>
          <cell r="B554" t="str">
            <v>CICA RE</v>
          </cell>
          <cell r="C554">
            <v>0</v>
          </cell>
          <cell r="F554">
            <v>0</v>
          </cell>
        </row>
        <row r="555">
          <cell r="A555" t="str">
            <v>800-40-060</v>
          </cell>
          <cell r="B555" t="str">
            <v>GHANA RE</v>
          </cell>
          <cell r="C555">
            <v>0</v>
          </cell>
          <cell r="F555">
            <v>0</v>
          </cell>
        </row>
        <row r="556">
          <cell r="A556" t="str">
            <v>800-50-010</v>
          </cell>
          <cell r="B556" t="str">
            <v>O/S MATURITY CLAIMS</v>
          </cell>
          <cell r="C556">
            <v>-104176</v>
          </cell>
          <cell r="F556">
            <v>-104176</v>
          </cell>
        </row>
        <row r="557">
          <cell r="A557" t="str">
            <v>800-50-020</v>
          </cell>
          <cell r="B557" t="str">
            <v>O/S CLAIMS ENDOWMENT</v>
          </cell>
          <cell r="C557">
            <v>0</v>
          </cell>
          <cell r="F557">
            <v>0</v>
          </cell>
        </row>
        <row r="558">
          <cell r="A558" t="str">
            <v>800-50-030</v>
          </cell>
          <cell r="B558" t="str">
            <v>O/S DEATH CLAIMS -ORDINARY</v>
          </cell>
          <cell r="C558">
            <v>0</v>
          </cell>
          <cell r="F558">
            <v>0</v>
          </cell>
        </row>
        <row r="559">
          <cell r="A559" t="str">
            <v>800-50-040</v>
          </cell>
          <cell r="B559" t="str">
            <v>O/S ANNUITY CLAIMS</v>
          </cell>
          <cell r="C559">
            <v>0</v>
          </cell>
          <cell r="F559">
            <v>0</v>
          </cell>
        </row>
        <row r="560">
          <cell r="A560" t="str">
            <v>800-50-050</v>
          </cell>
          <cell r="B560" t="str">
            <v>O/S DEATH-TANZANIA</v>
          </cell>
          <cell r="C560">
            <v>0</v>
          </cell>
          <cell r="F560">
            <v>0</v>
          </cell>
        </row>
        <row r="561">
          <cell r="A561" t="str">
            <v>800-50-060</v>
          </cell>
          <cell r="B561" t="str">
            <v>O/S MATURIRT CLMS-TANZANIA</v>
          </cell>
          <cell r="C561">
            <v>0</v>
          </cell>
          <cell r="F561">
            <v>0</v>
          </cell>
        </row>
        <row r="562">
          <cell r="A562" t="str">
            <v>800-50-070</v>
          </cell>
          <cell r="B562" t="str">
            <v>O/S FFFP DEATH CLAIMS</v>
          </cell>
          <cell r="C562">
            <v>-105266</v>
          </cell>
          <cell r="F562">
            <v>-105266</v>
          </cell>
        </row>
        <row r="563">
          <cell r="A563" t="str">
            <v>800-50-080</v>
          </cell>
          <cell r="B563" t="str">
            <v>O/S WP CLAIMS</v>
          </cell>
          <cell r="C563">
            <v>-6211160</v>
          </cell>
          <cell r="F563">
            <v>-6211160</v>
          </cell>
        </row>
        <row r="564">
          <cell r="A564" t="str">
            <v>800-50-085</v>
          </cell>
          <cell r="B564" t="str">
            <v>O/S PENSIONS</v>
          </cell>
          <cell r="C564">
            <v>0</v>
          </cell>
          <cell r="F564">
            <v>0</v>
          </cell>
        </row>
        <row r="565">
          <cell r="A565" t="str">
            <v>800-50-090</v>
          </cell>
          <cell r="B565" t="str">
            <v>O/S GROUP DEATH CLAIMS</v>
          </cell>
          <cell r="C565">
            <v>0</v>
          </cell>
          <cell r="F565">
            <v>0</v>
          </cell>
        </row>
        <row r="566">
          <cell r="A566" t="str">
            <v>800-50-095</v>
          </cell>
          <cell r="B566" t="str">
            <v>O/S GROUP MATURITIES</v>
          </cell>
          <cell r="C566">
            <v>0</v>
          </cell>
          <cell r="F566">
            <v>0</v>
          </cell>
        </row>
        <row r="567">
          <cell r="A567" t="str">
            <v>800-50-100</v>
          </cell>
          <cell r="B567" t="str">
            <v>O/S GROUP ANTICIPATED</v>
          </cell>
          <cell r="C567">
            <v>0</v>
          </cell>
          <cell r="F567">
            <v>0</v>
          </cell>
        </row>
        <row r="568">
          <cell r="A568" t="str">
            <v>800-50-110</v>
          </cell>
          <cell r="B568" t="str">
            <v>O/S RETIREMENT ANNUITIES</v>
          </cell>
          <cell r="C568">
            <v>0</v>
          </cell>
          <cell r="F568">
            <v>0</v>
          </cell>
        </row>
        <row r="569">
          <cell r="A569" t="str">
            <v>800-50-115</v>
          </cell>
          <cell r="B569" t="str">
            <v>GROUP HARAMBEE SURRENDERS</v>
          </cell>
          <cell r="C569">
            <v>0</v>
          </cell>
          <cell r="F569">
            <v>0</v>
          </cell>
        </row>
        <row r="570">
          <cell r="A570" t="str">
            <v>800-60-010</v>
          </cell>
          <cell r="B570" t="str">
            <v>PREMIUM TAX</v>
          </cell>
          <cell r="C570">
            <v>0</v>
          </cell>
          <cell r="F570">
            <v>0</v>
          </cell>
        </row>
        <row r="571">
          <cell r="A571" t="str">
            <v>800-60-015</v>
          </cell>
          <cell r="B571" t="str">
            <v>POLICY HOLDER COMPENSATION LEVY</v>
          </cell>
          <cell r="C571">
            <v>0</v>
          </cell>
          <cell r="F571">
            <v>0</v>
          </cell>
        </row>
        <row r="572">
          <cell r="A572" t="str">
            <v>800-65-010</v>
          </cell>
          <cell r="B572" t="str">
            <v>RESIDENTIAL HOUSE-LORESHO</v>
          </cell>
          <cell r="C572">
            <v>0</v>
          </cell>
          <cell r="F572">
            <v>0</v>
          </cell>
        </row>
        <row r="573">
          <cell r="A573" t="str">
            <v>800-68-010</v>
          </cell>
          <cell r="B573" t="str">
            <v>RESIDENTIAL -LORESHO HSE</v>
          </cell>
          <cell r="C573">
            <v>0</v>
          </cell>
          <cell r="F573">
            <v>0</v>
          </cell>
        </row>
        <row r="574">
          <cell r="A574" t="str">
            <v>800-68-015</v>
          </cell>
          <cell r="B574" t="str">
            <v>REVALUATION SURPLUS</v>
          </cell>
          <cell r="C574">
            <v>0</v>
          </cell>
          <cell r="F574">
            <v>0</v>
          </cell>
        </row>
        <row r="575">
          <cell r="A575" t="str">
            <v>800-68-020</v>
          </cell>
          <cell r="B575" t="str">
            <v>REVALUATION - POLICY LOANS</v>
          </cell>
          <cell r="C575">
            <v>0</v>
          </cell>
          <cell r="F575">
            <v>0</v>
          </cell>
        </row>
        <row r="576">
          <cell r="A576" t="str">
            <v>800-70-010</v>
          </cell>
          <cell r="B576" t="str">
            <v>ACC.DEP-MOTOR</v>
          </cell>
          <cell r="C576">
            <v>0</v>
          </cell>
          <cell r="F576">
            <v>0</v>
          </cell>
        </row>
        <row r="577">
          <cell r="A577" t="str">
            <v>800-70-020</v>
          </cell>
          <cell r="B577" t="str">
            <v>ACC.DEP-COMPUTER</v>
          </cell>
          <cell r="C577">
            <v>0</v>
          </cell>
          <cell r="F577">
            <v>0</v>
          </cell>
        </row>
        <row r="578">
          <cell r="A578" t="str">
            <v>800-70-025</v>
          </cell>
          <cell r="B578" t="str">
            <v>AMMORTISATION-INTANGIBLE ASSETS</v>
          </cell>
          <cell r="C578">
            <v>0</v>
          </cell>
          <cell r="F578">
            <v>0</v>
          </cell>
        </row>
        <row r="579">
          <cell r="A579" t="str">
            <v>800-70-030</v>
          </cell>
          <cell r="B579" t="str">
            <v>FURNITURE &amp; FITTING</v>
          </cell>
          <cell r="C579">
            <v>0</v>
          </cell>
          <cell r="F579">
            <v>0</v>
          </cell>
        </row>
      </sheetData>
      <sheetData sheetId="45">
        <row r="1">
          <cell r="A1" t="str">
            <v>ACCOUNT</v>
          </cell>
          <cell r="B1" t="str">
            <v>ACCOUNT NAME</v>
          </cell>
          <cell r="C1" t="str">
            <v>OPENING BALANCE</v>
          </cell>
          <cell r="D1" t="str">
            <v>Month</v>
          </cell>
          <cell r="E1" t="str">
            <v>Year</v>
          </cell>
          <cell r="F1" t="str">
            <v>YTD</v>
          </cell>
        </row>
        <row r="2">
          <cell r="A2" t="str">
            <v>__________</v>
          </cell>
          <cell r="B2" t="str">
            <v>____________________________________________</v>
          </cell>
          <cell r="C2" t="str">
            <v>__________________</v>
          </cell>
          <cell r="D2" t="e">
            <v>#VALUE!</v>
          </cell>
          <cell r="E2" t="e">
            <v>#VALUE!</v>
          </cell>
          <cell r="F2" t="str">
            <v>_____________</v>
          </cell>
        </row>
        <row r="3">
          <cell r="A3" t="str">
            <v>__________</v>
          </cell>
          <cell r="B3" t="str">
            <v>____________________________________________</v>
          </cell>
          <cell r="C3" t="str">
            <v>__________________</v>
          </cell>
          <cell r="D3" t="e">
            <v>#VALUE!</v>
          </cell>
          <cell r="E3" t="e">
            <v>#VALUE!</v>
          </cell>
          <cell r="F3" t="str">
            <v>_____________</v>
          </cell>
        </row>
        <row r="4">
          <cell r="A4" t="str">
            <v>__________</v>
          </cell>
          <cell r="B4" t="str">
            <v>____________________________________________</v>
          </cell>
          <cell r="C4" t="str">
            <v>__________________</v>
          </cell>
          <cell r="D4" t="e">
            <v>#VALUE!</v>
          </cell>
          <cell r="E4" t="e">
            <v>#VALUE!</v>
          </cell>
          <cell r="F4" t="str">
            <v>_____________</v>
          </cell>
        </row>
        <row r="5">
          <cell r="A5" t="str">
            <v>__________</v>
          </cell>
          <cell r="B5" t="str">
            <v>____________________________________________</v>
          </cell>
          <cell r="C5" t="str">
            <v>__________________</v>
          </cell>
          <cell r="D5" t="e">
            <v>#VALUE!</v>
          </cell>
          <cell r="E5" t="e">
            <v>#VALUE!</v>
          </cell>
          <cell r="F5" t="str">
            <v>_____________</v>
          </cell>
        </row>
        <row r="6">
          <cell r="A6" t="str">
            <v>__________</v>
          </cell>
          <cell r="B6" t="str">
            <v>____________________________________________</v>
          </cell>
          <cell r="C6" t="str">
            <v>__________________</v>
          </cell>
          <cell r="D6" t="e">
            <v>#VALUE!</v>
          </cell>
          <cell r="E6" t="e">
            <v>#VALUE!</v>
          </cell>
          <cell r="F6" t="str">
            <v>_____________</v>
          </cell>
        </row>
        <row r="7">
          <cell r="A7" t="str">
            <v>__________</v>
          </cell>
          <cell r="B7" t="str">
            <v>____________________________________________</v>
          </cell>
          <cell r="C7" t="str">
            <v>__________________</v>
          </cell>
          <cell r="D7" t="e">
            <v>#VALUE!</v>
          </cell>
          <cell r="E7" t="e">
            <v>#VALUE!</v>
          </cell>
          <cell r="F7" t="str">
            <v>_____________</v>
          </cell>
        </row>
        <row r="8">
          <cell r="A8" t="str">
            <v>__________</v>
          </cell>
          <cell r="B8" t="str">
            <v>____________________________________________</v>
          </cell>
          <cell r="C8" t="str">
            <v>__________________</v>
          </cell>
          <cell r="D8" t="e">
            <v>#VALUE!</v>
          </cell>
          <cell r="E8" t="e">
            <v>#VALUE!</v>
          </cell>
          <cell r="F8" t="str">
            <v>_____________</v>
          </cell>
        </row>
        <row r="9">
          <cell r="A9" t="str">
            <v>__________</v>
          </cell>
          <cell r="B9" t="str">
            <v>____________________________________________</v>
          </cell>
          <cell r="C9" t="str">
            <v>__________________</v>
          </cell>
          <cell r="D9" t="e">
            <v>#VALUE!</v>
          </cell>
          <cell r="E9" t="e">
            <v>#VALUE!</v>
          </cell>
          <cell r="F9" t="str">
            <v>_____________</v>
          </cell>
        </row>
        <row r="10">
          <cell r="A10" t="str">
            <v>__________</v>
          </cell>
          <cell r="B10" t="str">
            <v>____________________________________________</v>
          </cell>
          <cell r="C10" t="str">
            <v>__________________</v>
          </cell>
          <cell r="D10" t="e">
            <v>#VALUE!</v>
          </cell>
          <cell r="E10" t="e">
            <v>#VALUE!</v>
          </cell>
          <cell r="F10" t="str">
            <v>_____________</v>
          </cell>
        </row>
        <row r="11">
          <cell r="A11" t="str">
            <v>__________</v>
          </cell>
          <cell r="B11" t="str">
            <v>____________________________________________</v>
          </cell>
          <cell r="C11" t="str">
            <v>__________________</v>
          </cell>
          <cell r="D11" t="e">
            <v>#VALUE!</v>
          </cell>
          <cell r="E11" t="e">
            <v>#VALUE!</v>
          </cell>
          <cell r="F11" t="str">
            <v>_____________</v>
          </cell>
        </row>
        <row r="12">
          <cell r="A12" t="str">
            <v>100-10-010</v>
          </cell>
          <cell r="B12" t="str">
            <v>NEW BUSINESS PREMIUM PAIC</v>
          </cell>
          <cell r="C12">
            <v>0</v>
          </cell>
          <cell r="D12">
            <v>0</v>
          </cell>
          <cell r="E12">
            <v>0</v>
          </cell>
          <cell r="F12">
            <v>0</v>
          </cell>
        </row>
        <row r="13">
          <cell r="A13" t="str">
            <v>100-10-020</v>
          </cell>
          <cell r="B13" t="str">
            <v>NEW BUSINESS FFFP</v>
          </cell>
          <cell r="C13">
            <v>0</v>
          </cell>
          <cell r="D13">
            <v>0</v>
          </cell>
          <cell r="E13">
            <v>0</v>
          </cell>
          <cell r="F13">
            <v>0</v>
          </cell>
        </row>
        <row r="14">
          <cell r="A14" t="str">
            <v>100-10-030</v>
          </cell>
          <cell r="B14" t="str">
            <v>NEW BUSINESS W/P</v>
          </cell>
          <cell r="C14">
            <v>0</v>
          </cell>
          <cell r="D14">
            <v>0</v>
          </cell>
          <cell r="E14">
            <v>0</v>
          </cell>
          <cell r="F14">
            <v>0</v>
          </cell>
        </row>
        <row r="15">
          <cell r="A15" t="str">
            <v>100-10-035</v>
          </cell>
          <cell r="B15" t="str">
            <v>NEW BUSINESS KINGA HALISI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</row>
        <row r="16">
          <cell r="A16" t="str">
            <v>100-10-036</v>
          </cell>
          <cell r="B16" t="str">
            <v>NEW BUSINESS FLEXI SAVER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</row>
        <row r="17">
          <cell r="A17" t="str">
            <v>100-10-037</v>
          </cell>
          <cell r="B17" t="str">
            <v>NEW BUSINESS EDUCATOR</v>
          </cell>
          <cell r="C17">
            <v>0</v>
          </cell>
          <cell r="D17">
            <v>0</v>
          </cell>
          <cell r="E17">
            <v>0</v>
          </cell>
          <cell r="F17">
            <v>0</v>
          </cell>
        </row>
        <row r="18">
          <cell r="A18" t="str">
            <v>100-10-040</v>
          </cell>
          <cell r="B18" t="str">
            <v>SINGLE PREMIUMS</v>
          </cell>
          <cell r="C18">
            <v>0</v>
          </cell>
          <cell r="D18">
            <v>0</v>
          </cell>
          <cell r="E18">
            <v>0</v>
          </cell>
          <cell r="F18">
            <v>0</v>
          </cell>
        </row>
        <row r="19">
          <cell r="A19" t="str">
            <v>100-10-050</v>
          </cell>
          <cell r="B19" t="str">
            <v>PERSONAL ACCIDENT PREMIUMS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</row>
        <row r="20">
          <cell r="A20" t="str">
            <v>100-12-010</v>
          </cell>
          <cell r="B20" t="str">
            <v>INVESTMENT ALLOCATION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</row>
        <row r="21">
          <cell r="A21" t="str">
            <v>100-14-010</v>
          </cell>
          <cell r="B21" t="str">
            <v>PREMIUM UPDATES -FFP</v>
          </cell>
          <cell r="C21">
            <v>0</v>
          </cell>
          <cell r="D21">
            <v>0</v>
          </cell>
          <cell r="E21">
            <v>0</v>
          </cell>
          <cell r="F21">
            <v>0</v>
          </cell>
        </row>
        <row r="22">
          <cell r="A22" t="str">
            <v>100-14-020</v>
          </cell>
          <cell r="B22" t="str">
            <v>PREMIUM UPDATES-WP</v>
          </cell>
          <cell r="C22">
            <v>0</v>
          </cell>
          <cell r="D22">
            <v>0</v>
          </cell>
          <cell r="E22">
            <v>0</v>
          </cell>
          <cell r="F22">
            <v>0</v>
          </cell>
        </row>
        <row r="23">
          <cell r="A23" t="str">
            <v>100-14-030</v>
          </cell>
          <cell r="B23" t="str">
            <v>PREMIUM UPDATE - KINGA HALISI</v>
          </cell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A24" t="str">
            <v>100-15-010</v>
          </cell>
          <cell r="B24" t="str">
            <v>RENEWAL PREMIUMS -PAIC</v>
          </cell>
          <cell r="C24">
            <v>0</v>
          </cell>
          <cell r="D24">
            <v>0</v>
          </cell>
          <cell r="E24">
            <v>0</v>
          </cell>
          <cell r="F24">
            <v>0</v>
          </cell>
        </row>
        <row r="25">
          <cell r="A25" t="str">
            <v>100-15-020</v>
          </cell>
          <cell r="B25" t="str">
            <v>RENEWAL PREMIUMS -FFP</v>
          </cell>
          <cell r="C25">
            <v>0</v>
          </cell>
          <cell r="D25">
            <v>0</v>
          </cell>
          <cell r="E25">
            <v>0</v>
          </cell>
          <cell r="F25">
            <v>0</v>
          </cell>
        </row>
        <row r="26">
          <cell r="A26" t="str">
            <v>100-15-030</v>
          </cell>
          <cell r="B26" t="str">
            <v>RENEWAL PREMIUMS -WP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</row>
        <row r="27">
          <cell r="A27" t="str">
            <v>100-15-040</v>
          </cell>
          <cell r="B27" t="str">
            <v>RENEWAL PREMIUMS- KINGA HALISI</v>
          </cell>
          <cell r="C27">
            <v>0</v>
          </cell>
          <cell r="D27">
            <v>0</v>
          </cell>
          <cell r="E27">
            <v>0</v>
          </cell>
          <cell r="F27">
            <v>0</v>
          </cell>
        </row>
        <row r="28">
          <cell r="A28" t="str">
            <v>100-15-050</v>
          </cell>
          <cell r="B28" t="str">
            <v>RENEWAL PREMIUM - EDUCATOR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</row>
        <row r="29">
          <cell r="A29" t="str">
            <v>100-15-060</v>
          </cell>
          <cell r="B29" t="str">
            <v>RENEWAL PREMIUM - FLEXI SAVER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</row>
        <row r="30">
          <cell r="A30" t="str">
            <v>100-20-010</v>
          </cell>
          <cell r="B30" t="str">
            <v>LAPSES NEW BUSINESS -FFP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</row>
        <row r="31">
          <cell r="A31" t="str">
            <v>100-20-020</v>
          </cell>
          <cell r="B31" t="str">
            <v>LAPSES NEW BUSINESS -WP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</row>
        <row r="32">
          <cell r="A32" t="str">
            <v>100-20-025</v>
          </cell>
          <cell r="B32" t="str">
            <v>LAPSES NEW BUSINESS - KINGA HALISI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</row>
        <row r="33">
          <cell r="A33" t="str">
            <v>100-20-030</v>
          </cell>
          <cell r="B33" t="str">
            <v>NEW BUSINESS LAPSES - FLEXI SAVER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</row>
        <row r="34">
          <cell r="A34" t="str">
            <v>100-20-035</v>
          </cell>
          <cell r="B34" t="str">
            <v>NEW BUSINESS LAPSES - FLEXI EDUCATOR</v>
          </cell>
          <cell r="C34">
            <v>0</v>
          </cell>
          <cell r="D34">
            <v>0</v>
          </cell>
          <cell r="E34">
            <v>0</v>
          </cell>
          <cell r="F34">
            <v>0</v>
          </cell>
        </row>
        <row r="35">
          <cell r="A35" t="str">
            <v>100-20-050</v>
          </cell>
          <cell r="B35" t="str">
            <v>LAPSES RENEWAL -FFP</v>
          </cell>
          <cell r="C35">
            <v>0</v>
          </cell>
          <cell r="D35">
            <v>0</v>
          </cell>
          <cell r="E35">
            <v>0</v>
          </cell>
          <cell r="F35">
            <v>0</v>
          </cell>
        </row>
        <row r="36">
          <cell r="A36" t="str">
            <v>100-20-060</v>
          </cell>
          <cell r="B36" t="str">
            <v>LAPSES RENEWAL -WP</v>
          </cell>
          <cell r="C36">
            <v>0</v>
          </cell>
          <cell r="D36">
            <v>0</v>
          </cell>
          <cell r="E36">
            <v>0</v>
          </cell>
          <cell r="F36">
            <v>0</v>
          </cell>
        </row>
        <row r="37">
          <cell r="A37" t="str">
            <v>100-20-070</v>
          </cell>
          <cell r="B37" t="str">
            <v>LAPSES RENEWAL -PAIC</v>
          </cell>
          <cell r="C37">
            <v>0</v>
          </cell>
          <cell r="D37">
            <v>0</v>
          </cell>
          <cell r="E37">
            <v>0</v>
          </cell>
          <cell r="F37">
            <v>0</v>
          </cell>
        </row>
        <row r="38">
          <cell r="A38" t="str">
            <v>100-20-080</v>
          </cell>
          <cell r="B38" t="str">
            <v>LAPSES RENEWAL - KINGA HALISI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</row>
        <row r="39">
          <cell r="A39" t="str">
            <v>100-20-085</v>
          </cell>
          <cell r="B39" t="str">
            <v>RENEWAL BUSINESS LAPSES - FLEXI SAVER</v>
          </cell>
          <cell r="C39">
            <v>0</v>
          </cell>
          <cell r="D39">
            <v>0</v>
          </cell>
          <cell r="E39">
            <v>0</v>
          </cell>
          <cell r="F39">
            <v>0</v>
          </cell>
        </row>
        <row r="40">
          <cell r="A40" t="str">
            <v>100-20-090</v>
          </cell>
          <cell r="B40" t="str">
            <v>RENEWAL  BUSINESS LAPSES - FLEXI EDUCATO</v>
          </cell>
          <cell r="C40">
            <v>0</v>
          </cell>
          <cell r="D40">
            <v>0</v>
          </cell>
          <cell r="E40">
            <v>0</v>
          </cell>
          <cell r="F40">
            <v>0</v>
          </cell>
        </row>
        <row r="41">
          <cell r="A41" t="str">
            <v>100-25-010</v>
          </cell>
          <cell r="B41" t="str">
            <v>SINGLE PREMIUMS</v>
          </cell>
          <cell r="C41">
            <v>0</v>
          </cell>
          <cell r="D41">
            <v>0</v>
          </cell>
          <cell r="E41">
            <v>0</v>
          </cell>
          <cell r="F41">
            <v>0</v>
          </cell>
        </row>
        <row r="42">
          <cell r="A42" t="str">
            <v>100-25-020</v>
          </cell>
          <cell r="B42" t="str">
            <v>RENEWAL WP</v>
          </cell>
          <cell r="C42">
            <v>0</v>
          </cell>
          <cell r="D42">
            <v>0</v>
          </cell>
          <cell r="E42">
            <v>0</v>
          </cell>
          <cell r="F42">
            <v>0</v>
          </cell>
        </row>
        <row r="43">
          <cell r="A43" t="str">
            <v>100-25-025</v>
          </cell>
          <cell r="B43" t="str">
            <v>PREMIUM INJECTIONS-WP</v>
          </cell>
          <cell r="C43">
            <v>0</v>
          </cell>
          <cell r="D43">
            <v>0</v>
          </cell>
          <cell r="E43">
            <v>0</v>
          </cell>
          <cell r="F43">
            <v>0</v>
          </cell>
        </row>
        <row r="44">
          <cell r="A44" t="str">
            <v>100-25-030</v>
          </cell>
          <cell r="B44" t="str">
            <v>PREMIUM INJECTIONS-FFP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</row>
        <row r="45">
          <cell r="A45" t="str">
            <v>100-26-010</v>
          </cell>
          <cell r="B45" t="str">
            <v>PREMIUM RECOVERIES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</row>
        <row r="46">
          <cell r="A46" t="str">
            <v>100-30-010</v>
          </cell>
          <cell r="B46" t="str">
            <v>GROUP LIFE SCHEME</v>
          </cell>
          <cell r="C46">
            <v>0</v>
          </cell>
          <cell r="D46">
            <v>0</v>
          </cell>
          <cell r="E46">
            <v>0</v>
          </cell>
          <cell r="F46">
            <v>0</v>
          </cell>
        </row>
        <row r="47">
          <cell r="A47" t="str">
            <v>100-30-020</v>
          </cell>
          <cell r="B47" t="str">
            <v>GROUP DISABILITY SCHEME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</row>
        <row r="48">
          <cell r="A48" t="str">
            <v>100-30-030</v>
          </cell>
          <cell r="B48" t="str">
            <v>GROUP CREDIT SCHEME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</row>
        <row r="49">
          <cell r="A49" t="str">
            <v>100-30-040</v>
          </cell>
          <cell r="B49" t="str">
            <v>GROUP LAST EXPENSE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</row>
        <row r="50">
          <cell r="A50" t="str">
            <v>100-30-050</v>
          </cell>
          <cell r="B50" t="str">
            <v>GROUP MORTGAGE SCHEME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</row>
        <row r="51">
          <cell r="A51" t="str">
            <v>100-30-060</v>
          </cell>
          <cell r="B51" t="str">
            <v>GROUP PENSION SCHEME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</row>
        <row r="52">
          <cell r="A52" t="str">
            <v>100-30-070</v>
          </cell>
          <cell r="B52" t="str">
            <v>HARAMBEE SCHEME</v>
          </cell>
          <cell r="C52">
            <v>0</v>
          </cell>
          <cell r="D52">
            <v>0</v>
          </cell>
          <cell r="E52">
            <v>0</v>
          </cell>
          <cell r="F52">
            <v>0</v>
          </cell>
        </row>
        <row r="53">
          <cell r="A53" t="str">
            <v>100-40-010</v>
          </cell>
          <cell r="B53" t="str">
            <v>NEW BUSINESS - GROUP LIFE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</row>
        <row r="54">
          <cell r="A54" t="str">
            <v>100-40-020</v>
          </cell>
          <cell r="B54" t="str">
            <v>NEW BUSINESS - DISABILITY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</row>
        <row r="55">
          <cell r="A55" t="str">
            <v>100-40-030</v>
          </cell>
          <cell r="B55" t="str">
            <v>NWE BUSINESS - GROUP CREDIT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</row>
        <row r="56">
          <cell r="A56" t="str">
            <v>100-40-040</v>
          </cell>
          <cell r="B56" t="str">
            <v>NEW BUSINESS - LAST EXPENSE</v>
          </cell>
          <cell r="C56">
            <v>0</v>
          </cell>
          <cell r="D56">
            <v>0</v>
          </cell>
          <cell r="E56">
            <v>0</v>
          </cell>
          <cell r="F56">
            <v>0</v>
          </cell>
        </row>
        <row r="57">
          <cell r="A57" t="str">
            <v>100-40-050</v>
          </cell>
          <cell r="B57" t="str">
            <v>NEW BUSINESS - GROUP MORTGAGE</v>
          </cell>
          <cell r="C57">
            <v>0</v>
          </cell>
          <cell r="D57">
            <v>0</v>
          </cell>
          <cell r="E57">
            <v>0</v>
          </cell>
          <cell r="F57">
            <v>0</v>
          </cell>
        </row>
        <row r="58">
          <cell r="A58" t="str">
            <v>100-40-060</v>
          </cell>
          <cell r="B58" t="str">
            <v>NEW BUSINESS - PENSION</v>
          </cell>
          <cell r="C58">
            <v>0</v>
          </cell>
          <cell r="D58">
            <v>0</v>
          </cell>
          <cell r="E58">
            <v>0</v>
          </cell>
          <cell r="F58">
            <v>0</v>
          </cell>
        </row>
        <row r="59">
          <cell r="A59" t="str">
            <v>100-40-070</v>
          </cell>
          <cell r="B59" t="str">
            <v>RETIREMENT ANNUITIES</v>
          </cell>
          <cell r="C59">
            <v>0</v>
          </cell>
          <cell r="D59">
            <v>0</v>
          </cell>
          <cell r="E59">
            <v>0</v>
          </cell>
          <cell r="F59">
            <v>0</v>
          </cell>
        </row>
        <row r="60">
          <cell r="A60" t="str">
            <v>200-10-011</v>
          </cell>
          <cell r="B60" t="str">
            <v>REASSURANCE PREM/ENDOWMENT POLICY</v>
          </cell>
          <cell r="C60">
            <v>0</v>
          </cell>
          <cell r="D60">
            <v>0</v>
          </cell>
          <cell r="E60">
            <v>0</v>
          </cell>
          <cell r="F60">
            <v>0</v>
          </cell>
        </row>
        <row r="61">
          <cell r="A61" t="str">
            <v>200-10-012</v>
          </cell>
          <cell r="B61" t="str">
            <v>REASSURACE PREM FFFP POLICIES</v>
          </cell>
          <cell r="C61">
            <v>0</v>
          </cell>
          <cell r="D61">
            <v>0</v>
          </cell>
          <cell r="E61">
            <v>0</v>
          </cell>
          <cell r="F61">
            <v>0</v>
          </cell>
        </row>
        <row r="62">
          <cell r="A62" t="str">
            <v>200-10-013</v>
          </cell>
          <cell r="B62" t="str">
            <v>REASSURANCE PREM WP/POLICIES</v>
          </cell>
          <cell r="C62">
            <v>0</v>
          </cell>
          <cell r="D62">
            <v>0</v>
          </cell>
          <cell r="E62">
            <v>0</v>
          </cell>
          <cell r="F62">
            <v>0</v>
          </cell>
        </row>
        <row r="63">
          <cell r="A63" t="str">
            <v>200-10-014</v>
          </cell>
          <cell r="B63" t="str">
            <v>REASSURANCE PREMIUMS- KINGA HALISI</v>
          </cell>
          <cell r="C63">
            <v>0</v>
          </cell>
          <cell r="D63">
            <v>0</v>
          </cell>
          <cell r="E63">
            <v>0</v>
          </cell>
          <cell r="F63">
            <v>0</v>
          </cell>
        </row>
        <row r="64">
          <cell r="A64" t="str">
            <v>200-10-015</v>
          </cell>
          <cell r="B64" t="str">
            <v>NEW BUSINESS REINSURANCE PREMIUM-KINGA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</row>
        <row r="65">
          <cell r="A65" t="str">
            <v>200-10-016</v>
          </cell>
          <cell r="B65" t="str">
            <v>NEW BUSINESS REINSURANCE-WP</v>
          </cell>
          <cell r="C65">
            <v>0</v>
          </cell>
          <cell r="D65">
            <v>0</v>
          </cell>
          <cell r="E65">
            <v>0</v>
          </cell>
          <cell r="F65">
            <v>0</v>
          </cell>
        </row>
        <row r="66">
          <cell r="A66" t="str">
            <v>200-15-011</v>
          </cell>
          <cell r="B66" t="str">
            <v>REASSURANCE PREMIUMS -GROUP LIFE</v>
          </cell>
          <cell r="C66">
            <v>0</v>
          </cell>
          <cell r="D66">
            <v>0</v>
          </cell>
          <cell r="E66">
            <v>0</v>
          </cell>
          <cell r="F66">
            <v>0</v>
          </cell>
        </row>
        <row r="67">
          <cell r="A67" t="str">
            <v>200-15-012</v>
          </cell>
          <cell r="B67" t="str">
            <v>REASSURANCE PREMIUMS-GROUP MORTGAGE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</row>
        <row r="68">
          <cell r="A68" t="str">
            <v>200-15-013</v>
          </cell>
          <cell r="B68" t="str">
            <v>REASSURANCE PREMIUMS-GROUP CREDIT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</row>
        <row r="69">
          <cell r="A69" t="str">
            <v>200-15-014</v>
          </cell>
          <cell r="B69" t="str">
            <v>REASSURANCE PREMIUMS -GROUP DISABILITY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</row>
        <row r="70">
          <cell r="A70" t="str">
            <v>200-15-015</v>
          </cell>
          <cell r="B70" t="str">
            <v>REASSURANCE PREMIUMS- GROUP LAST EXPENSE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</row>
        <row r="71">
          <cell r="A71" t="str">
            <v>200-15-016</v>
          </cell>
          <cell r="B71" t="str">
            <v>REASSURANCE PREMIUMS - CATASTROPHE COVER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</row>
        <row r="72">
          <cell r="A72" t="str">
            <v>200-15-017</v>
          </cell>
          <cell r="B72" t="str">
            <v>GROUP HARAMBEE SCHEMES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</row>
        <row r="73">
          <cell r="A73" t="str">
            <v>200-16-011</v>
          </cell>
          <cell r="B73" t="str">
            <v>NEW BUSINESS - REASS.PREM - G LIFE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</row>
        <row r="74">
          <cell r="A74" t="str">
            <v>200-16-012</v>
          </cell>
          <cell r="B74" t="str">
            <v>NEW BUSINESS - REASS. PREM - G MORTGAGE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</row>
        <row r="75">
          <cell r="A75" t="str">
            <v>200-16-013</v>
          </cell>
          <cell r="B75" t="str">
            <v>NEW BUSINESS - RAESS. PREM. - G CREDIT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</row>
        <row r="76">
          <cell r="A76" t="str">
            <v>200-16-014</v>
          </cell>
          <cell r="B76" t="str">
            <v>NEW BUSINESS - REASS.PREM - G DISABILITY</v>
          </cell>
          <cell r="C76">
            <v>0</v>
          </cell>
          <cell r="D76">
            <v>0</v>
          </cell>
          <cell r="E76">
            <v>0</v>
          </cell>
          <cell r="F76">
            <v>0</v>
          </cell>
        </row>
        <row r="77">
          <cell r="A77" t="str">
            <v>200-16-015</v>
          </cell>
          <cell r="B77" t="str">
            <v>NEW BUSINESS - REASS.PREM - G LAST EXP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</row>
        <row r="78">
          <cell r="A78" t="str">
            <v>200-20-011</v>
          </cell>
          <cell r="B78" t="str">
            <v>REASSURANCE COMM.WP</v>
          </cell>
          <cell r="C78">
            <v>0</v>
          </cell>
          <cell r="D78">
            <v>0</v>
          </cell>
          <cell r="E78">
            <v>0</v>
          </cell>
          <cell r="F78">
            <v>0</v>
          </cell>
        </row>
        <row r="79">
          <cell r="A79" t="str">
            <v>200-20-012</v>
          </cell>
          <cell r="B79" t="str">
            <v>REASSURANCE COMM.FFFP</v>
          </cell>
          <cell r="C79">
            <v>0</v>
          </cell>
          <cell r="D79">
            <v>0</v>
          </cell>
          <cell r="E79">
            <v>0</v>
          </cell>
          <cell r="F79">
            <v>0</v>
          </cell>
        </row>
        <row r="80">
          <cell r="A80" t="str">
            <v>200-20-013</v>
          </cell>
          <cell r="B80" t="str">
            <v>REASSURANCE COMMISSION-GROUP LIFE</v>
          </cell>
          <cell r="C80">
            <v>0</v>
          </cell>
          <cell r="D80">
            <v>0</v>
          </cell>
          <cell r="E80">
            <v>0</v>
          </cell>
          <cell r="F80">
            <v>0</v>
          </cell>
        </row>
        <row r="81">
          <cell r="A81" t="str">
            <v>200-20-014</v>
          </cell>
          <cell r="B81" t="str">
            <v>REASSUARANCE COMMISSION-GROUP MORTGAGE</v>
          </cell>
          <cell r="C81">
            <v>0</v>
          </cell>
          <cell r="D81">
            <v>0</v>
          </cell>
          <cell r="E81">
            <v>0</v>
          </cell>
          <cell r="F81">
            <v>0</v>
          </cell>
        </row>
        <row r="82">
          <cell r="A82" t="str">
            <v>200-20-015</v>
          </cell>
          <cell r="B82" t="str">
            <v>REASSURANCE COMM-GROUP CREDIT</v>
          </cell>
          <cell r="C82">
            <v>0</v>
          </cell>
          <cell r="D82">
            <v>0</v>
          </cell>
          <cell r="E82">
            <v>0</v>
          </cell>
          <cell r="F82">
            <v>0</v>
          </cell>
        </row>
        <row r="83">
          <cell r="A83" t="str">
            <v>200-20-016</v>
          </cell>
          <cell r="B83" t="str">
            <v>REASSURANCE COMM-GROUP DISABILITY</v>
          </cell>
          <cell r="C83">
            <v>0</v>
          </cell>
          <cell r="D83">
            <v>0</v>
          </cell>
          <cell r="E83">
            <v>0</v>
          </cell>
          <cell r="F83">
            <v>0</v>
          </cell>
        </row>
        <row r="84">
          <cell r="A84" t="str">
            <v>200-20-017</v>
          </cell>
          <cell r="B84" t="str">
            <v>REASSURANCE COMMISSION - LAST EXPENSE</v>
          </cell>
          <cell r="C84">
            <v>0</v>
          </cell>
          <cell r="D84">
            <v>0</v>
          </cell>
          <cell r="E84">
            <v>0</v>
          </cell>
          <cell r="F84">
            <v>0</v>
          </cell>
        </row>
        <row r="85">
          <cell r="A85" t="str">
            <v>200-20-018</v>
          </cell>
          <cell r="B85" t="str">
            <v>REASSURANCE COMMISSION - KINGA HALISI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</row>
        <row r="86">
          <cell r="A86" t="str">
            <v>200-25-013</v>
          </cell>
          <cell r="B86" t="str">
            <v>NEW BUSINESS - REASS.COMM - G LIFE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</row>
        <row r="87">
          <cell r="A87" t="str">
            <v>200-25-014</v>
          </cell>
          <cell r="B87" t="str">
            <v>NEW BUSINESS - REASS. COMM - G MORTGAGE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</row>
        <row r="88">
          <cell r="A88" t="str">
            <v>200-25-015</v>
          </cell>
          <cell r="B88" t="str">
            <v>NEW BUSINESS - REASS. COMM - G CREDIT</v>
          </cell>
          <cell r="C88">
            <v>0</v>
          </cell>
          <cell r="D88">
            <v>0</v>
          </cell>
          <cell r="E88">
            <v>0</v>
          </cell>
          <cell r="F88">
            <v>0</v>
          </cell>
        </row>
        <row r="89">
          <cell r="A89" t="str">
            <v>200-25-016</v>
          </cell>
          <cell r="B89" t="str">
            <v>NEW BUSINESS - REASS. COMM - G DISABILIT</v>
          </cell>
          <cell r="C89">
            <v>0</v>
          </cell>
          <cell r="D89">
            <v>0</v>
          </cell>
          <cell r="E89">
            <v>0</v>
          </cell>
          <cell r="F89">
            <v>0</v>
          </cell>
        </row>
        <row r="90">
          <cell r="A90" t="str">
            <v>200-25-017</v>
          </cell>
          <cell r="B90" t="str">
            <v>NEW BUSINESS - REASS. COMM - G LAST EXP</v>
          </cell>
          <cell r="C90">
            <v>0</v>
          </cell>
          <cell r="D90">
            <v>0</v>
          </cell>
          <cell r="E90">
            <v>0</v>
          </cell>
          <cell r="F90">
            <v>0</v>
          </cell>
        </row>
        <row r="91">
          <cell r="A91" t="str">
            <v>200-25-018</v>
          </cell>
          <cell r="B91" t="str">
            <v>NEW BUSINESS REINSURANCE COMM-KINGAHALI</v>
          </cell>
          <cell r="C91">
            <v>0</v>
          </cell>
          <cell r="D91">
            <v>0</v>
          </cell>
          <cell r="E91">
            <v>0</v>
          </cell>
          <cell r="F91">
            <v>0</v>
          </cell>
        </row>
        <row r="92">
          <cell r="A92" t="str">
            <v>200-25-019</v>
          </cell>
          <cell r="B92" t="str">
            <v>NEW BUSINESS REINSURANCE COMMISSION-WP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</row>
        <row r="93">
          <cell r="A93" t="str">
            <v>200-30-011</v>
          </cell>
          <cell r="B93" t="str">
            <v>CLAIMS RECOVERED -GROUP LIFE ASSURANCE</v>
          </cell>
          <cell r="C93">
            <v>0</v>
          </cell>
          <cell r="D93">
            <v>0</v>
          </cell>
          <cell r="E93">
            <v>0</v>
          </cell>
          <cell r="F93">
            <v>0</v>
          </cell>
        </row>
        <row r="94">
          <cell r="A94" t="str">
            <v>200-30-012</v>
          </cell>
          <cell r="B94" t="str">
            <v>CLAIMS RECOVERED GROUP MORTGAGE</v>
          </cell>
          <cell r="C94">
            <v>0</v>
          </cell>
          <cell r="D94">
            <v>0</v>
          </cell>
          <cell r="E94">
            <v>0</v>
          </cell>
          <cell r="F94">
            <v>0</v>
          </cell>
        </row>
        <row r="95">
          <cell r="A95" t="str">
            <v>200-30-013</v>
          </cell>
          <cell r="B95" t="str">
            <v>CLAIMS RECOVERED-GROUP LAST EXPENSE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</row>
        <row r="96">
          <cell r="A96" t="str">
            <v>200-30-014</v>
          </cell>
          <cell r="B96" t="str">
            <v>CLAIMS RECOVERED -GROUP CREDIT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</row>
        <row r="97">
          <cell r="A97" t="str">
            <v>200-30-015</v>
          </cell>
          <cell r="B97" t="str">
            <v>CLAIMS RECOVERED -GROUP DISABILITY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</row>
        <row r="98">
          <cell r="A98" t="str">
            <v>300-10-010</v>
          </cell>
          <cell r="B98" t="str">
            <v>LORESHO HOUSE</v>
          </cell>
          <cell r="C98">
            <v>0</v>
          </cell>
          <cell r="D98">
            <v>0</v>
          </cell>
          <cell r="E98">
            <v>0</v>
          </cell>
          <cell r="F98">
            <v>0</v>
          </cell>
        </row>
        <row r="99">
          <cell r="A99" t="str">
            <v>300-10-020</v>
          </cell>
          <cell r="B99" t="str">
            <v>RETREAT VILLAS</v>
          </cell>
          <cell r="C99">
            <v>0</v>
          </cell>
          <cell r="D99">
            <v>0</v>
          </cell>
          <cell r="E99">
            <v>0</v>
          </cell>
          <cell r="F99">
            <v>0</v>
          </cell>
        </row>
        <row r="100">
          <cell r="A100" t="str">
            <v>300-10-030</v>
          </cell>
          <cell r="B100" t="str">
            <v>ARCADE PETROL STATION</v>
          </cell>
          <cell r="C100">
            <v>0</v>
          </cell>
          <cell r="D100">
            <v>0</v>
          </cell>
          <cell r="E100">
            <v>0</v>
          </cell>
          <cell r="F100">
            <v>0</v>
          </cell>
        </row>
        <row r="101">
          <cell r="A101" t="str">
            <v>300-10-040</v>
          </cell>
          <cell r="B101" t="str">
            <v>AMBALAL HOUSE</v>
          </cell>
          <cell r="C101">
            <v>0</v>
          </cell>
          <cell r="D101">
            <v>0</v>
          </cell>
          <cell r="E101">
            <v>0</v>
          </cell>
          <cell r="F101">
            <v>0</v>
          </cell>
        </row>
        <row r="102">
          <cell r="A102" t="str">
            <v>300-10-050</v>
          </cell>
          <cell r="B102" t="str">
            <v>PAN AFRICA HOUSE NBI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</row>
        <row r="103">
          <cell r="A103" t="str">
            <v>300-10-060</v>
          </cell>
          <cell r="B103" t="str">
            <v>AMMORTIZATION OF LAND AND BUILDINGS</v>
          </cell>
          <cell r="C103">
            <v>-5127735</v>
          </cell>
          <cell r="D103">
            <v>0</v>
          </cell>
          <cell r="E103">
            <v>-5127735</v>
          </cell>
          <cell r="F103">
            <v>-5127735</v>
          </cell>
        </row>
        <row r="104">
          <cell r="A104" t="str">
            <v>300-10-070</v>
          </cell>
          <cell r="B104" t="str">
            <v>INVESTMENT INCOME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</row>
        <row r="105">
          <cell r="A105" t="str">
            <v>300-14-010</v>
          </cell>
          <cell r="B105" t="str">
            <v>LOSS ON DISPOSAL OF PROPERTIES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</row>
        <row r="106">
          <cell r="A106" t="str">
            <v>300-14-040</v>
          </cell>
          <cell r="B106" t="str">
            <v>LOSS/PROFIT DISPOSAL OF MOTOR VEHICLE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</row>
        <row r="107">
          <cell r="A107" t="str">
            <v>300-15-010</v>
          </cell>
          <cell r="B107" t="str">
            <v>MISC INCOMES</v>
          </cell>
          <cell r="C107">
            <v>0</v>
          </cell>
          <cell r="D107">
            <v>0</v>
          </cell>
          <cell r="E107">
            <v>0</v>
          </cell>
          <cell r="F107">
            <v>0</v>
          </cell>
        </row>
        <row r="108">
          <cell r="A108" t="str">
            <v>300-15-015</v>
          </cell>
          <cell r="B108" t="str">
            <v>GAIN/LOSS ON FEREIGN EXCHAGE</v>
          </cell>
          <cell r="C108">
            <v>0</v>
          </cell>
          <cell r="D108">
            <v>0</v>
          </cell>
          <cell r="E108">
            <v>0</v>
          </cell>
          <cell r="F108">
            <v>0</v>
          </cell>
        </row>
        <row r="109">
          <cell r="A109" t="str">
            <v>300-15-020</v>
          </cell>
          <cell r="B109" t="str">
            <v>MORTAGE INTEREST STAFF</v>
          </cell>
          <cell r="C109">
            <v>0</v>
          </cell>
          <cell r="D109">
            <v>0</v>
          </cell>
          <cell r="E109">
            <v>0</v>
          </cell>
          <cell r="F109">
            <v>0</v>
          </cell>
        </row>
        <row r="110">
          <cell r="A110" t="str">
            <v>300-15-021</v>
          </cell>
          <cell r="B110" t="str">
            <v>STAFF INTEREST ON ADVANCES,N/L,CARLOANS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</row>
        <row r="111">
          <cell r="A111" t="str">
            <v>300-15-025</v>
          </cell>
          <cell r="B111" t="str">
            <v>PROFIT SHARE-REINSURANCE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</row>
        <row r="112">
          <cell r="A112" t="str">
            <v>300-15-026</v>
          </cell>
          <cell r="B112" t="str">
            <v>GAIN OR LOSS ON VALUATION</v>
          </cell>
          <cell r="C112">
            <v>-4994234</v>
          </cell>
          <cell r="D112">
            <v>0</v>
          </cell>
          <cell r="E112">
            <v>-4994234</v>
          </cell>
          <cell r="F112">
            <v>-4994234</v>
          </cell>
        </row>
        <row r="113">
          <cell r="A113" t="str">
            <v>300-20-030</v>
          </cell>
          <cell r="B113" t="str">
            <v>DIVIDENED INCOME</v>
          </cell>
          <cell r="C113">
            <v>-158598.6</v>
          </cell>
          <cell r="D113">
            <v>0</v>
          </cell>
          <cell r="E113">
            <v>-158598.6</v>
          </cell>
          <cell r="F113">
            <v>-158598.6</v>
          </cell>
        </row>
        <row r="114">
          <cell r="A114" t="str">
            <v>300-30-010</v>
          </cell>
          <cell r="B114" t="str">
            <v>SERVICE CHARGE LOAN ON POLICY</v>
          </cell>
          <cell r="C114">
            <v>0</v>
          </cell>
          <cell r="D114">
            <v>0</v>
          </cell>
          <cell r="E114">
            <v>0</v>
          </cell>
          <cell r="F114">
            <v>0</v>
          </cell>
        </row>
        <row r="115">
          <cell r="A115" t="str">
            <v>300-30-020</v>
          </cell>
          <cell r="B115" t="str">
            <v>INTEREST ON LOAN ON POLICY</v>
          </cell>
          <cell r="C115">
            <v>0</v>
          </cell>
          <cell r="D115">
            <v>0</v>
          </cell>
          <cell r="E115">
            <v>0</v>
          </cell>
          <cell r="F115">
            <v>0</v>
          </cell>
        </row>
        <row r="116">
          <cell r="A116" t="str">
            <v>300-30-030</v>
          </cell>
          <cell r="B116" t="str">
            <v>INTEREST ON COMMERCIAL PAPER</v>
          </cell>
          <cell r="C116">
            <v>0</v>
          </cell>
          <cell r="D116">
            <v>0</v>
          </cell>
          <cell r="E116">
            <v>0</v>
          </cell>
          <cell r="F116">
            <v>0</v>
          </cell>
        </row>
        <row r="117">
          <cell r="A117" t="str">
            <v>300-30-040</v>
          </cell>
          <cell r="B117" t="str">
            <v>PREMIUM ON BONDS</v>
          </cell>
          <cell r="C117">
            <v>0</v>
          </cell>
          <cell r="D117">
            <v>0</v>
          </cell>
          <cell r="E117">
            <v>0</v>
          </cell>
          <cell r="F117">
            <v>0</v>
          </cell>
        </row>
        <row r="118">
          <cell r="A118" t="str">
            <v>300-30-050</v>
          </cell>
          <cell r="B118" t="str">
            <v>INTEREST ON FD</v>
          </cell>
          <cell r="C118">
            <v>0</v>
          </cell>
          <cell r="D118">
            <v>0</v>
          </cell>
          <cell r="E118">
            <v>0</v>
          </cell>
          <cell r="F118">
            <v>0</v>
          </cell>
        </row>
        <row r="119">
          <cell r="A119" t="str">
            <v>300-30-060</v>
          </cell>
          <cell r="B119" t="str">
            <v>INTEREST ON TB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</row>
        <row r="120">
          <cell r="A120" t="str">
            <v>300-30-062</v>
          </cell>
          <cell r="B120" t="str">
            <v>INTEREST ON BONDS UNDER LIEN</v>
          </cell>
          <cell r="C120">
            <v>-2309361</v>
          </cell>
          <cell r="D120">
            <v>-2513813</v>
          </cell>
          <cell r="E120">
            <v>-4823174</v>
          </cell>
          <cell r="F120">
            <v>-4823174</v>
          </cell>
        </row>
        <row r="121">
          <cell r="A121" t="str">
            <v>300-30-065</v>
          </cell>
          <cell r="B121" t="str">
            <v>FUND MANAGEMENT FEES</v>
          </cell>
          <cell r="C121">
            <v>-9982736.0999999996</v>
          </cell>
          <cell r="D121">
            <v>28076.2</v>
          </cell>
          <cell r="E121">
            <v>-9954659.9000000004</v>
          </cell>
          <cell r="F121">
            <v>-9954659.9000000004</v>
          </cell>
        </row>
        <row r="122">
          <cell r="A122" t="str">
            <v>300-30-070</v>
          </cell>
          <cell r="B122" t="str">
            <v>FUND CUSTODIAL FEES</v>
          </cell>
          <cell r="C122">
            <v>109298.8</v>
          </cell>
          <cell r="D122">
            <v>692622.6</v>
          </cell>
          <cell r="E122">
            <v>801921.4</v>
          </cell>
          <cell r="F122">
            <v>801921.4</v>
          </cell>
        </row>
        <row r="123">
          <cell r="A123" t="str">
            <v>300-30-075</v>
          </cell>
          <cell r="B123" t="str">
            <v>UNREALISED GAIN/LOSS BOND FUND</v>
          </cell>
          <cell r="C123">
            <v>0</v>
          </cell>
          <cell r="D123">
            <v>0</v>
          </cell>
          <cell r="E123">
            <v>0</v>
          </cell>
          <cell r="F123">
            <v>0</v>
          </cell>
        </row>
        <row r="124">
          <cell r="A124" t="str">
            <v>300-30-076</v>
          </cell>
          <cell r="B124" t="str">
            <v>UNREALISED GAIN/LOSS MONEY MARKET FUND</v>
          </cell>
          <cell r="C124">
            <v>0</v>
          </cell>
          <cell r="D124">
            <v>0</v>
          </cell>
          <cell r="E124">
            <v>0</v>
          </cell>
          <cell r="F124">
            <v>0</v>
          </cell>
        </row>
        <row r="125">
          <cell r="A125" t="str">
            <v>300-30-080</v>
          </cell>
          <cell r="B125" t="str">
            <v>ADVERTISING(UNIT PRICE)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</row>
        <row r="126">
          <cell r="A126" t="str">
            <v>300-85-010</v>
          </cell>
          <cell r="B126" t="str">
            <v>REALIZED GAINS ON SHARES</v>
          </cell>
          <cell r="C126">
            <v>0</v>
          </cell>
          <cell r="D126">
            <v>0</v>
          </cell>
          <cell r="E126">
            <v>0</v>
          </cell>
          <cell r="F126">
            <v>0</v>
          </cell>
        </row>
        <row r="127">
          <cell r="A127" t="str">
            <v>300-85-015</v>
          </cell>
          <cell r="B127" t="str">
            <v>REALISED GAIN/LOSS ON SALE OF CP</v>
          </cell>
          <cell r="C127">
            <v>0</v>
          </cell>
          <cell r="D127">
            <v>0</v>
          </cell>
          <cell r="E127">
            <v>0</v>
          </cell>
          <cell r="F127">
            <v>0</v>
          </cell>
        </row>
        <row r="128">
          <cell r="A128" t="str">
            <v>300-86-010</v>
          </cell>
          <cell r="B128" t="str">
            <v>REALISED GAIN/LOSS BONDS&amp;TBILLS</v>
          </cell>
          <cell r="C128">
            <v>0</v>
          </cell>
          <cell r="D128">
            <v>0</v>
          </cell>
          <cell r="E128">
            <v>0</v>
          </cell>
          <cell r="F128">
            <v>0</v>
          </cell>
        </row>
        <row r="129">
          <cell r="A129" t="str">
            <v>300-95-010</v>
          </cell>
          <cell r="B129" t="str">
            <v>UNREALISED GAIN/LOSS ON EQUITIES</v>
          </cell>
          <cell r="C129">
            <v>0</v>
          </cell>
          <cell r="D129">
            <v>0</v>
          </cell>
          <cell r="E129">
            <v>0</v>
          </cell>
          <cell r="F129">
            <v>0</v>
          </cell>
        </row>
        <row r="130">
          <cell r="A130" t="str">
            <v>300-99-100</v>
          </cell>
          <cell r="B130" t="str">
            <v>INVESTMENT INCOME AS PER FUND MANAGERS</v>
          </cell>
          <cell r="C130">
            <v>0</v>
          </cell>
          <cell r="D130">
            <v>0</v>
          </cell>
          <cell r="E130">
            <v>0</v>
          </cell>
          <cell r="F130">
            <v>0</v>
          </cell>
        </row>
        <row r="131">
          <cell r="A131" t="str">
            <v>300-99-110</v>
          </cell>
          <cell r="B131" t="str">
            <v>INCOME ON BOND FUND</v>
          </cell>
          <cell r="C131">
            <v>-10678731.949999999</v>
          </cell>
          <cell r="D131">
            <v>-1398344</v>
          </cell>
          <cell r="E131">
            <v>-12077075.949999999</v>
          </cell>
          <cell r="F131">
            <v>-12077075.949999999</v>
          </cell>
        </row>
        <row r="132">
          <cell r="A132" t="str">
            <v>300-99-120</v>
          </cell>
          <cell r="B132" t="str">
            <v>INCOME ON MONEY MARKET</v>
          </cell>
          <cell r="C132">
            <v>-6761351.9000000004</v>
          </cell>
          <cell r="D132">
            <v>-734723</v>
          </cell>
          <cell r="E132">
            <v>-7496074.9000000004</v>
          </cell>
          <cell r="F132">
            <v>-7496074.9000000004</v>
          </cell>
        </row>
        <row r="133">
          <cell r="A133" t="str">
            <v>300-99-130</v>
          </cell>
          <cell r="B133" t="str">
            <v>INCOME ON EQUITY FUND</v>
          </cell>
          <cell r="C133">
            <v>-9668848.9000000004</v>
          </cell>
          <cell r="D133">
            <v>7380679</v>
          </cell>
          <cell r="E133">
            <v>-2288169.9</v>
          </cell>
          <cell r="F133">
            <v>-2288169.9</v>
          </cell>
        </row>
        <row r="134">
          <cell r="A134" t="str">
            <v>300-99-140</v>
          </cell>
          <cell r="B134" t="str">
            <v>INCOME ON SPECULATIVE FUND</v>
          </cell>
          <cell r="C134">
            <v>-2081284.85</v>
          </cell>
          <cell r="D134">
            <v>-60430</v>
          </cell>
          <cell r="E134">
            <v>-2141714.85</v>
          </cell>
          <cell r="F134">
            <v>-2141714.85</v>
          </cell>
        </row>
        <row r="135">
          <cell r="A135" t="str">
            <v>400-10-010</v>
          </cell>
          <cell r="B135" t="str">
            <v>BASIC SALARY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</row>
        <row r="136">
          <cell r="A136" t="str">
            <v>400-10-012</v>
          </cell>
          <cell r="B136" t="str">
            <v>PROVISION FOR MORT.RATE</v>
          </cell>
          <cell r="C136">
            <v>0</v>
          </cell>
          <cell r="D136">
            <v>0</v>
          </cell>
          <cell r="E136">
            <v>0</v>
          </cell>
          <cell r="F136">
            <v>0</v>
          </cell>
        </row>
        <row r="137">
          <cell r="A137" t="str">
            <v>400-10-020</v>
          </cell>
          <cell r="B137" t="str">
            <v>OTHER BENEFITS</v>
          </cell>
          <cell r="C137">
            <v>0</v>
          </cell>
          <cell r="D137">
            <v>0</v>
          </cell>
          <cell r="E137">
            <v>0</v>
          </cell>
          <cell r="F137">
            <v>0</v>
          </cell>
        </row>
        <row r="138">
          <cell r="A138" t="str">
            <v>400-10-030</v>
          </cell>
          <cell r="B138" t="str">
            <v>TELEPHONE ALLOWANCE</v>
          </cell>
          <cell r="C138">
            <v>0</v>
          </cell>
          <cell r="D138">
            <v>0</v>
          </cell>
          <cell r="E138">
            <v>0</v>
          </cell>
          <cell r="F138">
            <v>0</v>
          </cell>
        </row>
        <row r="139">
          <cell r="A139" t="str">
            <v>400-10-040</v>
          </cell>
          <cell r="B139" t="str">
            <v>SECURITY ALLOWANCE</v>
          </cell>
          <cell r="C139">
            <v>0</v>
          </cell>
          <cell r="D139">
            <v>0</v>
          </cell>
          <cell r="E139">
            <v>0</v>
          </cell>
          <cell r="F139">
            <v>0</v>
          </cell>
        </row>
        <row r="140">
          <cell r="A140" t="str">
            <v>400-10-050</v>
          </cell>
          <cell r="B140" t="str">
            <v>EDUCATION ALLOWANCE</v>
          </cell>
          <cell r="C140">
            <v>0</v>
          </cell>
          <cell r="D140">
            <v>0</v>
          </cell>
          <cell r="E140">
            <v>0</v>
          </cell>
          <cell r="F140">
            <v>0</v>
          </cell>
        </row>
        <row r="141">
          <cell r="A141" t="str">
            <v>400-10-060</v>
          </cell>
          <cell r="B141" t="str">
            <v>TRAVEL ALLOWANCE</v>
          </cell>
          <cell r="C141">
            <v>0</v>
          </cell>
          <cell r="D141">
            <v>0</v>
          </cell>
          <cell r="E141">
            <v>0</v>
          </cell>
          <cell r="F141">
            <v>0</v>
          </cell>
        </row>
        <row r="142">
          <cell r="A142" t="str">
            <v>400-10-065</v>
          </cell>
          <cell r="B142" t="str">
            <v>CLUB SUBSCRIPTION</v>
          </cell>
          <cell r="C142">
            <v>0</v>
          </cell>
          <cell r="D142">
            <v>0</v>
          </cell>
          <cell r="E142">
            <v>0</v>
          </cell>
          <cell r="F142">
            <v>0</v>
          </cell>
        </row>
        <row r="143">
          <cell r="A143" t="str">
            <v>400-10-070</v>
          </cell>
          <cell r="B143" t="str">
            <v>PENSION</v>
          </cell>
          <cell r="C143">
            <v>0</v>
          </cell>
          <cell r="D143">
            <v>0</v>
          </cell>
          <cell r="E143">
            <v>0</v>
          </cell>
          <cell r="F143">
            <v>0</v>
          </cell>
        </row>
        <row r="144">
          <cell r="A144" t="str">
            <v>400-10-075</v>
          </cell>
          <cell r="B144" t="str">
            <v>LONG SERVICE AWARDS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</row>
        <row r="145">
          <cell r="A145" t="str">
            <v>400-10-080</v>
          </cell>
          <cell r="B145" t="str">
            <v>LAST EXPENSE</v>
          </cell>
          <cell r="C145">
            <v>0</v>
          </cell>
          <cell r="D145">
            <v>0</v>
          </cell>
          <cell r="E145">
            <v>0</v>
          </cell>
          <cell r="F145">
            <v>0</v>
          </cell>
        </row>
        <row r="146">
          <cell r="A146" t="str">
            <v>400-10-085</v>
          </cell>
          <cell r="B146" t="str">
            <v>ACADEMIC ACHIEVEMENTS</v>
          </cell>
          <cell r="C146">
            <v>0</v>
          </cell>
          <cell r="D146">
            <v>0</v>
          </cell>
          <cell r="E146">
            <v>0</v>
          </cell>
          <cell r="F146">
            <v>0</v>
          </cell>
        </row>
        <row r="147">
          <cell r="A147" t="str">
            <v>400-10-090</v>
          </cell>
          <cell r="B147" t="str">
            <v>GROUP LIFE ASSURANCE</v>
          </cell>
          <cell r="C147">
            <v>0</v>
          </cell>
          <cell r="D147">
            <v>0</v>
          </cell>
          <cell r="E147">
            <v>0</v>
          </cell>
          <cell r="F147">
            <v>0</v>
          </cell>
        </row>
        <row r="148">
          <cell r="A148" t="str">
            <v>400-10-100</v>
          </cell>
          <cell r="B148" t="str">
            <v>STAFF MEDICAL</v>
          </cell>
          <cell r="C148">
            <v>0</v>
          </cell>
          <cell r="D148">
            <v>0</v>
          </cell>
          <cell r="E148">
            <v>0</v>
          </cell>
          <cell r="F148">
            <v>0</v>
          </cell>
        </row>
        <row r="149">
          <cell r="A149" t="str">
            <v>400-10-110</v>
          </cell>
          <cell r="B149" t="str">
            <v>CASH IN LIUE OF LEAVE</v>
          </cell>
          <cell r="C149">
            <v>0</v>
          </cell>
          <cell r="D149">
            <v>0</v>
          </cell>
          <cell r="E149">
            <v>0</v>
          </cell>
          <cell r="F149">
            <v>0</v>
          </cell>
        </row>
        <row r="150">
          <cell r="A150" t="str">
            <v>400-10-120</v>
          </cell>
          <cell r="B150" t="str">
            <v>GRATUITY</v>
          </cell>
          <cell r="C150">
            <v>0</v>
          </cell>
          <cell r="D150">
            <v>0</v>
          </cell>
          <cell r="E150">
            <v>0</v>
          </cell>
          <cell r="F150">
            <v>0</v>
          </cell>
        </row>
        <row r="151">
          <cell r="A151" t="str">
            <v>400-10-130</v>
          </cell>
          <cell r="B151" t="str">
            <v>STAFF RECRUTMENT &amp; REMOVAL</v>
          </cell>
          <cell r="C151">
            <v>0</v>
          </cell>
          <cell r="D151">
            <v>0</v>
          </cell>
          <cell r="E151">
            <v>0</v>
          </cell>
          <cell r="F151">
            <v>0</v>
          </cell>
        </row>
        <row r="152">
          <cell r="A152" t="str">
            <v>400-10-140</v>
          </cell>
          <cell r="B152" t="str">
            <v>TERMINAL DUES</v>
          </cell>
          <cell r="C152">
            <v>0</v>
          </cell>
          <cell r="D152">
            <v>0</v>
          </cell>
          <cell r="E152">
            <v>0</v>
          </cell>
          <cell r="F152">
            <v>0</v>
          </cell>
        </row>
        <row r="153">
          <cell r="A153" t="str">
            <v>400-20-010</v>
          </cell>
          <cell r="B153" t="str">
            <v>N.S.S.F</v>
          </cell>
          <cell r="C153">
            <v>0</v>
          </cell>
          <cell r="D153">
            <v>0</v>
          </cell>
          <cell r="E153">
            <v>0</v>
          </cell>
          <cell r="F153">
            <v>0</v>
          </cell>
        </row>
        <row r="154">
          <cell r="A154" t="str">
            <v>400-20-020</v>
          </cell>
          <cell r="B154" t="str">
            <v>N.H.I.F.</v>
          </cell>
          <cell r="C154">
            <v>0</v>
          </cell>
          <cell r="D154">
            <v>0</v>
          </cell>
          <cell r="E154">
            <v>0</v>
          </cell>
          <cell r="F154">
            <v>0</v>
          </cell>
        </row>
        <row r="155">
          <cell r="A155" t="str">
            <v>400-30-010</v>
          </cell>
          <cell r="B155" t="str">
            <v>DEPRECIATION-FURNITURE</v>
          </cell>
          <cell r="C155">
            <v>0</v>
          </cell>
          <cell r="D155">
            <v>0</v>
          </cell>
          <cell r="E155">
            <v>0</v>
          </cell>
          <cell r="F155">
            <v>0</v>
          </cell>
        </row>
        <row r="156">
          <cell r="A156" t="str">
            <v>400-30-020</v>
          </cell>
          <cell r="B156" t="str">
            <v>DEPRECIATION COMPUTER</v>
          </cell>
          <cell r="C156">
            <v>0</v>
          </cell>
          <cell r="D156">
            <v>0</v>
          </cell>
          <cell r="E156">
            <v>0</v>
          </cell>
          <cell r="F156">
            <v>0</v>
          </cell>
        </row>
        <row r="157">
          <cell r="A157" t="str">
            <v>400-30-030</v>
          </cell>
          <cell r="B157" t="str">
            <v>DEPRECIATION MOTOR VEHICLE</v>
          </cell>
          <cell r="C157">
            <v>0</v>
          </cell>
          <cell r="D157">
            <v>0</v>
          </cell>
          <cell r="E157">
            <v>0</v>
          </cell>
          <cell r="F157">
            <v>0</v>
          </cell>
        </row>
        <row r="158">
          <cell r="A158" t="str">
            <v>400-30-035</v>
          </cell>
          <cell r="B158" t="str">
            <v>AMORTISATION CHARGE-INTANGIBLE ASSET</v>
          </cell>
          <cell r="C158">
            <v>0</v>
          </cell>
          <cell r="D158">
            <v>0</v>
          </cell>
          <cell r="E158">
            <v>0</v>
          </cell>
          <cell r="F158">
            <v>0</v>
          </cell>
        </row>
        <row r="159">
          <cell r="A159" t="str">
            <v>400-30-040</v>
          </cell>
          <cell r="B159" t="str">
            <v>OFFICE RENT</v>
          </cell>
          <cell r="C159">
            <v>0</v>
          </cell>
          <cell r="D159">
            <v>0</v>
          </cell>
          <cell r="E159">
            <v>0</v>
          </cell>
          <cell r="F159">
            <v>0</v>
          </cell>
        </row>
        <row r="160">
          <cell r="A160" t="str">
            <v>400-30-050</v>
          </cell>
          <cell r="B160" t="str">
            <v>OFFICE CATERING</v>
          </cell>
          <cell r="C160">
            <v>0</v>
          </cell>
          <cell r="D160">
            <v>0</v>
          </cell>
          <cell r="E160">
            <v>0</v>
          </cell>
          <cell r="F160">
            <v>0</v>
          </cell>
        </row>
        <row r="161">
          <cell r="A161" t="str">
            <v>400-30-060</v>
          </cell>
          <cell r="B161" t="str">
            <v>OFFICE WATER</v>
          </cell>
          <cell r="C161">
            <v>0</v>
          </cell>
          <cell r="D161">
            <v>0</v>
          </cell>
          <cell r="E161">
            <v>0</v>
          </cell>
          <cell r="F161">
            <v>0</v>
          </cell>
        </row>
        <row r="162">
          <cell r="A162" t="str">
            <v>400-30-070</v>
          </cell>
          <cell r="B162" t="str">
            <v>OFFICE ELECTRICITY</v>
          </cell>
          <cell r="C162">
            <v>0</v>
          </cell>
          <cell r="D162">
            <v>0</v>
          </cell>
          <cell r="E162">
            <v>0</v>
          </cell>
          <cell r="F162">
            <v>0</v>
          </cell>
        </row>
        <row r="163">
          <cell r="A163" t="str">
            <v>400-30-080</v>
          </cell>
          <cell r="B163" t="str">
            <v>OFFICE SECURITY</v>
          </cell>
          <cell r="C163">
            <v>0</v>
          </cell>
          <cell r="D163">
            <v>0</v>
          </cell>
          <cell r="E163">
            <v>0</v>
          </cell>
          <cell r="F163">
            <v>0</v>
          </cell>
        </row>
        <row r="164">
          <cell r="A164" t="str">
            <v>400-40-005</v>
          </cell>
          <cell r="B164" t="str">
            <v>BANK CHARGES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</row>
        <row r="165">
          <cell r="A165" t="str">
            <v>400-40-006</v>
          </cell>
          <cell r="B165" t="str">
            <v>DONATIONS</v>
          </cell>
          <cell r="C165">
            <v>0</v>
          </cell>
          <cell r="D165">
            <v>0</v>
          </cell>
          <cell r="E165">
            <v>0</v>
          </cell>
          <cell r="F165">
            <v>0</v>
          </cell>
        </row>
        <row r="166">
          <cell r="A166" t="str">
            <v>400-40-007</v>
          </cell>
          <cell r="B166" t="str">
            <v>NEWSPAPERS &amp; JOURNALS</v>
          </cell>
          <cell r="C166">
            <v>0</v>
          </cell>
          <cell r="D166">
            <v>0</v>
          </cell>
          <cell r="E166">
            <v>0</v>
          </cell>
          <cell r="F166">
            <v>0</v>
          </cell>
        </row>
        <row r="167">
          <cell r="A167" t="str">
            <v>400-40-008</v>
          </cell>
          <cell r="B167" t="str">
            <v>ENTERTAINMENT</v>
          </cell>
          <cell r="C167">
            <v>0</v>
          </cell>
          <cell r="D167">
            <v>0</v>
          </cell>
          <cell r="E167">
            <v>0</v>
          </cell>
          <cell r="F167">
            <v>0</v>
          </cell>
        </row>
        <row r="168">
          <cell r="A168" t="str">
            <v>400-40-009</v>
          </cell>
          <cell r="B168" t="str">
            <v>COURIER &amp; FREIGHT CHARGES</v>
          </cell>
          <cell r="C168">
            <v>0</v>
          </cell>
          <cell r="D168">
            <v>0</v>
          </cell>
          <cell r="E168">
            <v>0</v>
          </cell>
          <cell r="F168">
            <v>0</v>
          </cell>
        </row>
        <row r="169">
          <cell r="A169" t="str">
            <v>400-40-010</v>
          </cell>
          <cell r="B169" t="str">
            <v>ALA GROUP CHARGES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</row>
        <row r="170">
          <cell r="A170" t="str">
            <v>400-40-011</v>
          </cell>
          <cell r="B170" t="str">
            <v>ADVERTISING &amp; PUBLICITY</v>
          </cell>
          <cell r="C170">
            <v>0</v>
          </cell>
          <cell r="D170">
            <v>0</v>
          </cell>
          <cell r="E170">
            <v>0</v>
          </cell>
          <cell r="F170">
            <v>0</v>
          </cell>
        </row>
        <row r="171">
          <cell r="A171" t="str">
            <v>400-40-012</v>
          </cell>
          <cell r="B171" t="str">
            <v>TRADE LICENCES</v>
          </cell>
          <cell r="C171">
            <v>0</v>
          </cell>
          <cell r="D171">
            <v>0</v>
          </cell>
          <cell r="E171">
            <v>0</v>
          </cell>
          <cell r="F171">
            <v>0</v>
          </cell>
        </row>
        <row r="172">
          <cell r="A172" t="str">
            <v>400-40-013</v>
          </cell>
          <cell r="B172" t="str">
            <v>INSURANCES</v>
          </cell>
          <cell r="C172">
            <v>0</v>
          </cell>
          <cell r="D172">
            <v>0</v>
          </cell>
          <cell r="E172">
            <v>0</v>
          </cell>
          <cell r="F172">
            <v>0</v>
          </cell>
        </row>
        <row r="173">
          <cell r="A173" t="str">
            <v>400-40-014</v>
          </cell>
          <cell r="B173" t="str">
            <v>PHOTOCOPY</v>
          </cell>
          <cell r="C173">
            <v>0</v>
          </cell>
          <cell r="D173">
            <v>0</v>
          </cell>
          <cell r="E173">
            <v>0</v>
          </cell>
          <cell r="F173">
            <v>0</v>
          </cell>
        </row>
        <row r="174">
          <cell r="A174" t="str">
            <v>400-40-015</v>
          </cell>
          <cell r="B174" t="str">
            <v>COMPUTER MAINTENANCE</v>
          </cell>
          <cell r="C174">
            <v>0</v>
          </cell>
          <cell r="D174">
            <v>0</v>
          </cell>
          <cell r="E174">
            <v>0</v>
          </cell>
          <cell r="F174">
            <v>0</v>
          </cell>
        </row>
        <row r="175">
          <cell r="A175" t="str">
            <v>400-40-016</v>
          </cell>
          <cell r="B175" t="str">
            <v>EQUIPMENT MAINTENANCE</v>
          </cell>
          <cell r="C175">
            <v>0</v>
          </cell>
          <cell r="D175">
            <v>0</v>
          </cell>
          <cell r="E175">
            <v>0</v>
          </cell>
          <cell r="F175">
            <v>0</v>
          </cell>
        </row>
        <row r="176">
          <cell r="A176" t="str">
            <v>400-40-017</v>
          </cell>
          <cell r="B176" t="str">
            <v>SEMINARS &amp; SHORT TERM COURSES</v>
          </cell>
          <cell r="C176">
            <v>0</v>
          </cell>
          <cell r="D176">
            <v>0</v>
          </cell>
          <cell r="E176">
            <v>0</v>
          </cell>
          <cell r="F176">
            <v>0</v>
          </cell>
        </row>
        <row r="177">
          <cell r="A177" t="str">
            <v>400-40-018</v>
          </cell>
          <cell r="B177" t="str">
            <v>SALES PROMOTION</v>
          </cell>
          <cell r="C177">
            <v>0</v>
          </cell>
          <cell r="D177">
            <v>0</v>
          </cell>
          <cell r="E177">
            <v>0</v>
          </cell>
          <cell r="F177">
            <v>0</v>
          </cell>
        </row>
        <row r="178">
          <cell r="A178" t="str">
            <v>400-40-019</v>
          </cell>
          <cell r="B178" t="str">
            <v>COMPUTER CONSUMABLES</v>
          </cell>
          <cell r="C178">
            <v>0</v>
          </cell>
          <cell r="D178">
            <v>0</v>
          </cell>
          <cell r="E178">
            <v>0</v>
          </cell>
          <cell r="F178">
            <v>0</v>
          </cell>
        </row>
        <row r="179">
          <cell r="A179" t="str">
            <v>400-40-020</v>
          </cell>
          <cell r="B179" t="str">
            <v>ACTURIAL FEES</v>
          </cell>
          <cell r="C179">
            <v>0</v>
          </cell>
          <cell r="D179">
            <v>0</v>
          </cell>
          <cell r="E179">
            <v>0</v>
          </cell>
          <cell r="F179">
            <v>0</v>
          </cell>
        </row>
        <row r="180">
          <cell r="A180" t="str">
            <v>400-40-021</v>
          </cell>
          <cell r="B180" t="str">
            <v>PRINTING &amp; STATIONERY</v>
          </cell>
          <cell r="C180">
            <v>0</v>
          </cell>
          <cell r="D180">
            <v>0</v>
          </cell>
          <cell r="E180">
            <v>0</v>
          </cell>
          <cell r="F180">
            <v>0</v>
          </cell>
        </row>
        <row r="181">
          <cell r="A181" t="str">
            <v>400-40-022</v>
          </cell>
          <cell r="B181" t="str">
            <v>STRATEGIC PLANNING</v>
          </cell>
          <cell r="C181">
            <v>0</v>
          </cell>
          <cell r="D181">
            <v>0</v>
          </cell>
          <cell r="E181">
            <v>0</v>
          </cell>
          <cell r="F181">
            <v>0</v>
          </cell>
        </row>
        <row r="182">
          <cell r="A182" t="str">
            <v>400-40-023</v>
          </cell>
          <cell r="B182" t="str">
            <v>PROFESSIONAL SUBSCRIPTION</v>
          </cell>
          <cell r="C182">
            <v>0</v>
          </cell>
          <cell r="D182">
            <v>0</v>
          </cell>
          <cell r="E182">
            <v>0</v>
          </cell>
          <cell r="F182">
            <v>0</v>
          </cell>
        </row>
        <row r="183">
          <cell r="A183" t="str">
            <v>400-40-024</v>
          </cell>
          <cell r="B183" t="str">
            <v>SUBSCRIPTION-COMPANY</v>
          </cell>
          <cell r="C183">
            <v>0</v>
          </cell>
          <cell r="D183">
            <v>0</v>
          </cell>
          <cell r="E183">
            <v>0</v>
          </cell>
          <cell r="F183">
            <v>0</v>
          </cell>
        </row>
        <row r="184">
          <cell r="A184" t="str">
            <v>400-40-025</v>
          </cell>
          <cell r="B184" t="str">
            <v>TRAVEL &amp; ACCOMODATION</v>
          </cell>
          <cell r="C184">
            <v>0</v>
          </cell>
          <cell r="D184">
            <v>0</v>
          </cell>
          <cell r="E184">
            <v>0</v>
          </cell>
          <cell r="F184">
            <v>0</v>
          </cell>
        </row>
        <row r="185">
          <cell r="A185" t="str">
            <v>400-40-026</v>
          </cell>
          <cell r="B185" t="str">
            <v>MOTOR VEHICLE EXPENSES</v>
          </cell>
          <cell r="C185">
            <v>0</v>
          </cell>
          <cell r="D185">
            <v>0</v>
          </cell>
          <cell r="E185">
            <v>0</v>
          </cell>
          <cell r="F185">
            <v>0</v>
          </cell>
        </row>
        <row r="186">
          <cell r="A186" t="str">
            <v>400-40-027</v>
          </cell>
          <cell r="B186" t="str">
            <v>POSTAGE</v>
          </cell>
          <cell r="C186">
            <v>0</v>
          </cell>
          <cell r="D186">
            <v>0</v>
          </cell>
          <cell r="E186">
            <v>0</v>
          </cell>
          <cell r="F186">
            <v>0</v>
          </cell>
        </row>
        <row r="187">
          <cell r="A187" t="str">
            <v>400-40-028</v>
          </cell>
          <cell r="B187" t="str">
            <v>TELEPHONE &amp; FAX</v>
          </cell>
          <cell r="C187">
            <v>0</v>
          </cell>
          <cell r="D187">
            <v>0</v>
          </cell>
          <cell r="E187">
            <v>0</v>
          </cell>
          <cell r="F187">
            <v>0</v>
          </cell>
        </row>
        <row r="188">
          <cell r="A188" t="str">
            <v>400-40-029</v>
          </cell>
          <cell r="B188" t="str">
            <v>PROFESSIONAL TRAINING</v>
          </cell>
          <cell r="C188">
            <v>0</v>
          </cell>
          <cell r="D188">
            <v>0</v>
          </cell>
          <cell r="E188">
            <v>0</v>
          </cell>
          <cell r="F188">
            <v>0</v>
          </cell>
        </row>
        <row r="189">
          <cell r="A189" t="str">
            <v>400-40-030</v>
          </cell>
          <cell r="B189" t="str">
            <v>AUDIT FEES</v>
          </cell>
          <cell r="C189">
            <v>0</v>
          </cell>
          <cell r="D189">
            <v>0</v>
          </cell>
          <cell r="E189">
            <v>0</v>
          </cell>
          <cell r="F189">
            <v>0</v>
          </cell>
        </row>
        <row r="190">
          <cell r="A190" t="str">
            <v>400-40-031</v>
          </cell>
          <cell r="B190" t="str">
            <v>STAFF SOCIAL CLUB</v>
          </cell>
          <cell r="C190">
            <v>0</v>
          </cell>
          <cell r="D190">
            <v>0</v>
          </cell>
          <cell r="E190">
            <v>0</v>
          </cell>
          <cell r="F190">
            <v>0</v>
          </cell>
        </row>
        <row r="191">
          <cell r="A191" t="str">
            <v>400-40-032</v>
          </cell>
          <cell r="B191" t="str">
            <v>LEASED LINES-INTERNET SERVICES</v>
          </cell>
          <cell r="C191">
            <v>0</v>
          </cell>
          <cell r="D191">
            <v>0</v>
          </cell>
          <cell r="E191">
            <v>0</v>
          </cell>
          <cell r="F191">
            <v>0</v>
          </cell>
        </row>
        <row r="192">
          <cell r="A192" t="str">
            <v>400-40-033</v>
          </cell>
          <cell r="B192" t="str">
            <v>SOFTWARE LICENCES</v>
          </cell>
          <cell r="C192">
            <v>0</v>
          </cell>
          <cell r="D192">
            <v>0</v>
          </cell>
          <cell r="E192">
            <v>0</v>
          </cell>
          <cell r="F192">
            <v>0</v>
          </cell>
        </row>
        <row r="193">
          <cell r="A193" t="str">
            <v>400-40-034</v>
          </cell>
          <cell r="B193" t="str">
            <v>DEPRECIATION OF BUILDING</v>
          </cell>
          <cell r="C193">
            <v>0</v>
          </cell>
          <cell r="D193">
            <v>0</v>
          </cell>
          <cell r="E193">
            <v>0</v>
          </cell>
          <cell r="F193">
            <v>0</v>
          </cell>
        </row>
        <row r="194">
          <cell r="A194" t="str">
            <v>400-40-035</v>
          </cell>
          <cell r="B194" t="str">
            <v>EDUCATION EXPENSES</v>
          </cell>
          <cell r="C194">
            <v>0</v>
          </cell>
          <cell r="D194">
            <v>0</v>
          </cell>
          <cell r="E194">
            <v>0</v>
          </cell>
          <cell r="F194">
            <v>0</v>
          </cell>
        </row>
        <row r="195">
          <cell r="A195" t="str">
            <v>400-40-036</v>
          </cell>
          <cell r="B195" t="str">
            <v>TRAVEL AND ACCOMODATION - ALA</v>
          </cell>
          <cell r="C195">
            <v>0</v>
          </cell>
          <cell r="D195">
            <v>0</v>
          </cell>
          <cell r="E195">
            <v>0</v>
          </cell>
          <cell r="F195">
            <v>0</v>
          </cell>
        </row>
        <row r="196">
          <cell r="A196" t="str">
            <v>400-40-040</v>
          </cell>
          <cell r="B196" t="str">
            <v>LEGAL FEES</v>
          </cell>
          <cell r="C196">
            <v>0</v>
          </cell>
          <cell r="D196">
            <v>0</v>
          </cell>
          <cell r="E196">
            <v>0</v>
          </cell>
          <cell r="F196">
            <v>0</v>
          </cell>
        </row>
        <row r="197">
          <cell r="A197" t="str">
            <v>400-40-050</v>
          </cell>
          <cell r="B197" t="str">
            <v>TAX CONSULTATION FEES</v>
          </cell>
          <cell r="C197">
            <v>0</v>
          </cell>
          <cell r="D197">
            <v>0</v>
          </cell>
          <cell r="E197">
            <v>0</v>
          </cell>
          <cell r="F197">
            <v>0</v>
          </cell>
        </row>
        <row r="198">
          <cell r="A198" t="str">
            <v>400-40-060</v>
          </cell>
          <cell r="B198" t="str">
            <v>INTRA-COMPANY -INDIVIDUAL</v>
          </cell>
          <cell r="C198">
            <v>0</v>
          </cell>
          <cell r="D198">
            <v>0</v>
          </cell>
          <cell r="E198">
            <v>0</v>
          </cell>
          <cell r="F198">
            <v>0</v>
          </cell>
        </row>
        <row r="199">
          <cell r="A199" t="str">
            <v>400-40-065</v>
          </cell>
          <cell r="B199" t="str">
            <v>RECHARGE FROM IT</v>
          </cell>
          <cell r="C199">
            <v>0</v>
          </cell>
          <cell r="D199">
            <v>0</v>
          </cell>
          <cell r="E199">
            <v>0</v>
          </cell>
          <cell r="F199">
            <v>0</v>
          </cell>
        </row>
        <row r="200">
          <cell r="A200" t="str">
            <v>400-40-070</v>
          </cell>
          <cell r="B200" t="str">
            <v>RECHARGE TO CORPORATE BUSINESS</v>
          </cell>
          <cell r="C200">
            <v>0</v>
          </cell>
          <cell r="D200">
            <v>0</v>
          </cell>
          <cell r="E200">
            <v>0</v>
          </cell>
          <cell r="F200">
            <v>0</v>
          </cell>
        </row>
        <row r="201">
          <cell r="A201" t="str">
            <v>400-40-075</v>
          </cell>
          <cell r="B201" t="str">
            <v>RECHARGE FROM HR</v>
          </cell>
          <cell r="C201">
            <v>0</v>
          </cell>
          <cell r="D201">
            <v>0</v>
          </cell>
          <cell r="E201">
            <v>0</v>
          </cell>
          <cell r="F201">
            <v>0</v>
          </cell>
        </row>
        <row r="202">
          <cell r="A202" t="str">
            <v>400-40-080</v>
          </cell>
          <cell r="B202" t="str">
            <v>EXECUTIVE RECHARGE TO HR &amp; CORPORATE</v>
          </cell>
          <cell r="C202">
            <v>0</v>
          </cell>
          <cell r="D202">
            <v>0</v>
          </cell>
          <cell r="E202">
            <v>0</v>
          </cell>
          <cell r="F202">
            <v>0</v>
          </cell>
        </row>
        <row r="203">
          <cell r="A203" t="str">
            <v>400-40-090</v>
          </cell>
          <cell r="B203" t="str">
            <v>RECHARGE FOR HOLDINGS</v>
          </cell>
          <cell r="C203">
            <v>0</v>
          </cell>
          <cell r="D203">
            <v>0</v>
          </cell>
          <cell r="E203">
            <v>0</v>
          </cell>
          <cell r="F203">
            <v>0</v>
          </cell>
        </row>
        <row r="204">
          <cell r="A204" t="str">
            <v>400-40-095</v>
          </cell>
          <cell r="B204" t="str">
            <v>RECHARGE TO SIM</v>
          </cell>
          <cell r="C204">
            <v>0</v>
          </cell>
          <cell r="D204">
            <v>0</v>
          </cell>
          <cell r="E204">
            <v>0</v>
          </cell>
          <cell r="F204">
            <v>0</v>
          </cell>
        </row>
        <row r="205">
          <cell r="A205" t="str">
            <v>400-40-100</v>
          </cell>
          <cell r="B205" t="str">
            <v>PROFESSIONAL FEES</v>
          </cell>
          <cell r="C205">
            <v>0</v>
          </cell>
          <cell r="D205">
            <v>0</v>
          </cell>
          <cell r="E205">
            <v>0</v>
          </cell>
          <cell r="F205">
            <v>0</v>
          </cell>
        </row>
        <row r="206">
          <cell r="A206" t="str">
            <v>400-40-110</v>
          </cell>
          <cell r="B206" t="str">
            <v>RECHARGE TO PA SECURITIES</v>
          </cell>
          <cell r="C206">
            <v>0</v>
          </cell>
          <cell r="D206">
            <v>0</v>
          </cell>
          <cell r="E206">
            <v>0</v>
          </cell>
          <cell r="F206">
            <v>0</v>
          </cell>
        </row>
        <row r="207">
          <cell r="A207" t="str">
            <v>400-40-115</v>
          </cell>
          <cell r="B207" t="str">
            <v>RECHARGE FROM LIFE OPS</v>
          </cell>
          <cell r="C207">
            <v>0</v>
          </cell>
          <cell r="D207">
            <v>0</v>
          </cell>
          <cell r="E207">
            <v>0</v>
          </cell>
          <cell r="F207">
            <v>0</v>
          </cell>
        </row>
        <row r="208">
          <cell r="A208" t="str">
            <v>400-40-120</v>
          </cell>
          <cell r="B208" t="str">
            <v>OUTSOURCING OF STAFF PAYROLL</v>
          </cell>
          <cell r="C208">
            <v>0</v>
          </cell>
          <cell r="D208">
            <v>0</v>
          </cell>
          <cell r="E208">
            <v>0</v>
          </cell>
          <cell r="F208">
            <v>0</v>
          </cell>
        </row>
        <row r="209">
          <cell r="A209" t="str">
            <v>400-40-125</v>
          </cell>
          <cell r="B209" t="str">
            <v>RECHARGE TO ALA</v>
          </cell>
          <cell r="C209">
            <v>0</v>
          </cell>
          <cell r="D209">
            <v>0</v>
          </cell>
          <cell r="E209">
            <v>0</v>
          </cell>
          <cell r="F209">
            <v>0</v>
          </cell>
        </row>
        <row r="210">
          <cell r="A210" t="str">
            <v>400-40-130</v>
          </cell>
          <cell r="B210" t="str">
            <v>PRODUCT DEVELOPMENT COST</v>
          </cell>
          <cell r="C210">
            <v>0</v>
          </cell>
          <cell r="D210">
            <v>0</v>
          </cell>
          <cell r="E210">
            <v>0</v>
          </cell>
          <cell r="F210">
            <v>0</v>
          </cell>
        </row>
        <row r="211">
          <cell r="A211" t="str">
            <v>400-40-135</v>
          </cell>
          <cell r="B211" t="str">
            <v>DIRECTORS FEES</v>
          </cell>
          <cell r="C211">
            <v>0</v>
          </cell>
          <cell r="D211">
            <v>0</v>
          </cell>
          <cell r="E211">
            <v>0</v>
          </cell>
          <cell r="F211">
            <v>0</v>
          </cell>
        </row>
        <row r="212">
          <cell r="A212" t="str">
            <v>400-40-140</v>
          </cell>
          <cell r="B212" t="str">
            <v>PRIOR YEAR ITEM</v>
          </cell>
          <cell r="C212">
            <v>0</v>
          </cell>
          <cell r="D212">
            <v>0</v>
          </cell>
          <cell r="E212">
            <v>0</v>
          </cell>
          <cell r="F212">
            <v>0</v>
          </cell>
        </row>
        <row r="213">
          <cell r="A213" t="str">
            <v>400-40-145</v>
          </cell>
          <cell r="B213" t="str">
            <v>REDUNDANCY LINK TO ISP</v>
          </cell>
          <cell r="C213">
            <v>0</v>
          </cell>
          <cell r="D213">
            <v>0</v>
          </cell>
          <cell r="E213">
            <v>0</v>
          </cell>
          <cell r="F213">
            <v>0</v>
          </cell>
        </row>
        <row r="214">
          <cell r="A214" t="str">
            <v>400-40-150</v>
          </cell>
          <cell r="B214" t="str">
            <v>BACKUP FOR DOC'MGT SERVER</v>
          </cell>
          <cell r="C214">
            <v>0</v>
          </cell>
          <cell r="D214">
            <v>0</v>
          </cell>
          <cell r="E214">
            <v>0</v>
          </cell>
          <cell r="F214">
            <v>0</v>
          </cell>
        </row>
        <row r="215">
          <cell r="A215" t="str">
            <v>400-40-155</v>
          </cell>
          <cell r="B215" t="str">
            <v>SAVINGS (IST STAFF)</v>
          </cell>
          <cell r="C215">
            <v>0</v>
          </cell>
          <cell r="D215">
            <v>0</v>
          </cell>
          <cell r="E215">
            <v>0</v>
          </cell>
          <cell r="F215">
            <v>0</v>
          </cell>
        </row>
        <row r="216">
          <cell r="A216" t="str">
            <v>400-40-165</v>
          </cell>
          <cell r="B216" t="str">
            <v>GROUP LIFE FEE PER CONTRACT</v>
          </cell>
          <cell r="C216">
            <v>0</v>
          </cell>
          <cell r="D216">
            <v>0</v>
          </cell>
          <cell r="E216">
            <v>0</v>
          </cell>
          <cell r="F216">
            <v>0</v>
          </cell>
        </row>
        <row r="217">
          <cell r="A217" t="str">
            <v>400-40-170</v>
          </cell>
          <cell r="B217" t="str">
            <v>GROUP CREDIT LIFE FEE PER CONTRACT</v>
          </cell>
          <cell r="C217">
            <v>0</v>
          </cell>
          <cell r="D217">
            <v>0</v>
          </cell>
          <cell r="E217">
            <v>0</v>
          </cell>
          <cell r="F217">
            <v>0</v>
          </cell>
        </row>
        <row r="218">
          <cell r="A218" t="str">
            <v>400-40-175</v>
          </cell>
          <cell r="B218" t="str">
            <v>ORACLE LICENCE</v>
          </cell>
          <cell r="C218">
            <v>0</v>
          </cell>
          <cell r="D218">
            <v>0</v>
          </cell>
          <cell r="E218">
            <v>0</v>
          </cell>
          <cell r="F218">
            <v>0</v>
          </cell>
        </row>
        <row r="219">
          <cell r="A219" t="str">
            <v>400-40-180</v>
          </cell>
          <cell r="B219" t="str">
            <v>IST PROJECT COSTS</v>
          </cell>
          <cell r="C219">
            <v>0</v>
          </cell>
          <cell r="D219">
            <v>0</v>
          </cell>
          <cell r="E219">
            <v>0</v>
          </cell>
          <cell r="F219">
            <v>0</v>
          </cell>
        </row>
        <row r="220">
          <cell r="A220" t="str">
            <v>400-40-195</v>
          </cell>
          <cell r="B220" t="str">
            <v>POLICY DOCUMENT PRINTING</v>
          </cell>
          <cell r="C220">
            <v>0</v>
          </cell>
          <cell r="D220">
            <v>0</v>
          </cell>
          <cell r="E220">
            <v>0</v>
          </cell>
          <cell r="F220">
            <v>0</v>
          </cell>
        </row>
        <row r="221">
          <cell r="A221" t="str">
            <v>400-43-010</v>
          </cell>
          <cell r="B221" t="str">
            <v>PRIOR ITEMS</v>
          </cell>
          <cell r="C221">
            <v>0</v>
          </cell>
          <cell r="D221">
            <v>0</v>
          </cell>
          <cell r="E221">
            <v>0</v>
          </cell>
          <cell r="F221">
            <v>0</v>
          </cell>
        </row>
        <row r="222">
          <cell r="A222" t="str">
            <v>400-45-010</v>
          </cell>
          <cell r="B222" t="str">
            <v>STAMP DUTY EXPENSES</v>
          </cell>
          <cell r="C222">
            <v>0</v>
          </cell>
          <cell r="D222">
            <v>0</v>
          </cell>
          <cell r="E222">
            <v>0</v>
          </cell>
          <cell r="F222">
            <v>0</v>
          </cell>
        </row>
        <row r="223">
          <cell r="A223" t="str">
            <v>400-45-020</v>
          </cell>
          <cell r="B223" t="str">
            <v>PREMIUM TAX EXPENSE</v>
          </cell>
          <cell r="C223">
            <v>0</v>
          </cell>
          <cell r="D223">
            <v>0</v>
          </cell>
          <cell r="E223">
            <v>0</v>
          </cell>
          <cell r="F223">
            <v>0</v>
          </cell>
        </row>
        <row r="224">
          <cell r="A224" t="str">
            <v>400-45-025</v>
          </cell>
          <cell r="B224" t="str">
            <v>POLICY HOLDER COLLECTION LEVY</v>
          </cell>
          <cell r="C224">
            <v>0</v>
          </cell>
          <cell r="D224">
            <v>0</v>
          </cell>
          <cell r="E224">
            <v>0</v>
          </cell>
          <cell r="F224">
            <v>0</v>
          </cell>
        </row>
        <row r="225">
          <cell r="A225" t="str">
            <v>500-10-010</v>
          </cell>
          <cell r="B225" t="str">
            <v>NEW COMMISSION</v>
          </cell>
          <cell r="C225">
            <v>0</v>
          </cell>
          <cell r="D225">
            <v>0</v>
          </cell>
          <cell r="E225">
            <v>0</v>
          </cell>
          <cell r="F225">
            <v>0</v>
          </cell>
        </row>
        <row r="226">
          <cell r="A226" t="str">
            <v>500-20-010</v>
          </cell>
          <cell r="B226" t="str">
            <v>RENEWAL COMMISSION</v>
          </cell>
          <cell r="C226">
            <v>0</v>
          </cell>
          <cell r="D226">
            <v>0</v>
          </cell>
          <cell r="E226">
            <v>0</v>
          </cell>
          <cell r="F226">
            <v>0</v>
          </cell>
        </row>
        <row r="227">
          <cell r="A227" t="str">
            <v>500-25-010</v>
          </cell>
          <cell r="B227" t="str">
            <v>AGENCY OVERRIDES</v>
          </cell>
          <cell r="C227">
            <v>0</v>
          </cell>
          <cell r="D227">
            <v>0</v>
          </cell>
          <cell r="E227">
            <v>0</v>
          </cell>
          <cell r="F227">
            <v>0</v>
          </cell>
        </row>
        <row r="228">
          <cell r="A228" t="str">
            <v>500-25-015</v>
          </cell>
          <cell r="B228" t="str">
            <v>UNIT OVERRIDES</v>
          </cell>
          <cell r="C228">
            <v>0</v>
          </cell>
          <cell r="D228">
            <v>0</v>
          </cell>
          <cell r="E228">
            <v>0</v>
          </cell>
          <cell r="F228">
            <v>0</v>
          </cell>
        </row>
        <row r="229">
          <cell r="A229" t="str">
            <v>500-25-020</v>
          </cell>
          <cell r="B229" t="str">
            <v>RETAINER</v>
          </cell>
          <cell r="C229">
            <v>0</v>
          </cell>
          <cell r="D229">
            <v>0</v>
          </cell>
          <cell r="E229">
            <v>0</v>
          </cell>
          <cell r="F229">
            <v>0</v>
          </cell>
        </row>
        <row r="230">
          <cell r="A230" t="str">
            <v>500-25-025</v>
          </cell>
          <cell r="B230" t="str">
            <v>GUARANTEE</v>
          </cell>
          <cell r="C230">
            <v>0</v>
          </cell>
          <cell r="D230">
            <v>0</v>
          </cell>
          <cell r="E230">
            <v>0</v>
          </cell>
          <cell r="F230">
            <v>0</v>
          </cell>
        </row>
        <row r="231">
          <cell r="A231" t="str">
            <v>500-30-030</v>
          </cell>
          <cell r="B231" t="str">
            <v>SALES PROMOTION &amp; COMPETITIONS</v>
          </cell>
          <cell r="C231">
            <v>0</v>
          </cell>
          <cell r="D231">
            <v>0</v>
          </cell>
          <cell r="E231">
            <v>0</v>
          </cell>
          <cell r="F231">
            <v>0</v>
          </cell>
        </row>
        <row r="232">
          <cell r="A232" t="str">
            <v>500-30-035</v>
          </cell>
          <cell r="B232" t="str">
            <v>SALES PROMOTION - INTERNATIONAL TRAVEL</v>
          </cell>
          <cell r="C232">
            <v>0</v>
          </cell>
          <cell r="D232">
            <v>0</v>
          </cell>
          <cell r="E232">
            <v>0</v>
          </cell>
          <cell r="F232">
            <v>0</v>
          </cell>
        </row>
        <row r="233">
          <cell r="A233" t="str">
            <v>500-30-040</v>
          </cell>
          <cell r="B233" t="str">
            <v>PREMIUM COLLECTION CHARGES</v>
          </cell>
          <cell r="C233">
            <v>0</v>
          </cell>
          <cell r="D233">
            <v>0</v>
          </cell>
          <cell r="E233">
            <v>0</v>
          </cell>
          <cell r="F233">
            <v>0</v>
          </cell>
        </row>
        <row r="234">
          <cell r="A234" t="str">
            <v>500-30-045</v>
          </cell>
          <cell r="B234" t="str">
            <v>SALES PROMOTION - AAYA</v>
          </cell>
          <cell r="C234">
            <v>0</v>
          </cell>
          <cell r="D234">
            <v>0</v>
          </cell>
          <cell r="E234">
            <v>0</v>
          </cell>
          <cell r="F234">
            <v>0</v>
          </cell>
        </row>
        <row r="235">
          <cell r="A235" t="str">
            <v>500-30-055</v>
          </cell>
          <cell r="B235" t="str">
            <v>AGENCY SUBSIDY</v>
          </cell>
          <cell r="C235">
            <v>0</v>
          </cell>
          <cell r="D235">
            <v>0</v>
          </cell>
          <cell r="E235">
            <v>0</v>
          </cell>
          <cell r="F235">
            <v>0</v>
          </cell>
        </row>
        <row r="236">
          <cell r="A236" t="str">
            <v>500-30-060</v>
          </cell>
          <cell r="B236" t="str">
            <v>STAFF BONUS</v>
          </cell>
          <cell r="C236">
            <v>0</v>
          </cell>
          <cell r="D236">
            <v>0</v>
          </cell>
          <cell r="E236">
            <v>0</v>
          </cell>
          <cell r="F236">
            <v>0</v>
          </cell>
        </row>
        <row r="237">
          <cell r="A237" t="str">
            <v>500-30-065</v>
          </cell>
          <cell r="B237" t="str">
            <v>LONG TERM INCENTIVE PLAN</v>
          </cell>
          <cell r="C237">
            <v>0</v>
          </cell>
          <cell r="D237">
            <v>0</v>
          </cell>
          <cell r="E237">
            <v>0</v>
          </cell>
          <cell r="F237">
            <v>0</v>
          </cell>
        </row>
        <row r="238">
          <cell r="A238" t="str">
            <v>500-35-010</v>
          </cell>
          <cell r="B238" t="str">
            <v>GROUP COMMISSION</v>
          </cell>
          <cell r="C238">
            <v>0</v>
          </cell>
          <cell r="D238">
            <v>0</v>
          </cell>
          <cell r="E238">
            <v>0</v>
          </cell>
          <cell r="F238">
            <v>0</v>
          </cell>
        </row>
        <row r="239">
          <cell r="A239" t="str">
            <v>500-35-020</v>
          </cell>
          <cell r="B239" t="str">
            <v>PREMIUM ADMINISTRATION FEE - GROUP</v>
          </cell>
          <cell r="C239">
            <v>0</v>
          </cell>
          <cell r="D239">
            <v>0</v>
          </cell>
          <cell r="E239">
            <v>0</v>
          </cell>
          <cell r="F239">
            <v>0</v>
          </cell>
        </row>
        <row r="240">
          <cell r="A240" t="str">
            <v>500-35-030</v>
          </cell>
          <cell r="B240" t="str">
            <v>MEDICAL COSTS - GROUP</v>
          </cell>
          <cell r="C240">
            <v>0</v>
          </cell>
          <cell r="D240">
            <v>0</v>
          </cell>
          <cell r="E240">
            <v>0</v>
          </cell>
          <cell r="F240">
            <v>0</v>
          </cell>
        </row>
        <row r="241">
          <cell r="A241" t="str">
            <v>500-35-040</v>
          </cell>
          <cell r="B241" t="str">
            <v>PROFIT SHARE</v>
          </cell>
          <cell r="C241">
            <v>0</v>
          </cell>
          <cell r="D241">
            <v>0</v>
          </cell>
          <cell r="E241">
            <v>0</v>
          </cell>
          <cell r="F241">
            <v>0</v>
          </cell>
        </row>
        <row r="242">
          <cell r="A242" t="str">
            <v>500-40-010</v>
          </cell>
          <cell r="B242" t="str">
            <v>AGENCY PENSION</v>
          </cell>
          <cell r="C242">
            <v>0</v>
          </cell>
          <cell r="D242">
            <v>0</v>
          </cell>
          <cell r="E242">
            <v>0</v>
          </cell>
          <cell r="F242">
            <v>0</v>
          </cell>
        </row>
        <row r="243">
          <cell r="A243" t="str">
            <v>500-40-020</v>
          </cell>
          <cell r="B243" t="str">
            <v>AGENCY GLA</v>
          </cell>
          <cell r="C243">
            <v>0</v>
          </cell>
          <cell r="D243">
            <v>0</v>
          </cell>
          <cell r="E243">
            <v>0</v>
          </cell>
          <cell r="F243">
            <v>0</v>
          </cell>
        </row>
        <row r="244">
          <cell r="A244" t="str">
            <v>500-40-030</v>
          </cell>
          <cell r="B244" t="str">
            <v>AGENCY LAST EXPENSE</v>
          </cell>
          <cell r="C244">
            <v>0</v>
          </cell>
          <cell r="D244">
            <v>0</v>
          </cell>
          <cell r="E244">
            <v>0</v>
          </cell>
          <cell r="F244">
            <v>0</v>
          </cell>
        </row>
        <row r="245">
          <cell r="A245" t="str">
            <v>500-40-040</v>
          </cell>
          <cell r="B245" t="str">
            <v>AGENCY MEDICAL</v>
          </cell>
          <cell r="C245">
            <v>0</v>
          </cell>
          <cell r="D245">
            <v>0</v>
          </cell>
          <cell r="E245">
            <v>0</v>
          </cell>
          <cell r="F245">
            <v>0</v>
          </cell>
        </row>
        <row r="246">
          <cell r="A246" t="str">
            <v>500-45-010</v>
          </cell>
          <cell r="B246" t="str">
            <v>MEDICAL EXPENSES</v>
          </cell>
          <cell r="C246">
            <v>0</v>
          </cell>
          <cell r="D246">
            <v>0</v>
          </cell>
          <cell r="E246">
            <v>0</v>
          </cell>
          <cell r="F246">
            <v>0</v>
          </cell>
        </row>
        <row r="247">
          <cell r="A247" t="str">
            <v>600-10-021</v>
          </cell>
          <cell r="B247" t="str">
            <v>MATURITY CLAIMS</v>
          </cell>
          <cell r="C247">
            <v>0</v>
          </cell>
          <cell r="D247">
            <v>0</v>
          </cell>
          <cell r="E247">
            <v>0</v>
          </cell>
          <cell r="F247">
            <v>0</v>
          </cell>
        </row>
        <row r="248">
          <cell r="A248" t="str">
            <v>600-10-022</v>
          </cell>
          <cell r="B248" t="str">
            <v>MATURITY CLAIMS ENDOWMENT</v>
          </cell>
          <cell r="C248">
            <v>0</v>
          </cell>
          <cell r="D248">
            <v>0</v>
          </cell>
          <cell r="E248">
            <v>0</v>
          </cell>
          <cell r="F248">
            <v>0</v>
          </cell>
        </row>
        <row r="249">
          <cell r="A249" t="str">
            <v>600-10-023</v>
          </cell>
          <cell r="B249" t="str">
            <v>MATURITY CLAIMS EXPENSE</v>
          </cell>
          <cell r="C249">
            <v>0</v>
          </cell>
          <cell r="D249">
            <v>0</v>
          </cell>
          <cell r="E249">
            <v>0</v>
          </cell>
          <cell r="F249">
            <v>0</v>
          </cell>
        </row>
        <row r="250">
          <cell r="A250" t="str">
            <v>600-10-024</v>
          </cell>
          <cell r="B250" t="str">
            <v>DEATH CLAIMS -ORDINARY</v>
          </cell>
          <cell r="C250">
            <v>0</v>
          </cell>
          <cell r="D250">
            <v>0</v>
          </cell>
          <cell r="E250">
            <v>0</v>
          </cell>
          <cell r="F250">
            <v>0</v>
          </cell>
        </row>
        <row r="251">
          <cell r="A251" t="str">
            <v>600-10-025</v>
          </cell>
          <cell r="B251" t="str">
            <v>PERSONAL ACCIDENTS</v>
          </cell>
          <cell r="C251">
            <v>0</v>
          </cell>
          <cell r="D251">
            <v>0</v>
          </cell>
          <cell r="E251">
            <v>0</v>
          </cell>
          <cell r="F251">
            <v>0</v>
          </cell>
        </row>
        <row r="252">
          <cell r="A252" t="str">
            <v>600-10-026</v>
          </cell>
          <cell r="B252" t="str">
            <v>ANNUITY CLAIMS</v>
          </cell>
          <cell r="C252">
            <v>0</v>
          </cell>
          <cell r="D252">
            <v>0</v>
          </cell>
          <cell r="E252">
            <v>0</v>
          </cell>
          <cell r="F252">
            <v>0</v>
          </cell>
        </row>
        <row r="253">
          <cell r="A253" t="str">
            <v>600-10-027</v>
          </cell>
          <cell r="B253" t="str">
            <v>CASH SURRENDER VALUE</v>
          </cell>
          <cell r="C253">
            <v>0</v>
          </cell>
          <cell r="D253">
            <v>0</v>
          </cell>
          <cell r="E253">
            <v>0</v>
          </cell>
          <cell r="F253">
            <v>0</v>
          </cell>
        </row>
        <row r="254">
          <cell r="A254" t="str">
            <v>600-10-028</v>
          </cell>
          <cell r="B254" t="str">
            <v>FFF DEATH CLAIMS</v>
          </cell>
          <cell r="C254">
            <v>0</v>
          </cell>
          <cell r="D254">
            <v>0</v>
          </cell>
          <cell r="E254">
            <v>0</v>
          </cell>
          <cell r="F254">
            <v>0</v>
          </cell>
        </row>
        <row r="255">
          <cell r="A255" t="str">
            <v>600-10-029</v>
          </cell>
          <cell r="B255" t="str">
            <v>CASH SURRENDER VALUE -WP</v>
          </cell>
          <cell r="C255">
            <v>0</v>
          </cell>
          <cell r="D255">
            <v>0</v>
          </cell>
          <cell r="E255">
            <v>0</v>
          </cell>
          <cell r="F255">
            <v>0</v>
          </cell>
        </row>
        <row r="256">
          <cell r="A256" t="str">
            <v>600-10-030</v>
          </cell>
          <cell r="B256" t="str">
            <v>CASH SURRENDER VALUE-FFP</v>
          </cell>
          <cell r="C256">
            <v>0</v>
          </cell>
          <cell r="D256">
            <v>0</v>
          </cell>
          <cell r="E256">
            <v>0</v>
          </cell>
          <cell r="F256">
            <v>0</v>
          </cell>
        </row>
        <row r="257">
          <cell r="A257" t="str">
            <v>600-10-031</v>
          </cell>
          <cell r="B257" t="str">
            <v>PREMIUM REFUNDS</v>
          </cell>
          <cell r="C257">
            <v>0</v>
          </cell>
          <cell r="D257">
            <v>0</v>
          </cell>
          <cell r="E257">
            <v>0</v>
          </cell>
          <cell r="F257">
            <v>0</v>
          </cell>
        </row>
        <row r="258">
          <cell r="A258" t="str">
            <v>600-10-032</v>
          </cell>
          <cell r="B258" t="str">
            <v>WAIVER OF PREMIUMS EXPENSE</v>
          </cell>
          <cell r="C258">
            <v>0</v>
          </cell>
          <cell r="D258">
            <v>0</v>
          </cell>
          <cell r="E258">
            <v>0</v>
          </cell>
          <cell r="F258">
            <v>0</v>
          </cell>
        </row>
        <row r="259">
          <cell r="A259" t="str">
            <v>600-10-033</v>
          </cell>
          <cell r="B259" t="str">
            <v>CASH BONUS BENEFIT-FFFP</v>
          </cell>
          <cell r="C259">
            <v>0</v>
          </cell>
          <cell r="D259">
            <v>0</v>
          </cell>
          <cell r="E259">
            <v>0</v>
          </cell>
          <cell r="F259">
            <v>0</v>
          </cell>
        </row>
        <row r="260">
          <cell r="A260" t="str">
            <v>600-10-034</v>
          </cell>
          <cell r="B260" t="str">
            <v>PENALTIES RECOVERIES-FFFP</v>
          </cell>
          <cell r="C260">
            <v>0</v>
          </cell>
          <cell r="D260">
            <v>0</v>
          </cell>
          <cell r="E260">
            <v>0</v>
          </cell>
          <cell r="F260">
            <v>0</v>
          </cell>
        </row>
        <row r="261">
          <cell r="A261" t="str">
            <v>600-10-035</v>
          </cell>
          <cell r="B261" t="str">
            <v>UNITS ENCASHMENT-WP</v>
          </cell>
          <cell r="C261">
            <v>0</v>
          </cell>
          <cell r="D261">
            <v>0</v>
          </cell>
          <cell r="E261">
            <v>0</v>
          </cell>
          <cell r="F261">
            <v>0</v>
          </cell>
        </row>
        <row r="262">
          <cell r="A262" t="str">
            <v>600-10-036</v>
          </cell>
          <cell r="B262" t="str">
            <v>PENALTIES UNITS ENCASHMENT</v>
          </cell>
          <cell r="C262">
            <v>0</v>
          </cell>
          <cell r="D262">
            <v>0</v>
          </cell>
          <cell r="E262">
            <v>0</v>
          </cell>
          <cell r="F262">
            <v>0</v>
          </cell>
        </row>
        <row r="263">
          <cell r="A263" t="str">
            <v>600-10-037</v>
          </cell>
          <cell r="B263" t="str">
            <v>WP CLAIMS</v>
          </cell>
          <cell r="C263">
            <v>0</v>
          </cell>
          <cell r="D263">
            <v>0</v>
          </cell>
          <cell r="E263">
            <v>0</v>
          </cell>
          <cell r="F263">
            <v>0</v>
          </cell>
        </row>
        <row r="264">
          <cell r="A264" t="str">
            <v>600-10-038</v>
          </cell>
          <cell r="B264" t="str">
            <v>PENALTIES ON CASH-BONUS  FFFP</v>
          </cell>
          <cell r="C264">
            <v>0</v>
          </cell>
          <cell r="D264">
            <v>0</v>
          </cell>
          <cell r="E264">
            <v>0</v>
          </cell>
          <cell r="F264">
            <v>0</v>
          </cell>
        </row>
        <row r="265">
          <cell r="A265" t="str">
            <v>600-10-039</v>
          </cell>
          <cell r="B265" t="str">
            <v>CLAIMS EXPENSE</v>
          </cell>
          <cell r="C265">
            <v>0</v>
          </cell>
          <cell r="D265">
            <v>0</v>
          </cell>
          <cell r="E265">
            <v>0</v>
          </cell>
          <cell r="F265">
            <v>0</v>
          </cell>
        </row>
        <row r="266">
          <cell r="A266" t="str">
            <v>600-10-040</v>
          </cell>
          <cell r="B266" t="str">
            <v>ADVERTISING (UNIT PRICE)</v>
          </cell>
          <cell r="C266">
            <v>0</v>
          </cell>
          <cell r="D266">
            <v>0</v>
          </cell>
          <cell r="E266">
            <v>0</v>
          </cell>
          <cell r="F266">
            <v>0</v>
          </cell>
        </row>
        <row r="267">
          <cell r="A267" t="str">
            <v>600-10-041</v>
          </cell>
          <cell r="B267" t="str">
            <v>MATURITY CLAIMS-UNIT LINKED</v>
          </cell>
          <cell r="C267">
            <v>0</v>
          </cell>
          <cell r="D267">
            <v>0</v>
          </cell>
          <cell r="E267">
            <v>0</v>
          </cell>
          <cell r="F267">
            <v>0</v>
          </cell>
        </row>
        <row r="268">
          <cell r="A268" t="str">
            <v>600-15-010</v>
          </cell>
          <cell r="B268" t="str">
            <v>LAST EXPENSE CLAIM</v>
          </cell>
          <cell r="C268">
            <v>0</v>
          </cell>
          <cell r="D268">
            <v>0</v>
          </cell>
          <cell r="E268">
            <v>0</v>
          </cell>
          <cell r="F268">
            <v>0</v>
          </cell>
        </row>
        <row r="269">
          <cell r="A269" t="str">
            <v>600-15-020</v>
          </cell>
          <cell r="B269" t="str">
            <v>PENSION SCHEME CLAIM</v>
          </cell>
          <cell r="C269">
            <v>0</v>
          </cell>
          <cell r="D269">
            <v>0</v>
          </cell>
          <cell r="E269">
            <v>0</v>
          </cell>
          <cell r="F269">
            <v>0</v>
          </cell>
        </row>
        <row r="270">
          <cell r="A270" t="str">
            <v>600-15-030</v>
          </cell>
          <cell r="B270" t="str">
            <v>DEATH CLAIMS GROUP</v>
          </cell>
          <cell r="C270">
            <v>0</v>
          </cell>
          <cell r="D270">
            <v>0</v>
          </cell>
          <cell r="E270">
            <v>0</v>
          </cell>
          <cell r="F270">
            <v>0</v>
          </cell>
        </row>
        <row r="271">
          <cell r="A271" t="str">
            <v>600-15-040</v>
          </cell>
          <cell r="B271" t="str">
            <v>GROUP MATURITY CLAIMS</v>
          </cell>
          <cell r="C271">
            <v>0</v>
          </cell>
          <cell r="D271">
            <v>0</v>
          </cell>
          <cell r="E271">
            <v>0</v>
          </cell>
          <cell r="F271">
            <v>0</v>
          </cell>
        </row>
        <row r="272">
          <cell r="A272" t="str">
            <v>600-15-045</v>
          </cell>
          <cell r="B272" t="str">
            <v>GROUP SURRENDERS</v>
          </cell>
          <cell r="C272">
            <v>0</v>
          </cell>
          <cell r="D272">
            <v>0</v>
          </cell>
          <cell r="E272">
            <v>0</v>
          </cell>
          <cell r="F272">
            <v>0</v>
          </cell>
        </row>
        <row r="273">
          <cell r="A273" t="str">
            <v>600-15-050</v>
          </cell>
          <cell r="B273" t="str">
            <v>GROUP ANTICIPATED CLAIMS</v>
          </cell>
          <cell r="C273">
            <v>0</v>
          </cell>
          <cell r="D273">
            <v>0</v>
          </cell>
          <cell r="E273">
            <v>0</v>
          </cell>
          <cell r="F273">
            <v>0</v>
          </cell>
        </row>
        <row r="274">
          <cell r="A274" t="str">
            <v>600-15-055</v>
          </cell>
          <cell r="B274" t="str">
            <v>HARAMBEE CLAIMS</v>
          </cell>
          <cell r="C274">
            <v>0</v>
          </cell>
          <cell r="D274">
            <v>0</v>
          </cell>
          <cell r="E274">
            <v>0</v>
          </cell>
          <cell r="F274">
            <v>0</v>
          </cell>
        </row>
        <row r="275">
          <cell r="A275" t="str">
            <v>600-15-060</v>
          </cell>
          <cell r="B275" t="str">
            <v>GROUP CREDIT SCHEMES CLAIMS</v>
          </cell>
          <cell r="C275">
            <v>0</v>
          </cell>
          <cell r="D275">
            <v>0</v>
          </cell>
          <cell r="E275">
            <v>0</v>
          </cell>
          <cell r="F275">
            <v>0</v>
          </cell>
        </row>
        <row r="276">
          <cell r="A276" t="str">
            <v>600-15-065</v>
          </cell>
          <cell r="B276" t="str">
            <v>GROUP DISABILITY CLAIMS</v>
          </cell>
          <cell r="C276">
            <v>0</v>
          </cell>
          <cell r="D276">
            <v>0</v>
          </cell>
          <cell r="E276">
            <v>0</v>
          </cell>
          <cell r="F276">
            <v>0</v>
          </cell>
        </row>
        <row r="277">
          <cell r="A277" t="str">
            <v>600-15-070</v>
          </cell>
          <cell r="B277" t="str">
            <v>GROUP RETIEMENT ANNUITIES</v>
          </cell>
          <cell r="C277">
            <v>0</v>
          </cell>
          <cell r="D277">
            <v>0</v>
          </cell>
          <cell r="E277">
            <v>0</v>
          </cell>
          <cell r="F277">
            <v>0</v>
          </cell>
        </row>
        <row r="278">
          <cell r="A278" t="str">
            <v>600-15-075</v>
          </cell>
          <cell r="B278" t="str">
            <v>AUDIT FEES</v>
          </cell>
          <cell r="C278">
            <v>0</v>
          </cell>
          <cell r="D278">
            <v>0</v>
          </cell>
          <cell r="E278">
            <v>0</v>
          </cell>
          <cell r="F278">
            <v>0</v>
          </cell>
        </row>
        <row r="279">
          <cell r="A279" t="str">
            <v>600-15-080</v>
          </cell>
          <cell r="B279" t="str">
            <v>MANAGEMENT FEES</v>
          </cell>
          <cell r="C279">
            <v>0</v>
          </cell>
          <cell r="D279">
            <v>0</v>
          </cell>
          <cell r="E279">
            <v>0</v>
          </cell>
          <cell r="F279">
            <v>0</v>
          </cell>
        </row>
        <row r="280">
          <cell r="A280" t="str">
            <v>600-15-085</v>
          </cell>
          <cell r="B280" t="str">
            <v>RBA LEVIES</v>
          </cell>
          <cell r="C280">
            <v>0</v>
          </cell>
          <cell r="D280">
            <v>0</v>
          </cell>
          <cell r="E280">
            <v>0</v>
          </cell>
          <cell r="F280">
            <v>0</v>
          </cell>
        </row>
        <row r="281">
          <cell r="A281" t="str">
            <v>600-15-090</v>
          </cell>
          <cell r="B281" t="str">
            <v>ACTUARIAL FEES</v>
          </cell>
          <cell r="C281">
            <v>0</v>
          </cell>
          <cell r="D281">
            <v>0</v>
          </cell>
          <cell r="E281">
            <v>0</v>
          </cell>
          <cell r="F281">
            <v>0</v>
          </cell>
        </row>
        <row r="282">
          <cell r="A282" t="str">
            <v>600-15-095</v>
          </cell>
          <cell r="B282" t="str">
            <v>GROUP MORTGAGE CLAIMS</v>
          </cell>
          <cell r="C282">
            <v>0</v>
          </cell>
          <cell r="D282">
            <v>0</v>
          </cell>
          <cell r="E282">
            <v>0</v>
          </cell>
          <cell r="F282">
            <v>0</v>
          </cell>
        </row>
        <row r="283">
          <cell r="A283" t="str">
            <v>600-15-100</v>
          </cell>
          <cell r="B283" t="str">
            <v>PREMIUM REFUND</v>
          </cell>
          <cell r="C283">
            <v>0</v>
          </cell>
          <cell r="D283">
            <v>0</v>
          </cell>
          <cell r="E283">
            <v>0</v>
          </cell>
          <cell r="F283">
            <v>0</v>
          </cell>
        </row>
        <row r="284">
          <cell r="A284" t="str">
            <v>700-05-010</v>
          </cell>
          <cell r="B284" t="str">
            <v>AMBALAL HOUSE</v>
          </cell>
          <cell r="C284">
            <v>0</v>
          </cell>
          <cell r="D284">
            <v>0</v>
          </cell>
          <cell r="E284">
            <v>0</v>
          </cell>
          <cell r="F284">
            <v>0</v>
          </cell>
        </row>
        <row r="285">
          <cell r="A285" t="str">
            <v>700-05-015</v>
          </cell>
          <cell r="B285" t="str">
            <v>RUNDA PLOT</v>
          </cell>
          <cell r="C285">
            <v>0</v>
          </cell>
          <cell r="D285">
            <v>0</v>
          </cell>
          <cell r="E285">
            <v>0</v>
          </cell>
          <cell r="F285">
            <v>0</v>
          </cell>
        </row>
        <row r="286">
          <cell r="A286" t="str">
            <v>700-05-020</v>
          </cell>
          <cell r="B286" t="str">
            <v>PAN AFRICA HOUSE NBI</v>
          </cell>
          <cell r="C286">
            <v>0</v>
          </cell>
          <cell r="D286">
            <v>0</v>
          </cell>
          <cell r="E286">
            <v>0</v>
          </cell>
          <cell r="F286">
            <v>0</v>
          </cell>
        </row>
        <row r="287">
          <cell r="A287" t="str">
            <v>700-05-025</v>
          </cell>
          <cell r="B287" t="str">
            <v>RESIDENTIAL HSE -RETREAT VILLAS</v>
          </cell>
          <cell r="C287">
            <v>0</v>
          </cell>
          <cell r="D287">
            <v>0</v>
          </cell>
          <cell r="E287">
            <v>0</v>
          </cell>
          <cell r="F287">
            <v>0</v>
          </cell>
        </row>
        <row r="288">
          <cell r="A288" t="str">
            <v>700-05-030</v>
          </cell>
          <cell r="B288" t="str">
            <v>PAN AFRICA INS. ARCADE PETROL STATION</v>
          </cell>
          <cell r="C288">
            <v>0</v>
          </cell>
          <cell r="D288">
            <v>0</v>
          </cell>
          <cell r="E288">
            <v>0</v>
          </cell>
          <cell r="F288">
            <v>0</v>
          </cell>
        </row>
        <row r="289">
          <cell r="A289" t="str">
            <v>700-10-010</v>
          </cell>
          <cell r="B289" t="str">
            <v>MOTOR VEHICLES</v>
          </cell>
          <cell r="C289">
            <v>0</v>
          </cell>
          <cell r="D289">
            <v>0</v>
          </cell>
          <cell r="E289">
            <v>0</v>
          </cell>
          <cell r="F289">
            <v>0</v>
          </cell>
        </row>
        <row r="290">
          <cell r="A290" t="str">
            <v>700-10-020</v>
          </cell>
          <cell r="B290" t="str">
            <v>COMPUTER EQUIPMENT</v>
          </cell>
          <cell r="C290">
            <v>0</v>
          </cell>
          <cell r="D290">
            <v>0</v>
          </cell>
          <cell r="E290">
            <v>0</v>
          </cell>
          <cell r="F290">
            <v>0</v>
          </cell>
        </row>
        <row r="291">
          <cell r="A291" t="str">
            <v>700-10-030</v>
          </cell>
          <cell r="B291" t="str">
            <v>FIXTURES &amp; FITTINGS</v>
          </cell>
          <cell r="C291">
            <v>0</v>
          </cell>
          <cell r="D291">
            <v>0</v>
          </cell>
          <cell r="E291">
            <v>0</v>
          </cell>
          <cell r="F291">
            <v>0</v>
          </cell>
        </row>
        <row r="292">
          <cell r="A292" t="str">
            <v>700-10-035</v>
          </cell>
          <cell r="B292" t="str">
            <v>INTANGIBLE ASSETS-SOFTWARE</v>
          </cell>
          <cell r="C292">
            <v>0</v>
          </cell>
          <cell r="D292">
            <v>0</v>
          </cell>
          <cell r="E292">
            <v>0</v>
          </cell>
          <cell r="F292">
            <v>0</v>
          </cell>
        </row>
        <row r="293">
          <cell r="A293" t="str">
            <v>700-10-040</v>
          </cell>
          <cell r="B293" t="str">
            <v>PROJECT MARA</v>
          </cell>
          <cell r="C293">
            <v>0</v>
          </cell>
          <cell r="D293">
            <v>0</v>
          </cell>
          <cell r="E293">
            <v>0</v>
          </cell>
          <cell r="F293">
            <v>0</v>
          </cell>
        </row>
        <row r="294">
          <cell r="A294" t="str">
            <v>700-20-010</v>
          </cell>
          <cell r="B294" t="str">
            <v>PAN AFRICA HSE NBI</v>
          </cell>
          <cell r="C294">
            <v>0</v>
          </cell>
          <cell r="D294">
            <v>0</v>
          </cell>
          <cell r="E294">
            <v>0</v>
          </cell>
          <cell r="F294">
            <v>0</v>
          </cell>
        </row>
        <row r="295">
          <cell r="A295" t="str">
            <v>700-20-020</v>
          </cell>
          <cell r="B295" t="str">
            <v>RESIDENTIAL HSE-LORESHO</v>
          </cell>
          <cell r="C295">
            <v>13265000</v>
          </cell>
          <cell r="D295">
            <v>0</v>
          </cell>
          <cell r="E295">
            <v>13265000</v>
          </cell>
          <cell r="F295">
            <v>13265000</v>
          </cell>
        </row>
        <row r="296">
          <cell r="A296" t="str">
            <v>700-20-025</v>
          </cell>
          <cell r="B296" t="str">
            <v>REVALUATION SURPLUS</v>
          </cell>
          <cell r="C296">
            <v>0</v>
          </cell>
          <cell r="D296">
            <v>0</v>
          </cell>
          <cell r="E296">
            <v>0</v>
          </cell>
          <cell r="F296">
            <v>0</v>
          </cell>
        </row>
        <row r="297">
          <cell r="A297" t="str">
            <v>700-20-030</v>
          </cell>
          <cell r="B297" t="str">
            <v>RESIDENTIAL HSE-RETREAT</v>
          </cell>
          <cell r="C297">
            <v>0</v>
          </cell>
          <cell r="D297">
            <v>0</v>
          </cell>
          <cell r="E297">
            <v>0</v>
          </cell>
          <cell r="F297">
            <v>0</v>
          </cell>
        </row>
        <row r="298">
          <cell r="A298" t="str">
            <v>700-25-010</v>
          </cell>
          <cell r="B298" t="str">
            <v>LORESHO RESIDENTIAL</v>
          </cell>
          <cell r="C298">
            <v>15000000</v>
          </cell>
          <cell r="D298">
            <v>0</v>
          </cell>
          <cell r="E298">
            <v>15000000</v>
          </cell>
          <cell r="F298">
            <v>15000000</v>
          </cell>
        </row>
        <row r="299">
          <cell r="A299" t="str">
            <v>700-30-010</v>
          </cell>
          <cell r="B299" t="str">
            <v>TREASURY BONDS</v>
          </cell>
          <cell r="C299">
            <v>0</v>
          </cell>
          <cell r="D299">
            <v>0</v>
          </cell>
          <cell r="E299">
            <v>0</v>
          </cell>
          <cell r="F299">
            <v>0</v>
          </cell>
        </row>
        <row r="300">
          <cell r="A300" t="str">
            <v>700-30-020</v>
          </cell>
          <cell r="B300" t="str">
            <v>TREASURY BILLS</v>
          </cell>
          <cell r="C300">
            <v>0</v>
          </cell>
          <cell r="D300">
            <v>0</v>
          </cell>
          <cell r="E300">
            <v>0</v>
          </cell>
          <cell r="F300">
            <v>0</v>
          </cell>
        </row>
        <row r="301">
          <cell r="A301" t="str">
            <v>700-30-025</v>
          </cell>
          <cell r="B301" t="str">
            <v>FIXED INCOME INVESTMENTS POOL</v>
          </cell>
          <cell r="C301">
            <v>0</v>
          </cell>
          <cell r="D301">
            <v>0</v>
          </cell>
          <cell r="E301">
            <v>0</v>
          </cell>
          <cell r="F301">
            <v>0</v>
          </cell>
        </row>
        <row r="302">
          <cell r="A302" t="str">
            <v>700-30-026</v>
          </cell>
          <cell r="B302" t="str">
            <v>BOND FUND</v>
          </cell>
          <cell r="C302">
            <v>252333855.94999999</v>
          </cell>
          <cell r="D302">
            <v>1398344</v>
          </cell>
          <cell r="E302">
            <v>253732199.94999999</v>
          </cell>
          <cell r="F302">
            <v>253732199.94999999</v>
          </cell>
        </row>
        <row r="303">
          <cell r="A303" t="str">
            <v>700-30-027</v>
          </cell>
          <cell r="B303" t="str">
            <v>MONEY MARKET FUND</v>
          </cell>
          <cell r="C303">
            <v>268343891.19999999</v>
          </cell>
          <cell r="D303">
            <v>734723</v>
          </cell>
          <cell r="E303">
            <v>269078614.19999999</v>
          </cell>
          <cell r="F303">
            <v>269078614.19999999</v>
          </cell>
        </row>
        <row r="304">
          <cell r="A304" t="str">
            <v>700-30-030</v>
          </cell>
          <cell r="B304" t="str">
            <v>ACCRUED INTEREST</v>
          </cell>
          <cell r="C304">
            <v>0</v>
          </cell>
          <cell r="D304">
            <v>0</v>
          </cell>
          <cell r="E304">
            <v>0</v>
          </cell>
          <cell r="F304">
            <v>0</v>
          </cell>
        </row>
        <row r="305">
          <cell r="A305" t="str">
            <v>700-30-040</v>
          </cell>
          <cell r="B305" t="str">
            <v>PREM ON BOND</v>
          </cell>
          <cell r="C305">
            <v>0</v>
          </cell>
          <cell r="D305">
            <v>0</v>
          </cell>
          <cell r="E305">
            <v>0</v>
          </cell>
          <cell r="F305">
            <v>0</v>
          </cell>
        </row>
        <row r="306">
          <cell r="A306" t="str">
            <v>700-30-045</v>
          </cell>
          <cell r="B306" t="str">
            <v>GAIN/LOSS ON VALUATION-TBS</v>
          </cell>
          <cell r="C306">
            <v>0</v>
          </cell>
          <cell r="D306">
            <v>0</v>
          </cell>
          <cell r="E306">
            <v>0</v>
          </cell>
          <cell r="F306">
            <v>0</v>
          </cell>
        </row>
        <row r="307">
          <cell r="A307" t="str">
            <v>700-35-010</v>
          </cell>
          <cell r="B307" t="str">
            <v>TREASURY BONDS</v>
          </cell>
          <cell r="C307">
            <v>748720</v>
          </cell>
          <cell r="D307">
            <v>1662263</v>
          </cell>
          <cell r="E307">
            <v>2410983</v>
          </cell>
          <cell r="F307">
            <v>2410983</v>
          </cell>
        </row>
        <row r="308">
          <cell r="A308" t="str">
            <v>700-50-010</v>
          </cell>
          <cell r="B308" t="str">
            <v>BROOKE BOND LEIBERG</v>
          </cell>
          <cell r="C308">
            <v>0</v>
          </cell>
          <cell r="D308">
            <v>0</v>
          </cell>
          <cell r="E308">
            <v>0</v>
          </cell>
          <cell r="F308">
            <v>0</v>
          </cell>
        </row>
        <row r="309">
          <cell r="A309" t="str">
            <v>700-50-020</v>
          </cell>
          <cell r="B309" t="str">
            <v>EQUITIES INVESTMENT POOL</v>
          </cell>
          <cell r="C309">
            <v>0</v>
          </cell>
          <cell r="D309">
            <v>0</v>
          </cell>
          <cell r="E309">
            <v>0</v>
          </cell>
          <cell r="F309">
            <v>0</v>
          </cell>
        </row>
        <row r="310">
          <cell r="A310" t="str">
            <v>700-50-021</v>
          </cell>
          <cell r="B310" t="str">
            <v>EQUITY FUND</v>
          </cell>
          <cell r="C310">
            <v>137797835.80000001</v>
          </cell>
          <cell r="D310">
            <v>-7380679</v>
          </cell>
          <cell r="E310">
            <v>130417156.8</v>
          </cell>
          <cell r="F310">
            <v>130417156.8</v>
          </cell>
        </row>
        <row r="311">
          <cell r="A311" t="str">
            <v>700-50-022</v>
          </cell>
          <cell r="B311" t="str">
            <v>SPECIAL OPPORTUNITIES FUND</v>
          </cell>
          <cell r="C311">
            <v>14019089.25</v>
          </cell>
          <cell r="D311">
            <v>60430</v>
          </cell>
          <cell r="E311">
            <v>14079519.25</v>
          </cell>
          <cell r="F311">
            <v>14079519.25</v>
          </cell>
        </row>
        <row r="312">
          <cell r="A312" t="str">
            <v>700-50-025</v>
          </cell>
          <cell r="B312" t="str">
            <v>EQUITY POOL-INTEREST FIXED DEPOSIT</v>
          </cell>
          <cell r="C312">
            <v>0</v>
          </cell>
          <cell r="D312">
            <v>0</v>
          </cell>
          <cell r="E312">
            <v>0</v>
          </cell>
          <cell r="F312">
            <v>0</v>
          </cell>
        </row>
        <row r="313">
          <cell r="A313" t="str">
            <v>700-50-030</v>
          </cell>
          <cell r="B313" t="str">
            <v>SHARE SETTLEMENT CASH IN TRANSIT-EQUITY</v>
          </cell>
          <cell r="C313">
            <v>0</v>
          </cell>
          <cell r="D313">
            <v>0</v>
          </cell>
          <cell r="E313">
            <v>0</v>
          </cell>
          <cell r="F313">
            <v>0</v>
          </cell>
        </row>
        <row r="314">
          <cell r="A314" t="str">
            <v>700-50-035</v>
          </cell>
          <cell r="B314" t="str">
            <v>BAMBURI CEMENT</v>
          </cell>
          <cell r="C314">
            <v>0</v>
          </cell>
          <cell r="D314">
            <v>0</v>
          </cell>
          <cell r="E314">
            <v>0</v>
          </cell>
          <cell r="F314">
            <v>0</v>
          </cell>
        </row>
        <row r="315">
          <cell r="A315" t="str">
            <v>700-50-040</v>
          </cell>
          <cell r="B315" t="str">
            <v>SASINI TEA &amp; COFFEE LTD</v>
          </cell>
          <cell r="C315">
            <v>0</v>
          </cell>
          <cell r="D315">
            <v>0</v>
          </cell>
          <cell r="E315">
            <v>0</v>
          </cell>
          <cell r="F315">
            <v>0</v>
          </cell>
        </row>
        <row r="316">
          <cell r="A316" t="str">
            <v>700-50-050</v>
          </cell>
          <cell r="B316" t="str">
            <v>E.A BREWERIES</v>
          </cell>
          <cell r="C316">
            <v>0</v>
          </cell>
          <cell r="D316">
            <v>0</v>
          </cell>
          <cell r="E316">
            <v>0</v>
          </cell>
          <cell r="F316">
            <v>0</v>
          </cell>
        </row>
        <row r="317">
          <cell r="A317" t="str">
            <v>700-50-055</v>
          </cell>
          <cell r="B317" t="str">
            <v>EAST AFRICA PORTLAND</v>
          </cell>
          <cell r="C317">
            <v>0</v>
          </cell>
          <cell r="D317">
            <v>0</v>
          </cell>
          <cell r="E317">
            <v>0</v>
          </cell>
          <cell r="F317">
            <v>0</v>
          </cell>
        </row>
        <row r="318">
          <cell r="A318" t="str">
            <v>700-50-060</v>
          </cell>
          <cell r="B318" t="str">
            <v>UNGA GROUP</v>
          </cell>
          <cell r="C318">
            <v>0</v>
          </cell>
          <cell r="D318">
            <v>0</v>
          </cell>
          <cell r="E318">
            <v>0</v>
          </cell>
          <cell r="F318">
            <v>0</v>
          </cell>
        </row>
        <row r="319">
          <cell r="A319" t="str">
            <v>700-50-065</v>
          </cell>
          <cell r="B319" t="str">
            <v>STANCHART</v>
          </cell>
          <cell r="C319">
            <v>0</v>
          </cell>
          <cell r="D319">
            <v>0</v>
          </cell>
          <cell r="E319">
            <v>0</v>
          </cell>
          <cell r="F319">
            <v>0</v>
          </cell>
        </row>
        <row r="320">
          <cell r="A320" t="str">
            <v>700-50-070</v>
          </cell>
          <cell r="B320" t="str">
            <v>NATIONAL IND.CREDIT BANK</v>
          </cell>
          <cell r="C320">
            <v>0</v>
          </cell>
          <cell r="D320">
            <v>0</v>
          </cell>
          <cell r="E320">
            <v>0</v>
          </cell>
          <cell r="F320">
            <v>0</v>
          </cell>
        </row>
        <row r="321">
          <cell r="A321" t="str">
            <v>700-50-075</v>
          </cell>
          <cell r="B321" t="str">
            <v>KENYA AIRWAYS</v>
          </cell>
          <cell r="C321">
            <v>0</v>
          </cell>
          <cell r="D321">
            <v>0</v>
          </cell>
          <cell r="E321">
            <v>0</v>
          </cell>
          <cell r="F321">
            <v>0</v>
          </cell>
        </row>
        <row r="322">
          <cell r="A322" t="str">
            <v>700-50-080</v>
          </cell>
          <cell r="B322" t="str">
            <v>BRITISH AMERICAN TOBACCO</v>
          </cell>
          <cell r="C322">
            <v>0</v>
          </cell>
          <cell r="D322">
            <v>0</v>
          </cell>
          <cell r="E322">
            <v>0</v>
          </cell>
          <cell r="F322">
            <v>0</v>
          </cell>
        </row>
        <row r="323">
          <cell r="A323" t="str">
            <v>700-50-090</v>
          </cell>
          <cell r="B323" t="str">
            <v>KENYA OIL COMPANY LTD.</v>
          </cell>
          <cell r="C323">
            <v>0</v>
          </cell>
          <cell r="D323">
            <v>0</v>
          </cell>
          <cell r="E323">
            <v>0</v>
          </cell>
          <cell r="F323">
            <v>0</v>
          </cell>
        </row>
        <row r="324">
          <cell r="A324" t="str">
            <v>700-50-100</v>
          </cell>
          <cell r="B324" t="str">
            <v>FIRESTONE E.A.</v>
          </cell>
          <cell r="C324">
            <v>0</v>
          </cell>
          <cell r="D324">
            <v>0</v>
          </cell>
          <cell r="E324">
            <v>0</v>
          </cell>
          <cell r="F324">
            <v>0</v>
          </cell>
        </row>
        <row r="325">
          <cell r="A325" t="str">
            <v>700-50-110</v>
          </cell>
          <cell r="B325" t="str">
            <v>ATHI RIVER MINING</v>
          </cell>
          <cell r="C325">
            <v>0</v>
          </cell>
          <cell r="D325">
            <v>0</v>
          </cell>
          <cell r="E325">
            <v>0</v>
          </cell>
          <cell r="F325">
            <v>0</v>
          </cell>
        </row>
        <row r="326">
          <cell r="A326" t="str">
            <v>700-50-115</v>
          </cell>
          <cell r="B326" t="str">
            <v>MUMIAS LIMITED</v>
          </cell>
          <cell r="C326">
            <v>0</v>
          </cell>
          <cell r="D326">
            <v>0</v>
          </cell>
          <cell r="E326">
            <v>0</v>
          </cell>
          <cell r="F326">
            <v>0</v>
          </cell>
        </row>
        <row r="327">
          <cell r="A327" t="str">
            <v>700-50-120</v>
          </cell>
          <cell r="B327" t="str">
            <v>BARCLAYS BANK OF KENYA</v>
          </cell>
          <cell r="C327">
            <v>0</v>
          </cell>
          <cell r="D327">
            <v>0</v>
          </cell>
          <cell r="E327">
            <v>0</v>
          </cell>
          <cell r="F327">
            <v>0</v>
          </cell>
        </row>
        <row r="328">
          <cell r="A328" t="str">
            <v>700-50-125</v>
          </cell>
          <cell r="B328" t="str">
            <v>EAST AFRICA PORTLAND</v>
          </cell>
          <cell r="C328">
            <v>0</v>
          </cell>
          <cell r="D328">
            <v>0</v>
          </cell>
          <cell r="E328">
            <v>0</v>
          </cell>
          <cell r="F328">
            <v>0</v>
          </cell>
        </row>
        <row r="329">
          <cell r="A329" t="str">
            <v>700-50-130</v>
          </cell>
          <cell r="B329" t="str">
            <v>NATION MEDIA GROUP</v>
          </cell>
          <cell r="C329">
            <v>0</v>
          </cell>
          <cell r="D329">
            <v>0</v>
          </cell>
          <cell r="E329">
            <v>0</v>
          </cell>
          <cell r="F329">
            <v>0</v>
          </cell>
        </row>
        <row r="330">
          <cell r="A330" t="str">
            <v>700-50-135</v>
          </cell>
          <cell r="B330" t="str">
            <v>ICDC INVESTMENTS SHARES</v>
          </cell>
          <cell r="C330">
            <v>0</v>
          </cell>
          <cell r="D330">
            <v>0</v>
          </cell>
          <cell r="E330">
            <v>0</v>
          </cell>
          <cell r="F330">
            <v>0</v>
          </cell>
        </row>
        <row r="331">
          <cell r="A331" t="str">
            <v>700-50-140</v>
          </cell>
          <cell r="B331" t="str">
            <v>KENYA COMMERCIAL BANK</v>
          </cell>
          <cell r="C331">
            <v>0</v>
          </cell>
          <cell r="D331">
            <v>0</v>
          </cell>
          <cell r="E331">
            <v>0</v>
          </cell>
          <cell r="F331">
            <v>0</v>
          </cell>
        </row>
        <row r="332">
          <cell r="A332" t="str">
            <v>700-50-145</v>
          </cell>
          <cell r="B332" t="str">
            <v>TOTAL KENYA KTD.</v>
          </cell>
          <cell r="C332">
            <v>0</v>
          </cell>
          <cell r="D332">
            <v>0</v>
          </cell>
          <cell r="E332">
            <v>0</v>
          </cell>
          <cell r="F332">
            <v>0</v>
          </cell>
        </row>
        <row r="333">
          <cell r="A333" t="str">
            <v>700-50-150</v>
          </cell>
          <cell r="B333" t="str">
            <v>K P L C</v>
          </cell>
          <cell r="C333">
            <v>0</v>
          </cell>
          <cell r="D333">
            <v>0</v>
          </cell>
          <cell r="E333">
            <v>0</v>
          </cell>
          <cell r="F333">
            <v>0</v>
          </cell>
        </row>
        <row r="334">
          <cell r="A334" t="str">
            <v>700-50-155</v>
          </cell>
          <cell r="B334" t="str">
            <v>C F C BANK LTD.</v>
          </cell>
          <cell r="C334">
            <v>0</v>
          </cell>
          <cell r="D334">
            <v>0</v>
          </cell>
          <cell r="E334">
            <v>0</v>
          </cell>
          <cell r="F334">
            <v>0</v>
          </cell>
        </row>
        <row r="335">
          <cell r="A335" t="str">
            <v>700-50-160</v>
          </cell>
          <cell r="B335" t="str">
            <v>KAKUZI LTD.</v>
          </cell>
          <cell r="C335">
            <v>0</v>
          </cell>
          <cell r="D335">
            <v>0</v>
          </cell>
          <cell r="E335">
            <v>0</v>
          </cell>
          <cell r="F335">
            <v>0</v>
          </cell>
        </row>
        <row r="336">
          <cell r="A336" t="str">
            <v>700-50-165</v>
          </cell>
          <cell r="B336" t="str">
            <v>CMC HOLDINGS</v>
          </cell>
          <cell r="C336">
            <v>0</v>
          </cell>
          <cell r="D336">
            <v>0</v>
          </cell>
          <cell r="E336">
            <v>0</v>
          </cell>
          <cell r="F336">
            <v>0</v>
          </cell>
        </row>
        <row r="337">
          <cell r="A337" t="str">
            <v>700-50-170</v>
          </cell>
          <cell r="B337" t="str">
            <v>DIAMOND TRUST BANK LTD</v>
          </cell>
          <cell r="C337">
            <v>0</v>
          </cell>
          <cell r="D337">
            <v>0</v>
          </cell>
          <cell r="E337">
            <v>0</v>
          </cell>
          <cell r="F337">
            <v>0</v>
          </cell>
        </row>
        <row r="338">
          <cell r="A338" t="str">
            <v>700-50-175</v>
          </cell>
          <cell r="B338" t="str">
            <v>KENGEN LTD</v>
          </cell>
          <cell r="C338">
            <v>0</v>
          </cell>
          <cell r="D338">
            <v>0</v>
          </cell>
          <cell r="E338">
            <v>0</v>
          </cell>
          <cell r="F338">
            <v>0</v>
          </cell>
        </row>
        <row r="339">
          <cell r="A339" t="str">
            <v>700-50-180</v>
          </cell>
          <cell r="B339" t="str">
            <v>SCAN AD</v>
          </cell>
          <cell r="C339">
            <v>0</v>
          </cell>
          <cell r="D339">
            <v>0</v>
          </cell>
          <cell r="E339">
            <v>0</v>
          </cell>
          <cell r="F339">
            <v>0</v>
          </cell>
        </row>
        <row r="340">
          <cell r="A340" t="str">
            <v>700-55-010</v>
          </cell>
          <cell r="B340" t="str">
            <v>DFCU LTD</v>
          </cell>
          <cell r="C340">
            <v>0</v>
          </cell>
          <cell r="D340">
            <v>0</v>
          </cell>
          <cell r="E340">
            <v>0</v>
          </cell>
          <cell r="F340">
            <v>0</v>
          </cell>
        </row>
        <row r="341">
          <cell r="A341" t="str">
            <v>700-55-020</v>
          </cell>
          <cell r="B341" t="str">
            <v>UGANDA CLAYS</v>
          </cell>
          <cell r="C341">
            <v>0</v>
          </cell>
          <cell r="D341">
            <v>0</v>
          </cell>
          <cell r="E341">
            <v>0</v>
          </cell>
          <cell r="F341">
            <v>0</v>
          </cell>
        </row>
        <row r="342">
          <cell r="A342" t="str">
            <v>700-55-022</v>
          </cell>
          <cell r="B342" t="str">
            <v>SPECIAL OPPORTUBNITIES FUND</v>
          </cell>
          <cell r="C342">
            <v>0</v>
          </cell>
          <cell r="D342">
            <v>0</v>
          </cell>
          <cell r="E342">
            <v>0</v>
          </cell>
          <cell r="F342">
            <v>0</v>
          </cell>
        </row>
        <row r="343">
          <cell r="A343" t="str">
            <v>700-55-025</v>
          </cell>
          <cell r="B343" t="str">
            <v>SPECULATIVE INVESTMENTS POOL</v>
          </cell>
          <cell r="C343">
            <v>0</v>
          </cell>
          <cell r="D343">
            <v>0</v>
          </cell>
          <cell r="E343">
            <v>0</v>
          </cell>
          <cell r="F343">
            <v>0</v>
          </cell>
        </row>
        <row r="344">
          <cell r="A344" t="str">
            <v>700-60-010</v>
          </cell>
          <cell r="B344" t="str">
            <v>FIXED DEPOSIT CBA</v>
          </cell>
          <cell r="C344">
            <v>0</v>
          </cell>
          <cell r="D344">
            <v>0</v>
          </cell>
          <cell r="E344">
            <v>0</v>
          </cell>
          <cell r="F344">
            <v>0</v>
          </cell>
        </row>
        <row r="345">
          <cell r="A345" t="str">
            <v>700-60-020</v>
          </cell>
          <cell r="B345" t="str">
            <v>OTHERS FIXED DEPOSIT</v>
          </cell>
          <cell r="C345">
            <v>0</v>
          </cell>
          <cell r="D345">
            <v>0</v>
          </cell>
          <cell r="E345">
            <v>0</v>
          </cell>
          <cell r="F345">
            <v>0</v>
          </cell>
        </row>
        <row r="346">
          <cell r="A346" t="str">
            <v>700-60-030</v>
          </cell>
          <cell r="B346" t="str">
            <v>ACCRUED INTEREST</v>
          </cell>
          <cell r="C346">
            <v>0</v>
          </cell>
          <cell r="D346">
            <v>0</v>
          </cell>
          <cell r="E346">
            <v>0</v>
          </cell>
          <cell r="F346">
            <v>0</v>
          </cell>
        </row>
        <row r="347">
          <cell r="A347" t="str">
            <v>700-60-040</v>
          </cell>
          <cell r="B347" t="str">
            <v>FIXED DEPOSIT-DELPHIS</v>
          </cell>
          <cell r="C347">
            <v>0</v>
          </cell>
          <cell r="D347">
            <v>0</v>
          </cell>
          <cell r="E347">
            <v>0</v>
          </cell>
          <cell r="F347">
            <v>0</v>
          </cell>
        </row>
        <row r="348">
          <cell r="A348" t="str">
            <v>700-60-050</v>
          </cell>
          <cell r="B348" t="str">
            <v>FIXED DEPOSIT TANZANIA</v>
          </cell>
          <cell r="C348">
            <v>0</v>
          </cell>
          <cell r="D348">
            <v>0</v>
          </cell>
          <cell r="E348">
            <v>0</v>
          </cell>
          <cell r="F348">
            <v>0</v>
          </cell>
        </row>
        <row r="349">
          <cell r="A349" t="str">
            <v>700-60-060</v>
          </cell>
          <cell r="B349" t="str">
            <v>DELPHIS-PROVISION</v>
          </cell>
          <cell r="C349">
            <v>0</v>
          </cell>
          <cell r="D349">
            <v>0</v>
          </cell>
          <cell r="E349">
            <v>0</v>
          </cell>
          <cell r="F349">
            <v>0</v>
          </cell>
        </row>
        <row r="350">
          <cell r="A350" t="str">
            <v>700-60-070</v>
          </cell>
          <cell r="B350" t="str">
            <v>STANBIC CUSTODIAN SERVICE</v>
          </cell>
          <cell r="C350">
            <v>0</v>
          </cell>
          <cell r="D350">
            <v>0</v>
          </cell>
          <cell r="E350">
            <v>0</v>
          </cell>
          <cell r="F350">
            <v>0</v>
          </cell>
        </row>
        <row r="351">
          <cell r="A351" t="str">
            <v>700-60-075</v>
          </cell>
          <cell r="B351" t="str">
            <v>STANBIC CUSTODIAL-BOND FUND</v>
          </cell>
          <cell r="C351">
            <v>0</v>
          </cell>
          <cell r="D351">
            <v>0</v>
          </cell>
          <cell r="E351">
            <v>0</v>
          </cell>
          <cell r="F351">
            <v>0</v>
          </cell>
        </row>
        <row r="352">
          <cell r="A352" t="str">
            <v>700-60-080</v>
          </cell>
          <cell r="B352" t="str">
            <v>STANBIC CUSTODIAL-EQUITY FUND</v>
          </cell>
          <cell r="C352">
            <v>0</v>
          </cell>
          <cell r="D352">
            <v>0</v>
          </cell>
          <cell r="E352">
            <v>0</v>
          </cell>
          <cell r="F352">
            <v>0</v>
          </cell>
        </row>
        <row r="353">
          <cell r="A353" t="str">
            <v>700-60-085</v>
          </cell>
          <cell r="B353" t="str">
            <v>STANBIC CUSTODIAL-SPECIAL OPPORTUNITIES</v>
          </cell>
          <cell r="C353">
            <v>0</v>
          </cell>
          <cell r="D353">
            <v>0</v>
          </cell>
          <cell r="E353">
            <v>0</v>
          </cell>
          <cell r="F353">
            <v>0</v>
          </cell>
        </row>
        <row r="354">
          <cell r="A354" t="str">
            <v>700-60-086</v>
          </cell>
          <cell r="B354" t="str">
            <v>STANBIC-CUSTODIAL MONEY MARKET FUND</v>
          </cell>
          <cell r="C354">
            <v>0</v>
          </cell>
          <cell r="D354">
            <v>0</v>
          </cell>
          <cell r="E354">
            <v>0</v>
          </cell>
          <cell r="F354">
            <v>0</v>
          </cell>
        </row>
        <row r="355">
          <cell r="A355" t="str">
            <v>700-70-020</v>
          </cell>
          <cell r="B355" t="str">
            <v>E.A.DEVELOPMENT BANK</v>
          </cell>
          <cell r="C355">
            <v>0</v>
          </cell>
          <cell r="D355">
            <v>0</v>
          </cell>
          <cell r="E355">
            <v>0</v>
          </cell>
          <cell r="F355">
            <v>0</v>
          </cell>
        </row>
        <row r="356">
          <cell r="A356" t="str">
            <v>700-70-025</v>
          </cell>
          <cell r="B356" t="str">
            <v>VARIABLE COUPON BONDS</v>
          </cell>
          <cell r="C356">
            <v>0</v>
          </cell>
          <cell r="D356">
            <v>0</v>
          </cell>
          <cell r="E356">
            <v>0</v>
          </cell>
          <cell r="F356">
            <v>0</v>
          </cell>
        </row>
        <row r="357">
          <cell r="A357" t="str">
            <v>700-70-030</v>
          </cell>
          <cell r="B357" t="str">
            <v>COMMERCIAL PAPER</v>
          </cell>
          <cell r="C357">
            <v>0</v>
          </cell>
          <cell r="D357">
            <v>0</v>
          </cell>
          <cell r="E357">
            <v>0</v>
          </cell>
          <cell r="F357">
            <v>0</v>
          </cell>
        </row>
        <row r="358">
          <cell r="A358" t="str">
            <v>700-70-040</v>
          </cell>
          <cell r="B358" t="str">
            <v>KENYA OIL LTD.</v>
          </cell>
          <cell r="C358">
            <v>0</v>
          </cell>
          <cell r="D358">
            <v>0</v>
          </cell>
          <cell r="E358">
            <v>0</v>
          </cell>
          <cell r="F358">
            <v>0</v>
          </cell>
        </row>
        <row r="359">
          <cell r="A359" t="str">
            <v>700-70-045</v>
          </cell>
          <cell r="B359" t="str">
            <v>PTA</v>
          </cell>
          <cell r="C359">
            <v>0</v>
          </cell>
          <cell r="D359">
            <v>0</v>
          </cell>
          <cell r="E359">
            <v>0</v>
          </cell>
          <cell r="F359">
            <v>0</v>
          </cell>
        </row>
        <row r="360">
          <cell r="A360" t="str">
            <v>700-70-050</v>
          </cell>
          <cell r="B360" t="str">
            <v>MABATI ROLLING MILLS</v>
          </cell>
          <cell r="C360">
            <v>0</v>
          </cell>
          <cell r="D360">
            <v>0</v>
          </cell>
          <cell r="E360">
            <v>0</v>
          </cell>
          <cell r="F360">
            <v>0</v>
          </cell>
        </row>
        <row r="361">
          <cell r="A361" t="str">
            <v>700-70-060</v>
          </cell>
          <cell r="B361" t="str">
            <v>ACCRUED INTEREST</v>
          </cell>
          <cell r="C361">
            <v>0</v>
          </cell>
          <cell r="D361">
            <v>0</v>
          </cell>
          <cell r="E361">
            <v>0</v>
          </cell>
          <cell r="F361">
            <v>0</v>
          </cell>
        </row>
        <row r="362">
          <cell r="A362" t="str">
            <v>700-70-065</v>
          </cell>
          <cell r="B362" t="str">
            <v>ATHI RIVER MINING</v>
          </cell>
          <cell r="C362">
            <v>0</v>
          </cell>
          <cell r="D362">
            <v>0</v>
          </cell>
          <cell r="E362">
            <v>0</v>
          </cell>
          <cell r="F362">
            <v>0</v>
          </cell>
        </row>
        <row r="363">
          <cell r="A363" t="str">
            <v>700-70-070</v>
          </cell>
          <cell r="B363" t="str">
            <v>CMC HOLDINGS</v>
          </cell>
          <cell r="C363">
            <v>0</v>
          </cell>
          <cell r="D363">
            <v>0</v>
          </cell>
          <cell r="E363">
            <v>0</v>
          </cell>
          <cell r="F363">
            <v>0</v>
          </cell>
        </row>
        <row r="364">
          <cell r="A364" t="str">
            <v>700-70-075</v>
          </cell>
          <cell r="B364" t="str">
            <v>GAIN/LOSS ON VALUATION</v>
          </cell>
          <cell r="C364">
            <v>0</v>
          </cell>
          <cell r="D364">
            <v>0</v>
          </cell>
          <cell r="E364">
            <v>0</v>
          </cell>
          <cell r="F364">
            <v>0</v>
          </cell>
        </row>
        <row r="365">
          <cell r="A365" t="str">
            <v>700-75-010</v>
          </cell>
          <cell r="B365" t="str">
            <v>LOAN ON MORTGAGE THIRD PARTY</v>
          </cell>
          <cell r="C365">
            <v>0</v>
          </cell>
          <cell r="D365">
            <v>0</v>
          </cell>
          <cell r="E365">
            <v>0</v>
          </cell>
          <cell r="F365">
            <v>0</v>
          </cell>
        </row>
        <row r="366">
          <cell r="A366" t="str">
            <v>700-75-020</v>
          </cell>
          <cell r="B366" t="str">
            <v>LOAN ON MORTGAGE -STAFF</v>
          </cell>
          <cell r="C366">
            <v>0</v>
          </cell>
          <cell r="D366">
            <v>0</v>
          </cell>
          <cell r="E366">
            <v>0</v>
          </cell>
          <cell r="F366">
            <v>0</v>
          </cell>
        </row>
        <row r="367">
          <cell r="A367" t="str">
            <v>700-75-025</v>
          </cell>
          <cell r="B367" t="str">
            <v>O/S INTEREST ON MORTGAGE</v>
          </cell>
          <cell r="C367">
            <v>0</v>
          </cell>
          <cell r="D367">
            <v>0</v>
          </cell>
          <cell r="E367">
            <v>0</v>
          </cell>
          <cell r="F367">
            <v>0</v>
          </cell>
        </row>
        <row r="368">
          <cell r="A368" t="str">
            <v>700-75-030</v>
          </cell>
          <cell r="B368" t="str">
            <v>MORTGAGE-RETREAT VILLA</v>
          </cell>
          <cell r="C368">
            <v>14979272</v>
          </cell>
          <cell r="D368">
            <v>0</v>
          </cell>
          <cell r="E368">
            <v>14979272</v>
          </cell>
          <cell r="F368">
            <v>14979272</v>
          </cell>
        </row>
        <row r="369">
          <cell r="A369" t="str">
            <v>700-78-010</v>
          </cell>
          <cell r="B369" t="str">
            <v>LOAN ON POLICY W/S/V</v>
          </cell>
          <cell r="C369">
            <v>0</v>
          </cell>
          <cell r="D369">
            <v>0</v>
          </cell>
          <cell r="E369">
            <v>0</v>
          </cell>
          <cell r="F369">
            <v>0</v>
          </cell>
        </row>
        <row r="370">
          <cell r="A370" t="str">
            <v>700-78-020</v>
          </cell>
          <cell r="B370" t="str">
            <v>LOAN ON POLICY TANZANIA</v>
          </cell>
          <cell r="C370">
            <v>0</v>
          </cell>
          <cell r="D370">
            <v>0</v>
          </cell>
          <cell r="E370">
            <v>0</v>
          </cell>
          <cell r="F370">
            <v>0</v>
          </cell>
        </row>
        <row r="371">
          <cell r="A371" t="str">
            <v>700-78-030</v>
          </cell>
          <cell r="B371" t="str">
            <v>LOAN ON POLICY REPAYMENT</v>
          </cell>
          <cell r="C371">
            <v>0</v>
          </cell>
          <cell r="D371">
            <v>0</v>
          </cell>
          <cell r="E371">
            <v>0</v>
          </cell>
          <cell r="F371">
            <v>0</v>
          </cell>
        </row>
        <row r="372">
          <cell r="A372" t="str">
            <v>700-78-040</v>
          </cell>
          <cell r="B372" t="str">
            <v>O/S INTEREST ON LOAN ON POLICY</v>
          </cell>
          <cell r="C372">
            <v>0</v>
          </cell>
          <cell r="D372">
            <v>0</v>
          </cell>
          <cell r="E372">
            <v>0</v>
          </cell>
          <cell r="F372">
            <v>0</v>
          </cell>
        </row>
        <row r="373">
          <cell r="A373" t="str">
            <v>700-78-050</v>
          </cell>
          <cell r="B373" t="str">
            <v>PROVISION FOR DOUBTFUL LOANS</v>
          </cell>
          <cell r="C373">
            <v>0</v>
          </cell>
          <cell r="D373">
            <v>0</v>
          </cell>
          <cell r="E373">
            <v>0</v>
          </cell>
          <cell r="F373">
            <v>0</v>
          </cell>
        </row>
        <row r="374">
          <cell r="A374" t="str">
            <v>700-79-010</v>
          </cell>
          <cell r="B374" t="str">
            <v>POLICY LOAN-FFFP</v>
          </cell>
          <cell r="C374">
            <v>0</v>
          </cell>
          <cell r="D374">
            <v>0</v>
          </cell>
          <cell r="E374">
            <v>0</v>
          </cell>
          <cell r="F374">
            <v>0</v>
          </cell>
        </row>
        <row r="375">
          <cell r="A375" t="str">
            <v>700-79-015</v>
          </cell>
          <cell r="B375" t="str">
            <v>LOAN REPAYMENT FFP</v>
          </cell>
          <cell r="C375">
            <v>0</v>
          </cell>
          <cell r="D375">
            <v>0</v>
          </cell>
          <cell r="E375">
            <v>0</v>
          </cell>
          <cell r="F375">
            <v>0</v>
          </cell>
        </row>
        <row r="376">
          <cell r="A376" t="str">
            <v>700-79-020</v>
          </cell>
          <cell r="B376" t="str">
            <v>POLICY LOAN WP</v>
          </cell>
          <cell r="C376">
            <v>0</v>
          </cell>
          <cell r="D376">
            <v>0</v>
          </cell>
          <cell r="E376">
            <v>0</v>
          </cell>
          <cell r="F376">
            <v>0</v>
          </cell>
        </row>
        <row r="377">
          <cell r="A377" t="str">
            <v>700-79-025</v>
          </cell>
          <cell r="B377" t="str">
            <v>LOAN REPAYMENT WP</v>
          </cell>
          <cell r="C377">
            <v>0</v>
          </cell>
          <cell r="D377">
            <v>0</v>
          </cell>
          <cell r="E377">
            <v>0</v>
          </cell>
          <cell r="F377">
            <v>0</v>
          </cell>
        </row>
        <row r="378">
          <cell r="A378" t="str">
            <v>700-79-030</v>
          </cell>
          <cell r="B378" t="str">
            <v>GAIN ON VALUATION</v>
          </cell>
          <cell r="C378">
            <v>0</v>
          </cell>
          <cell r="D378">
            <v>0</v>
          </cell>
          <cell r="E378">
            <v>0</v>
          </cell>
          <cell r="F378">
            <v>0</v>
          </cell>
        </row>
        <row r="379">
          <cell r="A379" t="str">
            <v>700-80-010</v>
          </cell>
          <cell r="B379" t="str">
            <v>STAFF LOANS</v>
          </cell>
          <cell r="C379">
            <v>0</v>
          </cell>
          <cell r="D379">
            <v>0</v>
          </cell>
          <cell r="E379">
            <v>0</v>
          </cell>
          <cell r="F379">
            <v>0</v>
          </cell>
        </row>
        <row r="380">
          <cell r="A380" t="str">
            <v>700-80-020</v>
          </cell>
          <cell r="B380" t="str">
            <v>AGENTS COMMISSION CONTROL ACCOUNT</v>
          </cell>
          <cell r="C380">
            <v>0</v>
          </cell>
          <cell r="D380">
            <v>0</v>
          </cell>
          <cell r="E380">
            <v>0</v>
          </cell>
          <cell r="F380">
            <v>0</v>
          </cell>
        </row>
        <row r="381">
          <cell r="A381" t="str">
            <v>700-80-025</v>
          </cell>
          <cell r="B381" t="str">
            <v>AGENTS LOAN -COP</v>
          </cell>
          <cell r="C381">
            <v>0</v>
          </cell>
          <cell r="D381">
            <v>0</v>
          </cell>
          <cell r="E381">
            <v>0</v>
          </cell>
          <cell r="F381">
            <v>0</v>
          </cell>
        </row>
        <row r="382">
          <cell r="A382" t="str">
            <v>700-80-030</v>
          </cell>
          <cell r="B382" t="str">
            <v>AGENTS LOAN-MV PREMIUMS</v>
          </cell>
          <cell r="C382">
            <v>0</v>
          </cell>
          <cell r="D382">
            <v>0</v>
          </cell>
          <cell r="E382">
            <v>0</v>
          </cell>
          <cell r="F382">
            <v>0</v>
          </cell>
        </row>
        <row r="383">
          <cell r="A383" t="str">
            <v>700-80-035</v>
          </cell>
          <cell r="B383" t="str">
            <v>AGENTS LOAN-MEDICAL PREMIUMS</v>
          </cell>
          <cell r="C383">
            <v>0</v>
          </cell>
          <cell r="D383">
            <v>0</v>
          </cell>
          <cell r="E383">
            <v>0</v>
          </cell>
          <cell r="F383">
            <v>0</v>
          </cell>
        </row>
        <row r="384">
          <cell r="A384" t="str">
            <v>700-80-040</v>
          </cell>
          <cell r="B384" t="str">
            <v>AGENTS LOAN-1,2,3,4</v>
          </cell>
          <cell r="C384">
            <v>0</v>
          </cell>
          <cell r="D384">
            <v>0</v>
          </cell>
          <cell r="E384">
            <v>0</v>
          </cell>
          <cell r="F384">
            <v>0</v>
          </cell>
        </row>
        <row r="385">
          <cell r="A385" t="str">
            <v>700-80-045</v>
          </cell>
          <cell r="B385" t="str">
            <v>AGENTS LOAN -OTHERS</v>
          </cell>
          <cell r="C385">
            <v>0</v>
          </cell>
          <cell r="D385">
            <v>0</v>
          </cell>
          <cell r="E385">
            <v>0</v>
          </cell>
          <cell r="F385">
            <v>0</v>
          </cell>
        </row>
        <row r="386">
          <cell r="A386" t="str">
            <v>700-80-050</v>
          </cell>
          <cell r="B386" t="str">
            <v>AGENTS CAR LOANS</v>
          </cell>
          <cell r="C386">
            <v>0</v>
          </cell>
          <cell r="D386">
            <v>0</v>
          </cell>
          <cell r="E386">
            <v>0</v>
          </cell>
          <cell r="F386">
            <v>0</v>
          </cell>
        </row>
        <row r="387">
          <cell r="A387" t="str">
            <v>700-80-051</v>
          </cell>
          <cell r="B387" t="str">
            <v>PROVISIONS FOR DOUBTFUL MORTGAGES</v>
          </cell>
          <cell r="C387">
            <v>0</v>
          </cell>
          <cell r="D387">
            <v>0</v>
          </cell>
          <cell r="E387">
            <v>0</v>
          </cell>
          <cell r="F387">
            <v>0</v>
          </cell>
        </row>
        <row r="388">
          <cell r="A388" t="str">
            <v>700-80-055</v>
          </cell>
          <cell r="B388" t="str">
            <v>STAFF CAR LOANS</v>
          </cell>
          <cell r="C388">
            <v>0</v>
          </cell>
          <cell r="D388">
            <v>0</v>
          </cell>
          <cell r="E388">
            <v>0</v>
          </cell>
          <cell r="F388">
            <v>0</v>
          </cell>
        </row>
        <row r="389">
          <cell r="A389" t="str">
            <v>700-80-060</v>
          </cell>
          <cell r="B389" t="str">
            <v>MORTGAGE LOANS</v>
          </cell>
          <cell r="C389">
            <v>0</v>
          </cell>
          <cell r="D389">
            <v>0</v>
          </cell>
          <cell r="E389">
            <v>0</v>
          </cell>
          <cell r="F389">
            <v>0</v>
          </cell>
        </row>
        <row r="390">
          <cell r="A390" t="str">
            <v>700-80-065</v>
          </cell>
          <cell r="B390" t="str">
            <v>N/L PREMIUMS</v>
          </cell>
          <cell r="C390">
            <v>0</v>
          </cell>
          <cell r="D390">
            <v>0</v>
          </cell>
          <cell r="E390">
            <v>0</v>
          </cell>
          <cell r="F390">
            <v>0</v>
          </cell>
        </row>
        <row r="391">
          <cell r="A391" t="str">
            <v>700-80-066</v>
          </cell>
          <cell r="B391" t="str">
            <v>CORPORATION TAX-TANZANIA</v>
          </cell>
          <cell r="C391">
            <v>0</v>
          </cell>
          <cell r="D391">
            <v>0</v>
          </cell>
          <cell r="E391">
            <v>0</v>
          </cell>
          <cell r="F391">
            <v>0</v>
          </cell>
        </row>
        <row r="392">
          <cell r="A392" t="str">
            <v>700-80-067</v>
          </cell>
          <cell r="B392" t="str">
            <v>PAN AFRICA INS. PENSION SCHEME</v>
          </cell>
          <cell r="C392">
            <v>0</v>
          </cell>
          <cell r="D392">
            <v>0</v>
          </cell>
          <cell r="E392">
            <v>0</v>
          </cell>
          <cell r="F392">
            <v>0</v>
          </cell>
        </row>
        <row r="393">
          <cell r="A393" t="str">
            <v>700-80-068</v>
          </cell>
          <cell r="B393" t="str">
            <v>RENT DEPOSITS</v>
          </cell>
          <cell r="C393">
            <v>0</v>
          </cell>
          <cell r="D393">
            <v>0</v>
          </cell>
          <cell r="E393">
            <v>0</v>
          </cell>
          <cell r="F393">
            <v>0</v>
          </cell>
        </row>
        <row r="394">
          <cell r="A394" t="str">
            <v>700-80-069</v>
          </cell>
          <cell r="B394" t="str">
            <v>TANZANIA AACOUNT</v>
          </cell>
          <cell r="C394">
            <v>0</v>
          </cell>
          <cell r="D394">
            <v>0</v>
          </cell>
          <cell r="E394">
            <v>0</v>
          </cell>
          <cell r="F394">
            <v>0</v>
          </cell>
        </row>
        <row r="395">
          <cell r="A395" t="str">
            <v>700-80-070</v>
          </cell>
          <cell r="B395" t="str">
            <v>STAFF MEDICAL - RECOVERABLE</v>
          </cell>
          <cell r="C395">
            <v>0</v>
          </cell>
          <cell r="D395">
            <v>0</v>
          </cell>
          <cell r="E395">
            <v>0</v>
          </cell>
          <cell r="F395">
            <v>0</v>
          </cell>
        </row>
        <row r="396">
          <cell r="A396" t="str">
            <v>700-81-010</v>
          </cell>
          <cell r="B396" t="str">
            <v>KNIGHT FRANK</v>
          </cell>
          <cell r="C396">
            <v>-1361251</v>
          </cell>
          <cell r="D396">
            <v>0</v>
          </cell>
          <cell r="E396">
            <v>-1361251</v>
          </cell>
          <cell r="F396">
            <v>-1361251</v>
          </cell>
        </row>
        <row r="397">
          <cell r="A397" t="str">
            <v>700-81-015</v>
          </cell>
          <cell r="B397" t="str">
            <v>CASH IN TRANSIT</v>
          </cell>
          <cell r="C397">
            <v>3373</v>
          </cell>
          <cell r="D397">
            <v>0</v>
          </cell>
          <cell r="E397">
            <v>3373</v>
          </cell>
          <cell r="F397">
            <v>3373</v>
          </cell>
        </row>
        <row r="398">
          <cell r="A398" t="str">
            <v>700-81-020</v>
          </cell>
          <cell r="B398" t="str">
            <v>CBRE</v>
          </cell>
          <cell r="C398">
            <v>306623</v>
          </cell>
          <cell r="F398">
            <v>306623</v>
          </cell>
        </row>
        <row r="399">
          <cell r="A399" t="str">
            <v>700-82-010</v>
          </cell>
          <cell r="B399" t="str">
            <v>PREDEBIT DEBTOR-DDI</v>
          </cell>
          <cell r="C399">
            <v>0</v>
          </cell>
          <cell r="F399">
            <v>0</v>
          </cell>
        </row>
        <row r="400">
          <cell r="A400" t="str">
            <v>700-82-020</v>
          </cell>
          <cell r="B400" t="str">
            <v>PREDEBIT DEBTOR -BSO</v>
          </cell>
          <cell r="C400">
            <v>0</v>
          </cell>
          <cell r="F400">
            <v>0</v>
          </cell>
        </row>
        <row r="401">
          <cell r="A401" t="str">
            <v>700-82-030</v>
          </cell>
          <cell r="B401" t="str">
            <v>PREDEBIT DEBTOR- CHECK OFF</v>
          </cell>
          <cell r="C401">
            <v>0</v>
          </cell>
          <cell r="F401">
            <v>0</v>
          </cell>
        </row>
        <row r="402">
          <cell r="A402" t="str">
            <v>700-82-040</v>
          </cell>
          <cell r="B402" t="str">
            <v>PREDEBIT DEBTOR - CASH</v>
          </cell>
          <cell r="C402">
            <v>0</v>
          </cell>
          <cell r="F402">
            <v>0</v>
          </cell>
        </row>
        <row r="403">
          <cell r="A403" t="str">
            <v>700-82-050</v>
          </cell>
          <cell r="B403" t="str">
            <v>UNDEFINED DEBITS</v>
          </cell>
          <cell r="C403">
            <v>0</v>
          </cell>
          <cell r="F403">
            <v>0</v>
          </cell>
        </row>
        <row r="404">
          <cell r="A404" t="str">
            <v>700-83-010</v>
          </cell>
          <cell r="B404" t="str">
            <v>REINSURANCE DEBTOR</v>
          </cell>
          <cell r="C404">
            <v>0</v>
          </cell>
          <cell r="F404">
            <v>0</v>
          </cell>
        </row>
        <row r="405">
          <cell r="A405" t="str">
            <v>700-84-010</v>
          </cell>
          <cell r="B405" t="str">
            <v>O/S PREMIUMS API</v>
          </cell>
          <cell r="C405">
            <v>0</v>
          </cell>
          <cell r="F405">
            <v>0</v>
          </cell>
        </row>
        <row r="406">
          <cell r="A406" t="str">
            <v>700-85-010</v>
          </cell>
          <cell r="B406" t="str">
            <v>PREPAYMENTS</v>
          </cell>
          <cell r="C406">
            <v>0</v>
          </cell>
          <cell r="F406">
            <v>0</v>
          </cell>
        </row>
        <row r="407">
          <cell r="A407" t="str">
            <v>700-85-015</v>
          </cell>
          <cell r="B407" t="str">
            <v>EXECUTIVE CONTRA</v>
          </cell>
          <cell r="C407">
            <v>0</v>
          </cell>
          <cell r="F407">
            <v>0</v>
          </cell>
        </row>
        <row r="408">
          <cell r="A408" t="str">
            <v>700-85-020</v>
          </cell>
          <cell r="B408" t="str">
            <v>STAFF CONTRA</v>
          </cell>
          <cell r="C408">
            <v>0</v>
          </cell>
          <cell r="F408">
            <v>0</v>
          </cell>
        </row>
        <row r="409">
          <cell r="A409" t="str">
            <v>700-85-025</v>
          </cell>
          <cell r="B409" t="str">
            <v>PREDEBIT DEBTOR</v>
          </cell>
          <cell r="C409">
            <v>0</v>
          </cell>
          <cell r="F409">
            <v>0</v>
          </cell>
        </row>
        <row r="410">
          <cell r="A410" t="str">
            <v>700-85-030</v>
          </cell>
          <cell r="B410" t="str">
            <v>HUBRIS HOLDINGS LTD</v>
          </cell>
          <cell r="C410">
            <v>0</v>
          </cell>
          <cell r="F410">
            <v>0</v>
          </cell>
        </row>
        <row r="411">
          <cell r="A411" t="str">
            <v>700-85-031</v>
          </cell>
          <cell r="B411" t="str">
            <v>SANLAM</v>
          </cell>
          <cell r="C411">
            <v>-2589773.5</v>
          </cell>
          <cell r="F411">
            <v>-2589773.5</v>
          </cell>
        </row>
        <row r="412">
          <cell r="A412" t="str">
            <v>700-85-032</v>
          </cell>
          <cell r="B412" t="str">
            <v>SANLAM-CAPETOWN</v>
          </cell>
          <cell r="C412">
            <v>0</v>
          </cell>
          <cell r="F412">
            <v>0</v>
          </cell>
        </row>
        <row r="413">
          <cell r="A413" t="str">
            <v>700-85-040</v>
          </cell>
          <cell r="B413" t="str">
            <v>DEPOSITS ACCOUNT</v>
          </cell>
          <cell r="C413">
            <v>0</v>
          </cell>
          <cell r="F413">
            <v>0</v>
          </cell>
        </row>
        <row r="414">
          <cell r="A414" t="str">
            <v>700-85-045</v>
          </cell>
          <cell r="B414" t="str">
            <v>P A SECURITIES</v>
          </cell>
          <cell r="C414">
            <v>0</v>
          </cell>
          <cell r="F414">
            <v>0</v>
          </cell>
        </row>
        <row r="415">
          <cell r="A415" t="str">
            <v>700-85-050</v>
          </cell>
          <cell r="B415" t="str">
            <v>CORPORATE (PENSIONS SCHEMES)</v>
          </cell>
          <cell r="C415">
            <v>0</v>
          </cell>
          <cell r="F415">
            <v>0</v>
          </cell>
        </row>
        <row r="416">
          <cell r="A416" t="str">
            <v>700-85-055</v>
          </cell>
          <cell r="B416" t="str">
            <v>ALA - GHANA</v>
          </cell>
          <cell r="C416">
            <v>0</v>
          </cell>
          <cell r="F416">
            <v>0</v>
          </cell>
        </row>
        <row r="417">
          <cell r="A417" t="str">
            <v>700-85-060</v>
          </cell>
          <cell r="B417" t="str">
            <v>ALA - ZAMBIA</v>
          </cell>
          <cell r="C417">
            <v>0</v>
          </cell>
          <cell r="F417">
            <v>0</v>
          </cell>
        </row>
        <row r="418">
          <cell r="A418" t="str">
            <v>700-85-065</v>
          </cell>
          <cell r="B418" t="str">
            <v>BBK DEBTOR</v>
          </cell>
          <cell r="C418">
            <v>0</v>
          </cell>
          <cell r="F418">
            <v>0</v>
          </cell>
        </row>
        <row r="419">
          <cell r="A419" t="str">
            <v>700-85-070</v>
          </cell>
          <cell r="B419" t="str">
            <v>SECURITY DEPOSITS</v>
          </cell>
          <cell r="C419">
            <v>0</v>
          </cell>
          <cell r="F419">
            <v>0</v>
          </cell>
        </row>
        <row r="420">
          <cell r="A420" t="str">
            <v>700-85-075</v>
          </cell>
          <cell r="B420" t="str">
            <v>PRIDE OF SANLAM COMPETITION</v>
          </cell>
          <cell r="C420">
            <v>0</v>
          </cell>
          <cell r="F420">
            <v>0</v>
          </cell>
        </row>
        <row r="421">
          <cell r="A421" t="str">
            <v>700-86-010</v>
          </cell>
          <cell r="B421" t="str">
            <v>CLAIMS RECOVERABLE</v>
          </cell>
          <cell r="C421">
            <v>0</v>
          </cell>
          <cell r="F421">
            <v>0</v>
          </cell>
        </row>
        <row r="422">
          <cell r="A422" t="str">
            <v>700-87-010</v>
          </cell>
          <cell r="B422" t="str">
            <v>AGENCY DEVELOPMENT FUND</v>
          </cell>
          <cell r="C422">
            <v>0</v>
          </cell>
          <cell r="F422">
            <v>0</v>
          </cell>
        </row>
        <row r="423">
          <cell r="A423" t="str">
            <v>700-90-010</v>
          </cell>
          <cell r="B423" t="str">
            <v>BANK OF BARODA</v>
          </cell>
          <cell r="C423">
            <v>0</v>
          </cell>
          <cell r="F423">
            <v>0</v>
          </cell>
        </row>
        <row r="424">
          <cell r="A424" t="str">
            <v>700-90-030</v>
          </cell>
          <cell r="B424" t="str">
            <v>CBA-WABERA STREET</v>
          </cell>
          <cell r="C424">
            <v>0</v>
          </cell>
          <cell r="F424">
            <v>0</v>
          </cell>
        </row>
        <row r="425">
          <cell r="A425" t="str">
            <v>700-90-040</v>
          </cell>
          <cell r="B425" t="str">
            <v>BBK-MOMBASA</v>
          </cell>
          <cell r="C425">
            <v>0</v>
          </cell>
          <cell r="F425">
            <v>0</v>
          </cell>
        </row>
        <row r="426">
          <cell r="A426" t="str">
            <v>700-90-050</v>
          </cell>
          <cell r="B426" t="str">
            <v>SCB-COLLECTION A/C</v>
          </cell>
          <cell r="C426">
            <v>0</v>
          </cell>
          <cell r="F426">
            <v>0</v>
          </cell>
        </row>
        <row r="427">
          <cell r="A427" t="str">
            <v>700-90-060</v>
          </cell>
          <cell r="B427" t="str">
            <v>CO-OP UKULIMA</v>
          </cell>
          <cell r="C427">
            <v>0</v>
          </cell>
          <cell r="F427">
            <v>0</v>
          </cell>
        </row>
        <row r="428">
          <cell r="A428" t="str">
            <v>700-90-080</v>
          </cell>
          <cell r="B428" t="str">
            <v>BBK MERU</v>
          </cell>
          <cell r="C428">
            <v>0</v>
          </cell>
          <cell r="F428">
            <v>0</v>
          </cell>
        </row>
        <row r="429">
          <cell r="A429" t="str">
            <v>700-90-090</v>
          </cell>
          <cell r="B429" t="str">
            <v>BBK-NYERI</v>
          </cell>
          <cell r="C429">
            <v>0</v>
          </cell>
          <cell r="F429">
            <v>0</v>
          </cell>
        </row>
        <row r="430">
          <cell r="A430" t="str">
            <v>700-90-100</v>
          </cell>
          <cell r="B430" t="str">
            <v>BBK NBI(5776890)</v>
          </cell>
          <cell r="C430">
            <v>0</v>
          </cell>
          <cell r="F430">
            <v>0</v>
          </cell>
        </row>
        <row r="431">
          <cell r="A431" t="str">
            <v>700-90-120</v>
          </cell>
          <cell r="B431" t="str">
            <v>BBK NBI (5776688)</v>
          </cell>
          <cell r="C431">
            <v>0</v>
          </cell>
          <cell r="F431">
            <v>0</v>
          </cell>
        </row>
        <row r="432">
          <cell r="A432" t="str">
            <v>700-90-140</v>
          </cell>
          <cell r="B432" t="str">
            <v>BBK-KISII</v>
          </cell>
          <cell r="C432">
            <v>0</v>
          </cell>
          <cell r="F432">
            <v>0</v>
          </cell>
        </row>
        <row r="433">
          <cell r="A433" t="str">
            <v>700-90-150</v>
          </cell>
          <cell r="B433" t="str">
            <v>BBK-KISUMU</v>
          </cell>
          <cell r="C433">
            <v>0</v>
          </cell>
          <cell r="F433">
            <v>0</v>
          </cell>
        </row>
        <row r="434">
          <cell r="A434" t="str">
            <v>700-90-160</v>
          </cell>
          <cell r="B434" t="str">
            <v>NAKURU</v>
          </cell>
          <cell r="C434">
            <v>0</v>
          </cell>
          <cell r="F434">
            <v>0</v>
          </cell>
        </row>
        <row r="435">
          <cell r="A435" t="str">
            <v>700-90-170</v>
          </cell>
          <cell r="B435" t="str">
            <v>BBK-ELDORET</v>
          </cell>
          <cell r="C435">
            <v>0</v>
          </cell>
          <cell r="F435">
            <v>0</v>
          </cell>
        </row>
        <row r="436">
          <cell r="A436" t="str">
            <v>700-90-190</v>
          </cell>
          <cell r="B436" t="str">
            <v>BBK-EMBU</v>
          </cell>
          <cell r="C436">
            <v>0</v>
          </cell>
          <cell r="F436">
            <v>0</v>
          </cell>
        </row>
        <row r="437">
          <cell r="A437" t="str">
            <v>700-90-200</v>
          </cell>
          <cell r="B437" t="str">
            <v>CO-OP CHUKA</v>
          </cell>
          <cell r="C437">
            <v>0</v>
          </cell>
          <cell r="F437">
            <v>0</v>
          </cell>
        </row>
        <row r="438">
          <cell r="A438" t="str">
            <v>700-90-210</v>
          </cell>
          <cell r="B438" t="str">
            <v>STANBIC NBI</v>
          </cell>
          <cell r="C438">
            <v>2167905</v>
          </cell>
          <cell r="F438">
            <v>3019455</v>
          </cell>
        </row>
        <row r="439">
          <cell r="A439" t="str">
            <v>700-90-220</v>
          </cell>
          <cell r="B439" t="str">
            <v>HOLDCO</v>
          </cell>
          <cell r="C439">
            <v>0</v>
          </cell>
          <cell r="F439">
            <v>0</v>
          </cell>
        </row>
        <row r="440">
          <cell r="A440" t="str">
            <v>700-90-230</v>
          </cell>
          <cell r="B440" t="str">
            <v>GRATUITY US DOLLAR</v>
          </cell>
          <cell r="C440">
            <v>0</v>
          </cell>
          <cell r="F440">
            <v>0</v>
          </cell>
        </row>
        <row r="441">
          <cell r="A441" t="str">
            <v>700-90-240</v>
          </cell>
          <cell r="B441" t="str">
            <v>BBK-THIKA</v>
          </cell>
          <cell r="C441">
            <v>0</v>
          </cell>
          <cell r="F441">
            <v>0</v>
          </cell>
        </row>
        <row r="442">
          <cell r="A442" t="str">
            <v>700-90-260</v>
          </cell>
          <cell r="B442" t="str">
            <v>BBK(5039027)ADMINSTRATION</v>
          </cell>
          <cell r="C442">
            <v>0</v>
          </cell>
          <cell r="F442">
            <v>0</v>
          </cell>
        </row>
        <row r="443">
          <cell r="A443" t="str">
            <v>700-90-270</v>
          </cell>
          <cell r="B443" t="str">
            <v>BBK-(5039051)COLLECTIONS</v>
          </cell>
          <cell r="C443">
            <v>0</v>
          </cell>
          <cell r="F443">
            <v>0</v>
          </cell>
        </row>
        <row r="444">
          <cell r="A444" t="str">
            <v>700-90-280</v>
          </cell>
          <cell r="B444" t="str">
            <v>BBK(5039035) EXPENSES</v>
          </cell>
          <cell r="C444">
            <v>0</v>
          </cell>
          <cell r="F444">
            <v>0</v>
          </cell>
        </row>
        <row r="445">
          <cell r="A445" t="str">
            <v>700-90-285</v>
          </cell>
          <cell r="B445" t="str">
            <v>BBK MOI AVENUE - 5776793 -GROUP LIFE</v>
          </cell>
          <cell r="C445">
            <v>0</v>
          </cell>
          <cell r="F445">
            <v>0</v>
          </cell>
        </row>
        <row r="446">
          <cell r="A446" t="str">
            <v>700-90-290</v>
          </cell>
          <cell r="B446" t="str">
            <v>N.I.C BANK - GROUP PENSION</v>
          </cell>
          <cell r="C446">
            <v>0</v>
          </cell>
          <cell r="F446">
            <v>0</v>
          </cell>
        </row>
        <row r="447">
          <cell r="A447" t="str">
            <v>700-90-295</v>
          </cell>
          <cell r="B447" t="str">
            <v>NATIONAL BANK-01010153900</v>
          </cell>
          <cell r="C447">
            <v>0</v>
          </cell>
          <cell r="F447">
            <v>0</v>
          </cell>
        </row>
        <row r="448">
          <cell r="A448" t="str">
            <v>700-90-300</v>
          </cell>
          <cell r="B448" t="str">
            <v>STANCHART-SRBS</v>
          </cell>
          <cell r="C448">
            <v>0</v>
          </cell>
          <cell r="F448">
            <v>0</v>
          </cell>
        </row>
        <row r="449">
          <cell r="A449" t="str">
            <v>700-90-305</v>
          </cell>
          <cell r="B449" t="str">
            <v>EQUITY BANK-PREMIUM COLLECTION A/C</v>
          </cell>
          <cell r="C449">
            <v>0</v>
          </cell>
          <cell r="F449">
            <v>0</v>
          </cell>
        </row>
        <row r="450">
          <cell r="A450" t="str">
            <v>700-90-310</v>
          </cell>
          <cell r="B450" t="str">
            <v>FAMILY FINANCE-PREMIUM COLLECTION A/C</v>
          </cell>
          <cell r="C450">
            <v>0</v>
          </cell>
          <cell r="F450">
            <v>0</v>
          </cell>
        </row>
        <row r="451">
          <cell r="A451" t="str">
            <v>700-90-315</v>
          </cell>
          <cell r="B451" t="str">
            <v>BARCLAYS BANK - UNIT LINK 5024895</v>
          </cell>
          <cell r="C451">
            <v>0</v>
          </cell>
          <cell r="F451">
            <v>0</v>
          </cell>
        </row>
        <row r="452">
          <cell r="A452" t="str">
            <v>700-90-320</v>
          </cell>
          <cell r="B452" t="str">
            <v>KENYA COMMERCIAL BANK-017-229714944</v>
          </cell>
          <cell r="C452">
            <v>0</v>
          </cell>
          <cell r="F452">
            <v>0</v>
          </cell>
        </row>
        <row r="453">
          <cell r="A453" t="str">
            <v>700-90-321</v>
          </cell>
          <cell r="B453" t="str">
            <v>CALL DEPOSIT-BARLAYS PLAZA</v>
          </cell>
          <cell r="C453">
            <v>0</v>
          </cell>
          <cell r="F453">
            <v>0</v>
          </cell>
        </row>
        <row r="454">
          <cell r="A454" t="str">
            <v>700-90-322</v>
          </cell>
          <cell r="B454" t="str">
            <v>CALL DEPOSIT-BARLAYS CORPORATE BUSINESS</v>
          </cell>
          <cell r="C454">
            <v>0</v>
          </cell>
          <cell r="F454">
            <v>0</v>
          </cell>
        </row>
        <row r="455">
          <cell r="A455" t="str">
            <v>700-90-325</v>
          </cell>
          <cell r="B455" t="str">
            <v>STANDARD CHARTERED - PAN AFRICA RENT</v>
          </cell>
          <cell r="C455">
            <v>0</v>
          </cell>
          <cell r="F455">
            <v>0</v>
          </cell>
        </row>
        <row r="456">
          <cell r="A456" t="str">
            <v>700-90-326</v>
          </cell>
          <cell r="B456" t="str">
            <v>YEAR END BANK BALANCES ADJUSTMENT</v>
          </cell>
          <cell r="C456">
            <v>0</v>
          </cell>
          <cell r="F456">
            <v>0</v>
          </cell>
        </row>
        <row r="457">
          <cell r="A457" t="str">
            <v>700-95-010</v>
          </cell>
          <cell r="B457" t="str">
            <v>PETTY CASH</v>
          </cell>
          <cell r="C457">
            <v>0</v>
          </cell>
          <cell r="F457">
            <v>0</v>
          </cell>
        </row>
        <row r="458">
          <cell r="A458" t="str">
            <v>700-96-010</v>
          </cell>
          <cell r="B458" t="str">
            <v>GROUP PREMIUM DEBTOR</v>
          </cell>
          <cell r="C458">
            <v>0</v>
          </cell>
          <cell r="F458">
            <v>0</v>
          </cell>
        </row>
        <row r="459">
          <cell r="A459" t="str">
            <v>800-10-010</v>
          </cell>
          <cell r="B459" t="str">
            <v>CHANGE IN POLICYHOLDER LIABILITIES</v>
          </cell>
          <cell r="C459">
            <v>0</v>
          </cell>
          <cell r="F459">
            <v>0</v>
          </cell>
        </row>
        <row r="460">
          <cell r="A460" t="str">
            <v>800-10-011</v>
          </cell>
          <cell r="B460" t="str">
            <v>DEFERRED INCOME PRIOR YEAR ADJUSTMENT</v>
          </cell>
          <cell r="C460">
            <v>0</v>
          </cell>
          <cell r="F460">
            <v>0</v>
          </cell>
        </row>
        <row r="461">
          <cell r="A461" t="str">
            <v>800-10-015</v>
          </cell>
          <cell r="B461" t="str">
            <v>GENERAL FUND</v>
          </cell>
          <cell r="C461">
            <v>-292173297.44999999</v>
          </cell>
          <cell r="F461">
            <v>-292173297.44999999</v>
          </cell>
        </row>
        <row r="462">
          <cell r="A462" t="str">
            <v>800-10-020</v>
          </cell>
          <cell r="B462" t="str">
            <v>CLAIMS RESERVES</v>
          </cell>
          <cell r="C462">
            <v>0</v>
          </cell>
          <cell r="F462">
            <v>0</v>
          </cell>
        </row>
        <row r="463">
          <cell r="A463" t="str">
            <v>800-10-025</v>
          </cell>
          <cell r="B463" t="str">
            <v>UNIT LINK INVESTMENTS</v>
          </cell>
          <cell r="C463">
            <v>0</v>
          </cell>
          <cell r="F463">
            <v>0</v>
          </cell>
        </row>
        <row r="464">
          <cell r="A464" t="str">
            <v>800-10-050</v>
          </cell>
          <cell r="B464" t="str">
            <v>TRANSFER TO SHAREHOLDERS FUND</v>
          </cell>
          <cell r="C464">
            <v>0</v>
          </cell>
          <cell r="F464">
            <v>0</v>
          </cell>
        </row>
        <row r="465">
          <cell r="A465" t="str">
            <v>800-12-010</v>
          </cell>
          <cell r="B465" t="str">
            <v>MEMORANDUM ENTRIES</v>
          </cell>
          <cell r="C465">
            <v>0</v>
          </cell>
          <cell r="F465">
            <v>0</v>
          </cell>
        </row>
        <row r="466">
          <cell r="A466" t="str">
            <v>800-15-010</v>
          </cell>
          <cell r="B466" t="str">
            <v>UNPROCESSED PREMIUMS-DDI</v>
          </cell>
          <cell r="C466">
            <v>0</v>
          </cell>
          <cell r="F466">
            <v>0</v>
          </cell>
        </row>
        <row r="467">
          <cell r="A467" t="str">
            <v>800-15-011</v>
          </cell>
          <cell r="B467" t="str">
            <v>UNPROCESSED PREMIUMS-BSO</v>
          </cell>
          <cell r="C467">
            <v>0</v>
          </cell>
          <cell r="F467">
            <v>0</v>
          </cell>
        </row>
        <row r="468">
          <cell r="A468" t="str">
            <v>800-15-012</v>
          </cell>
          <cell r="B468" t="str">
            <v>UNPROCESSED PREMIUMS-CHECK OFF</v>
          </cell>
          <cell r="C468">
            <v>0</v>
          </cell>
          <cell r="F468">
            <v>0</v>
          </cell>
        </row>
        <row r="469">
          <cell r="A469" t="str">
            <v>800-15-013</v>
          </cell>
          <cell r="B469" t="str">
            <v>UNPROCESSED PREMIUMS-CASH</v>
          </cell>
          <cell r="C469">
            <v>0</v>
          </cell>
          <cell r="F469">
            <v>0</v>
          </cell>
        </row>
        <row r="470">
          <cell r="A470" t="str">
            <v>800-15-014</v>
          </cell>
          <cell r="B470" t="str">
            <v>UNPROCESSED PREMIUMS-WOP</v>
          </cell>
          <cell r="C470">
            <v>0</v>
          </cell>
          <cell r="F470">
            <v>0</v>
          </cell>
        </row>
        <row r="471">
          <cell r="A471" t="str">
            <v>800-15-020</v>
          </cell>
          <cell r="B471" t="str">
            <v>INACTIVE LEDGER</v>
          </cell>
          <cell r="C471">
            <v>0</v>
          </cell>
          <cell r="F471">
            <v>0</v>
          </cell>
        </row>
        <row r="472">
          <cell r="A472" t="str">
            <v>800-15-025</v>
          </cell>
          <cell r="B472" t="str">
            <v>PREMIUMS-INADVANCE</v>
          </cell>
          <cell r="C472">
            <v>0</v>
          </cell>
          <cell r="F472">
            <v>0</v>
          </cell>
        </row>
        <row r="473">
          <cell r="A473" t="str">
            <v>800-15-030</v>
          </cell>
          <cell r="B473" t="str">
            <v>REFUND ON MATURITIES</v>
          </cell>
          <cell r="C473">
            <v>0</v>
          </cell>
          <cell r="F473">
            <v>0</v>
          </cell>
        </row>
        <row r="474">
          <cell r="A474" t="str">
            <v>800-15-035</v>
          </cell>
          <cell r="B474" t="str">
            <v>REFUND ON CANCELLED POLICIES</v>
          </cell>
          <cell r="C474">
            <v>0</v>
          </cell>
          <cell r="F474">
            <v>0</v>
          </cell>
        </row>
        <row r="475">
          <cell r="A475" t="str">
            <v>800-15-040</v>
          </cell>
          <cell r="B475" t="str">
            <v>REFUND ON CANCELLED PROPOSALS</v>
          </cell>
          <cell r="C475">
            <v>0</v>
          </cell>
          <cell r="F475">
            <v>0</v>
          </cell>
        </row>
        <row r="476">
          <cell r="A476" t="str">
            <v>800-15-045</v>
          </cell>
          <cell r="B476" t="str">
            <v>REFUND ON SURRENDERS</v>
          </cell>
          <cell r="C476">
            <v>0</v>
          </cell>
          <cell r="F476">
            <v>0</v>
          </cell>
        </row>
        <row r="477">
          <cell r="A477" t="str">
            <v>800-15-050</v>
          </cell>
          <cell r="B477" t="str">
            <v>REFUND ON ERRONEOUS DEDUCTION</v>
          </cell>
          <cell r="C477">
            <v>0</v>
          </cell>
          <cell r="F477">
            <v>0</v>
          </cell>
        </row>
        <row r="478">
          <cell r="A478" t="str">
            <v>800-15-055</v>
          </cell>
          <cell r="B478" t="str">
            <v>REFUND ON 56,44,21 OTHERS</v>
          </cell>
          <cell r="C478">
            <v>0</v>
          </cell>
          <cell r="F478">
            <v>0</v>
          </cell>
        </row>
        <row r="479">
          <cell r="A479" t="str">
            <v>800-15-060</v>
          </cell>
          <cell r="B479" t="str">
            <v>UNDEFINED CREDITS</v>
          </cell>
          <cell r="C479">
            <v>0</v>
          </cell>
          <cell r="F479">
            <v>0</v>
          </cell>
        </row>
        <row r="480">
          <cell r="A480" t="str">
            <v>800-15-070</v>
          </cell>
          <cell r="B480" t="str">
            <v>PAYPOINT SUSPENSE</v>
          </cell>
          <cell r="C480">
            <v>0</v>
          </cell>
          <cell r="F480">
            <v>0</v>
          </cell>
        </row>
        <row r="481">
          <cell r="A481" t="str">
            <v>800-15-080</v>
          </cell>
          <cell r="B481" t="str">
            <v>MANUAL SUSPENSE</v>
          </cell>
          <cell r="C481">
            <v>0</v>
          </cell>
          <cell r="F481">
            <v>0</v>
          </cell>
        </row>
        <row r="482">
          <cell r="A482" t="str">
            <v>800-25-010</v>
          </cell>
          <cell r="B482" t="str">
            <v>LEASE LEGAL</v>
          </cell>
          <cell r="C482">
            <v>0</v>
          </cell>
          <cell r="F482">
            <v>0</v>
          </cell>
        </row>
        <row r="483">
          <cell r="A483" t="str">
            <v>800-25-015</v>
          </cell>
          <cell r="B483" t="str">
            <v>DEPOSITS RECEIVED(BUILDINGS)</v>
          </cell>
          <cell r="C483">
            <v>0</v>
          </cell>
          <cell r="F483">
            <v>0</v>
          </cell>
        </row>
        <row r="484">
          <cell r="A484" t="str">
            <v>800-25-020</v>
          </cell>
          <cell r="B484" t="str">
            <v>RENT RECEIVED IN ADVANCE-ANNUITY</v>
          </cell>
          <cell r="C484">
            <v>1930500</v>
          </cell>
          <cell r="F484">
            <v>1930500</v>
          </cell>
        </row>
        <row r="485">
          <cell r="A485" t="str">
            <v>800-25-030</v>
          </cell>
          <cell r="B485" t="str">
            <v>RENTAL ACCRUALS</v>
          </cell>
          <cell r="C485">
            <v>-702000</v>
          </cell>
          <cell r="F485">
            <v>-702000</v>
          </cell>
        </row>
        <row r="486">
          <cell r="A486" t="str">
            <v>800-30-010</v>
          </cell>
          <cell r="B486" t="str">
            <v>OUTPUT VAT</v>
          </cell>
          <cell r="C486">
            <v>0</v>
          </cell>
          <cell r="F486">
            <v>0</v>
          </cell>
        </row>
        <row r="487">
          <cell r="A487" t="str">
            <v>800-30-015</v>
          </cell>
          <cell r="B487" t="str">
            <v>CASH-IN-LIEU LEAVE</v>
          </cell>
          <cell r="C487">
            <v>0</v>
          </cell>
          <cell r="F487">
            <v>0</v>
          </cell>
        </row>
        <row r="488">
          <cell r="A488" t="str">
            <v>800-30-016</v>
          </cell>
          <cell r="B488" t="str">
            <v>OTHER ACCRUALS</v>
          </cell>
          <cell r="C488">
            <v>0</v>
          </cell>
          <cell r="F488">
            <v>0</v>
          </cell>
        </row>
        <row r="489">
          <cell r="A489" t="str">
            <v>800-30-017</v>
          </cell>
          <cell r="B489" t="str">
            <v>CUSTODY FEES</v>
          </cell>
          <cell r="C489">
            <v>0</v>
          </cell>
          <cell r="F489">
            <v>0</v>
          </cell>
        </row>
        <row r="490">
          <cell r="A490" t="str">
            <v>800-30-018</v>
          </cell>
          <cell r="B490" t="str">
            <v>O/S TAX</v>
          </cell>
          <cell r="C490">
            <v>0</v>
          </cell>
          <cell r="F490">
            <v>0</v>
          </cell>
        </row>
        <row r="491">
          <cell r="A491" t="str">
            <v>800-30-019</v>
          </cell>
          <cell r="B491" t="str">
            <v>DISPOSAL PROCEEDS FREE LANDER</v>
          </cell>
          <cell r="C491">
            <v>0</v>
          </cell>
          <cell r="F491">
            <v>0</v>
          </cell>
        </row>
        <row r="492">
          <cell r="A492" t="str">
            <v>800-30-020</v>
          </cell>
          <cell r="B492" t="str">
            <v>TRADE CREDITORS</v>
          </cell>
          <cell r="C492">
            <v>-346231.2</v>
          </cell>
          <cell r="F492">
            <v>-346231.2</v>
          </cell>
        </row>
        <row r="493">
          <cell r="A493" t="str">
            <v>800-30-025</v>
          </cell>
          <cell r="B493" t="str">
            <v>PROVISIONS FOR EXPENSES</v>
          </cell>
          <cell r="C493">
            <v>-21460</v>
          </cell>
          <cell r="F493">
            <v>-21460</v>
          </cell>
        </row>
        <row r="494">
          <cell r="A494" t="str">
            <v>800-30-026</v>
          </cell>
          <cell r="B494" t="str">
            <v>PROVISION FOR BAD DEBTS-PREMIUM INCOME</v>
          </cell>
          <cell r="C494">
            <v>0</v>
          </cell>
          <cell r="F494">
            <v>0</v>
          </cell>
        </row>
        <row r="495">
          <cell r="A495" t="str">
            <v>800-30-029</v>
          </cell>
          <cell r="B495" t="str">
            <v>APA INSURANCE</v>
          </cell>
          <cell r="C495">
            <v>0</v>
          </cell>
          <cell r="F495">
            <v>0</v>
          </cell>
        </row>
        <row r="496">
          <cell r="A496" t="str">
            <v>800-30-030</v>
          </cell>
          <cell r="B496" t="str">
            <v>ALA TZ</v>
          </cell>
          <cell r="C496">
            <v>0</v>
          </cell>
          <cell r="F496">
            <v>0</v>
          </cell>
        </row>
        <row r="497">
          <cell r="A497" t="str">
            <v>800-30-031</v>
          </cell>
          <cell r="B497" t="str">
            <v>PA SECURITIES</v>
          </cell>
          <cell r="C497">
            <v>0</v>
          </cell>
          <cell r="F497">
            <v>0</v>
          </cell>
        </row>
        <row r="498">
          <cell r="A498" t="str">
            <v>800-30-032</v>
          </cell>
          <cell r="B498" t="str">
            <v>EXECUTIVE CONTRA</v>
          </cell>
          <cell r="C498">
            <v>0</v>
          </cell>
          <cell r="F498">
            <v>0</v>
          </cell>
        </row>
        <row r="499">
          <cell r="A499" t="str">
            <v>800-30-033</v>
          </cell>
          <cell r="B499" t="str">
            <v>DELOITTE(ACTUARY)</v>
          </cell>
          <cell r="C499">
            <v>0</v>
          </cell>
          <cell r="F499">
            <v>0</v>
          </cell>
        </row>
        <row r="500">
          <cell r="A500" t="str">
            <v>800-30-034</v>
          </cell>
          <cell r="B500" t="str">
            <v>PAIC HOLDINGS</v>
          </cell>
          <cell r="C500">
            <v>-224005900</v>
          </cell>
          <cell r="F500">
            <v>-224005900</v>
          </cell>
        </row>
        <row r="501">
          <cell r="A501" t="str">
            <v>800-30-035</v>
          </cell>
          <cell r="B501" t="str">
            <v>ALA-INTERCOMPANY</v>
          </cell>
          <cell r="C501">
            <v>0</v>
          </cell>
          <cell r="F501">
            <v>0</v>
          </cell>
        </row>
        <row r="502">
          <cell r="A502" t="str">
            <v>800-30-036</v>
          </cell>
          <cell r="B502" t="str">
            <v>POLICY LOANS ON UNIT LINK</v>
          </cell>
          <cell r="C502">
            <v>0</v>
          </cell>
          <cell r="F502">
            <v>0</v>
          </cell>
        </row>
        <row r="503">
          <cell r="A503" t="str">
            <v>800-30-037</v>
          </cell>
          <cell r="B503" t="str">
            <v>PAHL-INVESTMENT INCOME</v>
          </cell>
          <cell r="C503">
            <v>249569</v>
          </cell>
          <cell r="F503">
            <v>249569</v>
          </cell>
        </row>
        <row r="504">
          <cell r="A504" t="str">
            <v>800-30-040</v>
          </cell>
          <cell r="B504" t="str">
            <v>NET PAY</v>
          </cell>
          <cell r="C504">
            <v>0</v>
          </cell>
          <cell r="F504">
            <v>0</v>
          </cell>
        </row>
        <row r="505">
          <cell r="A505" t="str">
            <v>800-30-045</v>
          </cell>
          <cell r="B505" t="str">
            <v>CO-OP SAVING - STAFF</v>
          </cell>
          <cell r="C505">
            <v>0</v>
          </cell>
          <cell r="F505">
            <v>0</v>
          </cell>
        </row>
        <row r="506">
          <cell r="A506" t="str">
            <v>800-30-050</v>
          </cell>
          <cell r="B506" t="str">
            <v>PAYROLL CREDITORS - STAFF</v>
          </cell>
          <cell r="C506">
            <v>0</v>
          </cell>
          <cell r="F506">
            <v>0</v>
          </cell>
        </row>
        <row r="507">
          <cell r="A507" t="str">
            <v>800-30-051</v>
          </cell>
          <cell r="B507" t="str">
            <v>MANCOM SINBIN</v>
          </cell>
          <cell r="C507">
            <v>0</v>
          </cell>
          <cell r="F507">
            <v>0</v>
          </cell>
        </row>
        <row r="508">
          <cell r="A508" t="str">
            <v>800-30-052</v>
          </cell>
          <cell r="B508" t="str">
            <v>STAFF DONATIONS</v>
          </cell>
          <cell r="C508">
            <v>0</v>
          </cell>
          <cell r="F508">
            <v>0</v>
          </cell>
        </row>
        <row r="509">
          <cell r="A509" t="str">
            <v>800-30-055</v>
          </cell>
          <cell r="B509" t="str">
            <v>PENSION - STAFF</v>
          </cell>
          <cell r="C509">
            <v>0</v>
          </cell>
          <cell r="F509">
            <v>0</v>
          </cell>
        </row>
        <row r="510">
          <cell r="A510" t="str">
            <v>800-30-060</v>
          </cell>
          <cell r="B510" t="str">
            <v>N .H .I. F</v>
          </cell>
          <cell r="C510">
            <v>0</v>
          </cell>
          <cell r="F510">
            <v>0</v>
          </cell>
        </row>
        <row r="511">
          <cell r="A511" t="str">
            <v>800-30-065</v>
          </cell>
          <cell r="B511" t="str">
            <v>N.S.S.F</v>
          </cell>
          <cell r="C511">
            <v>0</v>
          </cell>
          <cell r="F511">
            <v>0</v>
          </cell>
        </row>
        <row r="512">
          <cell r="A512" t="str">
            <v>800-30-070</v>
          </cell>
          <cell r="B512" t="str">
            <v>ACTUARIAL FEES</v>
          </cell>
          <cell r="C512">
            <v>0</v>
          </cell>
          <cell r="F512">
            <v>0</v>
          </cell>
        </row>
        <row r="513">
          <cell r="A513" t="str">
            <v>800-30-071</v>
          </cell>
          <cell r="B513" t="str">
            <v>GRATUITY</v>
          </cell>
          <cell r="C513">
            <v>0</v>
          </cell>
          <cell r="F513">
            <v>0</v>
          </cell>
        </row>
        <row r="514">
          <cell r="A514" t="str">
            <v>800-30-072</v>
          </cell>
          <cell r="B514" t="str">
            <v>AIG FEES</v>
          </cell>
          <cell r="C514">
            <v>-184060</v>
          </cell>
          <cell r="F514">
            <v>-184060</v>
          </cell>
        </row>
        <row r="515">
          <cell r="A515" t="str">
            <v>800-30-073</v>
          </cell>
          <cell r="B515" t="str">
            <v>CUSTODY FEES</v>
          </cell>
          <cell r="C515">
            <v>-25064</v>
          </cell>
          <cell r="F515">
            <v>-25064</v>
          </cell>
        </row>
        <row r="516">
          <cell r="A516" t="str">
            <v>800-30-075</v>
          </cell>
          <cell r="B516" t="str">
            <v>AUDIT FEES</v>
          </cell>
          <cell r="C516">
            <v>0</v>
          </cell>
          <cell r="F516">
            <v>0</v>
          </cell>
        </row>
        <row r="517">
          <cell r="A517" t="str">
            <v>800-30-080</v>
          </cell>
          <cell r="B517" t="str">
            <v>STAFF BONUS</v>
          </cell>
          <cell r="C517">
            <v>0</v>
          </cell>
          <cell r="F517">
            <v>0</v>
          </cell>
        </row>
        <row r="518">
          <cell r="A518" t="str">
            <v>800-30-081</v>
          </cell>
          <cell r="B518" t="str">
            <v>STAFF BONUS-PRIOR YEAR PROV</v>
          </cell>
          <cell r="C518">
            <v>0</v>
          </cell>
          <cell r="F518">
            <v>0</v>
          </cell>
        </row>
        <row r="519">
          <cell r="A519" t="str">
            <v>800-30-082</v>
          </cell>
          <cell r="B519" t="str">
            <v>LONG TERM INCENTIVE PLAN</v>
          </cell>
          <cell r="C519">
            <v>0</v>
          </cell>
          <cell r="F519">
            <v>0</v>
          </cell>
        </row>
        <row r="520">
          <cell r="A520" t="str">
            <v>800-30-085</v>
          </cell>
          <cell r="B520" t="str">
            <v>W/TAX-AGENTS</v>
          </cell>
          <cell r="C520">
            <v>0</v>
          </cell>
          <cell r="F520">
            <v>0</v>
          </cell>
        </row>
        <row r="521">
          <cell r="A521" t="str">
            <v>800-30-090</v>
          </cell>
          <cell r="B521" t="str">
            <v>RETAINED COMMISSION</v>
          </cell>
          <cell r="C521">
            <v>0</v>
          </cell>
          <cell r="F521">
            <v>0</v>
          </cell>
        </row>
        <row r="522">
          <cell r="A522" t="str">
            <v>800-30-095</v>
          </cell>
          <cell r="B522" t="str">
            <v>KNIGHT FRANK</v>
          </cell>
          <cell r="C522">
            <v>0</v>
          </cell>
          <cell r="F522">
            <v>0</v>
          </cell>
        </row>
        <row r="523">
          <cell r="A523" t="str">
            <v>800-30-100</v>
          </cell>
          <cell r="B523" t="str">
            <v>PAYE</v>
          </cell>
          <cell r="C523">
            <v>0</v>
          </cell>
          <cell r="F523">
            <v>0</v>
          </cell>
        </row>
        <row r="524">
          <cell r="A524" t="str">
            <v>800-30-105</v>
          </cell>
          <cell r="B524" t="str">
            <v>ALA GROUP CHARGES</v>
          </cell>
          <cell r="C524">
            <v>0</v>
          </cell>
          <cell r="F524">
            <v>0</v>
          </cell>
        </row>
        <row r="525">
          <cell r="A525" t="str">
            <v>800-30-110</v>
          </cell>
          <cell r="B525" t="str">
            <v>AGENTS PAYROLL CREDITORS</v>
          </cell>
          <cell r="C525">
            <v>0</v>
          </cell>
          <cell r="F525">
            <v>0</v>
          </cell>
        </row>
        <row r="526">
          <cell r="A526" t="str">
            <v>800-30-115</v>
          </cell>
          <cell r="B526" t="str">
            <v>AGENCY PENSION</v>
          </cell>
          <cell r="C526">
            <v>0</v>
          </cell>
          <cell r="F526">
            <v>0</v>
          </cell>
        </row>
        <row r="527">
          <cell r="A527" t="str">
            <v>800-30-120</v>
          </cell>
          <cell r="B527" t="str">
            <v>AGENTS CO-OP SAVINGS</v>
          </cell>
          <cell r="C527">
            <v>0</v>
          </cell>
          <cell r="F527">
            <v>0</v>
          </cell>
        </row>
        <row r="528">
          <cell r="A528" t="str">
            <v>800-30-122</v>
          </cell>
          <cell r="B528" t="str">
            <v>N.H.I.F - AGENTS</v>
          </cell>
          <cell r="C528">
            <v>0</v>
          </cell>
          <cell r="F528">
            <v>0</v>
          </cell>
        </row>
        <row r="529">
          <cell r="A529" t="str">
            <v>800-30-123</v>
          </cell>
          <cell r="B529" t="str">
            <v>N.S.S.F-AGENTS</v>
          </cell>
          <cell r="C529">
            <v>0</v>
          </cell>
          <cell r="F529">
            <v>0</v>
          </cell>
        </row>
        <row r="530">
          <cell r="A530" t="str">
            <v>800-30-125</v>
          </cell>
          <cell r="B530" t="str">
            <v>STALE CHEQUES - 5039035</v>
          </cell>
          <cell r="C530">
            <v>0</v>
          </cell>
          <cell r="F530">
            <v>0</v>
          </cell>
        </row>
        <row r="531">
          <cell r="A531" t="str">
            <v>800-30-130</v>
          </cell>
          <cell r="B531" t="str">
            <v>STALE CHEQUES - CBA</v>
          </cell>
          <cell r="C531">
            <v>0</v>
          </cell>
          <cell r="F531">
            <v>0</v>
          </cell>
        </row>
        <row r="532">
          <cell r="A532" t="str">
            <v>800-30-135</v>
          </cell>
          <cell r="B532" t="str">
            <v>STALE CHEQUES - INDOSUEZ</v>
          </cell>
          <cell r="C532">
            <v>0</v>
          </cell>
          <cell r="F532">
            <v>0</v>
          </cell>
        </row>
        <row r="533">
          <cell r="A533" t="str">
            <v>800-30-140</v>
          </cell>
          <cell r="B533" t="str">
            <v>STALE CHEQUES -5776688</v>
          </cell>
          <cell r="C533">
            <v>0</v>
          </cell>
          <cell r="F533">
            <v>0</v>
          </cell>
        </row>
        <row r="534">
          <cell r="A534" t="str">
            <v>800-30-145</v>
          </cell>
          <cell r="B534" t="str">
            <v>STALE CHEQUES -5039027</v>
          </cell>
          <cell r="C534">
            <v>0</v>
          </cell>
          <cell r="F534">
            <v>0</v>
          </cell>
        </row>
        <row r="535">
          <cell r="A535" t="str">
            <v>800-30-150</v>
          </cell>
          <cell r="B535" t="str">
            <v>STALE CHEQUES-5776793</v>
          </cell>
          <cell r="C535">
            <v>0</v>
          </cell>
          <cell r="F535">
            <v>0</v>
          </cell>
        </row>
        <row r="536">
          <cell r="A536" t="str">
            <v>800-30-155</v>
          </cell>
          <cell r="B536" t="str">
            <v>STALE CHEQUES - MOMBASA</v>
          </cell>
          <cell r="C536">
            <v>0</v>
          </cell>
          <cell r="F536">
            <v>0</v>
          </cell>
        </row>
        <row r="537">
          <cell r="A537" t="str">
            <v>800-30-160</v>
          </cell>
          <cell r="B537" t="str">
            <v>BROKERAGE W/TAX</v>
          </cell>
          <cell r="C537">
            <v>0</v>
          </cell>
          <cell r="F537">
            <v>0</v>
          </cell>
        </row>
        <row r="538">
          <cell r="A538" t="str">
            <v>800-30-165</v>
          </cell>
          <cell r="B538" t="str">
            <v>GROUP CREDITORS</v>
          </cell>
          <cell r="C538">
            <v>0</v>
          </cell>
          <cell r="F538">
            <v>0</v>
          </cell>
        </row>
        <row r="539">
          <cell r="A539" t="str">
            <v>800-30-170</v>
          </cell>
          <cell r="B539" t="str">
            <v>UNEARNED INTEREST</v>
          </cell>
          <cell r="C539">
            <v>0</v>
          </cell>
          <cell r="F539">
            <v>0</v>
          </cell>
        </row>
        <row r="540">
          <cell r="A540" t="str">
            <v>800-30-174</v>
          </cell>
          <cell r="B540" t="str">
            <v>DEPOSIT ON MORTGAGE</v>
          </cell>
          <cell r="C540">
            <v>0</v>
          </cell>
          <cell r="F540">
            <v>0</v>
          </cell>
        </row>
        <row r="541">
          <cell r="A541" t="str">
            <v>800-30-175</v>
          </cell>
          <cell r="B541" t="str">
            <v>CONTRA ACCOUNT(COST CENTRES)</v>
          </cell>
          <cell r="C541">
            <v>82177986.450000003</v>
          </cell>
          <cell r="F541">
            <v>81457287.650000006</v>
          </cell>
        </row>
        <row r="542">
          <cell r="A542" t="str">
            <v>800-30-180</v>
          </cell>
          <cell r="B542" t="str">
            <v>W/TAX - OTHERS</v>
          </cell>
          <cell r="C542">
            <v>0</v>
          </cell>
          <cell r="F542">
            <v>0</v>
          </cell>
        </row>
        <row r="543">
          <cell r="A543" t="str">
            <v>800-30-185</v>
          </cell>
          <cell r="B543" t="str">
            <v>BROKERAGE COMMISSION CONTROL ACCOUNT</v>
          </cell>
          <cell r="C543">
            <v>0</v>
          </cell>
          <cell r="F543">
            <v>0</v>
          </cell>
        </row>
        <row r="544">
          <cell r="A544" t="str">
            <v>800-30-190</v>
          </cell>
          <cell r="B544" t="str">
            <v>TRANSFERS CONTRA ACCOUNT</v>
          </cell>
          <cell r="C544">
            <v>0</v>
          </cell>
          <cell r="F544">
            <v>0</v>
          </cell>
        </row>
        <row r="545">
          <cell r="A545" t="str">
            <v>800-30-195</v>
          </cell>
          <cell r="B545" t="str">
            <v>STALE CHEQUES - UNIT LINK ACCOUNT</v>
          </cell>
          <cell r="C545">
            <v>0</v>
          </cell>
          <cell r="F545">
            <v>0</v>
          </cell>
        </row>
        <row r="546">
          <cell r="A546" t="str">
            <v>800-30-200</v>
          </cell>
          <cell r="B546" t="str">
            <v>STALE CHEQUES - NIC</v>
          </cell>
          <cell r="C546">
            <v>0</v>
          </cell>
          <cell r="F546">
            <v>0</v>
          </cell>
        </row>
        <row r="547">
          <cell r="A547" t="str">
            <v>800-30-205</v>
          </cell>
          <cell r="B547" t="str">
            <v>STAFF SOCIAL CLUB</v>
          </cell>
          <cell r="C547">
            <v>0</v>
          </cell>
          <cell r="F547">
            <v>0</v>
          </cell>
        </row>
        <row r="548">
          <cell r="A548" t="str">
            <v>800-30-210</v>
          </cell>
          <cell r="B548" t="str">
            <v>PROVISION FOR TERMINATED AGENTS</v>
          </cell>
          <cell r="C548">
            <v>0</v>
          </cell>
          <cell r="F548">
            <v>0</v>
          </cell>
        </row>
        <row r="549">
          <cell r="A549" t="str">
            <v>800-30-215</v>
          </cell>
          <cell r="B549" t="str">
            <v>GROUP LIFE BENEFITS</v>
          </cell>
          <cell r="C549">
            <v>0</v>
          </cell>
          <cell r="F549">
            <v>0</v>
          </cell>
        </row>
        <row r="550">
          <cell r="A550" t="str">
            <v>800-40-010</v>
          </cell>
          <cell r="B550" t="str">
            <v>KENYA REINSURANCE CORP-REIN PREMIUM</v>
          </cell>
          <cell r="C550">
            <v>0</v>
          </cell>
          <cell r="F550">
            <v>0</v>
          </cell>
        </row>
        <row r="551">
          <cell r="A551" t="str">
            <v>800-40-020</v>
          </cell>
          <cell r="B551" t="str">
            <v>EAST AFRICA REINSURANCE LTD-REIN PREM</v>
          </cell>
          <cell r="C551">
            <v>0</v>
          </cell>
          <cell r="F551">
            <v>0</v>
          </cell>
        </row>
        <row r="552">
          <cell r="A552" t="str">
            <v>800-40-030</v>
          </cell>
          <cell r="B552" t="str">
            <v>AFRICA REINSURANCE CORP-REIN PREM</v>
          </cell>
          <cell r="C552">
            <v>0</v>
          </cell>
          <cell r="F552">
            <v>0</v>
          </cell>
        </row>
        <row r="553">
          <cell r="A553" t="str">
            <v>800-40-040</v>
          </cell>
          <cell r="B553" t="str">
            <v>PTA REINSURANCE</v>
          </cell>
          <cell r="C553">
            <v>0</v>
          </cell>
          <cell r="F553">
            <v>0</v>
          </cell>
        </row>
        <row r="554">
          <cell r="A554" t="str">
            <v>800-40-050</v>
          </cell>
          <cell r="B554" t="str">
            <v>CICA RE</v>
          </cell>
          <cell r="C554">
            <v>0</v>
          </cell>
          <cell r="F554">
            <v>0</v>
          </cell>
        </row>
        <row r="555">
          <cell r="A555" t="str">
            <v>800-40-060</v>
          </cell>
          <cell r="B555" t="str">
            <v>GHANA RE</v>
          </cell>
          <cell r="C555">
            <v>0</v>
          </cell>
          <cell r="F555">
            <v>0</v>
          </cell>
        </row>
        <row r="556">
          <cell r="A556" t="str">
            <v>800-50-010</v>
          </cell>
          <cell r="B556" t="str">
            <v>O/S MATURITY CLAIMS</v>
          </cell>
          <cell r="C556">
            <v>0</v>
          </cell>
          <cell r="F556">
            <v>0</v>
          </cell>
        </row>
        <row r="557">
          <cell r="A557" t="str">
            <v>800-50-020</v>
          </cell>
          <cell r="B557" t="str">
            <v>O/S CLAIMS ENDOWMENT</v>
          </cell>
          <cell r="C557">
            <v>0</v>
          </cell>
          <cell r="F557">
            <v>0</v>
          </cell>
        </row>
        <row r="558">
          <cell r="A558" t="str">
            <v>800-50-030</v>
          </cell>
          <cell r="B558" t="str">
            <v>O/S DEATH CLAIMS -ORDINARY</v>
          </cell>
          <cell r="C558">
            <v>0</v>
          </cell>
          <cell r="F558">
            <v>0</v>
          </cell>
        </row>
        <row r="559">
          <cell r="A559" t="str">
            <v>800-50-040</v>
          </cell>
          <cell r="B559" t="str">
            <v>O/S ANNUITY CLAIMS</v>
          </cell>
          <cell r="C559">
            <v>0</v>
          </cell>
          <cell r="F559">
            <v>0</v>
          </cell>
        </row>
        <row r="560">
          <cell r="A560" t="str">
            <v>800-50-050</v>
          </cell>
          <cell r="B560" t="str">
            <v>O/S DEATH-TANZANIA</v>
          </cell>
          <cell r="C560">
            <v>0</v>
          </cell>
          <cell r="F560">
            <v>0</v>
          </cell>
        </row>
        <row r="561">
          <cell r="A561" t="str">
            <v>800-50-060</v>
          </cell>
          <cell r="B561" t="str">
            <v>O/S MATURIRT CLMS-TANZANIA</v>
          </cell>
          <cell r="C561">
            <v>0</v>
          </cell>
          <cell r="F561">
            <v>0</v>
          </cell>
        </row>
        <row r="562">
          <cell r="A562" t="str">
            <v>800-50-070</v>
          </cell>
          <cell r="B562" t="str">
            <v>O/S FFFP DEATH CLAIMS</v>
          </cell>
          <cell r="C562">
            <v>0</v>
          </cell>
          <cell r="F562">
            <v>0</v>
          </cell>
        </row>
        <row r="563">
          <cell r="A563" t="str">
            <v>800-50-080</v>
          </cell>
          <cell r="B563" t="str">
            <v>O/S WP CLAIMS</v>
          </cell>
          <cell r="C563">
            <v>0</v>
          </cell>
          <cell r="F563">
            <v>0</v>
          </cell>
        </row>
        <row r="564">
          <cell r="A564" t="str">
            <v>800-50-085</v>
          </cell>
          <cell r="B564" t="str">
            <v>O/S PENSIONS</v>
          </cell>
          <cell r="C564">
            <v>0</v>
          </cell>
          <cell r="F564">
            <v>0</v>
          </cell>
        </row>
        <row r="565">
          <cell r="A565" t="str">
            <v>800-50-090</v>
          </cell>
          <cell r="B565" t="str">
            <v>O/S GROUP DEATH CLAIMS</v>
          </cell>
          <cell r="C565">
            <v>0</v>
          </cell>
          <cell r="F565">
            <v>0</v>
          </cell>
        </row>
        <row r="566">
          <cell r="A566" t="str">
            <v>800-50-095</v>
          </cell>
          <cell r="B566" t="str">
            <v>O/S GROUP MATURITIES</v>
          </cell>
          <cell r="C566">
            <v>0</v>
          </cell>
          <cell r="F566">
            <v>0</v>
          </cell>
        </row>
        <row r="567">
          <cell r="A567" t="str">
            <v>800-50-100</v>
          </cell>
          <cell r="B567" t="str">
            <v>O/S GROUP ANTICIPATED</v>
          </cell>
          <cell r="C567">
            <v>0</v>
          </cell>
          <cell r="F567">
            <v>0</v>
          </cell>
        </row>
        <row r="568">
          <cell r="A568" t="str">
            <v>800-50-110</v>
          </cell>
          <cell r="B568" t="str">
            <v>O/S RETIREMENT ANNUITIES</v>
          </cell>
          <cell r="C568">
            <v>0</v>
          </cell>
          <cell r="F568">
            <v>0</v>
          </cell>
        </row>
        <row r="569">
          <cell r="A569" t="str">
            <v>800-50-115</v>
          </cell>
          <cell r="B569" t="str">
            <v>GROUP HARAMBEE SURRENDERS</v>
          </cell>
          <cell r="C569">
            <v>0</v>
          </cell>
          <cell r="F569">
            <v>0</v>
          </cell>
        </row>
        <row r="570">
          <cell r="A570" t="str">
            <v>800-60-010</v>
          </cell>
          <cell r="B570" t="str">
            <v>PREMIUM TAX</v>
          </cell>
          <cell r="C570">
            <v>0</v>
          </cell>
          <cell r="F570">
            <v>0</v>
          </cell>
        </row>
        <row r="571">
          <cell r="A571" t="str">
            <v>800-60-015</v>
          </cell>
          <cell r="B571" t="str">
            <v>POLICY HOLDER COMPENSATION LEVY</v>
          </cell>
          <cell r="C571">
            <v>0</v>
          </cell>
          <cell r="F571">
            <v>0</v>
          </cell>
        </row>
        <row r="572">
          <cell r="A572" t="str">
            <v>800-65-010</v>
          </cell>
          <cell r="B572" t="str">
            <v>RESIDENTIAL HOUSE-LORESHO</v>
          </cell>
          <cell r="C572">
            <v>0</v>
          </cell>
          <cell r="F572">
            <v>0</v>
          </cell>
        </row>
        <row r="573">
          <cell r="A573" t="str">
            <v>800-68-010</v>
          </cell>
          <cell r="B573" t="str">
            <v>RESIDENTIAL -LORESHO HSE</v>
          </cell>
          <cell r="C573">
            <v>0</v>
          </cell>
          <cell r="F573">
            <v>0</v>
          </cell>
        </row>
        <row r="574">
          <cell r="A574" t="str">
            <v>800-68-015</v>
          </cell>
          <cell r="B574" t="str">
            <v>REVALUATION SURPLUS</v>
          </cell>
          <cell r="C574">
            <v>0</v>
          </cell>
          <cell r="F574">
            <v>0</v>
          </cell>
        </row>
        <row r="575">
          <cell r="A575" t="str">
            <v>800-68-020</v>
          </cell>
          <cell r="B575" t="str">
            <v>REVALUATION - POLICY LOANS</v>
          </cell>
          <cell r="C575">
            <v>0</v>
          </cell>
          <cell r="F575">
            <v>0</v>
          </cell>
        </row>
        <row r="576">
          <cell r="A576" t="str">
            <v>800-70-010</v>
          </cell>
          <cell r="B576" t="str">
            <v>ACC.DEP-MOTOR</v>
          </cell>
          <cell r="C576">
            <v>0</v>
          </cell>
          <cell r="F576">
            <v>0</v>
          </cell>
        </row>
        <row r="577">
          <cell r="A577" t="str">
            <v>800-70-020</v>
          </cell>
          <cell r="B577" t="str">
            <v>ACC.DEP-COMPUTER</v>
          </cell>
          <cell r="C577">
            <v>0</v>
          </cell>
          <cell r="F577">
            <v>0</v>
          </cell>
        </row>
        <row r="578">
          <cell r="A578" t="str">
            <v>800-70-025</v>
          </cell>
          <cell r="B578" t="str">
            <v>AMMORTISATION-INTANGIBLE ASSETS</v>
          </cell>
          <cell r="C578">
            <v>0</v>
          </cell>
          <cell r="F578">
            <v>0</v>
          </cell>
        </row>
        <row r="579">
          <cell r="A579" t="str">
            <v>800-70-030</v>
          </cell>
          <cell r="B579" t="str">
            <v>FURNITURE &amp; FITTING</v>
          </cell>
          <cell r="C579">
            <v>0</v>
          </cell>
          <cell r="F579">
            <v>0</v>
          </cell>
        </row>
        <row r="580">
          <cell r="A580" t="str">
            <v>900-05-010</v>
          </cell>
          <cell r="B580" t="str">
            <v>SHARE CAPITAL</v>
          </cell>
          <cell r="C580">
            <v>-126600000</v>
          </cell>
          <cell r="F580">
            <v>-126600000</v>
          </cell>
        </row>
        <row r="581">
          <cell r="A581" t="str">
            <v>900-05-015</v>
          </cell>
          <cell r="B581" t="str">
            <v>SHARE PREMIUM</v>
          </cell>
          <cell r="C581">
            <v>-103661000</v>
          </cell>
          <cell r="F581">
            <v>-103661000</v>
          </cell>
        </row>
        <row r="582">
          <cell r="A582" t="str">
            <v>900-05-020</v>
          </cell>
          <cell r="B582" t="str">
            <v>RETAINED EARNINGS</v>
          </cell>
          <cell r="C582">
            <v>0</v>
          </cell>
          <cell r="F582">
            <v>0</v>
          </cell>
        </row>
        <row r="583">
          <cell r="A583" t="str">
            <v>ACCOUNT</v>
          </cell>
          <cell r="B583" t="str">
            <v>ACCOUNT NAME</v>
          </cell>
          <cell r="C583" t="str">
            <v>OPENING BALANCE</v>
          </cell>
          <cell r="F583" t="str">
            <v>YR-TO-DATE</v>
          </cell>
        </row>
        <row r="584">
          <cell r="A584" t="str">
            <v>ACCOUNT</v>
          </cell>
          <cell r="B584" t="str">
            <v>ACCOUNT NAME</v>
          </cell>
          <cell r="C584" t="str">
            <v>OPENING BALANCE</v>
          </cell>
          <cell r="F584" t="str">
            <v>YR-TO-DATE</v>
          </cell>
        </row>
        <row r="585">
          <cell r="A585" t="str">
            <v>ACCOUNT</v>
          </cell>
          <cell r="B585" t="str">
            <v>ACCOUNT NAME</v>
          </cell>
          <cell r="C585" t="str">
            <v>OPENING BALANCE</v>
          </cell>
          <cell r="F585" t="str">
            <v>YR-TO-DATE</v>
          </cell>
        </row>
        <row r="586">
          <cell r="A586" t="str">
            <v>ACCOUNT</v>
          </cell>
          <cell r="B586" t="str">
            <v>ACCOUNT NAME</v>
          </cell>
          <cell r="C586" t="str">
            <v>OPENING BALANCE</v>
          </cell>
          <cell r="F586" t="str">
            <v>YR-TO-DATE</v>
          </cell>
        </row>
        <row r="587">
          <cell r="A587" t="str">
            <v>ACCOUNT</v>
          </cell>
          <cell r="B587" t="str">
            <v>ACCOUNT NAME</v>
          </cell>
          <cell r="C587" t="str">
            <v>OPENING BALANCE</v>
          </cell>
          <cell r="F587" t="str">
            <v>YR-TO-DATE</v>
          </cell>
        </row>
        <row r="588">
          <cell r="A588" t="str">
            <v>ACCOUNT</v>
          </cell>
          <cell r="B588" t="str">
            <v>ACCOUNT NAME</v>
          </cell>
          <cell r="C588" t="str">
            <v>OPENING BALANCE</v>
          </cell>
          <cell r="F588" t="str">
            <v>YR-TO-DATE</v>
          </cell>
        </row>
        <row r="589">
          <cell r="A589" t="str">
            <v>ACCOUNT</v>
          </cell>
          <cell r="B589" t="str">
            <v>ACCOUNT NAME</v>
          </cell>
          <cell r="C589" t="str">
            <v>OPENING BALANCE</v>
          </cell>
          <cell r="F589" t="str">
            <v>YR-TO-DATE</v>
          </cell>
        </row>
        <row r="590">
          <cell r="A590" t="str">
            <v>ACCOUNT</v>
          </cell>
          <cell r="B590" t="str">
            <v>ACCOUNT NAME</v>
          </cell>
          <cell r="C590" t="str">
            <v>OPENING BALANCE</v>
          </cell>
          <cell r="F590" t="str">
            <v>YR-TO-DATE</v>
          </cell>
        </row>
        <row r="591">
          <cell r="A591" t="str">
            <v>ACCOUNT</v>
          </cell>
          <cell r="B591" t="str">
            <v>ACCOUNT NAME</v>
          </cell>
          <cell r="C591" t="str">
            <v>OPENING BALANCE</v>
          </cell>
          <cell r="F591" t="str">
            <v>YR-TO-DATE</v>
          </cell>
        </row>
        <row r="592">
          <cell r="A592" t="str">
            <v>ACCOUNT</v>
          </cell>
          <cell r="B592" t="str">
            <v>ACCOUNT NAME</v>
          </cell>
          <cell r="C592" t="str">
            <v>OPENING BALANCE</v>
          </cell>
          <cell r="F592" t="str">
            <v>YR-TO-DATE</v>
          </cell>
        </row>
        <row r="593">
          <cell r="A593" t="str">
            <v>ACCOUNT</v>
          </cell>
          <cell r="B593" t="str">
            <v>ACCOUNT NAME</v>
          </cell>
          <cell r="C593" t="str">
            <v>OPENING BALANCE</v>
          </cell>
          <cell r="F593" t="str">
            <v>YR-TO-DATE</v>
          </cell>
        </row>
        <row r="594">
          <cell r="A594" t="str">
            <v>ACCOUNT</v>
          </cell>
          <cell r="B594" t="str">
            <v>ACCOUNT NAME</v>
          </cell>
          <cell r="C594" t="str">
            <v>OPENING BALANCE</v>
          </cell>
          <cell r="F594" t="str">
            <v>YR-TO-DATE</v>
          </cell>
        </row>
        <row r="595">
          <cell r="A595" t="str">
            <v>ACCOUNT</v>
          </cell>
          <cell r="B595" t="str">
            <v>ACCOUNT NAME</v>
          </cell>
          <cell r="C595" t="str">
            <v>OPENING BALANCE</v>
          </cell>
          <cell r="F595" t="str">
            <v>YR-TO-DATE</v>
          </cell>
        </row>
        <row r="596">
          <cell r="A596" t="str">
            <v>ACCOUNT</v>
          </cell>
          <cell r="B596" t="str">
            <v>ACCOUNT NAME</v>
          </cell>
          <cell r="C596" t="str">
            <v>OPENING BALANCE</v>
          </cell>
          <cell r="F596" t="str">
            <v>YR-TO-DATE</v>
          </cell>
        </row>
        <row r="597">
          <cell r="A597" t="str">
            <v>ACCOUNT</v>
          </cell>
          <cell r="B597" t="str">
            <v>ACCOUNT NAME</v>
          </cell>
          <cell r="C597" t="str">
            <v>OPENING BALANCE</v>
          </cell>
          <cell r="F597" t="str">
            <v>YR-TO-DATE</v>
          </cell>
        </row>
        <row r="598">
          <cell r="A598" t="str">
            <v>ACCOUNT</v>
          </cell>
          <cell r="B598" t="str">
            <v>ACCOUNT NAME</v>
          </cell>
          <cell r="C598" t="str">
            <v>OPENING BALANCE</v>
          </cell>
          <cell r="F598" t="str">
            <v>YR-TO-DATE</v>
          </cell>
        </row>
        <row r="599">
          <cell r="A599" t="str">
            <v>ACCOUNT</v>
          </cell>
          <cell r="B599" t="str">
            <v>ACCOUNT NAME</v>
          </cell>
          <cell r="C599" t="str">
            <v>OPENING BALANCE</v>
          </cell>
          <cell r="F599" t="str">
            <v>YR-TO-DATE</v>
          </cell>
        </row>
        <row r="600">
          <cell r="A600" t="str">
            <v>ACCOUNT</v>
          </cell>
          <cell r="B600" t="str">
            <v>ACCOUNT NAME</v>
          </cell>
          <cell r="C600" t="str">
            <v>OPENING BALANCE</v>
          </cell>
          <cell r="F600" t="str">
            <v>YR-TO-DATE</v>
          </cell>
        </row>
        <row r="601">
          <cell r="A601" t="str">
            <v>ACCOUNT</v>
          </cell>
          <cell r="B601" t="str">
            <v>ACCOUNT NAME</v>
          </cell>
          <cell r="C601" t="str">
            <v>OPENING BALANCE</v>
          </cell>
          <cell r="F601" t="str">
            <v>YR-TO-DATE</v>
          </cell>
        </row>
        <row r="602">
          <cell r="A602" t="str">
            <v>ACCOUNT</v>
          </cell>
          <cell r="B602" t="str">
            <v>ACCOUNT NAME</v>
          </cell>
          <cell r="C602" t="str">
            <v>OPENING BALANCE</v>
          </cell>
          <cell r="F602" t="str">
            <v>YR-TO-DATE</v>
          </cell>
        </row>
        <row r="603">
          <cell r="A603" t="str">
            <v>ACCOUNT</v>
          </cell>
          <cell r="B603" t="str">
            <v>ACCOUNT NAME</v>
          </cell>
          <cell r="C603" t="str">
            <v>OPENING BALANCE</v>
          </cell>
          <cell r="F603" t="str">
            <v>YR-TO-DATE</v>
          </cell>
        </row>
        <row r="604">
          <cell r="A604" t="str">
            <v>ACCUMULATE</v>
          </cell>
          <cell r="B604" t="str">
            <v>D DEPRECIATION</v>
          </cell>
        </row>
        <row r="605">
          <cell r="A605" t="str">
            <v>ADMINISTRA</v>
          </cell>
          <cell r="B605" t="str">
            <v>TION COSTS</v>
          </cell>
        </row>
        <row r="606">
          <cell r="A606" t="str">
            <v>AGENCY BEN</v>
          </cell>
          <cell r="B606" t="str">
            <v>EFITS</v>
          </cell>
        </row>
        <row r="607">
          <cell r="A607" t="str">
            <v>AGENCY DEV</v>
          </cell>
          <cell r="B607" t="str">
            <v>ELOPMENT FUND</v>
          </cell>
        </row>
        <row r="608">
          <cell r="A608" t="str">
            <v>ASSETS</v>
          </cell>
        </row>
        <row r="609">
          <cell r="A609" t="str">
            <v>ASSETS T</v>
          </cell>
          <cell r="B609" t="str">
            <v>OTAL:</v>
          </cell>
          <cell r="C609">
            <v>715014540.70000005</v>
          </cell>
          <cell r="F609">
            <v>712341171.70000005</v>
          </cell>
        </row>
        <row r="610">
          <cell r="A610" t="str">
            <v>BANK BALAN</v>
          </cell>
          <cell r="B610" t="str">
            <v>CES</v>
          </cell>
        </row>
        <row r="611">
          <cell r="A611" t="str">
            <v>BUILDINGS</v>
          </cell>
        </row>
        <row r="612">
          <cell r="A612" t="str">
            <v>BUILDINGS-</v>
          </cell>
          <cell r="B612" t="str">
            <v>DEPRECIATION</v>
          </cell>
        </row>
        <row r="613">
          <cell r="A613" t="str">
            <v>CHANGE IN</v>
          </cell>
          <cell r="B613" t="str">
            <v>POLICYHOLDER LIABILITIES</v>
          </cell>
        </row>
        <row r="614">
          <cell r="A614" t="str">
            <v>CLAIMS</v>
          </cell>
        </row>
        <row r="615">
          <cell r="A615" t="str">
            <v>CLAIMS REC</v>
          </cell>
          <cell r="B615" t="str">
            <v>OVERABLE</v>
          </cell>
        </row>
        <row r="616">
          <cell r="A616" t="str">
            <v>COMMERCIAL</v>
          </cell>
          <cell r="B616" t="str">
            <v>PAPERS</v>
          </cell>
        </row>
        <row r="617">
          <cell r="A617" t="str">
            <v>COMMISSION</v>
          </cell>
          <cell r="B617" t="str">
            <v>S</v>
          </cell>
        </row>
        <row r="618">
          <cell r="A618" t="str">
            <v>COMMISSION</v>
          </cell>
          <cell r="B618" t="str">
            <v>OVERRIDES</v>
          </cell>
        </row>
        <row r="619">
          <cell r="A619" t="str">
            <v>CURRENT TA</v>
          </cell>
          <cell r="B619" t="str">
            <v>X</v>
          </cell>
        </row>
        <row r="620">
          <cell r="A620" t="str">
            <v>DISPOSAL O</v>
          </cell>
          <cell r="B620" t="str">
            <v>F PROPERTIES</v>
          </cell>
        </row>
        <row r="621">
          <cell r="A621" t="str">
            <v>DIVIDENDS</v>
          </cell>
        </row>
        <row r="622">
          <cell r="A622" t="str">
            <v>FIXED ASSE</v>
          </cell>
          <cell r="B622" t="str">
            <v>TS</v>
          </cell>
        </row>
        <row r="623">
          <cell r="A623" t="str">
            <v>FIXED DEPO</v>
          </cell>
          <cell r="B623" t="str">
            <v>SITS</v>
          </cell>
        </row>
        <row r="624">
          <cell r="A624" t="str">
            <v>GAIN/LOSS</v>
          </cell>
          <cell r="B624" t="str">
            <v>SHARE VALUATION</v>
          </cell>
        </row>
        <row r="625">
          <cell r="A625" t="str">
            <v>GOVERNMENT</v>
          </cell>
          <cell r="B625" t="str">
            <v>SECURITIES-UNDER LIEN</v>
          </cell>
        </row>
        <row r="626">
          <cell r="A626" t="str">
            <v>GROSS CL</v>
          </cell>
          <cell r="B626" t="str">
            <v>AIMS TOTAL:</v>
          </cell>
          <cell r="C626">
            <v>0</v>
          </cell>
          <cell r="F626">
            <v>0</v>
          </cell>
        </row>
        <row r="627">
          <cell r="A627" t="str">
            <v>GROSS CLAI</v>
          </cell>
          <cell r="B627" t="str">
            <v>MS</v>
          </cell>
        </row>
        <row r="628">
          <cell r="A628" t="str">
            <v>GROSS CLAI</v>
          </cell>
          <cell r="B628" t="str">
            <v>MS-INDIVIDUAL LIFE</v>
          </cell>
        </row>
        <row r="629">
          <cell r="A629" t="str">
            <v>GROSS CLAI</v>
          </cell>
          <cell r="B629" t="str">
            <v>MS -GROUP LIFE</v>
          </cell>
        </row>
        <row r="630">
          <cell r="A630" t="str">
            <v>GROSS PR</v>
          </cell>
          <cell r="B630" t="str">
            <v>EMIUMS TOTAL:</v>
          </cell>
          <cell r="C630">
            <v>0</v>
          </cell>
          <cell r="F630">
            <v>0</v>
          </cell>
        </row>
        <row r="631">
          <cell r="A631" t="str">
            <v>GROSS PREM</v>
          </cell>
          <cell r="B631" t="str">
            <v>IUMS</v>
          </cell>
        </row>
        <row r="632">
          <cell r="A632" t="str">
            <v>GROUP BUSI</v>
          </cell>
          <cell r="B632" t="str">
            <v>NESS COMMISSION</v>
          </cell>
        </row>
        <row r="633">
          <cell r="A633" t="str">
            <v>GROUP PREM</v>
          </cell>
          <cell r="B633" t="str">
            <v>IUMS</v>
          </cell>
        </row>
        <row r="634">
          <cell r="A634" t="str">
            <v>GROUP PREM</v>
          </cell>
          <cell r="B634" t="str">
            <v>IUM DEBTOR</v>
          </cell>
        </row>
        <row r="635">
          <cell r="A635" t="str">
            <v>INTEREST I</v>
          </cell>
          <cell r="B635" t="str">
            <v>NCOMES</v>
          </cell>
        </row>
        <row r="636">
          <cell r="A636" t="str">
            <v>INVESTMENT</v>
          </cell>
          <cell r="B636" t="str">
            <v>ALLOCATION TRANSFERS</v>
          </cell>
        </row>
        <row r="637">
          <cell r="A637" t="str">
            <v>INVESTMENT</v>
          </cell>
          <cell r="B637" t="str">
            <v>S INCOME AS PER SIM REPORTS</v>
          </cell>
        </row>
        <row r="638">
          <cell r="A638" t="str">
            <v>INVESTMENT</v>
          </cell>
          <cell r="B638" t="str">
            <v>PROPERTIES</v>
          </cell>
        </row>
        <row r="639">
          <cell r="A639" t="str">
            <v>KENYA GOV'</v>
          </cell>
          <cell r="B639" t="str">
            <v>T SECURITIES</v>
          </cell>
        </row>
        <row r="640">
          <cell r="A640" t="str">
            <v>LAND AMMOR</v>
          </cell>
          <cell r="B640" t="str">
            <v>TIZATION</v>
          </cell>
        </row>
        <row r="641">
          <cell r="A641" t="str">
            <v>LAND AT VA</v>
          </cell>
          <cell r="B641" t="str">
            <v>LUATION</v>
          </cell>
        </row>
        <row r="642">
          <cell r="A642" t="str">
            <v>LAPSES</v>
          </cell>
        </row>
        <row r="643">
          <cell r="A643" t="str">
            <v>LIABILIT</v>
          </cell>
          <cell r="B643" t="str">
            <v>IES TOTAL:</v>
          </cell>
          <cell r="C643">
            <v>-433099957.19999999</v>
          </cell>
          <cell r="F643">
            <v>-433820656</v>
          </cell>
        </row>
        <row r="644">
          <cell r="A644" t="str">
            <v>LIABILITIE</v>
          </cell>
          <cell r="B644" t="str">
            <v>S</v>
          </cell>
        </row>
        <row r="645">
          <cell r="A645" t="str">
            <v>MANAGEME</v>
          </cell>
          <cell r="B645" t="str">
            <v>NT EXPENSES TOTAL:</v>
          </cell>
          <cell r="C645">
            <v>0</v>
          </cell>
          <cell r="F645">
            <v>0</v>
          </cell>
        </row>
        <row r="646">
          <cell r="A646" t="str">
            <v>MANAGEMENT</v>
          </cell>
          <cell r="B646" t="str">
            <v>EXPENSES</v>
          </cell>
        </row>
        <row r="647">
          <cell r="A647" t="str">
            <v>MEDICALS</v>
          </cell>
        </row>
        <row r="648">
          <cell r="A648" t="str">
            <v>MEMORANDUM</v>
          </cell>
          <cell r="B648" t="str">
            <v>ENTRIES</v>
          </cell>
        </row>
        <row r="649">
          <cell r="A649" t="str">
            <v>MORTGAGES</v>
          </cell>
        </row>
        <row r="650">
          <cell r="A650" t="str">
            <v>NEW BUSINE</v>
          </cell>
          <cell r="B650" t="str">
            <v>SS PREMIUMS</v>
          </cell>
        </row>
        <row r="651">
          <cell r="A651" t="str">
            <v>NEW BUSINE</v>
          </cell>
          <cell r="B651" t="str">
            <v>SS - GROUP LIFE</v>
          </cell>
        </row>
        <row r="652">
          <cell r="A652" t="str">
            <v>NEW BUSINE</v>
          </cell>
          <cell r="B652" t="str">
            <v>SS - REASSURANCE PREMIUM</v>
          </cell>
        </row>
        <row r="653">
          <cell r="A653" t="str">
            <v>NEW BUSINE</v>
          </cell>
          <cell r="B653" t="str">
            <v>SS - REASSURSNCE COMMISSION</v>
          </cell>
        </row>
        <row r="654">
          <cell r="A654" t="str">
            <v>NEW COMMIS</v>
          </cell>
          <cell r="B654" t="str">
            <v>SION</v>
          </cell>
        </row>
        <row r="655">
          <cell r="A655" t="str">
            <v>NLTRIBALS0</v>
          </cell>
        </row>
        <row r="656">
          <cell r="A656" t="str">
            <v>NLTRIBALS0</v>
          </cell>
        </row>
        <row r="657">
          <cell r="A657" t="str">
            <v>NLTRIBALS0</v>
          </cell>
        </row>
        <row r="658">
          <cell r="A658" t="str">
            <v>NLTRIBALS0</v>
          </cell>
        </row>
        <row r="659">
          <cell r="A659" t="str">
            <v>NLTRIBALS0</v>
          </cell>
        </row>
        <row r="660">
          <cell r="A660" t="str">
            <v>NLTRIBALS0</v>
          </cell>
        </row>
        <row r="661">
          <cell r="A661" t="str">
            <v>NLTRIBALS0</v>
          </cell>
        </row>
        <row r="662">
          <cell r="A662" t="str">
            <v>NLTRIBALS0</v>
          </cell>
        </row>
        <row r="663">
          <cell r="A663" t="str">
            <v>NLTRIBALS0</v>
          </cell>
        </row>
        <row r="664">
          <cell r="A664" t="str">
            <v>NLTRIBALS0</v>
          </cell>
        </row>
        <row r="665">
          <cell r="A665" t="str">
            <v>NLTRIBALS0</v>
          </cell>
        </row>
        <row r="666">
          <cell r="A666" t="str">
            <v>NLTRIBALS0</v>
          </cell>
        </row>
        <row r="667">
          <cell r="A667" t="str">
            <v>NLTRIBALS0</v>
          </cell>
        </row>
        <row r="668">
          <cell r="A668" t="str">
            <v>NLTRIBALS0</v>
          </cell>
        </row>
        <row r="669">
          <cell r="A669" t="str">
            <v>NLTRIBALS0</v>
          </cell>
        </row>
        <row r="670">
          <cell r="A670" t="str">
            <v>NLTRIBALS0</v>
          </cell>
        </row>
        <row r="671">
          <cell r="A671" t="str">
            <v>NLTRIBALS0</v>
          </cell>
        </row>
        <row r="672">
          <cell r="A672" t="str">
            <v>NLTRIBALS0</v>
          </cell>
        </row>
        <row r="673">
          <cell r="A673" t="str">
            <v>NLTRIBALS0</v>
          </cell>
        </row>
        <row r="674">
          <cell r="A674" t="str">
            <v>NLTRIBALS0</v>
          </cell>
        </row>
        <row r="675">
          <cell r="A675" t="str">
            <v>NLTRIBALS0</v>
          </cell>
        </row>
        <row r="676">
          <cell r="A676" t="str">
            <v>NON KENYA</v>
          </cell>
          <cell r="B676" t="str">
            <v>STOCKS</v>
          </cell>
        </row>
        <row r="677">
          <cell r="A677" t="str">
            <v>NON PREM</v>
          </cell>
          <cell r="B677" t="str">
            <v>IUM INCOMES TOTAL:</v>
          </cell>
          <cell r="C677">
            <v>-51653583.5</v>
          </cell>
          <cell r="F677">
            <v>-48259515.700000003</v>
          </cell>
        </row>
        <row r="678">
          <cell r="A678" t="str">
            <v>NON PREMIU</v>
          </cell>
          <cell r="B678" t="str">
            <v>M INCOMES</v>
          </cell>
        </row>
        <row r="679">
          <cell r="A679" t="str">
            <v>OFFICE COS</v>
          </cell>
          <cell r="B679" t="str">
            <v>TS</v>
          </cell>
        </row>
        <row r="680">
          <cell r="A680" t="str">
            <v>OTHER INCO</v>
          </cell>
          <cell r="B680" t="str">
            <v>MES</v>
          </cell>
        </row>
        <row r="681">
          <cell r="A681" t="str">
            <v>OTHER PAYA</v>
          </cell>
          <cell r="B681" t="str">
            <v>BLES</v>
          </cell>
        </row>
        <row r="682">
          <cell r="A682" t="str">
            <v>OTHER RECE</v>
          </cell>
          <cell r="B682" t="str">
            <v>IVABLES</v>
          </cell>
        </row>
        <row r="683">
          <cell r="A683" t="str">
            <v>OUTSTANDIN</v>
          </cell>
          <cell r="B683" t="str">
            <v>G PREMIUMS-API</v>
          </cell>
        </row>
        <row r="684">
          <cell r="A684" t="str">
            <v>OUTSTANDIN</v>
          </cell>
          <cell r="B684" t="str">
            <v>G CLAIMS -GROSS</v>
          </cell>
        </row>
        <row r="685">
          <cell r="A685" t="str">
            <v>PETTY CASH</v>
          </cell>
        </row>
        <row r="686">
          <cell r="A686" t="str">
            <v>POLICY LOA</v>
          </cell>
          <cell r="B686" t="str">
            <v>NS -PAIC SERIES</v>
          </cell>
        </row>
        <row r="687">
          <cell r="A687" t="str">
            <v>POLICY LOA</v>
          </cell>
          <cell r="B687" t="str">
            <v>NS -UNIT LINK</v>
          </cell>
        </row>
        <row r="688">
          <cell r="A688" t="str">
            <v>PREDEBIT D</v>
          </cell>
          <cell r="B688" t="str">
            <v>EBTOR</v>
          </cell>
        </row>
        <row r="689">
          <cell r="A689" t="str">
            <v>PREMIUM IN</v>
          </cell>
          <cell r="B689" t="str">
            <v>COMES RECOVERIES</v>
          </cell>
        </row>
        <row r="690">
          <cell r="A690" t="str">
            <v>PREMIUM UP</v>
          </cell>
          <cell r="B690" t="str">
            <v>DATES</v>
          </cell>
        </row>
        <row r="691">
          <cell r="A691" t="str">
            <v>PREMIUMS-</v>
          </cell>
          <cell r="B691" t="str">
            <v>INDIVIDUAL LIFE</v>
          </cell>
        </row>
        <row r="692">
          <cell r="A692" t="str">
            <v>PREMIUMS-</v>
          </cell>
          <cell r="B692" t="str">
            <v>GROUP LIFE</v>
          </cell>
        </row>
        <row r="693">
          <cell r="A693" t="str">
            <v>PRIOR ITEM</v>
          </cell>
          <cell r="B693" t="str">
            <v>S</v>
          </cell>
        </row>
        <row r="694">
          <cell r="A694" t="str">
            <v>REALISED L</v>
          </cell>
          <cell r="B694" t="str">
            <v>OSS/GAIN ON BONDS AND TBILLS</v>
          </cell>
        </row>
        <row r="695">
          <cell r="A695" t="str">
            <v>REALIZED G</v>
          </cell>
          <cell r="B695" t="str">
            <v>AIN/LOSS SHARES</v>
          </cell>
        </row>
        <row r="696">
          <cell r="A696" t="str">
            <v>RECEIVABLE</v>
          </cell>
          <cell r="B696" t="str">
            <v>S</v>
          </cell>
        </row>
        <row r="697">
          <cell r="A697" t="str">
            <v>REINSURA</v>
          </cell>
          <cell r="B697" t="str">
            <v>NCES TOTAL:</v>
          </cell>
          <cell r="C697">
            <v>0</v>
          </cell>
          <cell r="F697">
            <v>0</v>
          </cell>
        </row>
        <row r="698">
          <cell r="A698" t="str">
            <v>REINSURANC</v>
          </cell>
          <cell r="B698" t="str">
            <v>ES</v>
          </cell>
        </row>
        <row r="699">
          <cell r="A699" t="str">
            <v>REINSURANC</v>
          </cell>
          <cell r="B699" t="str">
            <v>E PAYABLE</v>
          </cell>
        </row>
        <row r="700">
          <cell r="A700" t="str">
            <v>REISURANCE</v>
          </cell>
          <cell r="B700" t="str">
            <v>DEBTOR</v>
          </cell>
        </row>
        <row r="701">
          <cell r="A701" t="str">
            <v>RENEWAL</v>
          </cell>
        </row>
        <row r="702">
          <cell r="A702" t="str">
            <v>RENEWAL CO</v>
          </cell>
          <cell r="B702" t="str">
            <v>MMISSION</v>
          </cell>
        </row>
        <row r="703">
          <cell r="A703" t="str">
            <v>RENEWAL PR</v>
          </cell>
          <cell r="B703" t="str">
            <v>EMIUMS</v>
          </cell>
        </row>
        <row r="704">
          <cell r="A704" t="str">
            <v>RENTAL CRE</v>
          </cell>
          <cell r="B704" t="str">
            <v>DITORS</v>
          </cell>
        </row>
        <row r="705">
          <cell r="A705" t="str">
            <v>RENTAL DEB</v>
          </cell>
          <cell r="B705" t="str">
            <v>TORS</v>
          </cell>
        </row>
        <row r="706">
          <cell r="A706" t="str">
            <v>RENTAL INC</v>
          </cell>
          <cell r="B706" t="str">
            <v>OMES</v>
          </cell>
        </row>
        <row r="707">
          <cell r="A707" t="str">
            <v>Run Date:</v>
          </cell>
          <cell r="B707" t="str">
            <v>8 October, 2008</v>
          </cell>
          <cell r="C707" t="str">
            <v>P</v>
          </cell>
          <cell r="F707" t="str">
            <v>Page: 2</v>
          </cell>
        </row>
        <row r="708">
          <cell r="A708" t="str">
            <v>Run Date:</v>
          </cell>
          <cell r="B708" t="str">
            <v>8 October, 2008</v>
          </cell>
          <cell r="C708" t="str">
            <v>P</v>
          </cell>
          <cell r="F708" t="str">
            <v>Page: 3</v>
          </cell>
        </row>
        <row r="709">
          <cell r="A709" t="str">
            <v>Run Date:</v>
          </cell>
          <cell r="B709" t="str">
            <v>8 October, 2008</v>
          </cell>
          <cell r="C709" t="str">
            <v>P</v>
          </cell>
          <cell r="F709" t="str">
            <v>Page: 4</v>
          </cell>
        </row>
        <row r="710">
          <cell r="A710" t="str">
            <v>Run Date:</v>
          </cell>
          <cell r="B710" t="str">
            <v>8 October, 2008</v>
          </cell>
          <cell r="C710" t="str">
            <v>P</v>
          </cell>
          <cell r="F710" t="str">
            <v>Page: 5</v>
          </cell>
        </row>
        <row r="711">
          <cell r="A711" t="str">
            <v>Run Date:</v>
          </cell>
          <cell r="B711" t="str">
            <v>8 October, 2008</v>
          </cell>
          <cell r="C711" t="str">
            <v>P</v>
          </cell>
          <cell r="F711" t="str">
            <v>Page: 6</v>
          </cell>
        </row>
        <row r="712">
          <cell r="A712" t="str">
            <v>Run Date:</v>
          </cell>
          <cell r="B712" t="str">
            <v>8 October, 2008</v>
          </cell>
          <cell r="C712" t="str">
            <v>P</v>
          </cell>
          <cell r="F712" t="str">
            <v>Page: 7</v>
          </cell>
        </row>
        <row r="713">
          <cell r="A713" t="str">
            <v>Run Date:</v>
          </cell>
          <cell r="B713" t="str">
            <v>8 October, 2008</v>
          </cell>
          <cell r="C713" t="str">
            <v>P</v>
          </cell>
          <cell r="F713" t="str">
            <v>Page: 8</v>
          </cell>
        </row>
        <row r="714">
          <cell r="A714" t="str">
            <v>Run Date:</v>
          </cell>
          <cell r="B714" t="str">
            <v>8 October, 2008</v>
          </cell>
          <cell r="C714" t="str">
            <v>P</v>
          </cell>
          <cell r="F714" t="str">
            <v>Page: 9</v>
          </cell>
        </row>
        <row r="715">
          <cell r="A715" t="str">
            <v>Run Date:</v>
          </cell>
          <cell r="B715" t="str">
            <v>8 October, 2008</v>
          </cell>
          <cell r="C715" t="str">
            <v>P</v>
          </cell>
          <cell r="F715" t="str">
            <v>Page: 10</v>
          </cell>
        </row>
        <row r="716">
          <cell r="A716" t="str">
            <v>Run Date:</v>
          </cell>
          <cell r="B716" t="str">
            <v>8 October, 2008</v>
          </cell>
          <cell r="C716" t="str">
            <v>P</v>
          </cell>
          <cell r="F716" t="str">
            <v>Page: 11</v>
          </cell>
        </row>
        <row r="717">
          <cell r="A717" t="str">
            <v>Run Date:</v>
          </cell>
          <cell r="B717" t="str">
            <v>8 October, 2008</v>
          </cell>
          <cell r="C717" t="str">
            <v>P</v>
          </cell>
          <cell r="F717" t="str">
            <v>Page: 12</v>
          </cell>
        </row>
        <row r="718">
          <cell r="A718" t="str">
            <v>Run Date:</v>
          </cell>
          <cell r="B718" t="str">
            <v>8 October, 2008</v>
          </cell>
          <cell r="C718" t="str">
            <v>P</v>
          </cell>
          <cell r="F718" t="str">
            <v>Page: 13</v>
          </cell>
        </row>
        <row r="719">
          <cell r="A719" t="str">
            <v>Run Date:</v>
          </cell>
          <cell r="B719" t="str">
            <v>8 October, 2008</v>
          </cell>
          <cell r="C719" t="str">
            <v>P</v>
          </cell>
          <cell r="F719" t="str">
            <v>Page: 14</v>
          </cell>
        </row>
        <row r="720">
          <cell r="A720" t="str">
            <v>Run Date:</v>
          </cell>
          <cell r="B720" t="str">
            <v>8 October, 2008</v>
          </cell>
          <cell r="C720" t="str">
            <v>P</v>
          </cell>
          <cell r="F720" t="str">
            <v>Page: 15</v>
          </cell>
        </row>
        <row r="721">
          <cell r="A721" t="str">
            <v>Run Date:</v>
          </cell>
          <cell r="B721" t="str">
            <v>8 October, 2008</v>
          </cell>
          <cell r="C721" t="str">
            <v>P</v>
          </cell>
          <cell r="F721" t="str">
            <v>Page: 16</v>
          </cell>
        </row>
        <row r="722">
          <cell r="A722" t="str">
            <v>Run Date:</v>
          </cell>
          <cell r="B722" t="str">
            <v>8 October, 2008</v>
          </cell>
          <cell r="C722" t="str">
            <v>P</v>
          </cell>
          <cell r="F722" t="str">
            <v>Page: 17</v>
          </cell>
        </row>
        <row r="723">
          <cell r="A723" t="str">
            <v>Run Date:</v>
          </cell>
          <cell r="B723" t="str">
            <v>8 October, 2008</v>
          </cell>
          <cell r="C723" t="str">
            <v>P</v>
          </cell>
          <cell r="F723" t="str">
            <v>Page: 18</v>
          </cell>
        </row>
        <row r="724">
          <cell r="A724" t="str">
            <v>Run Date:</v>
          </cell>
          <cell r="B724" t="str">
            <v>8 October, 2008</v>
          </cell>
          <cell r="C724" t="str">
            <v>P</v>
          </cell>
          <cell r="F724" t="str">
            <v>Page: 19</v>
          </cell>
        </row>
        <row r="725">
          <cell r="A725" t="str">
            <v>Run Date:</v>
          </cell>
          <cell r="B725" t="str">
            <v>8 October, 2008</v>
          </cell>
          <cell r="C725" t="str">
            <v>P</v>
          </cell>
          <cell r="F725" t="str">
            <v>Page: 20</v>
          </cell>
        </row>
        <row r="726">
          <cell r="A726" t="str">
            <v>Run Date:</v>
          </cell>
          <cell r="B726" t="str">
            <v>8 October, 2008</v>
          </cell>
          <cell r="C726" t="str">
            <v>P</v>
          </cell>
          <cell r="F726" t="str">
            <v>Page: 21</v>
          </cell>
        </row>
        <row r="727">
          <cell r="A727" t="str">
            <v>Run Date:</v>
          </cell>
          <cell r="B727" t="str">
            <v>8 October, 2008</v>
          </cell>
          <cell r="C727" t="str">
            <v>P</v>
          </cell>
          <cell r="F727" t="str">
            <v>Page: 22</v>
          </cell>
        </row>
        <row r="728">
          <cell r="A728" t="str">
            <v>SALES INCE</v>
          </cell>
          <cell r="B728" t="str">
            <v>NTIVES &amp; TRAINING</v>
          </cell>
        </row>
        <row r="729">
          <cell r="A729" t="str">
            <v>SELLING</v>
          </cell>
          <cell r="B729" t="str">
            <v>EXPENSES TOTAL:</v>
          </cell>
          <cell r="C729">
            <v>0</v>
          </cell>
          <cell r="F729">
            <v>0</v>
          </cell>
        </row>
        <row r="730">
          <cell r="A730" t="str">
            <v>SELLING EX</v>
          </cell>
          <cell r="B730" t="str">
            <v>PENSES</v>
          </cell>
        </row>
        <row r="731">
          <cell r="A731" t="str">
            <v>SHARE CAPI</v>
          </cell>
          <cell r="B731" t="str">
            <v>TAL</v>
          </cell>
        </row>
        <row r="732">
          <cell r="A732" t="str">
            <v>SHAREHOL</v>
          </cell>
          <cell r="B732" t="str">
            <v>DERS &amp; STATUTORY FUNDS TOTAL:</v>
          </cell>
          <cell r="C732">
            <v>-230261000</v>
          </cell>
          <cell r="F732">
            <v>-230261000</v>
          </cell>
        </row>
        <row r="733">
          <cell r="A733" t="str">
            <v>SHAREHOLDE</v>
          </cell>
          <cell r="B733" t="str">
            <v>RS &amp; STATUTORY FUNDS</v>
          </cell>
        </row>
        <row r="734">
          <cell r="A734" t="str">
            <v>STAFF COST</v>
          </cell>
          <cell r="B734" t="str">
            <v>S</v>
          </cell>
        </row>
        <row r="735">
          <cell r="A735" t="str">
            <v>STAMP DUTY</v>
          </cell>
          <cell r="B735" t="str">
            <v>EXPENSES</v>
          </cell>
        </row>
        <row r="736">
          <cell r="A736" t="str">
            <v>STATUTORY</v>
          </cell>
          <cell r="B736" t="str">
            <v>COSTS</v>
          </cell>
        </row>
        <row r="737">
          <cell r="A737" t="str">
            <v>STOCKS</v>
          </cell>
        </row>
        <row r="738">
          <cell r="A738" t="str">
            <v>SUB-TOTAL</v>
          </cell>
          <cell r="B738" t="str">
            <v>:</v>
          </cell>
          <cell r="C738">
            <v>0</v>
          </cell>
          <cell r="F738">
            <v>0</v>
          </cell>
        </row>
        <row r="739">
          <cell r="A739" t="str">
            <v>SUB-TOTAL</v>
          </cell>
          <cell r="B739" t="str">
            <v>:</v>
          </cell>
          <cell r="C739">
            <v>0</v>
          </cell>
          <cell r="F739">
            <v>0</v>
          </cell>
        </row>
        <row r="740">
          <cell r="A740" t="str">
            <v>SUB-TOTAL</v>
          </cell>
          <cell r="B740" t="str">
            <v>:</v>
          </cell>
          <cell r="C740">
            <v>0</v>
          </cell>
          <cell r="F740">
            <v>0</v>
          </cell>
        </row>
        <row r="741">
          <cell r="A741" t="str">
            <v>SUB-TOTAL</v>
          </cell>
          <cell r="B741" t="str">
            <v>:</v>
          </cell>
          <cell r="C741">
            <v>0</v>
          </cell>
          <cell r="F741">
            <v>0</v>
          </cell>
        </row>
        <row r="742">
          <cell r="A742" t="str">
            <v>SUB-TOTAL</v>
          </cell>
          <cell r="B742" t="str">
            <v>:</v>
          </cell>
          <cell r="C742">
            <v>0</v>
          </cell>
          <cell r="F742">
            <v>0</v>
          </cell>
        </row>
        <row r="743">
          <cell r="A743" t="str">
            <v>SUB-TOTAL</v>
          </cell>
          <cell r="B743" t="str">
            <v>:</v>
          </cell>
          <cell r="C743">
            <v>0</v>
          </cell>
          <cell r="F743">
            <v>0</v>
          </cell>
        </row>
        <row r="744">
          <cell r="A744" t="str">
            <v>SUB-TOTAL</v>
          </cell>
          <cell r="B744" t="str">
            <v>:</v>
          </cell>
          <cell r="C744">
            <v>0</v>
          </cell>
          <cell r="F744">
            <v>0</v>
          </cell>
        </row>
        <row r="745">
          <cell r="A745" t="str">
            <v>SUB-TOTAL</v>
          </cell>
          <cell r="B745" t="str">
            <v>:</v>
          </cell>
          <cell r="C745">
            <v>0</v>
          </cell>
          <cell r="F745">
            <v>0</v>
          </cell>
        </row>
        <row r="746">
          <cell r="A746" t="str">
            <v>SUB-TOTAL</v>
          </cell>
          <cell r="B746" t="str">
            <v>:</v>
          </cell>
          <cell r="C746">
            <v>0</v>
          </cell>
          <cell r="F746">
            <v>0</v>
          </cell>
        </row>
        <row r="747">
          <cell r="A747" t="str">
            <v>SUB-TOTAL</v>
          </cell>
          <cell r="B747" t="str">
            <v>:</v>
          </cell>
          <cell r="C747">
            <v>0</v>
          </cell>
          <cell r="F747">
            <v>0</v>
          </cell>
        </row>
        <row r="748">
          <cell r="A748" t="str">
            <v>SUB-TOTAL</v>
          </cell>
          <cell r="B748" t="str">
            <v>:</v>
          </cell>
          <cell r="C748">
            <v>0</v>
          </cell>
          <cell r="F748">
            <v>0</v>
          </cell>
        </row>
        <row r="749">
          <cell r="A749" t="str">
            <v>SUB-TOTAL</v>
          </cell>
          <cell r="B749" t="str">
            <v>:</v>
          </cell>
          <cell r="C749">
            <v>0</v>
          </cell>
          <cell r="F749">
            <v>0</v>
          </cell>
        </row>
        <row r="750">
          <cell r="A750" t="str">
            <v>SUB-TOTAL</v>
          </cell>
          <cell r="B750" t="str">
            <v>:</v>
          </cell>
          <cell r="C750">
            <v>0</v>
          </cell>
          <cell r="F750">
            <v>0</v>
          </cell>
        </row>
        <row r="751">
          <cell r="A751" t="str">
            <v>SUB-TOTAL</v>
          </cell>
          <cell r="B751" t="str">
            <v>:</v>
          </cell>
          <cell r="C751">
            <v>0</v>
          </cell>
          <cell r="F751">
            <v>0</v>
          </cell>
        </row>
        <row r="752">
          <cell r="A752" t="str">
            <v>SUB-TOTAL</v>
          </cell>
          <cell r="B752" t="str">
            <v>:</v>
          </cell>
          <cell r="C752">
            <v>0</v>
          </cell>
          <cell r="F752">
            <v>0</v>
          </cell>
        </row>
        <row r="753">
          <cell r="A753" t="str">
            <v>SUB-TOTAL</v>
          </cell>
          <cell r="B753" t="str">
            <v>:</v>
          </cell>
          <cell r="C753">
            <v>-5127735</v>
          </cell>
          <cell r="F753">
            <v>-5127735</v>
          </cell>
        </row>
        <row r="754">
          <cell r="A754" t="str">
            <v>SUB-TOTAL</v>
          </cell>
          <cell r="B754" t="str">
            <v>:</v>
          </cell>
          <cell r="C754">
            <v>0</v>
          </cell>
          <cell r="F754">
            <v>0</v>
          </cell>
        </row>
        <row r="755">
          <cell r="A755" t="str">
            <v>SUB-TOTAL</v>
          </cell>
          <cell r="B755" t="str">
            <v>:</v>
          </cell>
          <cell r="C755">
            <v>-4994234</v>
          </cell>
          <cell r="F755">
            <v>-4994234</v>
          </cell>
        </row>
        <row r="756">
          <cell r="A756" t="str">
            <v>SUB-TOTAL</v>
          </cell>
          <cell r="B756" t="str">
            <v>:</v>
          </cell>
          <cell r="C756">
            <v>-158598.6</v>
          </cell>
          <cell r="F756">
            <v>-158598.6</v>
          </cell>
        </row>
        <row r="757">
          <cell r="A757" t="str">
            <v>SUB-TOTAL</v>
          </cell>
          <cell r="B757" t="str">
            <v>:</v>
          </cell>
          <cell r="C757">
            <v>-12182798.300000001</v>
          </cell>
          <cell r="F757">
            <v>-13975912.5</v>
          </cell>
        </row>
        <row r="758">
          <cell r="A758" t="str">
            <v>SUB-TOTAL</v>
          </cell>
          <cell r="B758" t="str">
            <v>:</v>
          </cell>
          <cell r="C758">
            <v>0</v>
          </cell>
          <cell r="F758">
            <v>0</v>
          </cell>
        </row>
        <row r="759">
          <cell r="A759" t="str">
            <v>SUB-TOTAL</v>
          </cell>
          <cell r="B759" t="str">
            <v>:</v>
          </cell>
          <cell r="C759">
            <v>0</v>
          </cell>
          <cell r="F759">
            <v>0</v>
          </cell>
        </row>
        <row r="760">
          <cell r="A760" t="str">
            <v>SUB-TOTAL</v>
          </cell>
          <cell r="B760" t="str">
            <v>:</v>
          </cell>
          <cell r="C760">
            <v>0</v>
          </cell>
          <cell r="F760">
            <v>0</v>
          </cell>
        </row>
        <row r="761">
          <cell r="A761" t="str">
            <v>SUB-TOTAL</v>
          </cell>
          <cell r="B761" t="str">
            <v>:</v>
          </cell>
          <cell r="C761">
            <v>-29190217.600000001</v>
          </cell>
          <cell r="F761">
            <v>-24003035.600000001</v>
          </cell>
        </row>
        <row r="762">
          <cell r="A762" t="str">
            <v>SUB-TOTAL</v>
          </cell>
          <cell r="B762" t="str">
            <v>:</v>
          </cell>
          <cell r="C762">
            <v>0</v>
          </cell>
          <cell r="F762">
            <v>0</v>
          </cell>
        </row>
        <row r="763">
          <cell r="A763" t="str">
            <v>SUB-TOTAL</v>
          </cell>
          <cell r="B763" t="str">
            <v>:</v>
          </cell>
          <cell r="C763">
            <v>0</v>
          </cell>
          <cell r="F763">
            <v>0</v>
          </cell>
        </row>
        <row r="764">
          <cell r="A764" t="str">
            <v>SUB-TOTAL</v>
          </cell>
          <cell r="B764" t="str">
            <v>:</v>
          </cell>
          <cell r="C764">
            <v>0</v>
          </cell>
          <cell r="F764">
            <v>0</v>
          </cell>
        </row>
        <row r="765">
          <cell r="A765" t="str">
            <v>SUB-TOTAL</v>
          </cell>
          <cell r="B765" t="str">
            <v>:</v>
          </cell>
          <cell r="C765">
            <v>0</v>
          </cell>
          <cell r="F765">
            <v>0</v>
          </cell>
        </row>
        <row r="766">
          <cell r="A766" t="str">
            <v>SUB-TOTAL</v>
          </cell>
          <cell r="B766" t="str">
            <v>:</v>
          </cell>
          <cell r="C766">
            <v>0</v>
          </cell>
          <cell r="F766">
            <v>0</v>
          </cell>
        </row>
        <row r="767">
          <cell r="A767" t="str">
            <v>SUB-TOTAL</v>
          </cell>
          <cell r="B767" t="str">
            <v>:</v>
          </cell>
          <cell r="C767">
            <v>0</v>
          </cell>
          <cell r="F767">
            <v>0</v>
          </cell>
        </row>
        <row r="768">
          <cell r="A768" t="str">
            <v>SUB-TOTAL</v>
          </cell>
          <cell r="B768" t="str">
            <v>:</v>
          </cell>
          <cell r="C768">
            <v>0</v>
          </cell>
          <cell r="F768">
            <v>0</v>
          </cell>
        </row>
        <row r="769">
          <cell r="A769" t="str">
            <v>SUB-TOTAL</v>
          </cell>
          <cell r="B769" t="str">
            <v>:</v>
          </cell>
          <cell r="C769">
            <v>0</v>
          </cell>
          <cell r="F769">
            <v>0</v>
          </cell>
        </row>
        <row r="770">
          <cell r="A770" t="str">
            <v>SUB-TOTAL</v>
          </cell>
          <cell r="B770" t="str">
            <v>:</v>
          </cell>
          <cell r="C770">
            <v>0</v>
          </cell>
          <cell r="F770">
            <v>0</v>
          </cell>
        </row>
        <row r="771">
          <cell r="A771" t="str">
            <v>SUB-TOTAL</v>
          </cell>
          <cell r="B771" t="str">
            <v>:</v>
          </cell>
          <cell r="C771">
            <v>0</v>
          </cell>
          <cell r="F771">
            <v>0</v>
          </cell>
        </row>
        <row r="772">
          <cell r="A772" t="str">
            <v>SUB-TOTAL</v>
          </cell>
          <cell r="B772" t="str">
            <v>:</v>
          </cell>
          <cell r="C772">
            <v>0</v>
          </cell>
          <cell r="F772">
            <v>0</v>
          </cell>
        </row>
        <row r="773">
          <cell r="A773" t="str">
            <v>SUB-TOTAL</v>
          </cell>
          <cell r="B773" t="str">
            <v>:</v>
          </cell>
          <cell r="C773">
            <v>0</v>
          </cell>
          <cell r="F773">
            <v>0</v>
          </cell>
        </row>
        <row r="774">
          <cell r="A774" t="str">
            <v>SUB-TOTAL</v>
          </cell>
          <cell r="B774" t="str">
            <v>:</v>
          </cell>
          <cell r="C774">
            <v>0</v>
          </cell>
          <cell r="F774">
            <v>0</v>
          </cell>
        </row>
        <row r="775">
          <cell r="A775" t="str">
            <v>SUB-TOTAL</v>
          </cell>
          <cell r="B775" t="str">
            <v>:</v>
          </cell>
          <cell r="C775">
            <v>0</v>
          </cell>
          <cell r="F775">
            <v>0</v>
          </cell>
        </row>
        <row r="776">
          <cell r="A776" t="str">
            <v>SUB-TOTAL</v>
          </cell>
          <cell r="B776" t="str">
            <v>:</v>
          </cell>
          <cell r="C776">
            <v>0</v>
          </cell>
          <cell r="F776">
            <v>0</v>
          </cell>
        </row>
        <row r="777">
          <cell r="A777" t="str">
            <v>SUB-TOTAL</v>
          </cell>
          <cell r="B777" t="str">
            <v>:</v>
          </cell>
          <cell r="C777">
            <v>0</v>
          </cell>
          <cell r="F777">
            <v>0</v>
          </cell>
        </row>
        <row r="778">
          <cell r="A778" t="str">
            <v>SUB-TOTAL</v>
          </cell>
          <cell r="B778" t="str">
            <v>:</v>
          </cell>
          <cell r="C778">
            <v>0</v>
          </cell>
          <cell r="F778">
            <v>0</v>
          </cell>
        </row>
        <row r="779">
          <cell r="A779" t="str">
            <v>SUB-TOTAL</v>
          </cell>
          <cell r="B779" t="str">
            <v>:</v>
          </cell>
          <cell r="C779">
            <v>13265000</v>
          </cell>
          <cell r="F779">
            <v>13265000</v>
          </cell>
        </row>
        <row r="780">
          <cell r="A780" t="str">
            <v>SUB-TOTAL</v>
          </cell>
          <cell r="B780" t="str">
            <v>:</v>
          </cell>
          <cell r="C780">
            <v>15000000</v>
          </cell>
          <cell r="F780">
            <v>15000000</v>
          </cell>
        </row>
        <row r="781">
          <cell r="A781" t="str">
            <v>SUB-TOTAL</v>
          </cell>
          <cell r="B781" t="str">
            <v>:</v>
          </cell>
          <cell r="C781">
            <v>520677747.14999998</v>
          </cell>
          <cell r="F781">
            <v>522810814.14999998</v>
          </cell>
        </row>
        <row r="782">
          <cell r="A782" t="str">
            <v>SUB-TOTAL</v>
          </cell>
          <cell r="B782" t="str">
            <v>:</v>
          </cell>
          <cell r="C782">
            <v>748720</v>
          </cell>
          <cell r="F782">
            <v>2410983</v>
          </cell>
        </row>
        <row r="783">
          <cell r="A783" t="str">
            <v>SUB-TOTAL</v>
          </cell>
          <cell r="B783" t="str">
            <v>:</v>
          </cell>
          <cell r="C783">
            <v>151816925.05000001</v>
          </cell>
          <cell r="F783">
            <v>144496676.05000001</v>
          </cell>
        </row>
        <row r="784">
          <cell r="A784" t="str">
            <v>SUB-TOTAL</v>
          </cell>
          <cell r="B784" t="str">
            <v>:</v>
          </cell>
          <cell r="C784">
            <v>0</v>
          </cell>
          <cell r="F784">
            <v>0</v>
          </cell>
        </row>
        <row r="785">
          <cell r="A785" t="str">
            <v>SUB-TOTAL</v>
          </cell>
          <cell r="B785" t="str">
            <v>:</v>
          </cell>
          <cell r="C785">
            <v>0</v>
          </cell>
          <cell r="F785">
            <v>0</v>
          </cell>
        </row>
        <row r="786">
          <cell r="A786" t="str">
            <v>SUB-TOTAL</v>
          </cell>
          <cell r="B786" t="str">
            <v>:</v>
          </cell>
          <cell r="C786">
            <v>0</v>
          </cell>
          <cell r="F786">
            <v>0</v>
          </cell>
        </row>
        <row r="787">
          <cell r="A787" t="str">
            <v>SUB-TOTAL</v>
          </cell>
          <cell r="B787" t="str">
            <v>:</v>
          </cell>
          <cell r="C787">
            <v>14979272</v>
          </cell>
          <cell r="F787">
            <v>14979272</v>
          </cell>
        </row>
        <row r="788">
          <cell r="A788" t="str">
            <v>SUB-TOTAL</v>
          </cell>
          <cell r="B788" t="str">
            <v>:</v>
          </cell>
          <cell r="C788">
            <v>0</v>
          </cell>
          <cell r="F788">
            <v>0</v>
          </cell>
        </row>
        <row r="789">
          <cell r="A789" t="str">
            <v>SUB-TOTAL</v>
          </cell>
          <cell r="B789" t="str">
            <v>:</v>
          </cell>
          <cell r="C789">
            <v>0</v>
          </cell>
          <cell r="F789">
            <v>0</v>
          </cell>
        </row>
        <row r="790">
          <cell r="A790" t="str">
            <v>SUB-TOTAL</v>
          </cell>
          <cell r="B790" t="str">
            <v>:</v>
          </cell>
          <cell r="C790">
            <v>0</v>
          </cell>
          <cell r="F790">
            <v>0</v>
          </cell>
        </row>
        <row r="791">
          <cell r="A791" t="str">
            <v>SUB-TOTAL</v>
          </cell>
          <cell r="B791" t="str">
            <v>:</v>
          </cell>
          <cell r="C791">
            <v>-1051255</v>
          </cell>
          <cell r="F791">
            <v>-1051255</v>
          </cell>
        </row>
        <row r="792">
          <cell r="A792" t="str">
            <v>SUB-TOTAL</v>
          </cell>
          <cell r="B792" t="str">
            <v>:</v>
          </cell>
          <cell r="C792">
            <v>0</v>
          </cell>
          <cell r="F792">
            <v>0</v>
          </cell>
        </row>
        <row r="793">
          <cell r="A793" t="str">
            <v>SUB-TOTAL</v>
          </cell>
          <cell r="B793" t="str">
            <v>:</v>
          </cell>
          <cell r="C793">
            <v>0</v>
          </cell>
          <cell r="F793">
            <v>0</v>
          </cell>
        </row>
        <row r="794">
          <cell r="A794" t="str">
            <v>SUB-TOTAL</v>
          </cell>
          <cell r="B794" t="str">
            <v>:</v>
          </cell>
          <cell r="C794">
            <v>0</v>
          </cell>
          <cell r="F794">
            <v>0</v>
          </cell>
        </row>
        <row r="795">
          <cell r="A795" t="str">
            <v>SUB-TOTAL</v>
          </cell>
          <cell r="B795" t="str">
            <v>:</v>
          </cell>
          <cell r="C795">
            <v>-2589773.5</v>
          </cell>
          <cell r="F795">
            <v>-2589773.5</v>
          </cell>
        </row>
        <row r="796">
          <cell r="A796" t="str">
            <v>SUB-TOTAL</v>
          </cell>
          <cell r="B796" t="str">
            <v>:</v>
          </cell>
          <cell r="C796">
            <v>0</v>
          </cell>
          <cell r="F796">
            <v>0</v>
          </cell>
        </row>
        <row r="797">
          <cell r="A797" t="str">
            <v>SUB-TOTAL</v>
          </cell>
          <cell r="B797" t="str">
            <v>:</v>
          </cell>
          <cell r="C797">
            <v>0</v>
          </cell>
          <cell r="F797">
            <v>0</v>
          </cell>
        </row>
        <row r="798">
          <cell r="A798" t="str">
            <v>SUB-TOTAL</v>
          </cell>
          <cell r="B798" t="str">
            <v>:</v>
          </cell>
          <cell r="C798">
            <v>2167905</v>
          </cell>
          <cell r="F798">
            <v>3019455</v>
          </cell>
        </row>
        <row r="799">
          <cell r="A799" t="str">
            <v>SUB-TOTAL</v>
          </cell>
          <cell r="B799" t="str">
            <v>:</v>
          </cell>
          <cell r="C799">
            <v>0</v>
          </cell>
          <cell r="F799">
            <v>0</v>
          </cell>
        </row>
        <row r="800">
          <cell r="A800" t="str">
            <v>SUB-TOTAL</v>
          </cell>
          <cell r="B800" t="str">
            <v>:</v>
          </cell>
          <cell r="C800">
            <v>0</v>
          </cell>
          <cell r="F800">
            <v>0</v>
          </cell>
        </row>
        <row r="801">
          <cell r="A801" t="str">
            <v>SUB-TOTAL</v>
          </cell>
          <cell r="B801" t="str">
            <v>:</v>
          </cell>
          <cell r="C801">
            <v>-292173297.44999999</v>
          </cell>
          <cell r="F801">
            <v>-292173297.44999999</v>
          </cell>
        </row>
        <row r="802">
          <cell r="A802" t="str">
            <v>SUB-TOTAL</v>
          </cell>
          <cell r="B802" t="str">
            <v>:</v>
          </cell>
          <cell r="C802">
            <v>0</v>
          </cell>
          <cell r="F802">
            <v>0</v>
          </cell>
        </row>
        <row r="803">
          <cell r="A803" t="str">
            <v>SUB-TOTAL</v>
          </cell>
          <cell r="B803" t="str">
            <v>:</v>
          </cell>
          <cell r="C803">
            <v>0</v>
          </cell>
          <cell r="F803">
            <v>0</v>
          </cell>
        </row>
        <row r="804">
          <cell r="A804" t="str">
            <v>SUB-TOTAL</v>
          </cell>
          <cell r="B804" t="str">
            <v>:</v>
          </cell>
          <cell r="C804">
            <v>1228500</v>
          </cell>
          <cell r="F804">
            <v>1228500</v>
          </cell>
        </row>
        <row r="805">
          <cell r="A805" t="str">
            <v>SUB-TOTAL</v>
          </cell>
          <cell r="B805" t="str">
            <v>:</v>
          </cell>
          <cell r="C805">
            <v>-142155159.75</v>
          </cell>
          <cell r="F805">
            <v>-142875858.55000001</v>
          </cell>
        </row>
        <row r="806">
          <cell r="A806" t="str">
            <v>SUB-TOTAL</v>
          </cell>
          <cell r="B806" t="str">
            <v>:</v>
          </cell>
          <cell r="C806">
            <v>0</v>
          </cell>
          <cell r="F806">
            <v>0</v>
          </cell>
        </row>
        <row r="807">
          <cell r="A807" t="str">
            <v>SUB-TOTAL</v>
          </cell>
          <cell r="B807" t="str">
            <v>:</v>
          </cell>
          <cell r="C807">
            <v>0</v>
          </cell>
          <cell r="F807">
            <v>0</v>
          </cell>
        </row>
        <row r="808">
          <cell r="A808" t="str">
            <v>SUB-TOTAL</v>
          </cell>
          <cell r="B808" t="str">
            <v>:</v>
          </cell>
          <cell r="C808">
            <v>0</v>
          </cell>
          <cell r="F808">
            <v>0</v>
          </cell>
        </row>
        <row r="809">
          <cell r="A809" t="str">
            <v>SUB-TOTAL</v>
          </cell>
          <cell r="B809" t="str">
            <v>:</v>
          </cell>
          <cell r="C809">
            <v>0</v>
          </cell>
          <cell r="F809">
            <v>0</v>
          </cell>
        </row>
        <row r="810">
          <cell r="A810" t="str">
            <v>SUB-TOTAL</v>
          </cell>
          <cell r="B810" t="str">
            <v>:</v>
          </cell>
          <cell r="C810">
            <v>0</v>
          </cell>
          <cell r="F810">
            <v>0</v>
          </cell>
        </row>
        <row r="811">
          <cell r="A811" t="str">
            <v>SUB-TOTAL</v>
          </cell>
          <cell r="B811" t="str">
            <v>:</v>
          </cell>
          <cell r="C811">
            <v>0</v>
          </cell>
          <cell r="F811">
            <v>0</v>
          </cell>
        </row>
        <row r="812">
          <cell r="A812" t="str">
            <v>SUB-TOTAL</v>
          </cell>
          <cell r="B812" t="str">
            <v>:</v>
          </cell>
          <cell r="C812">
            <v>-230261000</v>
          </cell>
          <cell r="F812">
            <v>-230261000</v>
          </cell>
        </row>
        <row r="813">
          <cell r="A813" t="str">
            <v>UNPROCESSE</v>
          </cell>
          <cell r="B813" t="str">
            <v>D PREMIUMS</v>
          </cell>
        </row>
      </sheetData>
      <sheetData sheetId="46">
        <row r="1">
          <cell r="A1" t="str">
            <v>ACCOUNT</v>
          </cell>
          <cell r="B1" t="str">
            <v>ACCOUNT NAME</v>
          </cell>
          <cell r="C1" t="str">
            <v>OPENING BALANCE</v>
          </cell>
          <cell r="D1" t="str">
            <v>month</v>
          </cell>
          <cell r="E1" t="str">
            <v>Year</v>
          </cell>
          <cell r="F1" t="str">
            <v>YTD</v>
          </cell>
        </row>
        <row r="2">
          <cell r="A2" t="str">
            <v>__________</v>
          </cell>
          <cell r="B2" t="str">
            <v>_________________________________________</v>
          </cell>
          <cell r="C2" t="str">
            <v>______________________</v>
          </cell>
          <cell r="D2" t="e">
            <v>#VALUE!</v>
          </cell>
          <cell r="E2" t="e">
            <v>#VALUE!</v>
          </cell>
          <cell r="F2" t="str">
            <v>_____________</v>
          </cell>
        </row>
        <row r="3">
          <cell r="A3" t="str">
            <v>__________</v>
          </cell>
          <cell r="B3" t="str">
            <v>_________________________________________</v>
          </cell>
          <cell r="C3" t="str">
            <v>______________________</v>
          </cell>
          <cell r="D3" t="e">
            <v>#VALUE!</v>
          </cell>
          <cell r="E3" t="e">
            <v>#VALUE!</v>
          </cell>
          <cell r="F3" t="str">
            <v>_____________</v>
          </cell>
        </row>
        <row r="4">
          <cell r="A4" t="str">
            <v>__________</v>
          </cell>
          <cell r="B4" t="str">
            <v>_________________________________________</v>
          </cell>
          <cell r="C4" t="str">
            <v>______________________</v>
          </cell>
          <cell r="D4" t="e">
            <v>#VALUE!</v>
          </cell>
          <cell r="E4" t="e">
            <v>#VALUE!</v>
          </cell>
          <cell r="F4" t="str">
            <v>_____________</v>
          </cell>
        </row>
        <row r="5">
          <cell r="A5" t="str">
            <v>__________</v>
          </cell>
          <cell r="B5" t="str">
            <v>_________________________________________</v>
          </cell>
          <cell r="C5" t="str">
            <v>______________________</v>
          </cell>
          <cell r="D5" t="e">
            <v>#VALUE!</v>
          </cell>
          <cell r="E5" t="e">
            <v>#VALUE!</v>
          </cell>
          <cell r="F5" t="str">
            <v>_____________</v>
          </cell>
        </row>
        <row r="6">
          <cell r="A6" t="str">
            <v>__________</v>
          </cell>
          <cell r="B6" t="str">
            <v>_________________________________________</v>
          </cell>
          <cell r="C6" t="str">
            <v>______________________</v>
          </cell>
          <cell r="D6" t="e">
            <v>#VALUE!</v>
          </cell>
          <cell r="E6" t="e">
            <v>#VALUE!</v>
          </cell>
          <cell r="F6" t="str">
            <v>_____________</v>
          </cell>
        </row>
        <row r="7">
          <cell r="A7" t="str">
            <v>__________</v>
          </cell>
          <cell r="B7" t="str">
            <v>_________________________________________</v>
          </cell>
          <cell r="C7" t="str">
            <v>______________________</v>
          </cell>
          <cell r="D7" t="e">
            <v>#VALUE!</v>
          </cell>
          <cell r="E7" t="e">
            <v>#VALUE!</v>
          </cell>
          <cell r="F7" t="str">
            <v>_____________</v>
          </cell>
        </row>
        <row r="8">
          <cell r="A8" t="str">
            <v>__________</v>
          </cell>
          <cell r="B8" t="str">
            <v>_________________________________________</v>
          </cell>
          <cell r="C8" t="str">
            <v>______________________</v>
          </cell>
          <cell r="D8" t="e">
            <v>#VALUE!</v>
          </cell>
          <cell r="E8" t="e">
            <v>#VALUE!</v>
          </cell>
          <cell r="F8" t="str">
            <v>_____________</v>
          </cell>
        </row>
        <row r="9">
          <cell r="A9" t="str">
            <v>__________</v>
          </cell>
          <cell r="B9" t="str">
            <v>_________________________________________</v>
          </cell>
          <cell r="C9" t="str">
            <v>______________________</v>
          </cell>
          <cell r="D9" t="e">
            <v>#VALUE!</v>
          </cell>
          <cell r="E9" t="e">
            <v>#VALUE!</v>
          </cell>
          <cell r="F9" t="str">
            <v>_____________</v>
          </cell>
        </row>
        <row r="10">
          <cell r="A10" t="str">
            <v>__________</v>
          </cell>
          <cell r="B10" t="str">
            <v>_________________________________________</v>
          </cell>
          <cell r="C10" t="str">
            <v>______________________</v>
          </cell>
          <cell r="D10" t="e">
            <v>#VALUE!</v>
          </cell>
          <cell r="E10" t="e">
            <v>#VALUE!</v>
          </cell>
          <cell r="F10" t="str">
            <v>_____________</v>
          </cell>
        </row>
        <row r="11">
          <cell r="A11" t="str">
            <v>__________</v>
          </cell>
          <cell r="B11" t="str">
            <v>_________________________________________</v>
          </cell>
          <cell r="C11" t="str">
            <v>______________________</v>
          </cell>
          <cell r="D11" t="e">
            <v>#VALUE!</v>
          </cell>
          <cell r="E11" t="e">
            <v>#VALUE!</v>
          </cell>
          <cell r="F11" t="str">
            <v>_____________</v>
          </cell>
        </row>
        <row r="12">
          <cell r="A12" t="str">
            <v>100-10-010</v>
          </cell>
          <cell r="B12" t="str">
            <v>NEW BUSINESS PREMIUM PAIC</v>
          </cell>
          <cell r="C12">
            <v>0</v>
          </cell>
          <cell r="D12">
            <v>0</v>
          </cell>
          <cell r="E12">
            <v>0</v>
          </cell>
          <cell r="F12">
            <v>0</v>
          </cell>
        </row>
        <row r="13">
          <cell r="A13" t="str">
            <v>100-10-020</v>
          </cell>
          <cell r="B13" t="str">
            <v>NEW BUSINESS FFFP</v>
          </cell>
          <cell r="C13">
            <v>0</v>
          </cell>
          <cell r="D13">
            <v>0</v>
          </cell>
          <cell r="E13">
            <v>0</v>
          </cell>
          <cell r="F13">
            <v>0</v>
          </cell>
        </row>
        <row r="14">
          <cell r="A14" t="str">
            <v>100-10-030</v>
          </cell>
          <cell r="B14" t="str">
            <v>NEW BUSINESS W/P</v>
          </cell>
          <cell r="C14">
            <v>0</v>
          </cell>
          <cell r="D14">
            <v>0</v>
          </cell>
          <cell r="E14">
            <v>0</v>
          </cell>
          <cell r="F14">
            <v>0</v>
          </cell>
        </row>
        <row r="15">
          <cell r="A15" t="str">
            <v>100-10-035</v>
          </cell>
          <cell r="B15" t="str">
            <v>NEW BUSINESS KINGA HALISI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</row>
        <row r="16">
          <cell r="A16" t="str">
            <v>100-10-036</v>
          </cell>
          <cell r="B16" t="str">
            <v>NEW BUSINESS FLEXI SAVER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</row>
        <row r="17">
          <cell r="A17" t="str">
            <v>100-10-037</v>
          </cell>
          <cell r="B17" t="str">
            <v>NEW BUSINESS EDUCATOR</v>
          </cell>
          <cell r="C17">
            <v>0</v>
          </cell>
          <cell r="D17">
            <v>0</v>
          </cell>
          <cell r="E17">
            <v>0</v>
          </cell>
          <cell r="F17">
            <v>0</v>
          </cell>
        </row>
        <row r="18">
          <cell r="A18" t="str">
            <v>100-10-040</v>
          </cell>
          <cell r="B18" t="str">
            <v>SINGLE PREMIUMS</v>
          </cell>
          <cell r="C18">
            <v>0</v>
          </cell>
          <cell r="D18">
            <v>0</v>
          </cell>
          <cell r="E18">
            <v>0</v>
          </cell>
          <cell r="F18">
            <v>0</v>
          </cell>
        </row>
        <row r="19">
          <cell r="A19" t="str">
            <v>100-10-050</v>
          </cell>
          <cell r="B19" t="str">
            <v>PERSONAL ACCIDENT PREMIUMS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</row>
        <row r="20">
          <cell r="A20" t="str">
            <v>100-12-010</v>
          </cell>
          <cell r="B20" t="str">
            <v>INVESTMENT ALLOCATION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</row>
        <row r="21">
          <cell r="A21" t="str">
            <v>100-14-010</v>
          </cell>
          <cell r="B21" t="str">
            <v>PREMIUM UPDATES -FFP</v>
          </cell>
          <cell r="C21">
            <v>0</v>
          </cell>
          <cell r="D21">
            <v>0</v>
          </cell>
          <cell r="E21">
            <v>0</v>
          </cell>
          <cell r="F21">
            <v>0</v>
          </cell>
        </row>
        <row r="22">
          <cell r="A22" t="str">
            <v>100-14-020</v>
          </cell>
          <cell r="B22" t="str">
            <v>PREMIUM UPDATES-WP</v>
          </cell>
          <cell r="C22">
            <v>0</v>
          </cell>
          <cell r="D22">
            <v>0</v>
          </cell>
          <cell r="E22">
            <v>0</v>
          </cell>
          <cell r="F22">
            <v>0</v>
          </cell>
        </row>
        <row r="23">
          <cell r="A23" t="str">
            <v>100-14-030</v>
          </cell>
          <cell r="B23" t="str">
            <v>PREMIUM UPDATE - KINGA HALISI</v>
          </cell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A24" t="str">
            <v>100-15-010</v>
          </cell>
          <cell r="B24" t="str">
            <v>RENEWAL PREMIUMS -PAIC</v>
          </cell>
          <cell r="C24">
            <v>0</v>
          </cell>
          <cell r="D24">
            <v>0</v>
          </cell>
          <cell r="E24">
            <v>0</v>
          </cell>
          <cell r="F24">
            <v>0</v>
          </cell>
        </row>
        <row r="25">
          <cell r="A25" t="str">
            <v>100-15-020</v>
          </cell>
          <cell r="B25" t="str">
            <v>RENEWAL PREMIUMS -FFP</v>
          </cell>
          <cell r="C25">
            <v>0</v>
          </cell>
          <cell r="D25">
            <v>0</v>
          </cell>
          <cell r="E25">
            <v>0</v>
          </cell>
          <cell r="F25">
            <v>0</v>
          </cell>
        </row>
        <row r="26">
          <cell r="A26" t="str">
            <v>100-15-030</v>
          </cell>
          <cell r="B26" t="str">
            <v>RENEWAL PREMIUMS -WP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</row>
        <row r="27">
          <cell r="A27" t="str">
            <v>100-15-040</v>
          </cell>
          <cell r="B27" t="str">
            <v>RENEWAL PREMIUMS- KINGA HALISI</v>
          </cell>
          <cell r="C27">
            <v>0</v>
          </cell>
          <cell r="D27">
            <v>0</v>
          </cell>
          <cell r="E27">
            <v>0</v>
          </cell>
          <cell r="F27">
            <v>0</v>
          </cell>
        </row>
        <row r="28">
          <cell r="A28" t="str">
            <v>100-15-050</v>
          </cell>
          <cell r="B28" t="str">
            <v>RENEWAL PREMIUM - EDUCATOR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</row>
        <row r="29">
          <cell r="A29" t="str">
            <v>100-15-060</v>
          </cell>
          <cell r="B29" t="str">
            <v>RENEWAL PREMIUM - FLEXI SAVER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</row>
        <row r="30">
          <cell r="A30" t="str">
            <v>100-20-010</v>
          </cell>
          <cell r="B30" t="str">
            <v>LAPSES NEW BUSINESS -FFP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</row>
        <row r="31">
          <cell r="A31" t="str">
            <v>100-20-020</v>
          </cell>
          <cell r="B31" t="str">
            <v>LAPSES NEW BUSINESS -WP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</row>
        <row r="32">
          <cell r="A32" t="str">
            <v>100-20-025</v>
          </cell>
          <cell r="B32" t="str">
            <v>LAPSES NEW BUSINESS - KINGA HALISI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</row>
        <row r="33">
          <cell r="A33" t="str">
            <v>100-20-030</v>
          </cell>
          <cell r="B33" t="str">
            <v>NEW BUSINESS LAPSES - FLEXI SAVER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</row>
        <row r="34">
          <cell r="A34" t="str">
            <v>100-20-035</v>
          </cell>
          <cell r="B34" t="str">
            <v>NEW BUSINESS LAPSES - FLEXI EDUCATOR</v>
          </cell>
          <cell r="C34">
            <v>0</v>
          </cell>
          <cell r="D34">
            <v>0</v>
          </cell>
          <cell r="E34">
            <v>0</v>
          </cell>
          <cell r="F34">
            <v>0</v>
          </cell>
        </row>
        <row r="35">
          <cell r="A35" t="str">
            <v>100-20-050</v>
          </cell>
          <cell r="B35" t="str">
            <v>LAPSES RENEWAL -FFP</v>
          </cell>
          <cell r="C35">
            <v>0</v>
          </cell>
          <cell r="D35">
            <v>0</v>
          </cell>
          <cell r="E35">
            <v>0</v>
          </cell>
          <cell r="F35">
            <v>0</v>
          </cell>
        </row>
        <row r="36">
          <cell r="A36" t="str">
            <v>100-20-060</v>
          </cell>
          <cell r="B36" t="str">
            <v>LAPSES RENEWAL -WP</v>
          </cell>
          <cell r="C36">
            <v>0</v>
          </cell>
          <cell r="D36">
            <v>0</v>
          </cell>
          <cell r="E36">
            <v>0</v>
          </cell>
          <cell r="F36">
            <v>0</v>
          </cell>
        </row>
        <row r="37">
          <cell r="A37" t="str">
            <v>100-20-070</v>
          </cell>
          <cell r="B37" t="str">
            <v>LAPSES RENEWAL -PAIC</v>
          </cell>
          <cell r="C37">
            <v>0</v>
          </cell>
          <cell r="D37">
            <v>0</v>
          </cell>
          <cell r="E37">
            <v>0</v>
          </cell>
          <cell r="F37">
            <v>0</v>
          </cell>
        </row>
        <row r="38">
          <cell r="A38" t="str">
            <v>100-20-080</v>
          </cell>
          <cell r="B38" t="str">
            <v>LAPSES RENEWAL - KINGA HALISI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</row>
        <row r="39">
          <cell r="A39" t="str">
            <v>100-20-085</v>
          </cell>
          <cell r="B39" t="str">
            <v>RENEWAL BUSINESS LAPSES - FLEXI SAVER</v>
          </cell>
          <cell r="C39">
            <v>0</v>
          </cell>
          <cell r="D39">
            <v>0</v>
          </cell>
          <cell r="E39">
            <v>0</v>
          </cell>
          <cell r="F39">
            <v>0</v>
          </cell>
        </row>
        <row r="40">
          <cell r="A40" t="str">
            <v>100-20-090</v>
          </cell>
          <cell r="B40" t="str">
            <v>RENEWAL  BUSINESS LAPSES - FLEXI EDUCATO</v>
          </cell>
          <cell r="C40">
            <v>0</v>
          </cell>
          <cell r="D40">
            <v>0</v>
          </cell>
          <cell r="E40">
            <v>0</v>
          </cell>
          <cell r="F40">
            <v>0</v>
          </cell>
        </row>
        <row r="41">
          <cell r="A41" t="str">
            <v>100-25-010</v>
          </cell>
          <cell r="B41" t="str">
            <v>SINGLE PREMIUMS</v>
          </cell>
          <cell r="C41">
            <v>0</v>
          </cell>
          <cell r="D41">
            <v>0</v>
          </cell>
          <cell r="E41">
            <v>0</v>
          </cell>
          <cell r="F41">
            <v>0</v>
          </cell>
        </row>
        <row r="42">
          <cell r="A42" t="str">
            <v>100-25-020</v>
          </cell>
          <cell r="B42" t="str">
            <v>RENEWAL WP</v>
          </cell>
          <cell r="C42">
            <v>0</v>
          </cell>
          <cell r="D42">
            <v>0</v>
          </cell>
          <cell r="E42">
            <v>0</v>
          </cell>
          <cell r="F42">
            <v>0</v>
          </cell>
        </row>
        <row r="43">
          <cell r="A43" t="str">
            <v>100-25-025</v>
          </cell>
          <cell r="B43" t="str">
            <v>PREMIUM INJECTIONS-WP</v>
          </cell>
          <cell r="C43">
            <v>0</v>
          </cell>
          <cell r="D43">
            <v>0</v>
          </cell>
          <cell r="E43">
            <v>0</v>
          </cell>
          <cell r="F43">
            <v>0</v>
          </cell>
        </row>
        <row r="44">
          <cell r="A44" t="str">
            <v>100-25-030</v>
          </cell>
          <cell r="B44" t="str">
            <v>PREMIUM INJECTIONS-FFP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</row>
        <row r="45">
          <cell r="A45" t="str">
            <v>100-26-010</v>
          </cell>
          <cell r="B45" t="str">
            <v>PREMIUM RECOVERIES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</row>
        <row r="46">
          <cell r="A46" t="str">
            <v>100-30-010</v>
          </cell>
          <cell r="B46" t="str">
            <v>GROUP LIFE SCHEME</v>
          </cell>
          <cell r="C46">
            <v>0</v>
          </cell>
          <cell r="D46">
            <v>0</v>
          </cell>
          <cell r="E46">
            <v>0</v>
          </cell>
          <cell r="F46">
            <v>0</v>
          </cell>
        </row>
        <row r="47">
          <cell r="A47" t="str">
            <v>100-30-020</v>
          </cell>
          <cell r="B47" t="str">
            <v>GROUP DISABILITY SCHEME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</row>
        <row r="48">
          <cell r="A48" t="str">
            <v>100-30-030</v>
          </cell>
          <cell r="B48" t="str">
            <v>GROUP CREDIT SCHEME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</row>
        <row r="49">
          <cell r="A49" t="str">
            <v>100-30-040</v>
          </cell>
          <cell r="B49" t="str">
            <v>GROUP LAST EXPENSE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</row>
        <row r="50">
          <cell r="A50" t="str">
            <v>100-30-050</v>
          </cell>
          <cell r="B50" t="str">
            <v>GROUP MORTGAGE SCHEME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</row>
        <row r="51">
          <cell r="A51" t="str">
            <v>100-30-060</v>
          </cell>
          <cell r="B51" t="str">
            <v>GROUP PENSION SCHEME</v>
          </cell>
          <cell r="C51">
            <v>-55770765.920000002</v>
          </cell>
          <cell r="D51">
            <v>-8957068.7899999991</v>
          </cell>
          <cell r="E51">
            <v>-64727834.710000001</v>
          </cell>
          <cell r="F51">
            <v>-64727834.710000001</v>
          </cell>
        </row>
        <row r="52">
          <cell r="A52" t="str">
            <v>100-30-070</v>
          </cell>
          <cell r="B52" t="str">
            <v>HARAMBEE SCHEME</v>
          </cell>
          <cell r="C52">
            <v>0</v>
          </cell>
          <cell r="D52">
            <v>0</v>
          </cell>
          <cell r="E52">
            <v>0</v>
          </cell>
          <cell r="F52">
            <v>0</v>
          </cell>
        </row>
        <row r="53">
          <cell r="A53" t="str">
            <v>100-40-010</v>
          </cell>
          <cell r="B53" t="str">
            <v>NEW BUSINESS - GROUP LIFE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</row>
        <row r="54">
          <cell r="A54" t="str">
            <v>100-40-020</v>
          </cell>
          <cell r="B54" t="str">
            <v>NEW BUSINESS - DISABILITY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</row>
        <row r="55">
          <cell r="A55" t="str">
            <v>100-40-030</v>
          </cell>
          <cell r="B55" t="str">
            <v>NWE BUSINESS - GROUP CREDIT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</row>
        <row r="56">
          <cell r="A56" t="str">
            <v>100-40-040</v>
          </cell>
          <cell r="B56" t="str">
            <v>NEW BUSINESS - LAST EXPENSE</v>
          </cell>
          <cell r="C56">
            <v>0</v>
          </cell>
          <cell r="D56">
            <v>0</v>
          </cell>
          <cell r="E56">
            <v>0</v>
          </cell>
          <cell r="F56">
            <v>0</v>
          </cell>
        </row>
        <row r="57">
          <cell r="A57" t="str">
            <v>100-40-050</v>
          </cell>
          <cell r="B57" t="str">
            <v>NEW BUSINESS - GROUP MORTGAGE</v>
          </cell>
          <cell r="C57">
            <v>0</v>
          </cell>
          <cell r="D57">
            <v>0</v>
          </cell>
          <cell r="E57">
            <v>0</v>
          </cell>
          <cell r="F57">
            <v>0</v>
          </cell>
        </row>
        <row r="58">
          <cell r="A58" t="str">
            <v>100-40-060</v>
          </cell>
          <cell r="B58" t="str">
            <v>NEW BUSINESS - PENSION</v>
          </cell>
          <cell r="C58">
            <v>0</v>
          </cell>
          <cell r="D58">
            <v>0</v>
          </cell>
          <cell r="E58">
            <v>0</v>
          </cell>
          <cell r="F58">
            <v>0</v>
          </cell>
        </row>
        <row r="59">
          <cell r="A59" t="str">
            <v>100-40-070</v>
          </cell>
          <cell r="B59" t="str">
            <v>RETIREMENT ANNUITIES</v>
          </cell>
          <cell r="C59">
            <v>0</v>
          </cell>
          <cell r="D59">
            <v>0</v>
          </cell>
          <cell r="E59">
            <v>0</v>
          </cell>
          <cell r="F59">
            <v>0</v>
          </cell>
        </row>
        <row r="60">
          <cell r="A60" t="str">
            <v>200-10-011</v>
          </cell>
          <cell r="B60" t="str">
            <v>REASSURANCE PREM/ENDOWMENT POLICY</v>
          </cell>
          <cell r="C60">
            <v>0</v>
          </cell>
          <cell r="D60">
            <v>0</v>
          </cell>
          <cell r="E60">
            <v>0</v>
          </cell>
          <cell r="F60">
            <v>0</v>
          </cell>
        </row>
        <row r="61">
          <cell r="A61" t="str">
            <v>200-10-012</v>
          </cell>
          <cell r="B61" t="str">
            <v>REASSURACE PREM FFFP POLICIES</v>
          </cell>
          <cell r="C61">
            <v>0</v>
          </cell>
          <cell r="D61">
            <v>0</v>
          </cell>
          <cell r="E61">
            <v>0</v>
          </cell>
          <cell r="F61">
            <v>0</v>
          </cell>
        </row>
        <row r="62">
          <cell r="A62" t="str">
            <v>200-10-013</v>
          </cell>
          <cell r="B62" t="str">
            <v>REASSURANCE PREM WP/POLICIES</v>
          </cell>
          <cell r="C62">
            <v>0</v>
          </cell>
          <cell r="D62">
            <v>0</v>
          </cell>
          <cell r="E62">
            <v>0</v>
          </cell>
          <cell r="F62">
            <v>0</v>
          </cell>
        </row>
        <row r="63">
          <cell r="A63" t="str">
            <v>200-10-014</v>
          </cell>
          <cell r="B63" t="str">
            <v>REASSURANCE PREMIUMS- KINGA HALISI</v>
          </cell>
          <cell r="C63">
            <v>0</v>
          </cell>
          <cell r="D63">
            <v>0</v>
          </cell>
          <cell r="E63">
            <v>0</v>
          </cell>
          <cell r="F63">
            <v>0</v>
          </cell>
        </row>
        <row r="64">
          <cell r="A64" t="str">
            <v>200-10-015</v>
          </cell>
          <cell r="B64" t="str">
            <v>NEW BUSINESS REINSURANCE PREMIUM-KINGA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</row>
        <row r="65">
          <cell r="A65" t="str">
            <v>200-10-016</v>
          </cell>
          <cell r="B65" t="str">
            <v>NEW BUSINESS REINSURANCE-WP</v>
          </cell>
          <cell r="C65">
            <v>0</v>
          </cell>
          <cell r="D65">
            <v>0</v>
          </cell>
          <cell r="E65">
            <v>0</v>
          </cell>
          <cell r="F65">
            <v>0</v>
          </cell>
        </row>
        <row r="66">
          <cell r="A66" t="str">
            <v>200-15-011</v>
          </cell>
          <cell r="B66" t="str">
            <v>REASSURANCE PREMIUMS -GROUP LIFE</v>
          </cell>
          <cell r="C66">
            <v>0</v>
          </cell>
          <cell r="D66">
            <v>0</v>
          </cell>
          <cell r="E66">
            <v>0</v>
          </cell>
          <cell r="F66">
            <v>0</v>
          </cell>
        </row>
        <row r="67">
          <cell r="A67" t="str">
            <v>200-15-012</v>
          </cell>
          <cell r="B67" t="str">
            <v>REASSURANCE PREMIUMS-GROUP MORTGAGE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</row>
        <row r="68">
          <cell r="A68" t="str">
            <v>200-15-013</v>
          </cell>
          <cell r="B68" t="str">
            <v>REASSURANCE PREMIUMS-GROUP CREDIT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</row>
        <row r="69">
          <cell r="A69" t="str">
            <v>200-15-014</v>
          </cell>
          <cell r="B69" t="str">
            <v>REASSURANCE PREMIUMS -GROUP DISABILITY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</row>
        <row r="70">
          <cell r="A70" t="str">
            <v>200-15-015</v>
          </cell>
          <cell r="B70" t="str">
            <v>REASSURANCE PREMIUMS- GROUP LAST EXPENSE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</row>
        <row r="71">
          <cell r="A71" t="str">
            <v>200-15-016</v>
          </cell>
          <cell r="B71" t="str">
            <v>REASSURANCE PREMIUMS - CATASTROPHE COVER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</row>
        <row r="72">
          <cell r="A72" t="str">
            <v>200-15-017</v>
          </cell>
          <cell r="B72" t="str">
            <v>GROUP HARAMBEE SCHEMES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</row>
        <row r="73">
          <cell r="A73" t="str">
            <v>200-16-011</v>
          </cell>
          <cell r="B73" t="str">
            <v>NEW BUSINESS - REASS.PREM - G LIFE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</row>
        <row r="74">
          <cell r="A74" t="str">
            <v>200-16-012</v>
          </cell>
          <cell r="B74" t="str">
            <v>NEW BUSINESS - REASS. PREM - G MORTGAGE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</row>
        <row r="75">
          <cell r="A75" t="str">
            <v>200-16-013</v>
          </cell>
          <cell r="B75" t="str">
            <v>NEW BUSINESS - RAESS. PREM. - G CREDIT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</row>
        <row r="76">
          <cell r="A76" t="str">
            <v>200-16-014</v>
          </cell>
          <cell r="B76" t="str">
            <v>NEW BUSINESS - REASS.PREM - G DISABILITY</v>
          </cell>
          <cell r="C76">
            <v>0</v>
          </cell>
          <cell r="D76">
            <v>0</v>
          </cell>
          <cell r="E76">
            <v>0</v>
          </cell>
          <cell r="F76">
            <v>0</v>
          </cell>
        </row>
        <row r="77">
          <cell r="A77" t="str">
            <v>200-16-015</v>
          </cell>
          <cell r="B77" t="str">
            <v>NEW BUSINESS - REASS.PREM - G LAST EXP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</row>
        <row r="78">
          <cell r="A78" t="str">
            <v>200-20-011</v>
          </cell>
          <cell r="B78" t="str">
            <v>REASSURANCE COMM.WP</v>
          </cell>
          <cell r="C78">
            <v>0</v>
          </cell>
          <cell r="D78">
            <v>0</v>
          </cell>
          <cell r="E78">
            <v>0</v>
          </cell>
          <cell r="F78">
            <v>0</v>
          </cell>
        </row>
        <row r="79">
          <cell r="A79" t="str">
            <v>200-20-012</v>
          </cell>
          <cell r="B79" t="str">
            <v>REASSURANCE COMM.FFFP</v>
          </cell>
          <cell r="C79">
            <v>0</v>
          </cell>
          <cell r="D79">
            <v>0</v>
          </cell>
          <cell r="E79">
            <v>0</v>
          </cell>
          <cell r="F79">
            <v>0</v>
          </cell>
        </row>
        <row r="80">
          <cell r="A80" t="str">
            <v>200-20-013</v>
          </cell>
          <cell r="B80" t="str">
            <v>REASSURANCE COMMISSION-GROUP LIFE</v>
          </cell>
          <cell r="C80">
            <v>0</v>
          </cell>
          <cell r="D80">
            <v>0</v>
          </cell>
          <cell r="E80">
            <v>0</v>
          </cell>
          <cell r="F80">
            <v>0</v>
          </cell>
        </row>
        <row r="81">
          <cell r="A81" t="str">
            <v>200-20-014</v>
          </cell>
          <cell r="B81" t="str">
            <v>REASSUARANCE COMMISSION-GROUP MORTGAGE</v>
          </cell>
          <cell r="C81">
            <v>0</v>
          </cell>
          <cell r="D81">
            <v>0</v>
          </cell>
          <cell r="E81">
            <v>0</v>
          </cell>
          <cell r="F81">
            <v>0</v>
          </cell>
        </row>
        <row r="82">
          <cell r="A82" t="str">
            <v>200-20-015</v>
          </cell>
          <cell r="B82" t="str">
            <v>REASSURANCE COMM-GROUP CREDIT</v>
          </cell>
          <cell r="C82">
            <v>0</v>
          </cell>
          <cell r="D82">
            <v>0</v>
          </cell>
          <cell r="E82">
            <v>0</v>
          </cell>
          <cell r="F82">
            <v>0</v>
          </cell>
        </row>
        <row r="83">
          <cell r="A83" t="str">
            <v>200-20-016</v>
          </cell>
          <cell r="B83" t="str">
            <v>REASSURANCE COMM-GROUP DISABILITY</v>
          </cell>
          <cell r="C83">
            <v>0</v>
          </cell>
          <cell r="D83">
            <v>0</v>
          </cell>
          <cell r="E83">
            <v>0</v>
          </cell>
          <cell r="F83">
            <v>0</v>
          </cell>
        </row>
        <row r="84">
          <cell r="A84" t="str">
            <v>200-20-017</v>
          </cell>
          <cell r="B84" t="str">
            <v>REASSURANCE COMMISSION - LAST EXPENSE</v>
          </cell>
          <cell r="C84">
            <v>0</v>
          </cell>
          <cell r="D84">
            <v>0</v>
          </cell>
          <cell r="E84">
            <v>0</v>
          </cell>
          <cell r="F84">
            <v>0</v>
          </cell>
        </row>
        <row r="85">
          <cell r="A85" t="str">
            <v>200-20-018</v>
          </cell>
          <cell r="B85" t="str">
            <v>REASSURANCE COMMISSION - KINGA HALISI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</row>
        <row r="86">
          <cell r="A86" t="str">
            <v>200-25-013</v>
          </cell>
          <cell r="B86" t="str">
            <v>NEW BUSINESS - REASS.COMM - G LIFE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</row>
        <row r="87">
          <cell r="A87" t="str">
            <v>200-25-014</v>
          </cell>
          <cell r="B87" t="str">
            <v>NEW BUSINESS - REASS. COMM - G MORTGAGE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</row>
        <row r="88">
          <cell r="A88" t="str">
            <v>200-25-015</v>
          </cell>
          <cell r="B88" t="str">
            <v>NEW BUSINESS - REASS. COMM - G CREDIT</v>
          </cell>
          <cell r="C88">
            <v>0</v>
          </cell>
          <cell r="D88">
            <v>0</v>
          </cell>
          <cell r="E88">
            <v>0</v>
          </cell>
          <cell r="F88">
            <v>0</v>
          </cell>
        </row>
        <row r="89">
          <cell r="A89" t="str">
            <v>200-25-016</v>
          </cell>
          <cell r="B89" t="str">
            <v>NEW BUSINESS - REASS. COMM - G DISABILIT</v>
          </cell>
          <cell r="C89">
            <v>0</v>
          </cell>
          <cell r="D89">
            <v>0</v>
          </cell>
          <cell r="E89">
            <v>0</v>
          </cell>
          <cell r="F89">
            <v>0</v>
          </cell>
        </row>
        <row r="90">
          <cell r="A90" t="str">
            <v>200-25-017</v>
          </cell>
          <cell r="B90" t="str">
            <v>NEW BUSINESS - REASS. COMM - G LAST EXP</v>
          </cell>
          <cell r="C90">
            <v>0</v>
          </cell>
          <cell r="D90">
            <v>0</v>
          </cell>
          <cell r="E90">
            <v>0</v>
          </cell>
          <cell r="F90">
            <v>0</v>
          </cell>
        </row>
        <row r="91">
          <cell r="A91" t="str">
            <v>200-25-018</v>
          </cell>
          <cell r="B91" t="str">
            <v>NEW BUSINESS REINSURANCE COMM-KINGAHALI</v>
          </cell>
          <cell r="C91">
            <v>0</v>
          </cell>
          <cell r="D91">
            <v>0</v>
          </cell>
          <cell r="E91">
            <v>0</v>
          </cell>
          <cell r="F91">
            <v>0</v>
          </cell>
        </row>
        <row r="92">
          <cell r="A92" t="str">
            <v>200-25-019</v>
          </cell>
          <cell r="B92" t="str">
            <v>NEW BUSINESS REINSURANCE COMMISSION-WP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</row>
        <row r="93">
          <cell r="A93" t="str">
            <v>200-30-011</v>
          </cell>
          <cell r="B93" t="str">
            <v>CLAIMS RECOVERED -GROUP LIFE ASSURANCE</v>
          </cell>
          <cell r="C93">
            <v>0</v>
          </cell>
          <cell r="D93">
            <v>0</v>
          </cell>
          <cell r="E93">
            <v>0</v>
          </cell>
          <cell r="F93">
            <v>0</v>
          </cell>
        </row>
        <row r="94">
          <cell r="A94" t="str">
            <v>200-30-012</v>
          </cell>
          <cell r="B94" t="str">
            <v>CLAIMS RECOVERED GROUP MORTGAGE</v>
          </cell>
          <cell r="C94">
            <v>0</v>
          </cell>
          <cell r="D94">
            <v>0</v>
          </cell>
          <cell r="E94">
            <v>0</v>
          </cell>
          <cell r="F94">
            <v>0</v>
          </cell>
        </row>
        <row r="95">
          <cell r="A95" t="str">
            <v>200-30-013</v>
          </cell>
          <cell r="B95" t="str">
            <v>CLAIMS RECOVERED-GROUP LAST EXPENSE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</row>
        <row r="96">
          <cell r="A96" t="str">
            <v>200-30-014</v>
          </cell>
          <cell r="B96" t="str">
            <v>CLAIMS RECOVERED -GROUP CREDIT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</row>
        <row r="97">
          <cell r="A97" t="str">
            <v>200-30-015</v>
          </cell>
          <cell r="B97" t="str">
            <v>CLAIMS RECOVERED -GROUP DISABILITY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</row>
        <row r="98">
          <cell r="A98" t="str">
            <v>300-10-010</v>
          </cell>
          <cell r="B98" t="str">
            <v>LORESHO HOUSE</v>
          </cell>
          <cell r="C98">
            <v>0</v>
          </cell>
          <cell r="D98">
            <v>0</v>
          </cell>
          <cell r="E98">
            <v>0</v>
          </cell>
          <cell r="F98">
            <v>0</v>
          </cell>
        </row>
        <row r="99">
          <cell r="A99" t="str">
            <v>300-10-020</v>
          </cell>
          <cell r="B99" t="str">
            <v>RETREAT VILLAS</v>
          </cell>
          <cell r="C99">
            <v>0</v>
          </cell>
          <cell r="D99">
            <v>0</v>
          </cell>
          <cell r="E99">
            <v>0</v>
          </cell>
          <cell r="F99">
            <v>0</v>
          </cell>
        </row>
        <row r="100">
          <cell r="A100" t="str">
            <v>300-10-030</v>
          </cell>
          <cell r="B100" t="str">
            <v>ARCADE PETROL STATION</v>
          </cell>
          <cell r="C100">
            <v>0</v>
          </cell>
          <cell r="D100">
            <v>0</v>
          </cell>
          <cell r="E100">
            <v>0</v>
          </cell>
          <cell r="F100">
            <v>0</v>
          </cell>
        </row>
        <row r="101">
          <cell r="A101" t="str">
            <v>300-10-040</v>
          </cell>
          <cell r="B101" t="str">
            <v>AMBALAL HOUSE</v>
          </cell>
          <cell r="C101">
            <v>0</v>
          </cell>
          <cell r="D101">
            <v>0</v>
          </cell>
          <cell r="E101">
            <v>0</v>
          </cell>
          <cell r="F101">
            <v>0</v>
          </cell>
        </row>
        <row r="102">
          <cell r="A102" t="str">
            <v>300-10-050</v>
          </cell>
          <cell r="B102" t="str">
            <v>PAN AFRICA HOUSE NBI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</row>
        <row r="103">
          <cell r="A103" t="str">
            <v>300-10-060</v>
          </cell>
          <cell r="B103" t="str">
            <v>AMMORTIZATION OF LAND AND BUILDINGS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</row>
        <row r="104">
          <cell r="A104" t="str">
            <v>300-10-070</v>
          </cell>
          <cell r="B104" t="str">
            <v>INVESTMENT INCOME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</row>
        <row r="105">
          <cell r="A105" t="str">
            <v>300-14-010</v>
          </cell>
          <cell r="B105" t="str">
            <v>LOSS ON DISPOSAL OF PROPERTIES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</row>
        <row r="106">
          <cell r="A106" t="str">
            <v>300-14-040</v>
          </cell>
          <cell r="B106" t="str">
            <v>LOSS/PROFIT DISPOSAL OF MOTOR VEHICLE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</row>
        <row r="107">
          <cell r="A107" t="str">
            <v>300-15-010</v>
          </cell>
          <cell r="B107" t="str">
            <v>MISC INCOMES</v>
          </cell>
          <cell r="C107">
            <v>2.37</v>
          </cell>
          <cell r="D107">
            <v>0</v>
          </cell>
          <cell r="E107">
            <v>2.37</v>
          </cell>
          <cell r="F107">
            <v>2.37</v>
          </cell>
        </row>
        <row r="108">
          <cell r="A108" t="str">
            <v>300-15-015</v>
          </cell>
          <cell r="B108" t="str">
            <v>GAIN/LOSS ON FEREIGN EXCHAGE</v>
          </cell>
          <cell r="C108">
            <v>0</v>
          </cell>
          <cell r="D108">
            <v>0</v>
          </cell>
          <cell r="E108">
            <v>0</v>
          </cell>
          <cell r="F108">
            <v>0</v>
          </cell>
        </row>
        <row r="109">
          <cell r="A109" t="str">
            <v>300-15-020</v>
          </cell>
          <cell r="B109" t="str">
            <v>MORTAGE INTEREST STAFF</v>
          </cell>
          <cell r="C109">
            <v>0</v>
          </cell>
          <cell r="D109">
            <v>0</v>
          </cell>
          <cell r="E109">
            <v>0</v>
          </cell>
          <cell r="F109">
            <v>0</v>
          </cell>
        </row>
        <row r="110">
          <cell r="A110" t="str">
            <v>300-15-021</v>
          </cell>
          <cell r="B110" t="str">
            <v>STAFF INTEREST ON ADVANCES,N/L,CARLOANS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</row>
        <row r="111">
          <cell r="A111" t="str">
            <v>300-15-025</v>
          </cell>
          <cell r="B111" t="str">
            <v>PROFIT SHARE-REINSURANCE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</row>
        <row r="112">
          <cell r="A112" t="str">
            <v>300-15-026</v>
          </cell>
          <cell r="B112" t="str">
            <v>GAIN OR LOSS ON VALUATION</v>
          </cell>
          <cell r="C112">
            <v>0</v>
          </cell>
          <cell r="D112">
            <v>0</v>
          </cell>
          <cell r="E112">
            <v>0</v>
          </cell>
          <cell r="F112">
            <v>0</v>
          </cell>
        </row>
        <row r="113">
          <cell r="A113" t="str">
            <v>300-20-030</v>
          </cell>
          <cell r="B113" t="str">
            <v>DIVIDENED INCOME</v>
          </cell>
          <cell r="C113">
            <v>-167323.70000000001</v>
          </cell>
          <cell r="D113">
            <v>0</v>
          </cell>
          <cell r="E113">
            <v>-167323.70000000001</v>
          </cell>
          <cell r="F113">
            <v>-167323.70000000001</v>
          </cell>
        </row>
        <row r="114">
          <cell r="A114" t="str">
            <v>300-30-010</v>
          </cell>
          <cell r="B114" t="str">
            <v>SERVICE CHARGE LOAN ON POLICY</v>
          </cell>
          <cell r="C114">
            <v>0</v>
          </cell>
          <cell r="D114">
            <v>0</v>
          </cell>
          <cell r="E114">
            <v>0</v>
          </cell>
          <cell r="F114">
            <v>0</v>
          </cell>
        </row>
        <row r="115">
          <cell r="A115" t="str">
            <v>300-30-020</v>
          </cell>
          <cell r="B115" t="str">
            <v>INTEREST ON LOAN ON POLICY</v>
          </cell>
          <cell r="C115">
            <v>0</v>
          </cell>
          <cell r="D115">
            <v>0</v>
          </cell>
          <cell r="E115">
            <v>0</v>
          </cell>
          <cell r="F115">
            <v>0</v>
          </cell>
        </row>
        <row r="116">
          <cell r="A116" t="str">
            <v>300-30-030</v>
          </cell>
          <cell r="B116" t="str">
            <v>INTEREST ON COMMERCIAL PAPER</v>
          </cell>
          <cell r="C116">
            <v>0</v>
          </cell>
          <cell r="D116">
            <v>0</v>
          </cell>
          <cell r="E116">
            <v>0</v>
          </cell>
          <cell r="F116">
            <v>0</v>
          </cell>
        </row>
        <row r="117">
          <cell r="A117" t="str">
            <v>300-30-040</v>
          </cell>
          <cell r="B117" t="str">
            <v>PREMIUM ON BONDS</v>
          </cell>
          <cell r="C117">
            <v>0</v>
          </cell>
          <cell r="D117">
            <v>0</v>
          </cell>
          <cell r="E117">
            <v>0</v>
          </cell>
          <cell r="F117">
            <v>0</v>
          </cell>
        </row>
        <row r="118">
          <cell r="A118" t="str">
            <v>300-30-050</v>
          </cell>
          <cell r="B118" t="str">
            <v>INTEREST ON FD</v>
          </cell>
          <cell r="C118">
            <v>-123886.1</v>
          </cell>
          <cell r="D118">
            <v>0</v>
          </cell>
          <cell r="E118">
            <v>-123886.1</v>
          </cell>
          <cell r="F118">
            <v>-123886.1</v>
          </cell>
        </row>
        <row r="119">
          <cell r="A119" t="str">
            <v>300-30-060</v>
          </cell>
          <cell r="B119" t="str">
            <v>INTEREST ON TB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</row>
        <row r="120">
          <cell r="A120" t="str">
            <v>300-30-062</v>
          </cell>
          <cell r="B120" t="str">
            <v>INTEREST ON BONDS UNDER LIEN</v>
          </cell>
          <cell r="C120">
            <v>-12648</v>
          </cell>
          <cell r="D120">
            <v>-1675876</v>
          </cell>
          <cell r="E120">
            <v>-1688524</v>
          </cell>
          <cell r="F120">
            <v>-1688524</v>
          </cell>
        </row>
        <row r="121">
          <cell r="A121" t="str">
            <v>300-30-065</v>
          </cell>
          <cell r="B121" t="str">
            <v>FUND MANAGEMENT FEES</v>
          </cell>
          <cell r="C121">
            <v>-66198.399999999994</v>
          </cell>
          <cell r="D121">
            <v>25247.8</v>
          </cell>
          <cell r="E121">
            <v>-40950.6</v>
          </cell>
          <cell r="F121">
            <v>-40950.6</v>
          </cell>
        </row>
        <row r="122">
          <cell r="A122" t="str">
            <v>300-30-070</v>
          </cell>
          <cell r="B122" t="str">
            <v>FUND CUSTODIAL FEES</v>
          </cell>
          <cell r="C122">
            <v>67647.3</v>
          </cell>
          <cell r="D122">
            <v>602687.1</v>
          </cell>
          <cell r="E122">
            <v>670334.4</v>
          </cell>
          <cell r="F122">
            <v>670334.4</v>
          </cell>
        </row>
        <row r="123">
          <cell r="A123" t="str">
            <v>300-30-075</v>
          </cell>
          <cell r="B123" t="str">
            <v>UNREALISED GAIN/LOSS BOND FUND</v>
          </cell>
          <cell r="C123">
            <v>24753</v>
          </cell>
          <cell r="D123">
            <v>0</v>
          </cell>
          <cell r="E123">
            <v>24753</v>
          </cell>
          <cell r="F123">
            <v>24753</v>
          </cell>
        </row>
        <row r="124">
          <cell r="A124" t="str">
            <v>300-30-076</v>
          </cell>
          <cell r="B124" t="str">
            <v>UNREALISED GAIN/LOSS MONEY MARKET FUND</v>
          </cell>
          <cell r="C124">
            <v>0</v>
          </cell>
          <cell r="D124">
            <v>0</v>
          </cell>
          <cell r="E124">
            <v>0</v>
          </cell>
          <cell r="F124">
            <v>0</v>
          </cell>
        </row>
        <row r="125">
          <cell r="A125" t="str">
            <v>300-30-080</v>
          </cell>
          <cell r="B125" t="str">
            <v>ADVERTISING(UNIT PRICE)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</row>
        <row r="126">
          <cell r="A126" t="str">
            <v>300-85-010</v>
          </cell>
          <cell r="B126" t="str">
            <v>REALIZED GAINS ON SHARES</v>
          </cell>
          <cell r="C126">
            <v>0</v>
          </cell>
          <cell r="D126">
            <v>0</v>
          </cell>
          <cell r="E126">
            <v>0</v>
          </cell>
          <cell r="F126">
            <v>0</v>
          </cell>
        </row>
        <row r="127">
          <cell r="A127" t="str">
            <v>300-85-015</v>
          </cell>
          <cell r="B127" t="str">
            <v>REALISED GAIN/LOSS ON SALE OF CP</v>
          </cell>
          <cell r="C127">
            <v>0</v>
          </cell>
          <cell r="D127">
            <v>0</v>
          </cell>
          <cell r="E127">
            <v>0</v>
          </cell>
          <cell r="F127">
            <v>0</v>
          </cell>
        </row>
        <row r="128">
          <cell r="A128" t="str">
            <v>300-86-010</v>
          </cell>
          <cell r="B128" t="str">
            <v>REALISED GAIN/LOSS BONDS&amp;TBILLS</v>
          </cell>
          <cell r="C128">
            <v>0</v>
          </cell>
          <cell r="D128">
            <v>0</v>
          </cell>
          <cell r="E128">
            <v>0</v>
          </cell>
          <cell r="F128">
            <v>0</v>
          </cell>
        </row>
        <row r="129">
          <cell r="A129" t="str">
            <v>300-95-010</v>
          </cell>
          <cell r="B129" t="str">
            <v>UNREALISED GAIN/LOSS ON EQUITIES</v>
          </cell>
          <cell r="C129">
            <v>0</v>
          </cell>
          <cell r="D129">
            <v>0</v>
          </cell>
          <cell r="E129">
            <v>0</v>
          </cell>
          <cell r="F129">
            <v>0</v>
          </cell>
        </row>
        <row r="130">
          <cell r="A130" t="str">
            <v>300-99-100</v>
          </cell>
          <cell r="B130" t="str">
            <v>INVESTMENT INCOME AS PER FUND MANAGERS</v>
          </cell>
          <cell r="C130">
            <v>0</v>
          </cell>
          <cell r="D130">
            <v>0</v>
          </cell>
          <cell r="E130">
            <v>0</v>
          </cell>
          <cell r="F130">
            <v>0</v>
          </cell>
        </row>
        <row r="131">
          <cell r="A131" t="str">
            <v>300-99-110</v>
          </cell>
          <cell r="B131" t="str">
            <v>INCOME ON BOND FUND</v>
          </cell>
          <cell r="C131">
            <v>-6426061</v>
          </cell>
          <cell r="D131">
            <v>-1115039</v>
          </cell>
          <cell r="E131">
            <v>-7541100</v>
          </cell>
          <cell r="F131">
            <v>-7541100</v>
          </cell>
        </row>
        <row r="132">
          <cell r="A132" t="str">
            <v>300-99-120</v>
          </cell>
          <cell r="B132" t="str">
            <v>INCOME ON MONEY MARKET</v>
          </cell>
          <cell r="C132">
            <v>-3310224</v>
          </cell>
          <cell r="D132">
            <v>-530590</v>
          </cell>
          <cell r="E132">
            <v>-3840814</v>
          </cell>
          <cell r="F132">
            <v>-3840814</v>
          </cell>
        </row>
        <row r="133">
          <cell r="A133" t="str">
            <v>300-99-130</v>
          </cell>
          <cell r="B133" t="str">
            <v>INCOME ON EQUITY FUND</v>
          </cell>
          <cell r="C133">
            <v>-4099976</v>
          </cell>
          <cell r="D133">
            <v>8620144</v>
          </cell>
          <cell r="E133">
            <v>4520168</v>
          </cell>
          <cell r="F133">
            <v>4520168</v>
          </cell>
        </row>
        <row r="134">
          <cell r="A134" t="str">
            <v>300-99-140</v>
          </cell>
          <cell r="B134" t="str">
            <v>INCOME ON SPECULATIVE FUND</v>
          </cell>
          <cell r="C134">
            <v>-787417</v>
          </cell>
          <cell r="D134">
            <v>-74440</v>
          </cell>
          <cell r="E134">
            <v>-861857</v>
          </cell>
          <cell r="F134">
            <v>-861857</v>
          </cell>
        </row>
        <row r="135">
          <cell r="A135" t="str">
            <v>400-10-010</v>
          </cell>
          <cell r="B135" t="str">
            <v>BASIC SALARY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</row>
        <row r="136">
          <cell r="A136" t="str">
            <v>400-10-012</v>
          </cell>
          <cell r="B136" t="str">
            <v>PROVISION FOR MORT.RATE</v>
          </cell>
          <cell r="C136">
            <v>0</v>
          </cell>
          <cell r="D136">
            <v>0</v>
          </cell>
          <cell r="E136">
            <v>0</v>
          </cell>
          <cell r="F136">
            <v>0</v>
          </cell>
        </row>
        <row r="137">
          <cell r="A137" t="str">
            <v>400-10-020</v>
          </cell>
          <cell r="B137" t="str">
            <v>OTHER BENEFITS</v>
          </cell>
          <cell r="C137">
            <v>0</v>
          </cell>
          <cell r="D137">
            <v>0</v>
          </cell>
          <cell r="E137">
            <v>0</v>
          </cell>
          <cell r="F137">
            <v>0</v>
          </cell>
        </row>
        <row r="138">
          <cell r="A138" t="str">
            <v>400-10-030</v>
          </cell>
          <cell r="B138" t="str">
            <v>TELEPHONE ALLOWANCE</v>
          </cell>
          <cell r="C138">
            <v>0</v>
          </cell>
          <cell r="D138">
            <v>0</v>
          </cell>
          <cell r="E138">
            <v>0</v>
          </cell>
          <cell r="F138">
            <v>0</v>
          </cell>
        </row>
        <row r="139">
          <cell r="A139" t="str">
            <v>400-10-040</v>
          </cell>
          <cell r="B139" t="str">
            <v>SECURITY ALLOWANCE</v>
          </cell>
          <cell r="C139">
            <v>0</v>
          </cell>
          <cell r="D139">
            <v>0</v>
          </cell>
          <cell r="E139">
            <v>0</v>
          </cell>
          <cell r="F139">
            <v>0</v>
          </cell>
        </row>
        <row r="140">
          <cell r="A140" t="str">
            <v>400-10-050</v>
          </cell>
          <cell r="B140" t="str">
            <v>EDUCATION ALLOWANCE</v>
          </cell>
          <cell r="C140">
            <v>0</v>
          </cell>
          <cell r="D140">
            <v>0</v>
          </cell>
          <cell r="E140">
            <v>0</v>
          </cell>
          <cell r="F140">
            <v>0</v>
          </cell>
        </row>
        <row r="141">
          <cell r="A141" t="str">
            <v>400-10-060</v>
          </cell>
          <cell r="B141" t="str">
            <v>TRAVEL ALLOWANCE</v>
          </cell>
          <cell r="C141">
            <v>0</v>
          </cell>
          <cell r="D141">
            <v>0</v>
          </cell>
          <cell r="E141">
            <v>0</v>
          </cell>
          <cell r="F141">
            <v>0</v>
          </cell>
        </row>
        <row r="142">
          <cell r="A142" t="str">
            <v>400-10-065</v>
          </cell>
          <cell r="B142" t="str">
            <v>CLUB SUBSCRIPTION</v>
          </cell>
          <cell r="C142">
            <v>0</v>
          </cell>
          <cell r="D142">
            <v>0</v>
          </cell>
          <cell r="E142">
            <v>0</v>
          </cell>
          <cell r="F142">
            <v>0</v>
          </cell>
        </row>
        <row r="143">
          <cell r="A143" t="str">
            <v>400-10-070</v>
          </cell>
          <cell r="B143" t="str">
            <v>PENSION</v>
          </cell>
          <cell r="C143">
            <v>0</v>
          </cell>
          <cell r="D143">
            <v>0</v>
          </cell>
          <cell r="E143">
            <v>0</v>
          </cell>
          <cell r="F143">
            <v>0</v>
          </cell>
        </row>
        <row r="144">
          <cell r="A144" t="str">
            <v>400-10-075</v>
          </cell>
          <cell r="B144" t="str">
            <v>LONG SERVICE AWARDS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</row>
        <row r="145">
          <cell r="A145" t="str">
            <v>400-10-080</v>
          </cell>
          <cell r="B145" t="str">
            <v>LAST EXPENSE</v>
          </cell>
          <cell r="C145">
            <v>0</v>
          </cell>
          <cell r="D145">
            <v>0</v>
          </cell>
          <cell r="E145">
            <v>0</v>
          </cell>
          <cell r="F145">
            <v>0</v>
          </cell>
        </row>
        <row r="146">
          <cell r="A146" t="str">
            <v>400-10-085</v>
          </cell>
          <cell r="B146" t="str">
            <v>ACADEMIC ACHIEVEMENTS</v>
          </cell>
          <cell r="C146">
            <v>0</v>
          </cell>
          <cell r="D146">
            <v>0</v>
          </cell>
          <cell r="E146">
            <v>0</v>
          </cell>
          <cell r="F146">
            <v>0</v>
          </cell>
        </row>
        <row r="147">
          <cell r="A147" t="str">
            <v>400-10-090</v>
          </cell>
          <cell r="B147" t="str">
            <v>GROUP LIFE ASSURANCE</v>
          </cell>
          <cell r="C147">
            <v>0</v>
          </cell>
          <cell r="D147">
            <v>0</v>
          </cell>
          <cell r="E147">
            <v>0</v>
          </cell>
          <cell r="F147">
            <v>0</v>
          </cell>
        </row>
        <row r="148">
          <cell r="A148" t="str">
            <v>400-10-100</v>
          </cell>
          <cell r="B148" t="str">
            <v>STAFF MEDICAL</v>
          </cell>
          <cell r="C148">
            <v>0</v>
          </cell>
          <cell r="D148">
            <v>0</v>
          </cell>
          <cell r="E148">
            <v>0</v>
          </cell>
          <cell r="F148">
            <v>0</v>
          </cell>
        </row>
        <row r="149">
          <cell r="A149" t="str">
            <v>400-10-110</v>
          </cell>
          <cell r="B149" t="str">
            <v>CASH IN LIUE OF LEAVE</v>
          </cell>
          <cell r="C149">
            <v>0</v>
          </cell>
          <cell r="D149">
            <v>0</v>
          </cell>
          <cell r="E149">
            <v>0</v>
          </cell>
          <cell r="F149">
            <v>0</v>
          </cell>
        </row>
        <row r="150">
          <cell r="A150" t="str">
            <v>400-10-120</v>
          </cell>
          <cell r="B150" t="str">
            <v>GRATUITY</v>
          </cell>
          <cell r="C150">
            <v>0</v>
          </cell>
          <cell r="D150">
            <v>0</v>
          </cell>
          <cell r="E150">
            <v>0</v>
          </cell>
          <cell r="F150">
            <v>0</v>
          </cell>
        </row>
        <row r="151">
          <cell r="A151" t="str">
            <v>400-10-130</v>
          </cell>
          <cell r="B151" t="str">
            <v>STAFF RECRUTMENT &amp; REMOVAL</v>
          </cell>
          <cell r="C151">
            <v>0</v>
          </cell>
          <cell r="D151">
            <v>0</v>
          </cell>
          <cell r="E151">
            <v>0</v>
          </cell>
          <cell r="F151">
            <v>0</v>
          </cell>
        </row>
        <row r="152">
          <cell r="A152" t="str">
            <v>400-10-140</v>
          </cell>
          <cell r="B152" t="str">
            <v>TERMINAL DUES</v>
          </cell>
          <cell r="C152">
            <v>0</v>
          </cell>
          <cell r="D152">
            <v>0</v>
          </cell>
          <cell r="E152">
            <v>0</v>
          </cell>
          <cell r="F152">
            <v>0</v>
          </cell>
        </row>
        <row r="153">
          <cell r="A153" t="str">
            <v>400-20-010</v>
          </cell>
          <cell r="B153" t="str">
            <v>N.S.S.F</v>
          </cell>
          <cell r="C153">
            <v>0</v>
          </cell>
          <cell r="D153">
            <v>0</v>
          </cell>
          <cell r="E153">
            <v>0</v>
          </cell>
          <cell r="F153">
            <v>0</v>
          </cell>
        </row>
        <row r="154">
          <cell r="A154" t="str">
            <v>400-20-020</v>
          </cell>
          <cell r="B154" t="str">
            <v>N.H.I.F.</v>
          </cell>
          <cell r="C154">
            <v>0</v>
          </cell>
          <cell r="D154">
            <v>0</v>
          </cell>
          <cell r="E154">
            <v>0</v>
          </cell>
          <cell r="F154">
            <v>0</v>
          </cell>
        </row>
        <row r="155">
          <cell r="A155" t="str">
            <v>400-30-010</v>
          </cell>
          <cell r="B155" t="str">
            <v>DEPRECIATION-FURNITURE</v>
          </cell>
          <cell r="C155">
            <v>0</v>
          </cell>
          <cell r="D155">
            <v>0</v>
          </cell>
          <cell r="E155">
            <v>0</v>
          </cell>
          <cell r="F155">
            <v>0</v>
          </cell>
        </row>
        <row r="156">
          <cell r="A156" t="str">
            <v>400-30-020</v>
          </cell>
          <cell r="B156" t="str">
            <v>DEPRECIATION COMPUTER</v>
          </cell>
          <cell r="C156">
            <v>0</v>
          </cell>
          <cell r="D156">
            <v>0</v>
          </cell>
          <cell r="E156">
            <v>0</v>
          </cell>
          <cell r="F156">
            <v>0</v>
          </cell>
        </row>
        <row r="157">
          <cell r="A157" t="str">
            <v>400-30-030</v>
          </cell>
          <cell r="B157" t="str">
            <v>DEPRECIATION MOTOR VEHICLE</v>
          </cell>
          <cell r="C157">
            <v>0</v>
          </cell>
          <cell r="D157">
            <v>0</v>
          </cell>
          <cell r="E157">
            <v>0</v>
          </cell>
          <cell r="F157">
            <v>0</v>
          </cell>
        </row>
        <row r="158">
          <cell r="A158" t="str">
            <v>400-30-035</v>
          </cell>
          <cell r="B158" t="str">
            <v>AMORTISATION CHARGE-INTANGIBLE ASSET</v>
          </cell>
          <cell r="C158">
            <v>0</v>
          </cell>
          <cell r="D158">
            <v>0</v>
          </cell>
          <cell r="E158">
            <v>0</v>
          </cell>
          <cell r="F158">
            <v>0</v>
          </cell>
        </row>
        <row r="159">
          <cell r="A159" t="str">
            <v>400-30-040</v>
          </cell>
          <cell r="B159" t="str">
            <v>OFFICE RENT</v>
          </cell>
          <cell r="C159">
            <v>0</v>
          </cell>
          <cell r="D159">
            <v>0</v>
          </cell>
          <cell r="E159">
            <v>0</v>
          </cell>
          <cell r="F159">
            <v>0</v>
          </cell>
        </row>
        <row r="160">
          <cell r="A160" t="str">
            <v>400-30-050</v>
          </cell>
          <cell r="B160" t="str">
            <v>OFFICE CATERING</v>
          </cell>
          <cell r="C160">
            <v>0</v>
          </cell>
          <cell r="D160">
            <v>0</v>
          </cell>
          <cell r="E160">
            <v>0</v>
          </cell>
          <cell r="F160">
            <v>0</v>
          </cell>
        </row>
        <row r="161">
          <cell r="A161" t="str">
            <v>400-30-060</v>
          </cell>
          <cell r="B161" t="str">
            <v>OFFICE WATER</v>
          </cell>
          <cell r="C161">
            <v>0</v>
          </cell>
          <cell r="D161">
            <v>0</v>
          </cell>
          <cell r="E161">
            <v>0</v>
          </cell>
          <cell r="F161">
            <v>0</v>
          </cell>
        </row>
        <row r="162">
          <cell r="A162" t="str">
            <v>400-30-070</v>
          </cell>
          <cell r="B162" t="str">
            <v>OFFICE ELECTRICITY</v>
          </cell>
          <cell r="C162">
            <v>0</v>
          </cell>
          <cell r="D162">
            <v>0</v>
          </cell>
          <cell r="E162">
            <v>0</v>
          </cell>
          <cell r="F162">
            <v>0</v>
          </cell>
        </row>
        <row r="163">
          <cell r="A163" t="str">
            <v>400-30-080</v>
          </cell>
          <cell r="B163" t="str">
            <v>OFFICE SECURITY</v>
          </cell>
          <cell r="C163">
            <v>0</v>
          </cell>
          <cell r="D163">
            <v>0</v>
          </cell>
          <cell r="E163">
            <v>0</v>
          </cell>
          <cell r="F163">
            <v>0</v>
          </cell>
        </row>
        <row r="164">
          <cell r="A164" t="str">
            <v>400-40-005</v>
          </cell>
          <cell r="B164" t="str">
            <v>BANK CHARGES</v>
          </cell>
          <cell r="C164">
            <v>20757.2</v>
          </cell>
          <cell r="D164">
            <v>0</v>
          </cell>
          <cell r="E164">
            <v>20757.2</v>
          </cell>
          <cell r="F164">
            <v>20757.2</v>
          </cell>
        </row>
        <row r="165">
          <cell r="A165" t="str">
            <v>400-40-006</v>
          </cell>
          <cell r="B165" t="str">
            <v>DONATIONS</v>
          </cell>
          <cell r="C165">
            <v>0</v>
          </cell>
          <cell r="D165">
            <v>0</v>
          </cell>
          <cell r="E165">
            <v>0</v>
          </cell>
          <cell r="F165">
            <v>0</v>
          </cell>
        </row>
        <row r="166">
          <cell r="A166" t="str">
            <v>400-40-007</v>
          </cell>
          <cell r="B166" t="str">
            <v>NEWSPAPERS &amp; JOURNALS</v>
          </cell>
          <cell r="C166">
            <v>0</v>
          </cell>
          <cell r="D166">
            <v>0</v>
          </cell>
          <cell r="E166">
            <v>0</v>
          </cell>
          <cell r="F166">
            <v>0</v>
          </cell>
        </row>
        <row r="167">
          <cell r="A167" t="str">
            <v>400-40-008</v>
          </cell>
          <cell r="B167" t="str">
            <v>ENTERTAINMENT</v>
          </cell>
          <cell r="C167">
            <v>0</v>
          </cell>
          <cell r="D167">
            <v>0</v>
          </cell>
          <cell r="E167">
            <v>0</v>
          </cell>
          <cell r="F167">
            <v>0</v>
          </cell>
        </row>
        <row r="168">
          <cell r="A168" t="str">
            <v>400-40-009</v>
          </cell>
          <cell r="B168" t="str">
            <v>COURIER &amp; FREIGHT CHARGES</v>
          </cell>
          <cell r="C168">
            <v>0</v>
          </cell>
          <cell r="D168">
            <v>0</v>
          </cell>
          <cell r="E168">
            <v>0</v>
          </cell>
          <cell r="F168">
            <v>0</v>
          </cell>
        </row>
        <row r="169">
          <cell r="A169" t="str">
            <v>400-40-010</v>
          </cell>
          <cell r="B169" t="str">
            <v>ALA GROUP CHARGES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</row>
        <row r="170">
          <cell r="A170" t="str">
            <v>400-40-011</v>
          </cell>
          <cell r="B170" t="str">
            <v>ADVERTISING &amp; PUBLICITY</v>
          </cell>
          <cell r="C170">
            <v>0</v>
          </cell>
          <cell r="D170">
            <v>0</v>
          </cell>
          <cell r="E170">
            <v>0</v>
          </cell>
          <cell r="F170">
            <v>0</v>
          </cell>
        </row>
        <row r="171">
          <cell r="A171" t="str">
            <v>400-40-012</v>
          </cell>
          <cell r="B171" t="str">
            <v>TRADE LICENCES</v>
          </cell>
          <cell r="C171">
            <v>0</v>
          </cell>
          <cell r="D171">
            <v>0</v>
          </cell>
          <cell r="E171">
            <v>0</v>
          </cell>
          <cell r="F171">
            <v>0</v>
          </cell>
        </row>
        <row r="172">
          <cell r="A172" t="str">
            <v>400-40-013</v>
          </cell>
          <cell r="B172" t="str">
            <v>INSURANCES</v>
          </cell>
          <cell r="C172">
            <v>0</v>
          </cell>
          <cell r="D172">
            <v>0</v>
          </cell>
          <cell r="E172">
            <v>0</v>
          </cell>
          <cell r="F172">
            <v>0</v>
          </cell>
        </row>
        <row r="173">
          <cell r="A173" t="str">
            <v>400-40-014</v>
          </cell>
          <cell r="B173" t="str">
            <v>PHOTOCOPY</v>
          </cell>
          <cell r="C173">
            <v>0</v>
          </cell>
          <cell r="D173">
            <v>0</v>
          </cell>
          <cell r="E173">
            <v>0</v>
          </cell>
          <cell r="F173">
            <v>0</v>
          </cell>
        </row>
        <row r="174">
          <cell r="A174" t="str">
            <v>400-40-015</v>
          </cell>
          <cell r="B174" t="str">
            <v>COMPUTER MAINTENANCE</v>
          </cell>
          <cell r="C174">
            <v>0</v>
          </cell>
          <cell r="D174">
            <v>0</v>
          </cell>
          <cell r="E174">
            <v>0</v>
          </cell>
          <cell r="F174">
            <v>0</v>
          </cell>
        </row>
        <row r="175">
          <cell r="A175" t="str">
            <v>400-40-016</v>
          </cell>
          <cell r="B175" t="str">
            <v>EQUIPMENT MAINTENANCE</v>
          </cell>
          <cell r="C175">
            <v>0</v>
          </cell>
          <cell r="D175">
            <v>0</v>
          </cell>
          <cell r="E175">
            <v>0</v>
          </cell>
          <cell r="F175">
            <v>0</v>
          </cell>
        </row>
        <row r="176">
          <cell r="A176" t="str">
            <v>400-40-017</v>
          </cell>
          <cell r="B176" t="str">
            <v>SEMINARS &amp; SHORT TERM COURSES</v>
          </cell>
          <cell r="C176">
            <v>0</v>
          </cell>
          <cell r="D176">
            <v>0</v>
          </cell>
          <cell r="E176">
            <v>0</v>
          </cell>
          <cell r="F176">
            <v>0</v>
          </cell>
        </row>
        <row r="177">
          <cell r="A177" t="str">
            <v>400-40-018</v>
          </cell>
          <cell r="B177" t="str">
            <v>SALES PROMOTION</v>
          </cell>
          <cell r="C177">
            <v>0</v>
          </cell>
          <cell r="D177">
            <v>0</v>
          </cell>
          <cell r="E177">
            <v>0</v>
          </cell>
          <cell r="F177">
            <v>0</v>
          </cell>
        </row>
        <row r="178">
          <cell r="A178" t="str">
            <v>400-40-019</v>
          </cell>
          <cell r="B178" t="str">
            <v>COMPUTER CONSUMABLES</v>
          </cell>
          <cell r="C178">
            <v>0</v>
          </cell>
          <cell r="D178">
            <v>0</v>
          </cell>
          <cell r="E178">
            <v>0</v>
          </cell>
          <cell r="F178">
            <v>0</v>
          </cell>
        </row>
        <row r="179">
          <cell r="A179" t="str">
            <v>400-40-020</v>
          </cell>
          <cell r="B179" t="str">
            <v>ACTURIAL FEES</v>
          </cell>
          <cell r="C179">
            <v>0</v>
          </cell>
          <cell r="D179">
            <v>0</v>
          </cell>
          <cell r="E179">
            <v>0</v>
          </cell>
          <cell r="F179">
            <v>0</v>
          </cell>
        </row>
        <row r="180">
          <cell r="A180" t="str">
            <v>400-40-021</v>
          </cell>
          <cell r="B180" t="str">
            <v>PRINTING &amp; STATIONERY</v>
          </cell>
          <cell r="C180">
            <v>0</v>
          </cell>
          <cell r="D180">
            <v>0</v>
          </cell>
          <cell r="E180">
            <v>0</v>
          </cell>
          <cell r="F180">
            <v>0</v>
          </cell>
        </row>
        <row r="181">
          <cell r="A181" t="str">
            <v>400-40-022</v>
          </cell>
          <cell r="B181" t="str">
            <v>STRATEGIC PLANNING</v>
          </cell>
          <cell r="C181">
            <v>0</v>
          </cell>
          <cell r="D181">
            <v>0</v>
          </cell>
          <cell r="E181">
            <v>0</v>
          </cell>
          <cell r="F181">
            <v>0</v>
          </cell>
        </row>
        <row r="182">
          <cell r="A182" t="str">
            <v>400-40-023</v>
          </cell>
          <cell r="B182" t="str">
            <v>PROFESSIONAL SUBSCRIPTION</v>
          </cell>
          <cell r="C182">
            <v>0</v>
          </cell>
          <cell r="D182">
            <v>0</v>
          </cell>
          <cell r="E182">
            <v>0</v>
          </cell>
          <cell r="F182">
            <v>0</v>
          </cell>
        </row>
        <row r="183">
          <cell r="A183" t="str">
            <v>400-40-024</v>
          </cell>
          <cell r="B183" t="str">
            <v>SUBSCRIPTION-COMPANY</v>
          </cell>
          <cell r="C183">
            <v>0</v>
          </cell>
          <cell r="D183">
            <v>0</v>
          </cell>
          <cell r="E183">
            <v>0</v>
          </cell>
          <cell r="F183">
            <v>0</v>
          </cell>
        </row>
        <row r="184">
          <cell r="A184" t="str">
            <v>400-40-025</v>
          </cell>
          <cell r="B184" t="str">
            <v>TRAVEL &amp; ACCOMODATION</v>
          </cell>
          <cell r="C184">
            <v>0</v>
          </cell>
          <cell r="D184">
            <v>0</v>
          </cell>
          <cell r="E184">
            <v>0</v>
          </cell>
          <cell r="F184">
            <v>0</v>
          </cell>
        </row>
        <row r="185">
          <cell r="A185" t="str">
            <v>400-40-026</v>
          </cell>
          <cell r="B185" t="str">
            <v>MOTOR VEHICLE EXPENSES</v>
          </cell>
          <cell r="C185">
            <v>0</v>
          </cell>
          <cell r="D185">
            <v>0</v>
          </cell>
          <cell r="E185">
            <v>0</v>
          </cell>
          <cell r="F185">
            <v>0</v>
          </cell>
        </row>
        <row r="186">
          <cell r="A186" t="str">
            <v>400-40-027</v>
          </cell>
          <cell r="B186" t="str">
            <v>POSTAGE</v>
          </cell>
          <cell r="C186">
            <v>0</v>
          </cell>
          <cell r="D186">
            <v>0</v>
          </cell>
          <cell r="E186">
            <v>0</v>
          </cell>
          <cell r="F186">
            <v>0</v>
          </cell>
        </row>
        <row r="187">
          <cell r="A187" t="str">
            <v>400-40-028</v>
          </cell>
          <cell r="B187" t="str">
            <v>TELEPHONE &amp; FAX</v>
          </cell>
          <cell r="C187">
            <v>0</v>
          </cell>
          <cell r="D187">
            <v>0</v>
          </cell>
          <cell r="E187">
            <v>0</v>
          </cell>
          <cell r="F187">
            <v>0</v>
          </cell>
        </row>
        <row r="188">
          <cell r="A188" t="str">
            <v>400-40-029</v>
          </cell>
          <cell r="B188" t="str">
            <v>PROFESSIONAL TRAINING</v>
          </cell>
          <cell r="C188">
            <v>0</v>
          </cell>
          <cell r="D188">
            <v>0</v>
          </cell>
          <cell r="E188">
            <v>0</v>
          </cell>
          <cell r="F188">
            <v>0</v>
          </cell>
        </row>
        <row r="189">
          <cell r="A189" t="str">
            <v>400-40-030</v>
          </cell>
          <cell r="B189" t="str">
            <v>AUDIT FEES</v>
          </cell>
          <cell r="C189">
            <v>0</v>
          </cell>
          <cell r="D189">
            <v>0</v>
          </cell>
          <cell r="E189">
            <v>0</v>
          </cell>
          <cell r="F189">
            <v>0</v>
          </cell>
        </row>
        <row r="190">
          <cell r="A190" t="str">
            <v>400-40-031</v>
          </cell>
          <cell r="B190" t="str">
            <v>STAFF SOCIAL CLUB</v>
          </cell>
          <cell r="C190">
            <v>0</v>
          </cell>
          <cell r="D190">
            <v>0</v>
          </cell>
          <cell r="E190">
            <v>0</v>
          </cell>
          <cell r="F190">
            <v>0</v>
          </cell>
        </row>
        <row r="191">
          <cell r="A191" t="str">
            <v>400-40-032</v>
          </cell>
          <cell r="B191" t="str">
            <v>LEASED LINES-INTERNET SERVICES</v>
          </cell>
          <cell r="C191">
            <v>0</v>
          </cell>
          <cell r="D191">
            <v>0</v>
          </cell>
          <cell r="E191">
            <v>0</v>
          </cell>
          <cell r="F191">
            <v>0</v>
          </cell>
        </row>
        <row r="192">
          <cell r="A192" t="str">
            <v>400-40-033</v>
          </cell>
          <cell r="B192" t="str">
            <v>SOFTWARE LICENCES</v>
          </cell>
          <cell r="C192">
            <v>0</v>
          </cell>
          <cell r="D192">
            <v>0</v>
          </cell>
          <cell r="E192">
            <v>0</v>
          </cell>
          <cell r="F192">
            <v>0</v>
          </cell>
        </row>
        <row r="193">
          <cell r="A193" t="str">
            <v>400-40-034</v>
          </cell>
          <cell r="B193" t="str">
            <v>DEPRECIATION OF BUILDING</v>
          </cell>
          <cell r="C193">
            <v>0</v>
          </cell>
          <cell r="D193">
            <v>0</v>
          </cell>
          <cell r="E193">
            <v>0</v>
          </cell>
          <cell r="F193">
            <v>0</v>
          </cell>
        </row>
        <row r="194">
          <cell r="A194" t="str">
            <v>400-40-035</v>
          </cell>
          <cell r="B194" t="str">
            <v>EDUCATION EXPENSES</v>
          </cell>
          <cell r="C194">
            <v>0</v>
          </cell>
          <cell r="D194">
            <v>0</v>
          </cell>
          <cell r="E194">
            <v>0</v>
          </cell>
          <cell r="F194">
            <v>0</v>
          </cell>
        </row>
        <row r="195">
          <cell r="A195" t="str">
            <v>400-40-036</v>
          </cell>
          <cell r="B195" t="str">
            <v>TRAVEL AND ACCOMODATION - ALA</v>
          </cell>
          <cell r="C195">
            <v>0</v>
          </cell>
          <cell r="D195">
            <v>0</v>
          </cell>
          <cell r="E195">
            <v>0</v>
          </cell>
          <cell r="F195">
            <v>0</v>
          </cell>
        </row>
        <row r="196">
          <cell r="A196" t="str">
            <v>400-40-040</v>
          </cell>
          <cell r="B196" t="str">
            <v>LEGAL FEES</v>
          </cell>
          <cell r="C196">
            <v>0</v>
          </cell>
          <cell r="D196">
            <v>0</v>
          </cell>
          <cell r="E196">
            <v>0</v>
          </cell>
          <cell r="F196">
            <v>0</v>
          </cell>
        </row>
        <row r="197">
          <cell r="A197" t="str">
            <v>400-40-050</v>
          </cell>
          <cell r="B197" t="str">
            <v>TAX CONSULTATION FEES</v>
          </cell>
          <cell r="C197">
            <v>0</v>
          </cell>
          <cell r="D197">
            <v>0</v>
          </cell>
          <cell r="E197">
            <v>0</v>
          </cell>
          <cell r="F197">
            <v>0</v>
          </cell>
        </row>
        <row r="198">
          <cell r="A198" t="str">
            <v>400-40-060</v>
          </cell>
          <cell r="B198" t="str">
            <v>INTRA-COMPANY -INDIVIDUAL</v>
          </cell>
          <cell r="C198">
            <v>0</v>
          </cell>
          <cell r="D198">
            <v>0</v>
          </cell>
          <cell r="E198">
            <v>0</v>
          </cell>
          <cell r="F198">
            <v>0</v>
          </cell>
        </row>
        <row r="199">
          <cell r="A199" t="str">
            <v>400-40-065</v>
          </cell>
          <cell r="B199" t="str">
            <v>RECHARGE FROM IT</v>
          </cell>
          <cell r="C199">
            <v>0</v>
          </cell>
          <cell r="D199">
            <v>0</v>
          </cell>
          <cell r="E199">
            <v>0</v>
          </cell>
          <cell r="F199">
            <v>0</v>
          </cell>
        </row>
        <row r="200">
          <cell r="A200" t="str">
            <v>400-40-070</v>
          </cell>
          <cell r="B200" t="str">
            <v>RECHARGE TO CORPORATE BUSINESS</v>
          </cell>
          <cell r="C200">
            <v>0</v>
          </cell>
          <cell r="D200">
            <v>0</v>
          </cell>
          <cell r="E200">
            <v>0</v>
          </cell>
          <cell r="F200">
            <v>0</v>
          </cell>
        </row>
        <row r="201">
          <cell r="A201" t="str">
            <v>400-40-075</v>
          </cell>
          <cell r="B201" t="str">
            <v>RECHARGE FROM HR</v>
          </cell>
          <cell r="C201">
            <v>0</v>
          </cell>
          <cell r="D201">
            <v>0</v>
          </cell>
          <cell r="E201">
            <v>0</v>
          </cell>
          <cell r="F201">
            <v>0</v>
          </cell>
        </row>
        <row r="202">
          <cell r="A202" t="str">
            <v>400-40-080</v>
          </cell>
          <cell r="B202" t="str">
            <v>EXECUTIVE RECHARGE TO HR &amp; CORPORATE</v>
          </cell>
          <cell r="C202">
            <v>0</v>
          </cell>
          <cell r="D202">
            <v>0</v>
          </cell>
          <cell r="E202">
            <v>0</v>
          </cell>
          <cell r="F202">
            <v>0</v>
          </cell>
        </row>
        <row r="203">
          <cell r="A203" t="str">
            <v>400-40-090</v>
          </cell>
          <cell r="B203" t="str">
            <v>RECHARGE FOR HOLDINGS</v>
          </cell>
          <cell r="C203">
            <v>0</v>
          </cell>
          <cell r="D203">
            <v>0</v>
          </cell>
          <cell r="E203">
            <v>0</v>
          </cell>
          <cell r="F203">
            <v>0</v>
          </cell>
        </row>
        <row r="204">
          <cell r="A204" t="str">
            <v>400-40-095</v>
          </cell>
          <cell r="B204" t="str">
            <v>RECHARGE TO SIM</v>
          </cell>
          <cell r="C204">
            <v>0</v>
          </cell>
          <cell r="D204">
            <v>0</v>
          </cell>
          <cell r="E204">
            <v>0</v>
          </cell>
          <cell r="F204">
            <v>0</v>
          </cell>
        </row>
        <row r="205">
          <cell r="A205" t="str">
            <v>400-40-100</v>
          </cell>
          <cell r="B205" t="str">
            <v>PROFESSIONAL FEES</v>
          </cell>
          <cell r="C205">
            <v>0</v>
          </cell>
          <cell r="D205">
            <v>0</v>
          </cell>
          <cell r="E205">
            <v>0</v>
          </cell>
          <cell r="F205">
            <v>0</v>
          </cell>
        </row>
        <row r="206">
          <cell r="A206" t="str">
            <v>400-40-110</v>
          </cell>
          <cell r="B206" t="str">
            <v>RECHARGE TO PA SECURITIES</v>
          </cell>
          <cell r="C206">
            <v>0</v>
          </cell>
          <cell r="D206">
            <v>0</v>
          </cell>
          <cell r="E206">
            <v>0</v>
          </cell>
          <cell r="F206">
            <v>0</v>
          </cell>
        </row>
        <row r="207">
          <cell r="A207" t="str">
            <v>400-40-115</v>
          </cell>
          <cell r="B207" t="str">
            <v>RECHARGE FROM LIFE OPS</v>
          </cell>
          <cell r="C207">
            <v>0</v>
          </cell>
          <cell r="D207">
            <v>0</v>
          </cell>
          <cell r="E207">
            <v>0</v>
          </cell>
          <cell r="F207">
            <v>0</v>
          </cell>
        </row>
        <row r="208">
          <cell r="A208" t="str">
            <v>400-40-120</v>
          </cell>
          <cell r="B208" t="str">
            <v>OUTSOURCING OF STAFF PAYROLL</v>
          </cell>
          <cell r="C208">
            <v>0</v>
          </cell>
          <cell r="D208">
            <v>0</v>
          </cell>
          <cell r="E208">
            <v>0</v>
          </cell>
          <cell r="F208">
            <v>0</v>
          </cell>
        </row>
        <row r="209">
          <cell r="A209" t="str">
            <v>400-40-125</v>
          </cell>
          <cell r="B209" t="str">
            <v>RECHARGE TO ALA</v>
          </cell>
          <cell r="C209">
            <v>0</v>
          </cell>
          <cell r="D209">
            <v>0</v>
          </cell>
          <cell r="E209">
            <v>0</v>
          </cell>
          <cell r="F209">
            <v>0</v>
          </cell>
        </row>
        <row r="210">
          <cell r="A210" t="str">
            <v>400-40-130</v>
          </cell>
          <cell r="B210" t="str">
            <v>PRODUCT DEVELOPMENT COST</v>
          </cell>
          <cell r="C210">
            <v>0</v>
          </cell>
          <cell r="D210">
            <v>0</v>
          </cell>
          <cell r="E210">
            <v>0</v>
          </cell>
          <cell r="F210">
            <v>0</v>
          </cell>
        </row>
        <row r="211">
          <cell r="A211" t="str">
            <v>400-40-135</v>
          </cell>
          <cell r="B211" t="str">
            <v>DIRECTORS FEES</v>
          </cell>
          <cell r="C211">
            <v>0</v>
          </cell>
          <cell r="D211">
            <v>0</v>
          </cell>
          <cell r="E211">
            <v>0</v>
          </cell>
          <cell r="F211">
            <v>0</v>
          </cell>
        </row>
        <row r="212">
          <cell r="A212" t="str">
            <v>400-40-140</v>
          </cell>
          <cell r="B212" t="str">
            <v>PRIOR YEAR ITEM</v>
          </cell>
          <cell r="C212">
            <v>0</v>
          </cell>
          <cell r="D212">
            <v>0</v>
          </cell>
          <cell r="E212">
            <v>0</v>
          </cell>
          <cell r="F212">
            <v>0</v>
          </cell>
        </row>
        <row r="213">
          <cell r="A213" t="str">
            <v>400-40-145</v>
          </cell>
          <cell r="B213" t="str">
            <v>REDUNDANCY LINK TO ISP</v>
          </cell>
          <cell r="C213">
            <v>0</v>
          </cell>
          <cell r="D213">
            <v>0</v>
          </cell>
          <cell r="E213">
            <v>0</v>
          </cell>
          <cell r="F213">
            <v>0</v>
          </cell>
        </row>
        <row r="214">
          <cell r="A214" t="str">
            <v>400-40-150</v>
          </cell>
          <cell r="B214" t="str">
            <v>BACKUP FOR DOC'MGT SERVER</v>
          </cell>
          <cell r="C214">
            <v>0</v>
          </cell>
          <cell r="D214">
            <v>0</v>
          </cell>
          <cell r="E214">
            <v>0</v>
          </cell>
          <cell r="F214">
            <v>0</v>
          </cell>
        </row>
        <row r="215">
          <cell r="A215" t="str">
            <v>400-40-155</v>
          </cell>
          <cell r="B215" t="str">
            <v>SAVINGS (IST STAFF)</v>
          </cell>
          <cell r="C215">
            <v>0</v>
          </cell>
          <cell r="D215">
            <v>0</v>
          </cell>
          <cell r="E215">
            <v>0</v>
          </cell>
          <cell r="F215">
            <v>0</v>
          </cell>
        </row>
        <row r="216">
          <cell r="A216" t="str">
            <v>400-40-165</v>
          </cell>
          <cell r="B216" t="str">
            <v>GROUP LIFE FEE PER CONTRACT</v>
          </cell>
          <cell r="C216">
            <v>0</v>
          </cell>
          <cell r="D216">
            <v>0</v>
          </cell>
          <cell r="E216">
            <v>0</v>
          </cell>
          <cell r="F216">
            <v>0</v>
          </cell>
        </row>
        <row r="217">
          <cell r="A217" t="str">
            <v>400-40-170</v>
          </cell>
          <cell r="B217" t="str">
            <v>GROUP CREDIT LIFE FEE PER CONTRACT</v>
          </cell>
          <cell r="C217">
            <v>0</v>
          </cell>
          <cell r="D217">
            <v>0</v>
          </cell>
          <cell r="E217">
            <v>0</v>
          </cell>
          <cell r="F217">
            <v>0</v>
          </cell>
        </row>
        <row r="218">
          <cell r="A218" t="str">
            <v>400-40-175</v>
          </cell>
          <cell r="B218" t="str">
            <v>ORACLE LICENCE</v>
          </cell>
          <cell r="C218">
            <v>0</v>
          </cell>
          <cell r="D218">
            <v>0</v>
          </cell>
          <cell r="E218">
            <v>0</v>
          </cell>
          <cell r="F218">
            <v>0</v>
          </cell>
        </row>
        <row r="219">
          <cell r="A219" t="str">
            <v>400-40-180</v>
          </cell>
          <cell r="B219" t="str">
            <v>IST PROJECT COSTS</v>
          </cell>
          <cell r="C219">
            <v>0</v>
          </cell>
          <cell r="D219">
            <v>0</v>
          </cell>
          <cell r="E219">
            <v>0</v>
          </cell>
          <cell r="F219">
            <v>0</v>
          </cell>
        </row>
        <row r="220">
          <cell r="A220" t="str">
            <v>400-40-195</v>
          </cell>
          <cell r="B220" t="str">
            <v>POLICY DOCUMENT PRINTING</v>
          </cell>
          <cell r="C220">
            <v>0</v>
          </cell>
          <cell r="D220">
            <v>0</v>
          </cell>
          <cell r="E220">
            <v>0</v>
          </cell>
          <cell r="F220">
            <v>0</v>
          </cell>
        </row>
        <row r="221">
          <cell r="A221" t="str">
            <v>400-43-010</v>
          </cell>
          <cell r="B221" t="str">
            <v>PRIOR ITEMS</v>
          </cell>
          <cell r="C221">
            <v>0</v>
          </cell>
          <cell r="D221">
            <v>0</v>
          </cell>
          <cell r="E221">
            <v>0</v>
          </cell>
          <cell r="F221">
            <v>0</v>
          </cell>
        </row>
        <row r="222">
          <cell r="A222" t="str">
            <v>400-45-010</v>
          </cell>
          <cell r="B222" t="str">
            <v>STAMP DUTY EXPENSES</v>
          </cell>
          <cell r="C222">
            <v>0</v>
          </cell>
          <cell r="D222">
            <v>0</v>
          </cell>
          <cell r="E222">
            <v>0</v>
          </cell>
          <cell r="F222">
            <v>0</v>
          </cell>
        </row>
        <row r="223">
          <cell r="A223" t="str">
            <v>400-45-020</v>
          </cell>
          <cell r="B223" t="str">
            <v>PREMIUM TAX EXPENSE</v>
          </cell>
          <cell r="C223">
            <v>0</v>
          </cell>
          <cell r="D223">
            <v>0</v>
          </cell>
          <cell r="E223">
            <v>0</v>
          </cell>
          <cell r="F223">
            <v>0</v>
          </cell>
        </row>
        <row r="224">
          <cell r="A224" t="str">
            <v>400-45-025</v>
          </cell>
          <cell r="B224" t="str">
            <v>POLICY HOLDER COLLECTION LEVY</v>
          </cell>
          <cell r="C224">
            <v>0</v>
          </cell>
          <cell r="D224">
            <v>0</v>
          </cell>
          <cell r="E224">
            <v>0</v>
          </cell>
          <cell r="F224">
            <v>0</v>
          </cell>
        </row>
        <row r="225">
          <cell r="A225" t="str">
            <v>500-10-010</v>
          </cell>
          <cell r="B225" t="str">
            <v>NEW COMMISSION</v>
          </cell>
          <cell r="C225">
            <v>0</v>
          </cell>
          <cell r="D225">
            <v>0</v>
          </cell>
          <cell r="E225">
            <v>0</v>
          </cell>
          <cell r="F225">
            <v>0</v>
          </cell>
        </row>
        <row r="226">
          <cell r="A226" t="str">
            <v>500-20-010</v>
          </cell>
          <cell r="B226" t="str">
            <v>RENEWAL COMMISSION</v>
          </cell>
          <cell r="C226">
            <v>0</v>
          </cell>
          <cell r="D226">
            <v>0</v>
          </cell>
          <cell r="E226">
            <v>0</v>
          </cell>
          <cell r="F226">
            <v>0</v>
          </cell>
        </row>
        <row r="227">
          <cell r="A227" t="str">
            <v>500-25-010</v>
          </cell>
          <cell r="B227" t="str">
            <v>AGENCY OVERRIDES</v>
          </cell>
          <cell r="C227">
            <v>0</v>
          </cell>
          <cell r="D227">
            <v>0</v>
          </cell>
          <cell r="E227">
            <v>0</v>
          </cell>
          <cell r="F227">
            <v>0</v>
          </cell>
        </row>
        <row r="228">
          <cell r="A228" t="str">
            <v>500-25-015</v>
          </cell>
          <cell r="B228" t="str">
            <v>UNIT OVERRIDES</v>
          </cell>
          <cell r="C228">
            <v>0</v>
          </cell>
          <cell r="D228">
            <v>0</v>
          </cell>
          <cell r="E228">
            <v>0</v>
          </cell>
          <cell r="F228">
            <v>0</v>
          </cell>
        </row>
        <row r="229">
          <cell r="A229" t="str">
            <v>500-25-020</v>
          </cell>
          <cell r="B229" t="str">
            <v>RETAINER</v>
          </cell>
          <cell r="C229">
            <v>0</v>
          </cell>
          <cell r="D229">
            <v>0</v>
          </cell>
          <cell r="E229">
            <v>0</v>
          </cell>
          <cell r="F229">
            <v>0</v>
          </cell>
        </row>
        <row r="230">
          <cell r="A230" t="str">
            <v>500-25-025</v>
          </cell>
          <cell r="B230" t="str">
            <v>GUARANTEE</v>
          </cell>
          <cell r="C230">
            <v>0</v>
          </cell>
          <cell r="D230">
            <v>0</v>
          </cell>
          <cell r="E230">
            <v>0</v>
          </cell>
          <cell r="F230">
            <v>0</v>
          </cell>
        </row>
        <row r="231">
          <cell r="A231" t="str">
            <v>500-30-030</v>
          </cell>
          <cell r="B231" t="str">
            <v>SALES PROMOTION &amp; COMPETITIONS</v>
          </cell>
          <cell r="C231">
            <v>0</v>
          </cell>
          <cell r="D231">
            <v>0</v>
          </cell>
          <cell r="E231">
            <v>0</v>
          </cell>
          <cell r="F231">
            <v>0</v>
          </cell>
        </row>
        <row r="232">
          <cell r="A232" t="str">
            <v>500-30-035</v>
          </cell>
          <cell r="B232" t="str">
            <v>SALES PROMOTION - INTERNATIONAL TRAVEL</v>
          </cell>
          <cell r="C232">
            <v>0</v>
          </cell>
          <cell r="D232">
            <v>0</v>
          </cell>
          <cell r="E232">
            <v>0</v>
          </cell>
          <cell r="F232">
            <v>0</v>
          </cell>
        </row>
        <row r="233">
          <cell r="A233" t="str">
            <v>500-30-040</v>
          </cell>
          <cell r="B233" t="str">
            <v>PREMIUM COLLECTION CHARGES</v>
          </cell>
          <cell r="C233">
            <v>0</v>
          </cell>
          <cell r="D233">
            <v>0</v>
          </cell>
          <cell r="E233">
            <v>0</v>
          </cell>
          <cell r="F233">
            <v>0</v>
          </cell>
        </row>
        <row r="234">
          <cell r="A234" t="str">
            <v>500-30-045</v>
          </cell>
          <cell r="B234" t="str">
            <v>SALES PROMOTION - AAYA</v>
          </cell>
          <cell r="C234">
            <v>0</v>
          </cell>
          <cell r="D234">
            <v>0</v>
          </cell>
          <cell r="E234">
            <v>0</v>
          </cell>
          <cell r="F234">
            <v>0</v>
          </cell>
        </row>
        <row r="235">
          <cell r="A235" t="str">
            <v>500-30-055</v>
          </cell>
          <cell r="B235" t="str">
            <v>AGENCY SUBSIDY</v>
          </cell>
          <cell r="C235">
            <v>0</v>
          </cell>
          <cell r="D235">
            <v>0</v>
          </cell>
          <cell r="E235">
            <v>0</v>
          </cell>
          <cell r="F235">
            <v>0</v>
          </cell>
        </row>
        <row r="236">
          <cell r="A236" t="str">
            <v>500-30-060</v>
          </cell>
          <cell r="B236" t="str">
            <v>STAFF BONUS</v>
          </cell>
          <cell r="C236">
            <v>0</v>
          </cell>
          <cell r="D236">
            <v>0</v>
          </cell>
          <cell r="E236">
            <v>0</v>
          </cell>
          <cell r="F236">
            <v>0</v>
          </cell>
        </row>
        <row r="237">
          <cell r="A237" t="str">
            <v>500-30-065</v>
          </cell>
          <cell r="B237" t="str">
            <v>LONG TERM INCENTIVE PLAN</v>
          </cell>
          <cell r="C237">
            <v>0</v>
          </cell>
          <cell r="D237">
            <v>0</v>
          </cell>
          <cell r="E237">
            <v>0</v>
          </cell>
          <cell r="F237">
            <v>0</v>
          </cell>
        </row>
        <row r="238">
          <cell r="A238" t="str">
            <v>500-35-010</v>
          </cell>
          <cell r="B238" t="str">
            <v>GROUP COMMISSION</v>
          </cell>
          <cell r="C238">
            <v>0</v>
          </cell>
          <cell r="D238">
            <v>0</v>
          </cell>
          <cell r="E238">
            <v>0</v>
          </cell>
          <cell r="F238">
            <v>0</v>
          </cell>
        </row>
        <row r="239">
          <cell r="A239" t="str">
            <v>500-35-020</v>
          </cell>
          <cell r="B239" t="str">
            <v>PREMIUM ADMINISTRATION FEE - GROUP</v>
          </cell>
          <cell r="C239">
            <v>0</v>
          </cell>
          <cell r="D239">
            <v>0</v>
          </cell>
          <cell r="E239">
            <v>0</v>
          </cell>
          <cell r="F239">
            <v>0</v>
          </cell>
        </row>
        <row r="240">
          <cell r="A240" t="str">
            <v>500-35-030</v>
          </cell>
          <cell r="B240" t="str">
            <v>MEDICAL COSTS - GROUP</v>
          </cell>
          <cell r="C240">
            <v>0</v>
          </cell>
          <cell r="D240">
            <v>0</v>
          </cell>
          <cell r="E240">
            <v>0</v>
          </cell>
          <cell r="F240">
            <v>0</v>
          </cell>
        </row>
        <row r="241">
          <cell r="A241" t="str">
            <v>500-35-040</v>
          </cell>
          <cell r="B241" t="str">
            <v>PROFIT SHARE</v>
          </cell>
          <cell r="C241">
            <v>0</v>
          </cell>
          <cell r="D241">
            <v>0</v>
          </cell>
          <cell r="E241">
            <v>0</v>
          </cell>
          <cell r="F241">
            <v>0</v>
          </cell>
        </row>
        <row r="242">
          <cell r="A242" t="str">
            <v>500-40-010</v>
          </cell>
          <cell r="B242" t="str">
            <v>AGENCY PENSION</v>
          </cell>
          <cell r="C242">
            <v>0</v>
          </cell>
          <cell r="D242">
            <v>0</v>
          </cell>
          <cell r="E242">
            <v>0</v>
          </cell>
          <cell r="F242">
            <v>0</v>
          </cell>
        </row>
        <row r="243">
          <cell r="A243" t="str">
            <v>500-40-020</v>
          </cell>
          <cell r="B243" t="str">
            <v>AGENCY GLA</v>
          </cell>
          <cell r="C243">
            <v>0</v>
          </cell>
          <cell r="D243">
            <v>0</v>
          </cell>
          <cell r="E243">
            <v>0</v>
          </cell>
          <cell r="F243">
            <v>0</v>
          </cell>
        </row>
        <row r="244">
          <cell r="A244" t="str">
            <v>500-40-030</v>
          </cell>
          <cell r="B244" t="str">
            <v>AGENCY LAST EXPENSE</v>
          </cell>
          <cell r="C244">
            <v>0</v>
          </cell>
          <cell r="D244">
            <v>0</v>
          </cell>
          <cell r="E244">
            <v>0</v>
          </cell>
          <cell r="F244">
            <v>0</v>
          </cell>
        </row>
        <row r="245">
          <cell r="A245" t="str">
            <v>500-40-040</v>
          </cell>
          <cell r="B245" t="str">
            <v>AGENCY MEDICAL</v>
          </cell>
          <cell r="C245">
            <v>0</v>
          </cell>
          <cell r="D245">
            <v>0</v>
          </cell>
          <cell r="E245">
            <v>0</v>
          </cell>
          <cell r="F245">
            <v>0</v>
          </cell>
        </row>
        <row r="246">
          <cell r="A246" t="str">
            <v>500-45-010</v>
          </cell>
          <cell r="B246" t="str">
            <v>MEDICAL EXPENSES</v>
          </cell>
          <cell r="C246">
            <v>0</v>
          </cell>
          <cell r="D246">
            <v>0</v>
          </cell>
          <cell r="E246">
            <v>0</v>
          </cell>
          <cell r="F246">
            <v>0</v>
          </cell>
        </row>
        <row r="247">
          <cell r="A247" t="str">
            <v>600-10-021</v>
          </cell>
          <cell r="B247" t="str">
            <v>MATURITY CLAIMS</v>
          </cell>
          <cell r="C247">
            <v>0</v>
          </cell>
          <cell r="D247">
            <v>0</v>
          </cell>
          <cell r="E247">
            <v>0</v>
          </cell>
          <cell r="F247">
            <v>0</v>
          </cell>
        </row>
        <row r="248">
          <cell r="A248" t="str">
            <v>600-10-022</v>
          </cell>
          <cell r="B248" t="str">
            <v>MATURITY CLAIMS ENDOWMENT</v>
          </cell>
          <cell r="C248">
            <v>0</v>
          </cell>
          <cell r="D248">
            <v>0</v>
          </cell>
          <cell r="E248">
            <v>0</v>
          </cell>
          <cell r="F248">
            <v>0</v>
          </cell>
        </row>
        <row r="249">
          <cell r="A249" t="str">
            <v>600-10-023</v>
          </cell>
          <cell r="B249" t="str">
            <v>MATURITY CLAIMS EXPENSE</v>
          </cell>
          <cell r="C249">
            <v>0</v>
          </cell>
          <cell r="D249">
            <v>0</v>
          </cell>
          <cell r="E249">
            <v>0</v>
          </cell>
          <cell r="F249">
            <v>0</v>
          </cell>
        </row>
        <row r="250">
          <cell r="A250" t="str">
            <v>600-10-024</v>
          </cell>
          <cell r="B250" t="str">
            <v>DEATH CLAIMS -ORDINARY</v>
          </cell>
          <cell r="C250">
            <v>0</v>
          </cell>
          <cell r="D250">
            <v>0</v>
          </cell>
          <cell r="E250">
            <v>0</v>
          </cell>
          <cell r="F250">
            <v>0</v>
          </cell>
        </row>
        <row r="251">
          <cell r="A251" t="str">
            <v>600-10-025</v>
          </cell>
          <cell r="B251" t="str">
            <v>PERSONAL ACCIDENTS</v>
          </cell>
          <cell r="C251">
            <v>0</v>
          </cell>
          <cell r="D251">
            <v>0</v>
          </cell>
          <cell r="E251">
            <v>0</v>
          </cell>
          <cell r="F251">
            <v>0</v>
          </cell>
        </row>
        <row r="252">
          <cell r="A252" t="str">
            <v>600-10-026</v>
          </cell>
          <cell r="B252" t="str">
            <v>ANNUITY CLAIMS</v>
          </cell>
          <cell r="C252">
            <v>0</v>
          </cell>
          <cell r="D252">
            <v>0</v>
          </cell>
          <cell r="E252">
            <v>0</v>
          </cell>
          <cell r="F252">
            <v>0</v>
          </cell>
        </row>
        <row r="253">
          <cell r="A253" t="str">
            <v>600-10-027</v>
          </cell>
          <cell r="B253" t="str">
            <v>CASH SURRENDER VALUE</v>
          </cell>
          <cell r="C253">
            <v>0</v>
          </cell>
          <cell r="D253">
            <v>0</v>
          </cell>
          <cell r="E253">
            <v>0</v>
          </cell>
          <cell r="F253">
            <v>0</v>
          </cell>
        </row>
        <row r="254">
          <cell r="A254" t="str">
            <v>600-10-028</v>
          </cell>
          <cell r="B254" t="str">
            <v>FFF DEATH CLAIMS</v>
          </cell>
          <cell r="C254">
            <v>0</v>
          </cell>
          <cell r="D254">
            <v>0</v>
          </cell>
          <cell r="E254">
            <v>0</v>
          </cell>
          <cell r="F254">
            <v>0</v>
          </cell>
        </row>
        <row r="255">
          <cell r="A255" t="str">
            <v>600-10-029</v>
          </cell>
          <cell r="B255" t="str">
            <v>CASH SURRENDER VALUE -WP</v>
          </cell>
          <cell r="C255">
            <v>0</v>
          </cell>
          <cell r="D255">
            <v>0</v>
          </cell>
          <cell r="E255">
            <v>0</v>
          </cell>
          <cell r="F255">
            <v>0</v>
          </cell>
        </row>
        <row r="256">
          <cell r="A256" t="str">
            <v>600-10-030</v>
          </cell>
          <cell r="B256" t="str">
            <v>CASH SURRENDER VALUE-FFP</v>
          </cell>
          <cell r="C256">
            <v>0</v>
          </cell>
          <cell r="D256">
            <v>0</v>
          </cell>
          <cell r="E256">
            <v>0</v>
          </cell>
          <cell r="F256">
            <v>0</v>
          </cell>
        </row>
        <row r="257">
          <cell r="A257" t="str">
            <v>600-10-031</v>
          </cell>
          <cell r="B257" t="str">
            <v>PREMIUM REFUNDS</v>
          </cell>
          <cell r="C257">
            <v>0</v>
          </cell>
          <cell r="D257">
            <v>0</v>
          </cell>
          <cell r="E257">
            <v>0</v>
          </cell>
          <cell r="F257">
            <v>0</v>
          </cell>
        </row>
        <row r="258">
          <cell r="A258" t="str">
            <v>600-10-032</v>
          </cell>
          <cell r="B258" t="str">
            <v>WAIVER OF PREMIUMS EXPENSE</v>
          </cell>
          <cell r="C258">
            <v>0</v>
          </cell>
          <cell r="D258">
            <v>0</v>
          </cell>
          <cell r="E258">
            <v>0</v>
          </cell>
          <cell r="F258">
            <v>0</v>
          </cell>
        </row>
        <row r="259">
          <cell r="A259" t="str">
            <v>600-10-033</v>
          </cell>
          <cell r="B259" t="str">
            <v>CASH BONUS BENEFIT-FFFP</v>
          </cell>
          <cell r="C259">
            <v>0</v>
          </cell>
          <cell r="D259">
            <v>0</v>
          </cell>
          <cell r="E259">
            <v>0</v>
          </cell>
          <cell r="F259">
            <v>0</v>
          </cell>
        </row>
        <row r="260">
          <cell r="A260" t="str">
            <v>600-10-034</v>
          </cell>
          <cell r="B260" t="str">
            <v>PENALTIES RECOVERIES-FFFP</v>
          </cell>
          <cell r="C260">
            <v>0</v>
          </cell>
          <cell r="D260">
            <v>0</v>
          </cell>
          <cell r="E260">
            <v>0</v>
          </cell>
          <cell r="F260">
            <v>0</v>
          </cell>
        </row>
        <row r="261">
          <cell r="A261" t="str">
            <v>600-10-035</v>
          </cell>
          <cell r="B261" t="str">
            <v>UNITS ENCASHMENT-WP</v>
          </cell>
          <cell r="C261">
            <v>0</v>
          </cell>
          <cell r="D261">
            <v>0</v>
          </cell>
          <cell r="E261">
            <v>0</v>
          </cell>
          <cell r="F261">
            <v>0</v>
          </cell>
        </row>
        <row r="262">
          <cell r="A262" t="str">
            <v>600-10-036</v>
          </cell>
          <cell r="B262" t="str">
            <v>PENALTIES UNITS ENCASHMENT</v>
          </cell>
          <cell r="C262">
            <v>0</v>
          </cell>
          <cell r="D262">
            <v>0</v>
          </cell>
          <cell r="E262">
            <v>0</v>
          </cell>
          <cell r="F262">
            <v>0</v>
          </cell>
        </row>
        <row r="263">
          <cell r="A263" t="str">
            <v>600-10-037</v>
          </cell>
          <cell r="B263" t="str">
            <v>WP CLAIMS</v>
          </cell>
          <cell r="C263">
            <v>0</v>
          </cell>
          <cell r="D263">
            <v>0</v>
          </cell>
          <cell r="E263">
            <v>0</v>
          </cell>
          <cell r="F263">
            <v>0</v>
          </cell>
        </row>
        <row r="264">
          <cell r="A264" t="str">
            <v>600-10-038</v>
          </cell>
          <cell r="B264" t="str">
            <v>PENALTIES ON CASH-BONUS  FFFP</v>
          </cell>
          <cell r="C264">
            <v>0</v>
          </cell>
          <cell r="D264">
            <v>0</v>
          </cell>
          <cell r="E264">
            <v>0</v>
          </cell>
          <cell r="F264">
            <v>0</v>
          </cell>
        </row>
        <row r="265">
          <cell r="A265" t="str">
            <v>600-10-039</v>
          </cell>
          <cell r="B265" t="str">
            <v>CLAIMS EXPENSE</v>
          </cell>
          <cell r="C265">
            <v>0</v>
          </cell>
          <cell r="D265">
            <v>0</v>
          </cell>
          <cell r="E265">
            <v>0</v>
          </cell>
          <cell r="F265">
            <v>0</v>
          </cell>
        </row>
        <row r="266">
          <cell r="A266" t="str">
            <v>600-10-040</v>
          </cell>
          <cell r="B266" t="str">
            <v>ADVERTISING (UNIT PRICE)</v>
          </cell>
          <cell r="C266">
            <v>0</v>
          </cell>
          <cell r="D266">
            <v>0</v>
          </cell>
          <cell r="E266">
            <v>0</v>
          </cell>
          <cell r="F266">
            <v>0</v>
          </cell>
        </row>
        <row r="267">
          <cell r="A267" t="str">
            <v>600-10-041</v>
          </cell>
          <cell r="B267" t="str">
            <v>MATURITY CLAIMS-UNIT LINKED</v>
          </cell>
          <cell r="C267">
            <v>0</v>
          </cell>
          <cell r="D267">
            <v>0</v>
          </cell>
          <cell r="E267">
            <v>0</v>
          </cell>
          <cell r="F267">
            <v>0</v>
          </cell>
        </row>
        <row r="268">
          <cell r="A268" t="str">
            <v>600-15-010</v>
          </cell>
          <cell r="B268" t="str">
            <v>LAST EXPENSE CLAIM</v>
          </cell>
          <cell r="C268">
            <v>0</v>
          </cell>
          <cell r="D268">
            <v>0</v>
          </cell>
          <cell r="E268">
            <v>0</v>
          </cell>
          <cell r="F268">
            <v>0</v>
          </cell>
        </row>
        <row r="269">
          <cell r="A269" t="str">
            <v>600-15-020</v>
          </cell>
          <cell r="B269" t="str">
            <v>PENSION SCHEME CLAIM</v>
          </cell>
          <cell r="C269">
            <v>16579538</v>
          </cell>
          <cell r="D269">
            <v>880335</v>
          </cell>
          <cell r="E269">
            <v>17459873</v>
          </cell>
          <cell r="F269">
            <v>17459873</v>
          </cell>
        </row>
        <row r="270">
          <cell r="A270" t="str">
            <v>600-15-030</v>
          </cell>
          <cell r="B270" t="str">
            <v>DEATH CLAIMS GROUP</v>
          </cell>
          <cell r="C270">
            <v>0</v>
          </cell>
          <cell r="D270">
            <v>0</v>
          </cell>
          <cell r="E270">
            <v>0</v>
          </cell>
          <cell r="F270">
            <v>0</v>
          </cell>
        </row>
        <row r="271">
          <cell r="A271" t="str">
            <v>600-15-040</v>
          </cell>
          <cell r="B271" t="str">
            <v>GROUP MATURITY CLAIMS</v>
          </cell>
          <cell r="C271">
            <v>0</v>
          </cell>
          <cell r="D271">
            <v>0</v>
          </cell>
          <cell r="E271">
            <v>0</v>
          </cell>
          <cell r="F271">
            <v>0</v>
          </cell>
        </row>
        <row r="272">
          <cell r="A272" t="str">
            <v>600-15-045</v>
          </cell>
          <cell r="B272" t="str">
            <v>GROUP SURRENDERS</v>
          </cell>
          <cell r="C272">
            <v>0</v>
          </cell>
          <cell r="D272">
            <v>0</v>
          </cell>
          <cell r="E272">
            <v>0</v>
          </cell>
          <cell r="F272">
            <v>0</v>
          </cell>
        </row>
        <row r="273">
          <cell r="A273" t="str">
            <v>600-15-050</v>
          </cell>
          <cell r="B273" t="str">
            <v>GROUP ANTICIPATED CLAIMS</v>
          </cell>
          <cell r="C273">
            <v>0</v>
          </cell>
          <cell r="D273">
            <v>0</v>
          </cell>
          <cell r="E273">
            <v>0</v>
          </cell>
          <cell r="F273">
            <v>0</v>
          </cell>
        </row>
        <row r="274">
          <cell r="A274" t="str">
            <v>600-15-055</v>
          </cell>
          <cell r="B274" t="str">
            <v>HARAMBEE CLAIMS</v>
          </cell>
          <cell r="C274">
            <v>0</v>
          </cell>
          <cell r="D274">
            <v>0</v>
          </cell>
          <cell r="E274">
            <v>0</v>
          </cell>
          <cell r="F274">
            <v>0</v>
          </cell>
        </row>
        <row r="275">
          <cell r="A275" t="str">
            <v>600-15-060</v>
          </cell>
          <cell r="B275" t="str">
            <v>GROUP CREDIT SCHEMES CLAIMS</v>
          </cell>
          <cell r="C275">
            <v>0</v>
          </cell>
          <cell r="D275">
            <v>0</v>
          </cell>
          <cell r="E275">
            <v>0</v>
          </cell>
          <cell r="F275">
            <v>0</v>
          </cell>
        </row>
        <row r="276">
          <cell r="A276" t="str">
            <v>600-15-065</v>
          </cell>
          <cell r="B276" t="str">
            <v>GROUP DISABILITY CLAIMS</v>
          </cell>
          <cell r="C276">
            <v>0</v>
          </cell>
          <cell r="D276">
            <v>0</v>
          </cell>
          <cell r="E276">
            <v>0</v>
          </cell>
          <cell r="F276">
            <v>0</v>
          </cell>
        </row>
        <row r="277">
          <cell r="A277" t="str">
            <v>600-15-070</v>
          </cell>
          <cell r="B277" t="str">
            <v>GROUP RETIEMENT ANNUITIES</v>
          </cell>
          <cell r="C277">
            <v>0</v>
          </cell>
          <cell r="D277">
            <v>0</v>
          </cell>
          <cell r="E277">
            <v>0</v>
          </cell>
          <cell r="F277">
            <v>0</v>
          </cell>
        </row>
        <row r="278">
          <cell r="A278" t="str">
            <v>600-15-075</v>
          </cell>
          <cell r="B278" t="str">
            <v>AUDIT FEES</v>
          </cell>
          <cell r="C278">
            <v>81600</v>
          </cell>
          <cell r="D278">
            <v>0</v>
          </cell>
          <cell r="E278">
            <v>81600</v>
          </cell>
          <cell r="F278">
            <v>81600</v>
          </cell>
        </row>
        <row r="279">
          <cell r="A279" t="str">
            <v>600-15-080</v>
          </cell>
          <cell r="B279" t="str">
            <v>MANAGEMENT FEES</v>
          </cell>
          <cell r="C279">
            <v>0</v>
          </cell>
          <cell r="D279">
            <v>0</v>
          </cell>
          <cell r="E279">
            <v>0</v>
          </cell>
          <cell r="F279">
            <v>0</v>
          </cell>
        </row>
        <row r="280">
          <cell r="A280" t="str">
            <v>600-15-085</v>
          </cell>
          <cell r="B280" t="str">
            <v>RBA LEVIES</v>
          </cell>
          <cell r="C280">
            <v>550464</v>
          </cell>
          <cell r="D280">
            <v>0</v>
          </cell>
          <cell r="E280">
            <v>550464</v>
          </cell>
          <cell r="F280">
            <v>550464</v>
          </cell>
        </row>
        <row r="281">
          <cell r="A281" t="str">
            <v>600-15-090</v>
          </cell>
          <cell r="B281" t="str">
            <v>ACTUARIAL FEES</v>
          </cell>
          <cell r="C281">
            <v>0</v>
          </cell>
          <cell r="D281">
            <v>0</v>
          </cell>
          <cell r="E281">
            <v>0</v>
          </cell>
          <cell r="F281">
            <v>0</v>
          </cell>
        </row>
        <row r="282">
          <cell r="A282" t="str">
            <v>600-15-095</v>
          </cell>
          <cell r="B282" t="str">
            <v>GROUP MORTGAGE CLAIMS</v>
          </cell>
          <cell r="C282">
            <v>0</v>
          </cell>
          <cell r="D282">
            <v>0</v>
          </cell>
          <cell r="E282">
            <v>0</v>
          </cell>
          <cell r="F282">
            <v>0</v>
          </cell>
        </row>
        <row r="283">
          <cell r="A283" t="str">
            <v>600-15-100</v>
          </cell>
          <cell r="B283" t="str">
            <v>PREMIUM REFUND</v>
          </cell>
          <cell r="C283">
            <v>0</v>
          </cell>
          <cell r="D283">
            <v>0</v>
          </cell>
          <cell r="E283">
            <v>0</v>
          </cell>
          <cell r="F283">
            <v>0</v>
          </cell>
        </row>
        <row r="284">
          <cell r="A284" t="str">
            <v>700-05-010</v>
          </cell>
          <cell r="B284" t="str">
            <v>AMBALAL HOUSE</v>
          </cell>
          <cell r="C284">
            <v>0</v>
          </cell>
          <cell r="D284">
            <v>0</v>
          </cell>
          <cell r="E284">
            <v>0</v>
          </cell>
          <cell r="F284">
            <v>0</v>
          </cell>
        </row>
        <row r="285">
          <cell r="A285" t="str">
            <v>700-05-015</v>
          </cell>
          <cell r="B285" t="str">
            <v>RUNDA PLOT</v>
          </cell>
          <cell r="C285">
            <v>0</v>
          </cell>
          <cell r="D285">
            <v>0</v>
          </cell>
          <cell r="E285">
            <v>0</v>
          </cell>
          <cell r="F285">
            <v>0</v>
          </cell>
        </row>
        <row r="286">
          <cell r="A286" t="str">
            <v>700-05-020</v>
          </cell>
          <cell r="B286" t="str">
            <v>PAN AFRICA HOUSE NBI</v>
          </cell>
          <cell r="C286">
            <v>0</v>
          </cell>
          <cell r="D286">
            <v>0</v>
          </cell>
          <cell r="E286">
            <v>0</v>
          </cell>
          <cell r="F286">
            <v>0</v>
          </cell>
        </row>
        <row r="287">
          <cell r="A287" t="str">
            <v>700-05-025</v>
          </cell>
          <cell r="B287" t="str">
            <v>RESIDENTIAL HSE -RETREAT VILLAS</v>
          </cell>
          <cell r="C287">
            <v>0</v>
          </cell>
          <cell r="D287">
            <v>0</v>
          </cell>
          <cell r="E287">
            <v>0</v>
          </cell>
          <cell r="F287">
            <v>0</v>
          </cell>
        </row>
        <row r="288">
          <cell r="A288" t="str">
            <v>700-05-030</v>
          </cell>
          <cell r="B288" t="str">
            <v>PAN AFRICA INS. ARCADE PETROL STATION</v>
          </cell>
          <cell r="C288">
            <v>0</v>
          </cell>
          <cell r="D288">
            <v>0</v>
          </cell>
          <cell r="E288">
            <v>0</v>
          </cell>
          <cell r="F288">
            <v>0</v>
          </cell>
        </row>
        <row r="289">
          <cell r="A289" t="str">
            <v>700-10-010</v>
          </cell>
          <cell r="B289" t="str">
            <v>MOTOR VEHICLES</v>
          </cell>
          <cell r="C289">
            <v>0</v>
          </cell>
          <cell r="D289">
            <v>0</v>
          </cell>
          <cell r="E289">
            <v>0</v>
          </cell>
          <cell r="F289">
            <v>0</v>
          </cell>
        </row>
        <row r="290">
          <cell r="A290" t="str">
            <v>700-10-020</v>
          </cell>
          <cell r="B290" t="str">
            <v>COMPUTER EQUIPMENT</v>
          </cell>
          <cell r="C290">
            <v>0</v>
          </cell>
          <cell r="D290">
            <v>0</v>
          </cell>
          <cell r="E290">
            <v>0</v>
          </cell>
          <cell r="F290">
            <v>0</v>
          </cell>
        </row>
        <row r="291">
          <cell r="A291" t="str">
            <v>700-10-030</v>
          </cell>
          <cell r="B291" t="str">
            <v>FIXTURES &amp; FITTINGS</v>
          </cell>
          <cell r="C291">
            <v>0</v>
          </cell>
          <cell r="D291">
            <v>0</v>
          </cell>
          <cell r="E291">
            <v>0</v>
          </cell>
          <cell r="F291">
            <v>0</v>
          </cell>
        </row>
        <row r="292">
          <cell r="A292" t="str">
            <v>700-10-035</v>
          </cell>
          <cell r="B292" t="str">
            <v>INTANGIBLE ASSETS-SOFTWARE</v>
          </cell>
          <cell r="C292">
            <v>0</v>
          </cell>
          <cell r="D292">
            <v>0</v>
          </cell>
          <cell r="E292">
            <v>0</v>
          </cell>
          <cell r="F292">
            <v>0</v>
          </cell>
        </row>
        <row r="293">
          <cell r="A293" t="str">
            <v>700-10-040</v>
          </cell>
          <cell r="B293" t="str">
            <v>PROJECT MARA</v>
          </cell>
          <cell r="C293">
            <v>0</v>
          </cell>
          <cell r="D293">
            <v>0</v>
          </cell>
          <cell r="E293">
            <v>0</v>
          </cell>
          <cell r="F293">
            <v>0</v>
          </cell>
        </row>
        <row r="294">
          <cell r="A294" t="str">
            <v>700-20-010</v>
          </cell>
          <cell r="B294" t="str">
            <v>PAN AFRICA HSE NBI</v>
          </cell>
          <cell r="C294">
            <v>0</v>
          </cell>
          <cell r="D294">
            <v>0</v>
          </cell>
          <cell r="E294">
            <v>0</v>
          </cell>
          <cell r="F294">
            <v>0</v>
          </cell>
        </row>
        <row r="295">
          <cell r="A295" t="str">
            <v>700-20-020</v>
          </cell>
          <cell r="B295" t="str">
            <v>RESIDENTIAL HSE-LORESHO</v>
          </cell>
          <cell r="C295">
            <v>0</v>
          </cell>
          <cell r="D295">
            <v>0</v>
          </cell>
          <cell r="E295">
            <v>0</v>
          </cell>
          <cell r="F295">
            <v>0</v>
          </cell>
        </row>
        <row r="296">
          <cell r="A296" t="str">
            <v>700-20-025</v>
          </cell>
          <cell r="B296" t="str">
            <v>REVALUATION SURPLUS</v>
          </cell>
          <cell r="C296">
            <v>0</v>
          </cell>
          <cell r="D296">
            <v>0</v>
          </cell>
          <cell r="E296">
            <v>0</v>
          </cell>
          <cell r="F296">
            <v>0</v>
          </cell>
        </row>
        <row r="297">
          <cell r="A297" t="str">
            <v>700-20-030</v>
          </cell>
          <cell r="B297" t="str">
            <v>RESIDENTIAL HSE-RETREAT</v>
          </cell>
          <cell r="C297">
            <v>0</v>
          </cell>
          <cell r="D297">
            <v>0</v>
          </cell>
          <cell r="E297">
            <v>0</v>
          </cell>
          <cell r="F297">
            <v>0</v>
          </cell>
        </row>
        <row r="298">
          <cell r="A298" t="str">
            <v>700-25-010</v>
          </cell>
          <cell r="B298" t="str">
            <v>LORESHO RESIDENTIAL</v>
          </cell>
          <cell r="C298">
            <v>0</v>
          </cell>
          <cell r="D298">
            <v>0</v>
          </cell>
          <cell r="E298">
            <v>0</v>
          </cell>
          <cell r="F298">
            <v>0</v>
          </cell>
        </row>
        <row r="299">
          <cell r="A299" t="str">
            <v>700-30-010</v>
          </cell>
          <cell r="B299" t="str">
            <v>TREASURY BONDS</v>
          </cell>
          <cell r="C299">
            <v>0</v>
          </cell>
          <cell r="D299">
            <v>0</v>
          </cell>
          <cell r="E299">
            <v>0</v>
          </cell>
          <cell r="F299">
            <v>0</v>
          </cell>
        </row>
        <row r="300">
          <cell r="A300" t="str">
            <v>700-30-020</v>
          </cell>
          <cell r="B300" t="str">
            <v>TREASURY BILLS</v>
          </cell>
          <cell r="C300">
            <v>0</v>
          </cell>
          <cell r="D300">
            <v>0</v>
          </cell>
          <cell r="E300">
            <v>0</v>
          </cell>
          <cell r="F300">
            <v>0</v>
          </cell>
        </row>
        <row r="301">
          <cell r="A301" t="str">
            <v>700-30-025</v>
          </cell>
          <cell r="B301" t="str">
            <v>FIXED INCOME INVESTMENTS POOL</v>
          </cell>
          <cell r="C301">
            <v>0</v>
          </cell>
          <cell r="D301">
            <v>0</v>
          </cell>
          <cell r="E301">
            <v>0</v>
          </cell>
          <cell r="F301">
            <v>0</v>
          </cell>
        </row>
        <row r="302">
          <cell r="A302" t="str">
            <v>700-30-026</v>
          </cell>
          <cell r="B302" t="str">
            <v>BOND FUND</v>
          </cell>
          <cell r="C302">
            <v>128982760</v>
          </cell>
          <cell r="D302">
            <v>1115039</v>
          </cell>
          <cell r="E302">
            <v>130097799</v>
          </cell>
          <cell r="F302">
            <v>130097799</v>
          </cell>
        </row>
        <row r="303">
          <cell r="A303" t="str">
            <v>700-30-027</v>
          </cell>
          <cell r="B303" t="str">
            <v>MONEY MARKET FUND</v>
          </cell>
          <cell r="C303">
            <v>52054658</v>
          </cell>
          <cell r="D303">
            <v>530590</v>
          </cell>
          <cell r="E303">
            <v>52585248</v>
          </cell>
          <cell r="F303">
            <v>52585248</v>
          </cell>
        </row>
        <row r="304">
          <cell r="A304" t="str">
            <v>700-30-030</v>
          </cell>
          <cell r="B304" t="str">
            <v>ACCRUED INTEREST</v>
          </cell>
          <cell r="C304">
            <v>0</v>
          </cell>
          <cell r="D304">
            <v>0</v>
          </cell>
          <cell r="E304">
            <v>0</v>
          </cell>
          <cell r="F304">
            <v>0</v>
          </cell>
        </row>
        <row r="305">
          <cell r="A305" t="str">
            <v>700-30-040</v>
          </cell>
          <cell r="B305" t="str">
            <v>PREM ON BOND</v>
          </cell>
          <cell r="C305">
            <v>0</v>
          </cell>
          <cell r="D305">
            <v>0</v>
          </cell>
          <cell r="E305">
            <v>0</v>
          </cell>
          <cell r="F305">
            <v>0</v>
          </cell>
        </row>
        <row r="306">
          <cell r="A306" t="str">
            <v>700-30-045</v>
          </cell>
          <cell r="B306" t="str">
            <v>GAIN/LOSS ON VALUATION-TBS</v>
          </cell>
          <cell r="C306">
            <v>0</v>
          </cell>
          <cell r="D306">
            <v>0</v>
          </cell>
          <cell r="E306">
            <v>0</v>
          </cell>
          <cell r="F306">
            <v>0</v>
          </cell>
        </row>
        <row r="307">
          <cell r="A307" t="str">
            <v>700-35-010</v>
          </cell>
          <cell r="B307" t="str">
            <v>TREASURY BONDS</v>
          </cell>
          <cell r="C307">
            <v>-1027782</v>
          </cell>
          <cell r="D307">
            <v>1108176</v>
          </cell>
          <cell r="E307">
            <v>80394</v>
          </cell>
          <cell r="F307">
            <v>80394</v>
          </cell>
        </row>
        <row r="308">
          <cell r="A308" t="str">
            <v>700-50-010</v>
          </cell>
          <cell r="B308" t="str">
            <v>BROOKE BOND LEIBERG</v>
          </cell>
          <cell r="C308">
            <v>0</v>
          </cell>
          <cell r="D308">
            <v>0</v>
          </cell>
          <cell r="E308">
            <v>0</v>
          </cell>
          <cell r="F308">
            <v>0</v>
          </cell>
        </row>
        <row r="309">
          <cell r="A309" t="str">
            <v>700-50-020</v>
          </cell>
          <cell r="B309" t="str">
            <v>EQUITIES INVESTMENT POOL</v>
          </cell>
          <cell r="C309">
            <v>0</v>
          </cell>
          <cell r="D309">
            <v>0</v>
          </cell>
          <cell r="E309">
            <v>0</v>
          </cell>
          <cell r="F309">
            <v>0</v>
          </cell>
        </row>
        <row r="310">
          <cell r="A310" t="str">
            <v>700-50-021</v>
          </cell>
          <cell r="B310" t="str">
            <v>EQUITY FUND</v>
          </cell>
          <cell r="C310">
            <v>110550438.7</v>
          </cell>
          <cell r="D310">
            <v>-1120144</v>
          </cell>
          <cell r="E310">
            <v>109430294.7</v>
          </cell>
          <cell r="F310">
            <v>109430294.7</v>
          </cell>
        </row>
        <row r="311">
          <cell r="A311" t="str">
            <v>700-50-022</v>
          </cell>
          <cell r="B311" t="str">
            <v>SPECIAL OPPORTUNITIES FUND</v>
          </cell>
          <cell r="C311">
            <v>6806601</v>
          </cell>
          <cell r="D311">
            <v>74440</v>
          </cell>
          <cell r="E311">
            <v>6881041</v>
          </cell>
          <cell r="F311">
            <v>6881041</v>
          </cell>
        </row>
        <row r="312">
          <cell r="A312" t="str">
            <v>700-50-025</v>
          </cell>
          <cell r="B312" t="str">
            <v>EQUITY POOL-INTEREST FIXED DEPOSIT</v>
          </cell>
          <cell r="C312">
            <v>3</v>
          </cell>
          <cell r="D312">
            <v>0</v>
          </cell>
          <cell r="E312">
            <v>3</v>
          </cell>
          <cell r="F312">
            <v>3</v>
          </cell>
        </row>
        <row r="313">
          <cell r="A313" t="str">
            <v>700-50-030</v>
          </cell>
          <cell r="B313" t="str">
            <v>SHARE SETTLEMENT CASH IN TRANSIT-EQUITY</v>
          </cell>
          <cell r="C313">
            <v>98797</v>
          </cell>
          <cell r="D313">
            <v>0</v>
          </cell>
          <cell r="E313">
            <v>98797</v>
          </cell>
          <cell r="F313">
            <v>98797</v>
          </cell>
        </row>
        <row r="314">
          <cell r="A314" t="str">
            <v>700-50-035</v>
          </cell>
          <cell r="B314" t="str">
            <v>BAMBURI CEMENT</v>
          </cell>
          <cell r="C314">
            <v>0</v>
          </cell>
          <cell r="D314">
            <v>0</v>
          </cell>
          <cell r="E314">
            <v>0</v>
          </cell>
          <cell r="F314">
            <v>0</v>
          </cell>
        </row>
        <row r="315">
          <cell r="A315" t="str">
            <v>700-50-040</v>
          </cell>
          <cell r="B315" t="str">
            <v>SASINI TEA &amp; COFFEE LTD</v>
          </cell>
          <cell r="C315">
            <v>0</v>
          </cell>
          <cell r="D315">
            <v>0</v>
          </cell>
          <cell r="E315">
            <v>0</v>
          </cell>
          <cell r="F315">
            <v>0</v>
          </cell>
        </row>
        <row r="316">
          <cell r="A316" t="str">
            <v>700-50-050</v>
          </cell>
          <cell r="B316" t="str">
            <v>E.A BREWERIES</v>
          </cell>
          <cell r="C316">
            <v>0</v>
          </cell>
          <cell r="D316">
            <v>0</v>
          </cell>
          <cell r="E316">
            <v>0</v>
          </cell>
          <cell r="F316">
            <v>0</v>
          </cell>
        </row>
        <row r="317">
          <cell r="A317" t="str">
            <v>700-50-055</v>
          </cell>
          <cell r="B317" t="str">
            <v>EAST AFRICA PORTLAND</v>
          </cell>
          <cell r="C317">
            <v>0</v>
          </cell>
          <cell r="D317">
            <v>0</v>
          </cell>
          <cell r="E317">
            <v>0</v>
          </cell>
          <cell r="F317">
            <v>0</v>
          </cell>
        </row>
        <row r="318">
          <cell r="A318" t="str">
            <v>700-50-060</v>
          </cell>
          <cell r="B318" t="str">
            <v>UNGA GROUP</v>
          </cell>
          <cell r="C318">
            <v>0</v>
          </cell>
          <cell r="D318">
            <v>0</v>
          </cell>
          <cell r="E318">
            <v>0</v>
          </cell>
          <cell r="F318">
            <v>0</v>
          </cell>
        </row>
        <row r="319">
          <cell r="A319" t="str">
            <v>700-50-065</v>
          </cell>
          <cell r="B319" t="str">
            <v>STANCHART</v>
          </cell>
          <cell r="C319">
            <v>0</v>
          </cell>
          <cell r="D319">
            <v>0</v>
          </cell>
          <cell r="E319">
            <v>0</v>
          </cell>
          <cell r="F319">
            <v>0</v>
          </cell>
        </row>
        <row r="320">
          <cell r="A320" t="str">
            <v>700-50-070</v>
          </cell>
          <cell r="B320" t="str">
            <v>NATIONAL IND.CREDIT BANK</v>
          </cell>
          <cell r="C320">
            <v>0</v>
          </cell>
          <cell r="D320">
            <v>0</v>
          </cell>
          <cell r="E320">
            <v>0</v>
          </cell>
          <cell r="F320">
            <v>0</v>
          </cell>
        </row>
        <row r="321">
          <cell r="A321" t="str">
            <v>700-50-075</v>
          </cell>
          <cell r="B321" t="str">
            <v>KENYA AIRWAYS</v>
          </cell>
          <cell r="C321">
            <v>0</v>
          </cell>
          <cell r="D321">
            <v>0</v>
          </cell>
          <cell r="E321">
            <v>0</v>
          </cell>
          <cell r="F321">
            <v>0</v>
          </cell>
        </row>
        <row r="322">
          <cell r="A322" t="str">
            <v>700-50-080</v>
          </cell>
          <cell r="B322" t="str">
            <v>BRITISH AMERICAN TOBACCO</v>
          </cell>
          <cell r="C322">
            <v>0</v>
          </cell>
          <cell r="D322">
            <v>0</v>
          </cell>
          <cell r="E322">
            <v>0</v>
          </cell>
          <cell r="F322">
            <v>0</v>
          </cell>
        </row>
        <row r="323">
          <cell r="A323" t="str">
            <v>700-50-090</v>
          </cell>
          <cell r="B323" t="str">
            <v>KENYA OIL COMPANY LTD.</v>
          </cell>
          <cell r="C323">
            <v>0</v>
          </cell>
          <cell r="D323">
            <v>0</v>
          </cell>
          <cell r="E323">
            <v>0</v>
          </cell>
          <cell r="F323">
            <v>0</v>
          </cell>
        </row>
        <row r="324">
          <cell r="A324" t="str">
            <v>700-50-100</v>
          </cell>
          <cell r="B324" t="str">
            <v>FIRESTONE E.A.</v>
          </cell>
          <cell r="C324">
            <v>0</v>
          </cell>
          <cell r="D324">
            <v>0</v>
          </cell>
          <cell r="E324">
            <v>0</v>
          </cell>
          <cell r="F324">
            <v>0</v>
          </cell>
        </row>
        <row r="325">
          <cell r="A325" t="str">
            <v>700-50-110</v>
          </cell>
          <cell r="B325" t="str">
            <v>ATHI RIVER MINING</v>
          </cell>
          <cell r="C325">
            <v>0</v>
          </cell>
          <cell r="D325">
            <v>0</v>
          </cell>
          <cell r="E325">
            <v>0</v>
          </cell>
          <cell r="F325">
            <v>0</v>
          </cell>
        </row>
        <row r="326">
          <cell r="A326" t="str">
            <v>700-50-115</v>
          </cell>
          <cell r="B326" t="str">
            <v>MUMIAS LIMITED</v>
          </cell>
          <cell r="C326">
            <v>0</v>
          </cell>
          <cell r="D326">
            <v>0</v>
          </cell>
          <cell r="E326">
            <v>0</v>
          </cell>
          <cell r="F326">
            <v>0</v>
          </cell>
        </row>
        <row r="327">
          <cell r="A327" t="str">
            <v>700-50-120</v>
          </cell>
          <cell r="B327" t="str">
            <v>BARCLAYS BANK OF KENYA</v>
          </cell>
          <cell r="C327">
            <v>0</v>
          </cell>
          <cell r="D327">
            <v>0</v>
          </cell>
          <cell r="E327">
            <v>0</v>
          </cell>
          <cell r="F327">
            <v>0</v>
          </cell>
        </row>
        <row r="328">
          <cell r="A328" t="str">
            <v>700-50-125</v>
          </cell>
          <cell r="B328" t="str">
            <v>EAST AFRICA PORTLAND</v>
          </cell>
          <cell r="C328">
            <v>0</v>
          </cell>
          <cell r="D328">
            <v>0</v>
          </cell>
          <cell r="E328">
            <v>0</v>
          </cell>
          <cell r="F328">
            <v>0</v>
          </cell>
        </row>
        <row r="329">
          <cell r="A329" t="str">
            <v>700-50-130</v>
          </cell>
          <cell r="B329" t="str">
            <v>NATION MEDIA GROUP</v>
          </cell>
          <cell r="C329">
            <v>0</v>
          </cell>
          <cell r="D329">
            <v>0</v>
          </cell>
          <cell r="E329">
            <v>0</v>
          </cell>
          <cell r="F329">
            <v>0</v>
          </cell>
        </row>
        <row r="330">
          <cell r="A330" t="str">
            <v>700-50-135</v>
          </cell>
          <cell r="B330" t="str">
            <v>ICDC INVESTMENTS SHARES</v>
          </cell>
          <cell r="C330">
            <v>0</v>
          </cell>
          <cell r="D330">
            <v>0</v>
          </cell>
          <cell r="E330">
            <v>0</v>
          </cell>
          <cell r="F330">
            <v>0</v>
          </cell>
        </row>
        <row r="331">
          <cell r="A331" t="str">
            <v>700-50-140</v>
          </cell>
          <cell r="B331" t="str">
            <v>KENYA COMMERCIAL BANK</v>
          </cell>
          <cell r="C331">
            <v>0</v>
          </cell>
          <cell r="D331">
            <v>0</v>
          </cell>
          <cell r="E331">
            <v>0</v>
          </cell>
          <cell r="F331">
            <v>0</v>
          </cell>
        </row>
        <row r="332">
          <cell r="A332" t="str">
            <v>700-50-145</v>
          </cell>
          <cell r="B332" t="str">
            <v>TOTAL KENYA KTD.</v>
          </cell>
          <cell r="C332">
            <v>0</v>
          </cell>
          <cell r="D332">
            <v>0</v>
          </cell>
          <cell r="E332">
            <v>0</v>
          </cell>
          <cell r="F332">
            <v>0</v>
          </cell>
        </row>
        <row r="333">
          <cell r="A333" t="str">
            <v>700-50-150</v>
          </cell>
          <cell r="B333" t="str">
            <v>K P L C</v>
          </cell>
          <cell r="C333">
            <v>0</v>
          </cell>
          <cell r="D333">
            <v>0</v>
          </cell>
          <cell r="E333">
            <v>0</v>
          </cell>
          <cell r="F333">
            <v>0</v>
          </cell>
        </row>
        <row r="334">
          <cell r="A334" t="str">
            <v>700-50-155</v>
          </cell>
          <cell r="B334" t="str">
            <v>C F C BANK LTD.</v>
          </cell>
          <cell r="C334">
            <v>0</v>
          </cell>
          <cell r="D334">
            <v>0</v>
          </cell>
          <cell r="E334">
            <v>0</v>
          </cell>
          <cell r="F334">
            <v>0</v>
          </cell>
        </row>
        <row r="335">
          <cell r="A335" t="str">
            <v>700-50-160</v>
          </cell>
          <cell r="B335" t="str">
            <v>KAKUZI LTD.</v>
          </cell>
          <cell r="C335">
            <v>0</v>
          </cell>
          <cell r="D335">
            <v>0</v>
          </cell>
          <cell r="E335">
            <v>0</v>
          </cell>
          <cell r="F335">
            <v>0</v>
          </cell>
        </row>
        <row r="336">
          <cell r="A336" t="str">
            <v>700-50-165</v>
          </cell>
          <cell r="B336" t="str">
            <v>CMC HOLDINGS</v>
          </cell>
          <cell r="C336">
            <v>0</v>
          </cell>
          <cell r="D336">
            <v>0</v>
          </cell>
          <cell r="E336">
            <v>0</v>
          </cell>
          <cell r="F336">
            <v>0</v>
          </cell>
        </row>
        <row r="337">
          <cell r="A337" t="str">
            <v>700-50-170</v>
          </cell>
          <cell r="B337" t="str">
            <v>DIAMOND TRUST BANK LTD</v>
          </cell>
          <cell r="C337">
            <v>0</v>
          </cell>
          <cell r="D337">
            <v>0</v>
          </cell>
          <cell r="E337">
            <v>0</v>
          </cell>
          <cell r="F337">
            <v>0</v>
          </cell>
        </row>
        <row r="338">
          <cell r="A338" t="str">
            <v>700-50-175</v>
          </cell>
          <cell r="B338" t="str">
            <v>KENGEN LTD</v>
          </cell>
          <cell r="C338">
            <v>0</v>
          </cell>
          <cell r="D338">
            <v>0</v>
          </cell>
          <cell r="E338">
            <v>0</v>
          </cell>
          <cell r="F338">
            <v>0</v>
          </cell>
        </row>
        <row r="339">
          <cell r="A339" t="str">
            <v>700-50-180</v>
          </cell>
          <cell r="B339" t="str">
            <v>SCAN AD</v>
          </cell>
          <cell r="C339">
            <v>0</v>
          </cell>
          <cell r="D339">
            <v>0</v>
          </cell>
          <cell r="E339">
            <v>0</v>
          </cell>
          <cell r="F339">
            <v>0</v>
          </cell>
        </row>
        <row r="340">
          <cell r="A340" t="str">
            <v>700-55-010</v>
          </cell>
          <cell r="B340" t="str">
            <v>DFCU LTD</v>
          </cell>
          <cell r="C340">
            <v>0</v>
          </cell>
          <cell r="D340">
            <v>0</v>
          </cell>
          <cell r="E340">
            <v>0</v>
          </cell>
          <cell r="F340">
            <v>0</v>
          </cell>
        </row>
        <row r="341">
          <cell r="A341" t="str">
            <v>700-55-020</v>
          </cell>
          <cell r="B341" t="str">
            <v>UGANDA CLAYS</v>
          </cell>
          <cell r="C341">
            <v>0</v>
          </cell>
          <cell r="D341">
            <v>0</v>
          </cell>
          <cell r="E341">
            <v>0</v>
          </cell>
          <cell r="F341">
            <v>0</v>
          </cell>
        </row>
        <row r="342">
          <cell r="A342" t="str">
            <v>700-55-022</v>
          </cell>
          <cell r="B342" t="str">
            <v>SPECIAL OPPORTUBNITIES FUND</v>
          </cell>
          <cell r="C342">
            <v>0</v>
          </cell>
          <cell r="D342">
            <v>0</v>
          </cell>
          <cell r="E342">
            <v>0</v>
          </cell>
          <cell r="F342">
            <v>0</v>
          </cell>
        </row>
        <row r="343">
          <cell r="A343" t="str">
            <v>700-55-025</v>
          </cell>
          <cell r="B343" t="str">
            <v>SPECULATIVE INVESTMENTS POOL</v>
          </cell>
          <cell r="C343">
            <v>0</v>
          </cell>
          <cell r="D343">
            <v>0</v>
          </cell>
          <cell r="E343">
            <v>0</v>
          </cell>
          <cell r="F343">
            <v>0</v>
          </cell>
        </row>
        <row r="344">
          <cell r="A344" t="str">
            <v>700-60-010</v>
          </cell>
          <cell r="B344" t="str">
            <v>FIXED DEPOSIT CBA</v>
          </cell>
          <cell r="C344">
            <v>0</v>
          </cell>
          <cell r="D344">
            <v>0</v>
          </cell>
          <cell r="E344">
            <v>0</v>
          </cell>
          <cell r="F344">
            <v>0</v>
          </cell>
        </row>
        <row r="345">
          <cell r="A345" t="str">
            <v>700-60-020</v>
          </cell>
          <cell r="B345" t="str">
            <v>OTHERS FIXED DEPOSIT</v>
          </cell>
          <cell r="C345">
            <v>0</v>
          </cell>
          <cell r="D345">
            <v>0</v>
          </cell>
          <cell r="E345">
            <v>0</v>
          </cell>
          <cell r="F345">
            <v>0</v>
          </cell>
        </row>
        <row r="346">
          <cell r="A346" t="str">
            <v>700-60-030</v>
          </cell>
          <cell r="B346" t="str">
            <v>ACCRUED INTEREST</v>
          </cell>
          <cell r="C346">
            <v>0</v>
          </cell>
          <cell r="D346">
            <v>0</v>
          </cell>
          <cell r="E346">
            <v>0</v>
          </cell>
          <cell r="F346">
            <v>0</v>
          </cell>
        </row>
        <row r="347">
          <cell r="A347" t="str">
            <v>700-60-040</v>
          </cell>
          <cell r="B347" t="str">
            <v>FIXED DEPOSIT-DELPHIS</v>
          </cell>
          <cell r="C347">
            <v>0</v>
          </cell>
          <cell r="D347">
            <v>0</v>
          </cell>
          <cell r="E347">
            <v>0</v>
          </cell>
          <cell r="F347">
            <v>0</v>
          </cell>
        </row>
        <row r="348">
          <cell r="A348" t="str">
            <v>700-60-050</v>
          </cell>
          <cell r="B348" t="str">
            <v>FIXED DEPOSIT TANZANIA</v>
          </cell>
          <cell r="C348">
            <v>0</v>
          </cell>
          <cell r="D348">
            <v>0</v>
          </cell>
          <cell r="E348">
            <v>0</v>
          </cell>
          <cell r="F348">
            <v>0</v>
          </cell>
        </row>
        <row r="349">
          <cell r="A349" t="str">
            <v>700-60-060</v>
          </cell>
          <cell r="B349" t="str">
            <v>DELPHIS-PROVISION</v>
          </cell>
          <cell r="C349">
            <v>0</v>
          </cell>
          <cell r="D349">
            <v>0</v>
          </cell>
          <cell r="E349">
            <v>0</v>
          </cell>
          <cell r="F349">
            <v>0</v>
          </cell>
        </row>
        <row r="350">
          <cell r="A350" t="str">
            <v>700-60-070</v>
          </cell>
          <cell r="B350" t="str">
            <v>STANBIC CUSTODIAN SERVICE</v>
          </cell>
          <cell r="C350">
            <v>0</v>
          </cell>
          <cell r="D350">
            <v>0</v>
          </cell>
          <cell r="E350">
            <v>0</v>
          </cell>
          <cell r="F350">
            <v>0</v>
          </cell>
        </row>
        <row r="351">
          <cell r="A351" t="str">
            <v>700-60-075</v>
          </cell>
          <cell r="B351" t="str">
            <v>STANBIC CUSTODIAL-BOND FUND</v>
          </cell>
          <cell r="C351">
            <v>0</v>
          </cell>
          <cell r="D351">
            <v>0</v>
          </cell>
          <cell r="E351">
            <v>0</v>
          </cell>
          <cell r="F351">
            <v>0</v>
          </cell>
        </row>
        <row r="352">
          <cell r="A352" t="str">
            <v>700-60-080</v>
          </cell>
          <cell r="B352" t="str">
            <v>STANBIC CUSTODIAL-EQUITY FUND</v>
          </cell>
          <cell r="C352">
            <v>0</v>
          </cell>
          <cell r="D352">
            <v>0</v>
          </cell>
          <cell r="E352">
            <v>0</v>
          </cell>
          <cell r="F352">
            <v>0</v>
          </cell>
        </row>
        <row r="353">
          <cell r="A353" t="str">
            <v>700-60-085</v>
          </cell>
          <cell r="B353" t="str">
            <v>STANBIC CUSTODIAL-SPECIAL OPPORTUNITIES</v>
          </cell>
          <cell r="C353">
            <v>0</v>
          </cell>
          <cell r="D353">
            <v>0</v>
          </cell>
          <cell r="E353">
            <v>0</v>
          </cell>
          <cell r="F353">
            <v>0</v>
          </cell>
        </row>
        <row r="354">
          <cell r="A354" t="str">
            <v>700-60-086</v>
          </cell>
          <cell r="B354" t="str">
            <v>STANBIC-CUSTODIAL MONEY MARKET FUND</v>
          </cell>
          <cell r="C354">
            <v>0</v>
          </cell>
          <cell r="D354">
            <v>0</v>
          </cell>
          <cell r="E354">
            <v>0</v>
          </cell>
          <cell r="F354">
            <v>0</v>
          </cell>
        </row>
        <row r="355">
          <cell r="A355" t="str">
            <v>700-70-020</v>
          </cell>
          <cell r="B355" t="str">
            <v>E.A.DEVELOPMENT BANK</v>
          </cell>
          <cell r="C355">
            <v>0</v>
          </cell>
          <cell r="D355">
            <v>0</v>
          </cell>
          <cell r="E355">
            <v>0</v>
          </cell>
          <cell r="F355">
            <v>0</v>
          </cell>
        </row>
        <row r="356">
          <cell r="A356" t="str">
            <v>700-70-025</v>
          </cell>
          <cell r="B356" t="str">
            <v>VARIABLE COUPON BONDS</v>
          </cell>
          <cell r="C356">
            <v>0</v>
          </cell>
          <cell r="D356">
            <v>0</v>
          </cell>
          <cell r="E356">
            <v>0</v>
          </cell>
          <cell r="F356">
            <v>0</v>
          </cell>
        </row>
        <row r="357">
          <cell r="A357" t="str">
            <v>700-70-030</v>
          </cell>
          <cell r="B357" t="str">
            <v>COMMERCIAL PAPER</v>
          </cell>
          <cell r="C357">
            <v>0</v>
          </cell>
          <cell r="D357">
            <v>0</v>
          </cell>
          <cell r="E357">
            <v>0</v>
          </cell>
          <cell r="F357">
            <v>0</v>
          </cell>
        </row>
        <row r="358">
          <cell r="A358" t="str">
            <v>700-70-040</v>
          </cell>
          <cell r="B358" t="str">
            <v>KENYA OIL LTD.</v>
          </cell>
          <cell r="C358">
            <v>0</v>
          </cell>
          <cell r="D358">
            <v>0</v>
          </cell>
          <cell r="E358">
            <v>0</v>
          </cell>
          <cell r="F358">
            <v>0</v>
          </cell>
        </row>
        <row r="359">
          <cell r="A359" t="str">
            <v>700-70-045</v>
          </cell>
          <cell r="B359" t="str">
            <v>PTA</v>
          </cell>
          <cell r="C359">
            <v>0</v>
          </cell>
          <cell r="D359">
            <v>0</v>
          </cell>
          <cell r="E359">
            <v>0</v>
          </cell>
          <cell r="F359">
            <v>0</v>
          </cell>
        </row>
        <row r="360">
          <cell r="A360" t="str">
            <v>700-70-050</v>
          </cell>
          <cell r="B360" t="str">
            <v>MABATI ROLLING MILLS</v>
          </cell>
          <cell r="C360">
            <v>0</v>
          </cell>
          <cell r="D360">
            <v>0</v>
          </cell>
          <cell r="E360">
            <v>0</v>
          </cell>
          <cell r="F360">
            <v>0</v>
          </cell>
        </row>
        <row r="361">
          <cell r="A361" t="str">
            <v>700-70-060</v>
          </cell>
          <cell r="B361" t="str">
            <v>ACCRUED INTEREST</v>
          </cell>
          <cell r="C361">
            <v>0</v>
          </cell>
          <cell r="D361">
            <v>0</v>
          </cell>
          <cell r="E361">
            <v>0</v>
          </cell>
          <cell r="F361">
            <v>0</v>
          </cell>
        </row>
        <row r="362">
          <cell r="A362" t="str">
            <v>700-70-065</v>
          </cell>
          <cell r="B362" t="str">
            <v>ATHI RIVER MINING</v>
          </cell>
          <cell r="C362">
            <v>0</v>
          </cell>
          <cell r="D362">
            <v>0</v>
          </cell>
          <cell r="E362">
            <v>0</v>
          </cell>
          <cell r="F362">
            <v>0</v>
          </cell>
        </row>
        <row r="363">
          <cell r="A363" t="str">
            <v>700-70-070</v>
          </cell>
          <cell r="B363" t="str">
            <v>CMC HOLDINGS</v>
          </cell>
          <cell r="C363">
            <v>0</v>
          </cell>
          <cell r="D363">
            <v>0</v>
          </cell>
          <cell r="E363">
            <v>0</v>
          </cell>
          <cell r="F363">
            <v>0</v>
          </cell>
        </row>
        <row r="364">
          <cell r="A364" t="str">
            <v>700-70-075</v>
          </cell>
          <cell r="B364" t="str">
            <v>GAIN/LOSS ON VALUATION</v>
          </cell>
          <cell r="C364">
            <v>0</v>
          </cell>
          <cell r="D364">
            <v>0</v>
          </cell>
          <cell r="E364">
            <v>0</v>
          </cell>
          <cell r="F364">
            <v>0</v>
          </cell>
        </row>
        <row r="365">
          <cell r="A365" t="str">
            <v>700-75-010</v>
          </cell>
          <cell r="B365" t="str">
            <v>LOAN ON MORTGAGE THIRD PARTY</v>
          </cell>
          <cell r="C365">
            <v>0</v>
          </cell>
          <cell r="D365">
            <v>0</v>
          </cell>
          <cell r="E365">
            <v>0</v>
          </cell>
          <cell r="F365">
            <v>0</v>
          </cell>
        </row>
        <row r="366">
          <cell r="A366" t="str">
            <v>700-75-020</v>
          </cell>
          <cell r="B366" t="str">
            <v>LOAN ON MORTGAGE -STAFF</v>
          </cell>
          <cell r="C366">
            <v>0</v>
          </cell>
          <cell r="D366">
            <v>0</v>
          </cell>
          <cell r="E366">
            <v>0</v>
          </cell>
          <cell r="F366">
            <v>0</v>
          </cell>
        </row>
        <row r="367">
          <cell r="A367" t="str">
            <v>700-75-025</v>
          </cell>
          <cell r="B367" t="str">
            <v>O/S INTEREST ON MORTGAGE</v>
          </cell>
          <cell r="C367">
            <v>0</v>
          </cell>
          <cell r="D367">
            <v>0</v>
          </cell>
          <cell r="E367">
            <v>0</v>
          </cell>
          <cell r="F367">
            <v>0</v>
          </cell>
        </row>
        <row r="368">
          <cell r="A368" t="str">
            <v>700-75-030</v>
          </cell>
          <cell r="B368" t="str">
            <v>MORTGAGE-RETREAT VILLA</v>
          </cell>
          <cell r="C368">
            <v>0</v>
          </cell>
          <cell r="D368">
            <v>0</v>
          </cell>
          <cell r="E368">
            <v>0</v>
          </cell>
          <cell r="F368">
            <v>0</v>
          </cell>
        </row>
        <row r="369">
          <cell r="A369" t="str">
            <v>700-78-010</v>
          </cell>
          <cell r="B369" t="str">
            <v>LOAN ON POLICY W/S/V</v>
          </cell>
          <cell r="C369">
            <v>0</v>
          </cell>
          <cell r="D369">
            <v>0</v>
          </cell>
          <cell r="E369">
            <v>0</v>
          </cell>
          <cell r="F369">
            <v>0</v>
          </cell>
        </row>
        <row r="370">
          <cell r="A370" t="str">
            <v>700-78-020</v>
          </cell>
          <cell r="B370" t="str">
            <v>LOAN ON POLICY TANZANIA</v>
          </cell>
          <cell r="C370">
            <v>0</v>
          </cell>
          <cell r="D370">
            <v>0</v>
          </cell>
          <cell r="E370">
            <v>0</v>
          </cell>
          <cell r="F370">
            <v>0</v>
          </cell>
        </row>
        <row r="371">
          <cell r="A371" t="str">
            <v>700-78-030</v>
          </cell>
          <cell r="B371" t="str">
            <v>LOAN ON POLICY REPAYMENT</v>
          </cell>
          <cell r="C371">
            <v>0</v>
          </cell>
          <cell r="D371">
            <v>0</v>
          </cell>
          <cell r="E371">
            <v>0</v>
          </cell>
          <cell r="F371">
            <v>0</v>
          </cell>
        </row>
        <row r="372">
          <cell r="A372" t="str">
            <v>700-78-040</v>
          </cell>
          <cell r="B372" t="str">
            <v>O/S INTEREST ON LOAN ON POLICY</v>
          </cell>
          <cell r="C372">
            <v>0</v>
          </cell>
          <cell r="D372">
            <v>0</v>
          </cell>
          <cell r="E372">
            <v>0</v>
          </cell>
          <cell r="F372">
            <v>0</v>
          </cell>
        </row>
        <row r="373">
          <cell r="A373" t="str">
            <v>700-78-050</v>
          </cell>
          <cell r="B373" t="str">
            <v>PROVISION FOR DOUBTFUL LOANS</v>
          </cell>
          <cell r="C373">
            <v>0</v>
          </cell>
          <cell r="D373">
            <v>0</v>
          </cell>
          <cell r="E373">
            <v>0</v>
          </cell>
          <cell r="F373">
            <v>0</v>
          </cell>
        </row>
        <row r="374">
          <cell r="A374" t="str">
            <v>700-79-010</v>
          </cell>
          <cell r="B374" t="str">
            <v>POLICY LOAN-FFFP</v>
          </cell>
          <cell r="C374">
            <v>0</v>
          </cell>
          <cell r="D374">
            <v>0</v>
          </cell>
          <cell r="E374">
            <v>0</v>
          </cell>
          <cell r="F374">
            <v>0</v>
          </cell>
        </row>
        <row r="375">
          <cell r="A375" t="str">
            <v>700-79-015</v>
          </cell>
          <cell r="B375" t="str">
            <v>LOAN REPAYMENT FFP</v>
          </cell>
          <cell r="C375">
            <v>0</v>
          </cell>
          <cell r="D375">
            <v>0</v>
          </cell>
          <cell r="E375">
            <v>0</v>
          </cell>
          <cell r="F375">
            <v>0</v>
          </cell>
        </row>
        <row r="376">
          <cell r="A376" t="str">
            <v>700-79-020</v>
          </cell>
          <cell r="B376" t="str">
            <v>POLICY LOAN WP</v>
          </cell>
          <cell r="C376">
            <v>0</v>
          </cell>
          <cell r="D376">
            <v>0</v>
          </cell>
          <cell r="E376">
            <v>0</v>
          </cell>
          <cell r="F376">
            <v>0</v>
          </cell>
        </row>
        <row r="377">
          <cell r="A377" t="str">
            <v>700-79-025</v>
          </cell>
          <cell r="B377" t="str">
            <v>LOAN REPAYMENT WP</v>
          </cell>
          <cell r="C377">
            <v>0</v>
          </cell>
          <cell r="D377">
            <v>0</v>
          </cell>
          <cell r="E377">
            <v>0</v>
          </cell>
          <cell r="F377">
            <v>0</v>
          </cell>
        </row>
        <row r="378">
          <cell r="A378" t="str">
            <v>700-79-030</v>
          </cell>
          <cell r="B378" t="str">
            <v>GAIN ON VALUATION</v>
          </cell>
          <cell r="C378">
            <v>0</v>
          </cell>
          <cell r="D378">
            <v>0</v>
          </cell>
          <cell r="E378">
            <v>0</v>
          </cell>
          <cell r="F378">
            <v>0</v>
          </cell>
        </row>
        <row r="379">
          <cell r="A379" t="str">
            <v>700-80-010</v>
          </cell>
          <cell r="B379" t="str">
            <v>STAFF LOANS</v>
          </cell>
          <cell r="C379">
            <v>4000</v>
          </cell>
          <cell r="D379">
            <v>0</v>
          </cell>
          <cell r="E379">
            <v>4000</v>
          </cell>
          <cell r="F379">
            <v>4000</v>
          </cell>
        </row>
        <row r="380">
          <cell r="A380" t="str">
            <v>700-80-020</v>
          </cell>
          <cell r="B380" t="str">
            <v>AGENTS COMMISSION CONTROL ACCOUNT</v>
          </cell>
          <cell r="C380">
            <v>0</v>
          </cell>
          <cell r="D380">
            <v>0</v>
          </cell>
          <cell r="E380">
            <v>0</v>
          </cell>
          <cell r="F380">
            <v>0</v>
          </cell>
        </row>
        <row r="381">
          <cell r="A381" t="str">
            <v>700-80-025</v>
          </cell>
          <cell r="B381" t="str">
            <v>AGENTS LOAN -COP</v>
          </cell>
          <cell r="C381">
            <v>0</v>
          </cell>
          <cell r="D381">
            <v>0</v>
          </cell>
          <cell r="E381">
            <v>0</v>
          </cell>
          <cell r="F381">
            <v>0</v>
          </cell>
        </row>
        <row r="382">
          <cell r="A382" t="str">
            <v>700-80-030</v>
          </cell>
          <cell r="B382" t="str">
            <v>AGENTS LOAN-MV PREMIUMS</v>
          </cell>
          <cell r="C382">
            <v>0</v>
          </cell>
          <cell r="D382">
            <v>0</v>
          </cell>
          <cell r="E382">
            <v>0</v>
          </cell>
          <cell r="F382">
            <v>0</v>
          </cell>
        </row>
        <row r="383">
          <cell r="A383" t="str">
            <v>700-80-035</v>
          </cell>
          <cell r="B383" t="str">
            <v>AGENTS LOAN-MEDICAL PREMIUMS</v>
          </cell>
          <cell r="C383">
            <v>0</v>
          </cell>
          <cell r="D383">
            <v>0</v>
          </cell>
          <cell r="E383">
            <v>0</v>
          </cell>
          <cell r="F383">
            <v>0</v>
          </cell>
        </row>
        <row r="384">
          <cell r="A384" t="str">
            <v>700-80-040</v>
          </cell>
          <cell r="B384" t="str">
            <v>AGENTS LOAN-1,2,3,4</v>
          </cell>
          <cell r="C384">
            <v>0</v>
          </cell>
          <cell r="D384">
            <v>0</v>
          </cell>
          <cell r="E384">
            <v>0</v>
          </cell>
          <cell r="F384">
            <v>0</v>
          </cell>
        </row>
        <row r="385">
          <cell r="A385" t="str">
            <v>700-80-045</v>
          </cell>
          <cell r="B385" t="str">
            <v>AGENTS LOAN -OTHERS</v>
          </cell>
          <cell r="C385">
            <v>-4000</v>
          </cell>
          <cell r="D385">
            <v>0</v>
          </cell>
          <cell r="E385">
            <v>-4000</v>
          </cell>
          <cell r="F385">
            <v>-4000</v>
          </cell>
        </row>
        <row r="386">
          <cell r="A386" t="str">
            <v>700-80-050</v>
          </cell>
          <cell r="B386" t="str">
            <v>AGENTS CAR LOANS</v>
          </cell>
          <cell r="C386">
            <v>0</v>
          </cell>
          <cell r="D386">
            <v>0</v>
          </cell>
          <cell r="E386">
            <v>0</v>
          </cell>
          <cell r="F386">
            <v>0</v>
          </cell>
        </row>
        <row r="387">
          <cell r="A387" t="str">
            <v>700-80-051</v>
          </cell>
          <cell r="B387" t="str">
            <v>PROVISIONS FOR DOUBTFUL MORTGAGES</v>
          </cell>
          <cell r="C387">
            <v>0</v>
          </cell>
          <cell r="D387">
            <v>0</v>
          </cell>
          <cell r="E387">
            <v>0</v>
          </cell>
          <cell r="F387">
            <v>0</v>
          </cell>
        </row>
        <row r="388">
          <cell r="A388" t="str">
            <v>700-80-055</v>
          </cell>
          <cell r="B388" t="str">
            <v>STAFF CAR LOANS</v>
          </cell>
          <cell r="C388">
            <v>0</v>
          </cell>
          <cell r="D388">
            <v>0</v>
          </cell>
          <cell r="E388">
            <v>0</v>
          </cell>
          <cell r="F388">
            <v>0</v>
          </cell>
        </row>
        <row r="389">
          <cell r="A389" t="str">
            <v>700-80-060</v>
          </cell>
          <cell r="B389" t="str">
            <v>MORTGAGE LOANS</v>
          </cell>
          <cell r="C389">
            <v>0</v>
          </cell>
          <cell r="D389">
            <v>0</v>
          </cell>
          <cell r="E389">
            <v>0</v>
          </cell>
          <cell r="F389">
            <v>0</v>
          </cell>
        </row>
        <row r="390">
          <cell r="A390" t="str">
            <v>700-80-065</v>
          </cell>
          <cell r="B390" t="str">
            <v>N/L PREMIUMS</v>
          </cell>
          <cell r="C390">
            <v>0</v>
          </cell>
          <cell r="D390">
            <v>0</v>
          </cell>
          <cell r="E390">
            <v>0</v>
          </cell>
          <cell r="F390">
            <v>0</v>
          </cell>
        </row>
        <row r="391">
          <cell r="A391" t="str">
            <v>700-80-066</v>
          </cell>
          <cell r="B391" t="str">
            <v>CORPORATION TAX-TANZANIA</v>
          </cell>
          <cell r="C391">
            <v>0</v>
          </cell>
          <cell r="D391">
            <v>0</v>
          </cell>
          <cell r="E391">
            <v>0</v>
          </cell>
          <cell r="F391">
            <v>0</v>
          </cell>
        </row>
        <row r="392">
          <cell r="A392" t="str">
            <v>700-80-067</v>
          </cell>
          <cell r="B392" t="str">
            <v>PAN AFRICA INS. PENSION SCHEME</v>
          </cell>
          <cell r="C392">
            <v>0</v>
          </cell>
          <cell r="D392">
            <v>0</v>
          </cell>
          <cell r="E392">
            <v>0</v>
          </cell>
          <cell r="F392">
            <v>0</v>
          </cell>
        </row>
        <row r="393">
          <cell r="A393" t="str">
            <v>700-80-068</v>
          </cell>
          <cell r="B393" t="str">
            <v>RENT DEPOSITS</v>
          </cell>
          <cell r="C393">
            <v>0</v>
          </cell>
          <cell r="D393">
            <v>0</v>
          </cell>
          <cell r="E393">
            <v>0</v>
          </cell>
          <cell r="F393">
            <v>0</v>
          </cell>
        </row>
        <row r="394">
          <cell r="A394" t="str">
            <v>700-80-069</v>
          </cell>
          <cell r="B394" t="str">
            <v>TANZANIA AACOUNT</v>
          </cell>
          <cell r="C394">
            <v>0</v>
          </cell>
          <cell r="D394">
            <v>0</v>
          </cell>
          <cell r="E394">
            <v>0</v>
          </cell>
          <cell r="F394">
            <v>0</v>
          </cell>
        </row>
        <row r="395">
          <cell r="A395" t="str">
            <v>700-80-070</v>
          </cell>
          <cell r="B395" t="str">
            <v>STAFF MEDICAL - RECOVERABLE</v>
          </cell>
          <cell r="C395">
            <v>0</v>
          </cell>
          <cell r="D395">
            <v>0</v>
          </cell>
          <cell r="E395">
            <v>0</v>
          </cell>
          <cell r="F395">
            <v>0</v>
          </cell>
        </row>
        <row r="396">
          <cell r="A396" t="str">
            <v>700-81-010</v>
          </cell>
          <cell r="B396" t="str">
            <v>KNIGHT FRANK</v>
          </cell>
          <cell r="C396">
            <v>0</v>
          </cell>
          <cell r="D396">
            <v>0</v>
          </cell>
          <cell r="E396">
            <v>0</v>
          </cell>
          <cell r="F396">
            <v>0</v>
          </cell>
        </row>
        <row r="397">
          <cell r="A397" t="str">
            <v>700-81-015</v>
          </cell>
          <cell r="B397" t="str">
            <v>CASH IN TRANSIT</v>
          </cell>
          <cell r="C397">
            <v>0</v>
          </cell>
          <cell r="D397">
            <v>0</v>
          </cell>
          <cell r="E397">
            <v>0</v>
          </cell>
          <cell r="F397">
            <v>0</v>
          </cell>
        </row>
        <row r="398">
          <cell r="A398" t="str">
            <v>700-81-020</v>
          </cell>
          <cell r="B398" t="str">
            <v>CBRE</v>
          </cell>
          <cell r="C398">
            <v>0</v>
          </cell>
          <cell r="D398">
            <v>0</v>
          </cell>
          <cell r="E398">
            <v>0</v>
          </cell>
          <cell r="F398">
            <v>0</v>
          </cell>
        </row>
        <row r="399">
          <cell r="A399" t="str">
            <v>700-82-010</v>
          </cell>
          <cell r="B399" t="str">
            <v>PREDEBIT DEBTOR-DDI</v>
          </cell>
          <cell r="C399">
            <v>0</v>
          </cell>
          <cell r="D399">
            <v>0</v>
          </cell>
          <cell r="E399">
            <v>0</v>
          </cell>
          <cell r="F399">
            <v>0</v>
          </cell>
        </row>
        <row r="400">
          <cell r="A400" t="str">
            <v>700-82-020</v>
          </cell>
          <cell r="B400" t="str">
            <v>PREDEBIT DEBTOR -BSO</v>
          </cell>
          <cell r="C400">
            <v>0</v>
          </cell>
          <cell r="D400">
            <v>0</v>
          </cell>
          <cell r="E400">
            <v>0</v>
          </cell>
          <cell r="F400">
            <v>0</v>
          </cell>
        </row>
        <row r="401">
          <cell r="A401" t="str">
            <v>700-82-030</v>
          </cell>
          <cell r="B401" t="str">
            <v>PREDEBIT DEBTOR- CHECK OFF</v>
          </cell>
          <cell r="C401">
            <v>0</v>
          </cell>
          <cell r="D401">
            <v>0</v>
          </cell>
          <cell r="E401">
            <v>0</v>
          </cell>
          <cell r="F401">
            <v>0</v>
          </cell>
        </row>
        <row r="402">
          <cell r="A402" t="str">
            <v>700-82-040</v>
          </cell>
          <cell r="B402" t="str">
            <v>PREDEBIT DEBTOR - CASH</v>
          </cell>
          <cell r="C402">
            <v>0</v>
          </cell>
          <cell r="D402">
            <v>0</v>
          </cell>
          <cell r="E402">
            <v>0</v>
          </cell>
          <cell r="F402">
            <v>0</v>
          </cell>
        </row>
        <row r="403">
          <cell r="A403" t="str">
            <v>700-82-050</v>
          </cell>
          <cell r="B403" t="str">
            <v>UNDEFINED DEBITS</v>
          </cell>
          <cell r="C403">
            <v>0</v>
          </cell>
          <cell r="D403">
            <v>0</v>
          </cell>
          <cell r="E403">
            <v>0</v>
          </cell>
          <cell r="F403">
            <v>0</v>
          </cell>
        </row>
        <row r="404">
          <cell r="A404" t="str">
            <v>700-83-010</v>
          </cell>
          <cell r="B404" t="str">
            <v>REINSURANCE DEBTOR</v>
          </cell>
          <cell r="C404">
            <v>0</v>
          </cell>
          <cell r="D404">
            <v>0</v>
          </cell>
          <cell r="E404">
            <v>0</v>
          </cell>
          <cell r="F404">
            <v>0</v>
          </cell>
        </row>
        <row r="405">
          <cell r="A405" t="str">
            <v>700-84-010</v>
          </cell>
          <cell r="B405" t="str">
            <v>O/S PREMIUMS API</v>
          </cell>
          <cell r="C405">
            <v>0</v>
          </cell>
          <cell r="D405">
            <v>0</v>
          </cell>
          <cell r="E405">
            <v>0</v>
          </cell>
          <cell r="F405">
            <v>0</v>
          </cell>
        </row>
        <row r="406">
          <cell r="A406" t="str">
            <v>700-85-010</v>
          </cell>
          <cell r="B406" t="str">
            <v>PREPAYMENTS</v>
          </cell>
          <cell r="C406">
            <v>0</v>
          </cell>
          <cell r="D406">
            <v>0</v>
          </cell>
          <cell r="E406">
            <v>0</v>
          </cell>
          <cell r="F406">
            <v>0</v>
          </cell>
        </row>
        <row r="407">
          <cell r="A407" t="str">
            <v>700-85-015</v>
          </cell>
          <cell r="B407" t="str">
            <v>EXECUTIVE CONTRA</v>
          </cell>
          <cell r="C407">
            <v>0</v>
          </cell>
          <cell r="D407">
            <v>0</v>
          </cell>
          <cell r="E407">
            <v>0</v>
          </cell>
          <cell r="F407">
            <v>0</v>
          </cell>
        </row>
        <row r="408">
          <cell r="A408" t="str">
            <v>700-85-020</v>
          </cell>
          <cell r="B408" t="str">
            <v>STAFF CONTRA</v>
          </cell>
          <cell r="C408">
            <v>0</v>
          </cell>
          <cell r="D408">
            <v>0</v>
          </cell>
          <cell r="E408">
            <v>0</v>
          </cell>
          <cell r="F408">
            <v>0</v>
          </cell>
        </row>
        <row r="409">
          <cell r="A409" t="str">
            <v>700-85-025</v>
          </cell>
          <cell r="B409" t="str">
            <v>PREDEBIT DEBTOR</v>
          </cell>
          <cell r="C409">
            <v>0</v>
          </cell>
          <cell r="D409">
            <v>0</v>
          </cell>
          <cell r="E409">
            <v>0</v>
          </cell>
          <cell r="F409">
            <v>0</v>
          </cell>
        </row>
        <row r="410">
          <cell r="A410" t="str">
            <v>700-85-030</v>
          </cell>
          <cell r="B410" t="str">
            <v>HUBRIS HOLDINGS LTD</v>
          </cell>
          <cell r="C410">
            <v>0</v>
          </cell>
          <cell r="D410">
            <v>0</v>
          </cell>
          <cell r="E410">
            <v>0</v>
          </cell>
          <cell r="F410">
            <v>0</v>
          </cell>
        </row>
        <row r="411">
          <cell r="A411" t="str">
            <v>700-85-031</v>
          </cell>
          <cell r="B411" t="str">
            <v>SANLAM</v>
          </cell>
          <cell r="C411">
            <v>-558073.34</v>
          </cell>
          <cell r="D411">
            <v>0</v>
          </cell>
          <cell r="E411">
            <v>-558073.34</v>
          </cell>
          <cell r="F411">
            <v>-558073.34</v>
          </cell>
        </row>
        <row r="412">
          <cell r="A412" t="str">
            <v>700-85-032</v>
          </cell>
          <cell r="B412" t="str">
            <v>SANLAM-CAPETOWN</v>
          </cell>
          <cell r="C412">
            <v>0</v>
          </cell>
          <cell r="D412">
            <v>0</v>
          </cell>
          <cell r="E412">
            <v>0</v>
          </cell>
          <cell r="F412">
            <v>0</v>
          </cell>
        </row>
        <row r="413">
          <cell r="A413" t="str">
            <v>700-85-040</v>
          </cell>
          <cell r="B413" t="str">
            <v>DEPOSITS ACCOUNT</v>
          </cell>
          <cell r="C413">
            <v>0</v>
          </cell>
          <cell r="D413">
            <v>0</v>
          </cell>
          <cell r="E413">
            <v>0</v>
          </cell>
          <cell r="F413">
            <v>0</v>
          </cell>
        </row>
        <row r="414">
          <cell r="A414" t="str">
            <v>700-85-045</v>
          </cell>
          <cell r="B414" t="str">
            <v>P A SECURITIES</v>
          </cell>
          <cell r="C414">
            <v>0</v>
          </cell>
          <cell r="D414">
            <v>0</v>
          </cell>
          <cell r="E414">
            <v>0</v>
          </cell>
          <cell r="F414">
            <v>0</v>
          </cell>
        </row>
        <row r="415">
          <cell r="A415" t="str">
            <v>700-85-050</v>
          </cell>
          <cell r="B415" t="str">
            <v>CORPORATE (PENSIONS SCHEMES)</v>
          </cell>
          <cell r="C415">
            <v>0</v>
          </cell>
          <cell r="D415">
            <v>0</v>
          </cell>
          <cell r="E415">
            <v>0</v>
          </cell>
          <cell r="F415">
            <v>0</v>
          </cell>
        </row>
        <row r="416">
          <cell r="A416" t="str">
            <v>700-85-055</v>
          </cell>
          <cell r="B416" t="str">
            <v>ALA - GHANA</v>
          </cell>
          <cell r="C416">
            <v>0</v>
          </cell>
          <cell r="D416">
            <v>0</v>
          </cell>
          <cell r="E416">
            <v>0</v>
          </cell>
          <cell r="F416">
            <v>0</v>
          </cell>
        </row>
        <row r="417">
          <cell r="A417" t="str">
            <v>700-85-060</v>
          </cell>
          <cell r="B417" t="str">
            <v>ALA - ZAMBIA</v>
          </cell>
          <cell r="C417">
            <v>0</v>
          </cell>
          <cell r="D417">
            <v>0</v>
          </cell>
          <cell r="E417">
            <v>0</v>
          </cell>
          <cell r="F417">
            <v>0</v>
          </cell>
        </row>
        <row r="418">
          <cell r="A418" t="str">
            <v>700-85-065</v>
          </cell>
          <cell r="B418" t="str">
            <v>BBK DEBTOR</v>
          </cell>
          <cell r="C418">
            <v>0</v>
          </cell>
          <cell r="D418">
            <v>0</v>
          </cell>
          <cell r="E418">
            <v>0</v>
          </cell>
          <cell r="F418">
            <v>0</v>
          </cell>
        </row>
        <row r="419">
          <cell r="A419" t="str">
            <v>700-85-070</v>
          </cell>
          <cell r="B419" t="str">
            <v>SECURITY DEPOSITS</v>
          </cell>
          <cell r="C419">
            <v>0</v>
          </cell>
          <cell r="D419">
            <v>0</v>
          </cell>
          <cell r="E419">
            <v>0</v>
          </cell>
          <cell r="F419">
            <v>0</v>
          </cell>
        </row>
        <row r="420">
          <cell r="A420" t="str">
            <v>700-85-075</v>
          </cell>
          <cell r="B420" t="str">
            <v>PRIDE OF SANLAM COMPETITION</v>
          </cell>
          <cell r="C420">
            <v>0</v>
          </cell>
          <cell r="D420">
            <v>0</v>
          </cell>
          <cell r="E420">
            <v>0</v>
          </cell>
          <cell r="F420">
            <v>0</v>
          </cell>
        </row>
        <row r="421">
          <cell r="A421" t="str">
            <v>700-86-010</v>
          </cell>
          <cell r="B421" t="str">
            <v>CLAIMS RECOVERABLE</v>
          </cell>
          <cell r="C421">
            <v>0</v>
          </cell>
          <cell r="D421">
            <v>0</v>
          </cell>
          <cell r="E421">
            <v>0</v>
          </cell>
          <cell r="F421">
            <v>0</v>
          </cell>
        </row>
        <row r="422">
          <cell r="A422" t="str">
            <v>700-87-010</v>
          </cell>
          <cell r="B422" t="str">
            <v>AGENCY DEVELOPMENT FUND</v>
          </cell>
          <cell r="C422">
            <v>0</v>
          </cell>
          <cell r="D422">
            <v>0</v>
          </cell>
          <cell r="E422">
            <v>0</v>
          </cell>
          <cell r="F422">
            <v>0</v>
          </cell>
        </row>
        <row r="423">
          <cell r="A423" t="str">
            <v>700-90-010</v>
          </cell>
          <cell r="B423" t="str">
            <v>BANK OF BARODA</v>
          </cell>
          <cell r="C423">
            <v>0</v>
          </cell>
          <cell r="D423">
            <v>0</v>
          </cell>
          <cell r="E423">
            <v>0</v>
          </cell>
          <cell r="F423">
            <v>0</v>
          </cell>
        </row>
        <row r="424">
          <cell r="A424" t="str">
            <v>700-90-030</v>
          </cell>
          <cell r="B424" t="str">
            <v>CBA-WABERA STREET</v>
          </cell>
          <cell r="C424">
            <v>0</v>
          </cell>
          <cell r="D424">
            <v>0</v>
          </cell>
          <cell r="E424">
            <v>0</v>
          </cell>
          <cell r="F424">
            <v>0</v>
          </cell>
        </row>
        <row r="425">
          <cell r="A425" t="str">
            <v>700-90-040</v>
          </cell>
          <cell r="B425" t="str">
            <v>BBK-MOMBASA</v>
          </cell>
          <cell r="C425">
            <v>0</v>
          </cell>
          <cell r="D425">
            <v>0</v>
          </cell>
          <cell r="E425">
            <v>0</v>
          </cell>
          <cell r="F425">
            <v>0</v>
          </cell>
        </row>
        <row r="426">
          <cell r="A426" t="str">
            <v>700-90-050</v>
          </cell>
          <cell r="B426" t="str">
            <v>SCB-COLLECTION A/C</v>
          </cell>
          <cell r="C426">
            <v>0</v>
          </cell>
          <cell r="D426">
            <v>0</v>
          </cell>
          <cell r="E426">
            <v>0</v>
          </cell>
          <cell r="F426">
            <v>0</v>
          </cell>
        </row>
        <row r="427">
          <cell r="A427" t="str">
            <v>700-90-060</v>
          </cell>
          <cell r="B427" t="str">
            <v>CO-OP UKULIMA</v>
          </cell>
          <cell r="C427">
            <v>0</v>
          </cell>
          <cell r="D427">
            <v>0</v>
          </cell>
          <cell r="E427">
            <v>0</v>
          </cell>
          <cell r="F427">
            <v>0</v>
          </cell>
        </row>
        <row r="428">
          <cell r="A428" t="str">
            <v>700-90-080</v>
          </cell>
          <cell r="B428" t="str">
            <v>BBK MERU</v>
          </cell>
          <cell r="C428">
            <v>0</v>
          </cell>
          <cell r="D428">
            <v>0</v>
          </cell>
          <cell r="E428">
            <v>0</v>
          </cell>
          <cell r="F428">
            <v>0</v>
          </cell>
        </row>
        <row r="429">
          <cell r="A429" t="str">
            <v>700-90-090</v>
          </cell>
          <cell r="B429" t="str">
            <v>BBK-NYERI</v>
          </cell>
          <cell r="C429">
            <v>0</v>
          </cell>
          <cell r="D429">
            <v>0</v>
          </cell>
          <cell r="E429">
            <v>0</v>
          </cell>
          <cell r="F429">
            <v>0</v>
          </cell>
        </row>
        <row r="430">
          <cell r="A430" t="str">
            <v>700-90-100</v>
          </cell>
          <cell r="B430" t="str">
            <v>BBK NBI(5776890)</v>
          </cell>
          <cell r="C430">
            <v>0</v>
          </cell>
          <cell r="D430">
            <v>0</v>
          </cell>
          <cell r="E430">
            <v>0</v>
          </cell>
          <cell r="F430">
            <v>0</v>
          </cell>
        </row>
        <row r="431">
          <cell r="A431" t="str">
            <v>700-90-120</v>
          </cell>
          <cell r="B431" t="str">
            <v>BBK NBI (5776688)</v>
          </cell>
          <cell r="C431">
            <v>0</v>
          </cell>
          <cell r="D431">
            <v>0</v>
          </cell>
          <cell r="E431">
            <v>0</v>
          </cell>
          <cell r="F431">
            <v>0</v>
          </cell>
        </row>
        <row r="432">
          <cell r="A432" t="str">
            <v>700-90-140</v>
          </cell>
          <cell r="B432" t="str">
            <v>BBK-KISII</v>
          </cell>
          <cell r="C432">
            <v>0</v>
          </cell>
          <cell r="D432">
            <v>0</v>
          </cell>
          <cell r="E432">
            <v>0</v>
          </cell>
          <cell r="F432">
            <v>0</v>
          </cell>
        </row>
        <row r="433">
          <cell r="A433" t="str">
            <v>700-90-150</v>
          </cell>
          <cell r="B433" t="str">
            <v>BBK-KISUMU</v>
          </cell>
          <cell r="C433">
            <v>0</v>
          </cell>
          <cell r="D433">
            <v>0</v>
          </cell>
          <cell r="E433">
            <v>0</v>
          </cell>
          <cell r="F433">
            <v>0</v>
          </cell>
        </row>
        <row r="434">
          <cell r="A434" t="str">
            <v>700-90-160</v>
          </cell>
          <cell r="B434" t="str">
            <v>NAKURU</v>
          </cell>
          <cell r="C434">
            <v>0</v>
          </cell>
          <cell r="D434">
            <v>0</v>
          </cell>
          <cell r="E434">
            <v>0</v>
          </cell>
          <cell r="F434">
            <v>0</v>
          </cell>
        </row>
        <row r="435">
          <cell r="A435" t="str">
            <v>700-90-170</v>
          </cell>
          <cell r="B435" t="str">
            <v>BBK-ELDORET</v>
          </cell>
          <cell r="C435">
            <v>0</v>
          </cell>
          <cell r="D435">
            <v>0</v>
          </cell>
          <cell r="E435">
            <v>0</v>
          </cell>
          <cell r="F435">
            <v>0</v>
          </cell>
        </row>
        <row r="436">
          <cell r="A436" t="str">
            <v>700-90-190</v>
          </cell>
          <cell r="B436" t="str">
            <v>BBK-EMBU</v>
          </cell>
          <cell r="C436">
            <v>0</v>
          </cell>
          <cell r="D436">
            <v>0</v>
          </cell>
          <cell r="E436">
            <v>0</v>
          </cell>
          <cell r="F436">
            <v>0</v>
          </cell>
        </row>
        <row r="437">
          <cell r="A437" t="str">
            <v>700-90-200</v>
          </cell>
          <cell r="B437" t="str">
            <v>CO-OP CHUKA</v>
          </cell>
          <cell r="C437">
            <v>0</v>
          </cell>
          <cell r="D437">
            <v>0</v>
          </cell>
          <cell r="E437">
            <v>0</v>
          </cell>
          <cell r="F437">
            <v>0</v>
          </cell>
        </row>
        <row r="438">
          <cell r="A438" t="str">
            <v>700-90-210</v>
          </cell>
          <cell r="B438" t="str">
            <v>STANBIC NBI</v>
          </cell>
          <cell r="C438">
            <v>1445270</v>
          </cell>
          <cell r="D438">
            <v>567700</v>
          </cell>
          <cell r="E438">
            <v>2012970</v>
          </cell>
          <cell r="F438">
            <v>2012970</v>
          </cell>
        </row>
        <row r="439">
          <cell r="A439" t="str">
            <v>700-90-220</v>
          </cell>
          <cell r="B439" t="str">
            <v>HOLDCO</v>
          </cell>
          <cell r="C439">
            <v>0</v>
          </cell>
          <cell r="D439">
            <v>0</v>
          </cell>
          <cell r="E439">
            <v>0</v>
          </cell>
          <cell r="F439">
            <v>0</v>
          </cell>
        </row>
        <row r="440">
          <cell r="A440" t="str">
            <v>700-90-230</v>
          </cell>
          <cell r="B440" t="str">
            <v>GRATUITY US DOLLAR</v>
          </cell>
          <cell r="C440">
            <v>0</v>
          </cell>
          <cell r="D440">
            <v>0</v>
          </cell>
          <cell r="E440">
            <v>0</v>
          </cell>
          <cell r="F440">
            <v>0</v>
          </cell>
        </row>
        <row r="441">
          <cell r="A441" t="str">
            <v>700-90-240</v>
          </cell>
          <cell r="B441" t="str">
            <v>BBK-THIKA</v>
          </cell>
          <cell r="C441">
            <v>0</v>
          </cell>
          <cell r="D441">
            <v>0</v>
          </cell>
          <cell r="E441">
            <v>0</v>
          </cell>
          <cell r="F441">
            <v>0</v>
          </cell>
        </row>
        <row r="442">
          <cell r="A442" t="str">
            <v>700-90-260</v>
          </cell>
          <cell r="B442" t="str">
            <v>BBK(5039027)ADMINSTRATION</v>
          </cell>
          <cell r="C442">
            <v>0</v>
          </cell>
          <cell r="D442">
            <v>0</v>
          </cell>
          <cell r="E442">
            <v>0</v>
          </cell>
          <cell r="F442">
            <v>0</v>
          </cell>
        </row>
        <row r="443">
          <cell r="A443" t="str">
            <v>700-90-270</v>
          </cell>
          <cell r="B443" t="str">
            <v>BBK-(5039051)COLLECTIONS</v>
          </cell>
          <cell r="C443">
            <v>0</v>
          </cell>
          <cell r="D443">
            <v>0</v>
          </cell>
          <cell r="E443">
            <v>0</v>
          </cell>
          <cell r="F443">
            <v>0</v>
          </cell>
        </row>
        <row r="444">
          <cell r="A444" t="str">
            <v>700-90-280</v>
          </cell>
          <cell r="B444" t="str">
            <v>BBK(5039035) EXPENSES</v>
          </cell>
          <cell r="C444">
            <v>0</v>
          </cell>
          <cell r="D444">
            <v>0</v>
          </cell>
          <cell r="E444">
            <v>0</v>
          </cell>
          <cell r="F444">
            <v>0</v>
          </cell>
        </row>
        <row r="445">
          <cell r="A445" t="str">
            <v>700-90-285</v>
          </cell>
          <cell r="B445" t="str">
            <v>BBK MOI AVENUE - 5776793 -GROUP LIFE</v>
          </cell>
          <cell r="C445">
            <v>129475</v>
          </cell>
          <cell r="D445">
            <v>0</v>
          </cell>
          <cell r="E445">
            <v>129475</v>
          </cell>
          <cell r="F445">
            <v>129475</v>
          </cell>
        </row>
        <row r="446">
          <cell r="A446" t="str">
            <v>700-90-290</v>
          </cell>
          <cell r="B446" t="str">
            <v>N.I.C BANK - GROUP PENSION</v>
          </cell>
          <cell r="C446">
            <v>10847505.02</v>
          </cell>
          <cell r="D446">
            <v>-1151417.9099999999</v>
          </cell>
          <cell r="E446">
            <v>9696087.1099999994</v>
          </cell>
          <cell r="F446">
            <v>9696087.1099999994</v>
          </cell>
        </row>
        <row r="447">
          <cell r="A447" t="str">
            <v>700-90-295</v>
          </cell>
          <cell r="B447" t="str">
            <v>NATIONAL BANK-01010153900</v>
          </cell>
          <cell r="C447">
            <v>0</v>
          </cell>
          <cell r="D447">
            <v>0</v>
          </cell>
          <cell r="E447">
            <v>0</v>
          </cell>
          <cell r="F447">
            <v>0</v>
          </cell>
        </row>
        <row r="448">
          <cell r="A448" t="str">
            <v>700-90-300</v>
          </cell>
          <cell r="B448" t="str">
            <v>STANCHART-SRBS</v>
          </cell>
          <cell r="C448">
            <v>47975.5</v>
          </cell>
          <cell r="D448">
            <v>0</v>
          </cell>
          <cell r="E448">
            <v>47975.5</v>
          </cell>
          <cell r="F448">
            <v>47975.5</v>
          </cell>
        </row>
        <row r="449">
          <cell r="A449" t="str">
            <v>700-90-305</v>
          </cell>
          <cell r="B449" t="str">
            <v>EQUITY BANK-PREMIUM COLLECTION A/C</v>
          </cell>
          <cell r="C449">
            <v>0</v>
          </cell>
          <cell r="D449">
            <v>0</v>
          </cell>
          <cell r="E449">
            <v>0</v>
          </cell>
          <cell r="F449">
            <v>0</v>
          </cell>
        </row>
        <row r="450">
          <cell r="A450" t="str">
            <v>700-90-310</v>
          </cell>
          <cell r="B450" t="str">
            <v>FAMILY FINANCE-PREMIUM COLLECTION A/C</v>
          </cell>
          <cell r="C450">
            <v>0</v>
          </cell>
          <cell r="D450">
            <v>0</v>
          </cell>
          <cell r="E450">
            <v>0</v>
          </cell>
          <cell r="F450">
            <v>0</v>
          </cell>
        </row>
        <row r="451">
          <cell r="A451" t="str">
            <v>700-90-315</v>
          </cell>
          <cell r="B451" t="str">
            <v>BARCLAYS BANK - UNIT LINK 5024895</v>
          </cell>
          <cell r="C451">
            <v>0</v>
          </cell>
          <cell r="D451">
            <v>0</v>
          </cell>
          <cell r="E451">
            <v>0</v>
          </cell>
          <cell r="F451">
            <v>0</v>
          </cell>
        </row>
        <row r="452">
          <cell r="A452" t="str">
            <v>700-90-320</v>
          </cell>
          <cell r="B452" t="str">
            <v>KENYA COMMERCIAL BANK-017-229714944</v>
          </cell>
          <cell r="C452">
            <v>0</v>
          </cell>
          <cell r="D452">
            <v>0</v>
          </cell>
          <cell r="E452">
            <v>0</v>
          </cell>
          <cell r="F452">
            <v>0</v>
          </cell>
        </row>
        <row r="453">
          <cell r="A453" t="str">
            <v>700-90-321</v>
          </cell>
          <cell r="B453" t="str">
            <v>CALL DEPOSIT-BARLAYS PLAZA</v>
          </cell>
          <cell r="C453">
            <v>0</v>
          </cell>
          <cell r="D453">
            <v>0</v>
          </cell>
          <cell r="E453">
            <v>0</v>
          </cell>
          <cell r="F453">
            <v>0</v>
          </cell>
        </row>
        <row r="454">
          <cell r="A454" t="str">
            <v>700-90-322</v>
          </cell>
          <cell r="B454" t="str">
            <v>CALL DEPOSIT-BARLAYS CORPORATE BUSINESS</v>
          </cell>
          <cell r="C454">
            <v>0</v>
          </cell>
          <cell r="D454">
            <v>0</v>
          </cell>
          <cell r="E454">
            <v>0</v>
          </cell>
          <cell r="F454">
            <v>0</v>
          </cell>
        </row>
        <row r="455">
          <cell r="A455" t="str">
            <v>700-90-325</v>
          </cell>
          <cell r="B455" t="str">
            <v>STANDARD CHARTERED - PAN AFRICA RENT</v>
          </cell>
          <cell r="C455">
            <v>0</v>
          </cell>
          <cell r="D455">
            <v>0</v>
          </cell>
          <cell r="E455">
            <v>0</v>
          </cell>
          <cell r="F455">
            <v>0</v>
          </cell>
        </row>
        <row r="456">
          <cell r="A456" t="str">
            <v>700-90-326</v>
          </cell>
          <cell r="B456" t="str">
            <v>YEAR END BANK BALANCES ADJUSTMENT</v>
          </cell>
          <cell r="C456">
            <v>0</v>
          </cell>
          <cell r="D456">
            <v>0</v>
          </cell>
          <cell r="E456">
            <v>0</v>
          </cell>
          <cell r="F456">
            <v>0</v>
          </cell>
        </row>
        <row r="457">
          <cell r="A457" t="str">
            <v>700-95-010</v>
          </cell>
          <cell r="B457" t="str">
            <v>PETTY CASH</v>
          </cell>
          <cell r="C457">
            <v>0</v>
          </cell>
          <cell r="D457">
            <v>0</v>
          </cell>
          <cell r="E457">
            <v>0</v>
          </cell>
          <cell r="F457">
            <v>0</v>
          </cell>
        </row>
        <row r="458">
          <cell r="A458" t="str">
            <v>700-96-010</v>
          </cell>
          <cell r="B458" t="str">
            <v>GROUP PREMIUM DEBTOR</v>
          </cell>
          <cell r="C458">
            <v>7716329.9299999997</v>
          </cell>
          <cell r="D458">
            <v>1776200.7</v>
          </cell>
          <cell r="E458">
            <v>9492530.6300000008</v>
          </cell>
          <cell r="F458">
            <v>9492530.6300000008</v>
          </cell>
        </row>
        <row r="459">
          <cell r="A459" t="str">
            <v>800-10-010</v>
          </cell>
          <cell r="B459" t="str">
            <v>CHANGE IN POLICYHOLDER LIABILITIES</v>
          </cell>
          <cell r="C459">
            <v>-293372886</v>
          </cell>
          <cell r="D459">
            <v>0</v>
          </cell>
          <cell r="E459">
            <v>-293372886</v>
          </cell>
          <cell r="F459">
            <v>-293372886</v>
          </cell>
        </row>
        <row r="460">
          <cell r="A460" t="str">
            <v>800-10-011</v>
          </cell>
          <cell r="B460" t="str">
            <v>DEFERRED INCOME PRIOR YEAR ADJUSTMENT</v>
          </cell>
          <cell r="C460">
            <v>0</v>
          </cell>
          <cell r="D460">
            <v>0</v>
          </cell>
          <cell r="E460">
            <v>0</v>
          </cell>
          <cell r="F460">
            <v>0</v>
          </cell>
        </row>
        <row r="461">
          <cell r="A461" t="str">
            <v>800-10-015</v>
          </cell>
          <cell r="B461" t="str">
            <v>GENERAL FUND</v>
          </cell>
          <cell r="C461">
            <v>0</v>
          </cell>
          <cell r="D461">
            <v>0</v>
          </cell>
          <cell r="E461">
            <v>0</v>
          </cell>
          <cell r="F461">
            <v>0</v>
          </cell>
        </row>
        <row r="462">
          <cell r="A462" t="str">
            <v>800-10-020</v>
          </cell>
          <cell r="B462" t="str">
            <v>CLAIMS RESERVES</v>
          </cell>
          <cell r="C462">
            <v>0</v>
          </cell>
          <cell r="D462">
            <v>0</v>
          </cell>
          <cell r="E462">
            <v>0</v>
          </cell>
          <cell r="F462">
            <v>0</v>
          </cell>
        </row>
        <row r="463">
          <cell r="A463" t="str">
            <v>800-10-025</v>
          </cell>
          <cell r="B463" t="str">
            <v>UNIT LINK INVESTMENTS</v>
          </cell>
          <cell r="C463">
            <v>0</v>
          </cell>
          <cell r="D463">
            <v>0</v>
          </cell>
          <cell r="E463">
            <v>0</v>
          </cell>
          <cell r="F463">
            <v>0</v>
          </cell>
        </row>
        <row r="464">
          <cell r="A464" t="str">
            <v>800-10-050</v>
          </cell>
          <cell r="B464" t="str">
            <v>TRANSFER TO SHAREHOLDERS FUND</v>
          </cell>
          <cell r="C464">
            <v>0</v>
          </cell>
          <cell r="D464">
            <v>0</v>
          </cell>
          <cell r="E464">
            <v>0</v>
          </cell>
          <cell r="F464">
            <v>0</v>
          </cell>
        </row>
        <row r="465">
          <cell r="A465" t="str">
            <v>800-12-010</v>
          </cell>
          <cell r="B465" t="str">
            <v>MEMORANDUM ENTRIES</v>
          </cell>
          <cell r="C465">
            <v>0</v>
          </cell>
          <cell r="D465">
            <v>0</v>
          </cell>
          <cell r="E465">
            <v>0</v>
          </cell>
          <cell r="F465">
            <v>0</v>
          </cell>
        </row>
        <row r="466">
          <cell r="A466" t="str">
            <v>800-15-010</v>
          </cell>
          <cell r="B466" t="str">
            <v>UNPROCESSED PREMIUMS-DDI</v>
          </cell>
          <cell r="C466">
            <v>0</v>
          </cell>
          <cell r="D466">
            <v>0</v>
          </cell>
          <cell r="E466">
            <v>0</v>
          </cell>
          <cell r="F466">
            <v>0</v>
          </cell>
        </row>
        <row r="467">
          <cell r="A467" t="str">
            <v>800-15-011</v>
          </cell>
          <cell r="B467" t="str">
            <v>UNPROCESSED PREMIUMS-BSO</v>
          </cell>
          <cell r="C467">
            <v>0</v>
          </cell>
          <cell r="D467">
            <v>0</v>
          </cell>
          <cell r="E467">
            <v>0</v>
          </cell>
          <cell r="F467">
            <v>0</v>
          </cell>
        </row>
        <row r="468">
          <cell r="A468" t="str">
            <v>800-15-012</v>
          </cell>
          <cell r="B468" t="str">
            <v>UNPROCESSED PREMIUMS-CHECK OFF</v>
          </cell>
          <cell r="C468">
            <v>0</v>
          </cell>
          <cell r="D468">
            <v>0</v>
          </cell>
          <cell r="E468">
            <v>0</v>
          </cell>
          <cell r="F468">
            <v>0</v>
          </cell>
        </row>
        <row r="469">
          <cell r="A469" t="str">
            <v>800-15-013</v>
          </cell>
          <cell r="B469" t="str">
            <v>UNPROCESSED PREMIUMS-CASH</v>
          </cell>
          <cell r="C469">
            <v>0</v>
          </cell>
          <cell r="D469">
            <v>0</v>
          </cell>
          <cell r="E469">
            <v>0</v>
          </cell>
          <cell r="F469">
            <v>0</v>
          </cell>
        </row>
        <row r="470">
          <cell r="A470" t="str">
            <v>800-15-014</v>
          </cell>
          <cell r="B470" t="str">
            <v>UNPROCESSED PREMIUMS-WOP</v>
          </cell>
          <cell r="C470">
            <v>0</v>
          </cell>
          <cell r="D470">
            <v>0</v>
          </cell>
          <cell r="E470">
            <v>0</v>
          </cell>
          <cell r="F470">
            <v>0</v>
          </cell>
        </row>
        <row r="471">
          <cell r="A471" t="str">
            <v>800-15-020</v>
          </cell>
          <cell r="B471" t="str">
            <v>INACTIVE LEDGER</v>
          </cell>
          <cell r="C471">
            <v>0</v>
          </cell>
          <cell r="D471">
            <v>0</v>
          </cell>
          <cell r="E471">
            <v>0</v>
          </cell>
          <cell r="F471">
            <v>0</v>
          </cell>
        </row>
        <row r="472">
          <cell r="A472" t="str">
            <v>800-15-025</v>
          </cell>
          <cell r="B472" t="str">
            <v>PREMIUMS-INADVANCE</v>
          </cell>
          <cell r="C472">
            <v>0</v>
          </cell>
          <cell r="D472">
            <v>0</v>
          </cell>
          <cell r="E472">
            <v>0</v>
          </cell>
          <cell r="F472">
            <v>0</v>
          </cell>
        </row>
        <row r="473">
          <cell r="A473" t="str">
            <v>800-15-030</v>
          </cell>
          <cell r="B473" t="str">
            <v>REFUND ON MATURITIES</v>
          </cell>
          <cell r="C473">
            <v>0</v>
          </cell>
          <cell r="D473">
            <v>0</v>
          </cell>
          <cell r="E473">
            <v>0</v>
          </cell>
          <cell r="F473">
            <v>0</v>
          </cell>
        </row>
        <row r="474">
          <cell r="A474" t="str">
            <v>800-15-035</v>
          </cell>
          <cell r="B474" t="str">
            <v>REFUND ON CANCELLED POLICIES</v>
          </cell>
          <cell r="C474">
            <v>0</v>
          </cell>
          <cell r="D474">
            <v>0</v>
          </cell>
          <cell r="E474">
            <v>0</v>
          </cell>
          <cell r="F474">
            <v>0</v>
          </cell>
        </row>
        <row r="475">
          <cell r="A475" t="str">
            <v>800-15-040</v>
          </cell>
          <cell r="B475" t="str">
            <v>REFUND ON CANCELLED PROPOSALS</v>
          </cell>
          <cell r="C475">
            <v>0</v>
          </cell>
          <cell r="D475">
            <v>0</v>
          </cell>
          <cell r="E475">
            <v>0</v>
          </cell>
          <cell r="F475">
            <v>0</v>
          </cell>
        </row>
        <row r="476">
          <cell r="A476" t="str">
            <v>800-15-045</v>
          </cell>
          <cell r="B476" t="str">
            <v>REFUND ON SURRENDERS</v>
          </cell>
          <cell r="C476">
            <v>0</v>
          </cell>
          <cell r="D476">
            <v>0</v>
          </cell>
          <cell r="E476">
            <v>0</v>
          </cell>
          <cell r="F476">
            <v>0</v>
          </cell>
        </row>
        <row r="477">
          <cell r="A477" t="str">
            <v>800-15-050</v>
          </cell>
          <cell r="B477" t="str">
            <v>REFUND ON ERRONEOUS DEDUCTION</v>
          </cell>
          <cell r="C477">
            <v>0</v>
          </cell>
          <cell r="D477">
            <v>0</v>
          </cell>
          <cell r="E477">
            <v>0</v>
          </cell>
          <cell r="F477">
            <v>0</v>
          </cell>
        </row>
        <row r="478">
          <cell r="A478" t="str">
            <v>800-15-055</v>
          </cell>
          <cell r="B478" t="str">
            <v>REFUND ON 56,44,21 OTHERS</v>
          </cell>
          <cell r="C478">
            <v>0</v>
          </cell>
          <cell r="D478">
            <v>0</v>
          </cell>
          <cell r="E478">
            <v>0</v>
          </cell>
          <cell r="F478">
            <v>0</v>
          </cell>
        </row>
        <row r="479">
          <cell r="A479" t="str">
            <v>800-15-060</v>
          </cell>
          <cell r="B479" t="str">
            <v>UNDEFINED CREDITS</v>
          </cell>
          <cell r="C479">
            <v>0</v>
          </cell>
          <cell r="D479">
            <v>0</v>
          </cell>
          <cell r="E479">
            <v>0</v>
          </cell>
          <cell r="F479">
            <v>0</v>
          </cell>
        </row>
        <row r="480">
          <cell r="A480" t="str">
            <v>800-15-070</v>
          </cell>
          <cell r="B480" t="str">
            <v>PAYPOINT SUSPENSE</v>
          </cell>
          <cell r="C480">
            <v>0</v>
          </cell>
          <cell r="D480">
            <v>0</v>
          </cell>
          <cell r="E480">
            <v>0</v>
          </cell>
          <cell r="F480">
            <v>0</v>
          </cell>
        </row>
        <row r="481">
          <cell r="A481" t="str">
            <v>800-15-080</v>
          </cell>
          <cell r="B481" t="str">
            <v>MANUAL SUSPENSE</v>
          </cell>
          <cell r="C481">
            <v>0</v>
          </cell>
          <cell r="D481">
            <v>0</v>
          </cell>
          <cell r="E481">
            <v>0</v>
          </cell>
          <cell r="F481">
            <v>0</v>
          </cell>
        </row>
        <row r="482">
          <cell r="A482" t="str">
            <v>800-25-010</v>
          </cell>
          <cell r="B482" t="str">
            <v>LEASE LEGAL</v>
          </cell>
          <cell r="C482">
            <v>0</v>
          </cell>
          <cell r="D482">
            <v>0</v>
          </cell>
          <cell r="E482">
            <v>0</v>
          </cell>
          <cell r="F482">
            <v>0</v>
          </cell>
        </row>
        <row r="483">
          <cell r="A483" t="str">
            <v>800-25-015</v>
          </cell>
          <cell r="B483" t="str">
            <v>DEPOSITS RECEIVED(BUILDINGS)</v>
          </cell>
          <cell r="C483">
            <v>0</v>
          </cell>
          <cell r="D483">
            <v>0</v>
          </cell>
          <cell r="E483">
            <v>0</v>
          </cell>
          <cell r="F483">
            <v>0</v>
          </cell>
        </row>
        <row r="484">
          <cell r="A484" t="str">
            <v>800-25-020</v>
          </cell>
          <cell r="B484" t="str">
            <v>RENT RECEIVED IN ADVANCE-ANNUITY</v>
          </cell>
          <cell r="C484">
            <v>0</v>
          </cell>
          <cell r="D484">
            <v>0</v>
          </cell>
          <cell r="E484">
            <v>0</v>
          </cell>
          <cell r="F484">
            <v>0</v>
          </cell>
        </row>
        <row r="485">
          <cell r="A485" t="str">
            <v>800-25-030</v>
          </cell>
          <cell r="B485" t="str">
            <v>RENTAL ACCRUALS</v>
          </cell>
          <cell r="C485">
            <v>0</v>
          </cell>
          <cell r="D485">
            <v>0</v>
          </cell>
          <cell r="E485">
            <v>0</v>
          </cell>
          <cell r="F485">
            <v>0</v>
          </cell>
        </row>
        <row r="486">
          <cell r="A486" t="str">
            <v>800-30-010</v>
          </cell>
          <cell r="B486" t="str">
            <v>OUTPUT VAT</v>
          </cell>
          <cell r="C486">
            <v>0.22</v>
          </cell>
          <cell r="D486">
            <v>0</v>
          </cell>
          <cell r="E486">
            <v>0.22</v>
          </cell>
          <cell r="F486">
            <v>0.22</v>
          </cell>
        </row>
        <row r="487">
          <cell r="A487" t="str">
            <v>800-30-015</v>
          </cell>
          <cell r="B487" t="str">
            <v>CASH-IN-LIEU LEAVE</v>
          </cell>
          <cell r="C487">
            <v>0</v>
          </cell>
          <cell r="D487">
            <v>0</v>
          </cell>
          <cell r="E487">
            <v>0</v>
          </cell>
          <cell r="F487">
            <v>0</v>
          </cell>
        </row>
        <row r="488">
          <cell r="A488" t="str">
            <v>800-30-016</v>
          </cell>
          <cell r="B488" t="str">
            <v>OTHER ACCRUALS</v>
          </cell>
          <cell r="C488">
            <v>0</v>
          </cell>
          <cell r="D488">
            <v>0</v>
          </cell>
          <cell r="E488">
            <v>0</v>
          </cell>
          <cell r="F488">
            <v>0</v>
          </cell>
        </row>
        <row r="489">
          <cell r="A489" t="str">
            <v>800-30-017</v>
          </cell>
          <cell r="B489" t="str">
            <v>CUSTODY FEES</v>
          </cell>
          <cell r="C489">
            <v>0</v>
          </cell>
          <cell r="D489">
            <v>0</v>
          </cell>
          <cell r="E489">
            <v>0</v>
          </cell>
          <cell r="F489">
            <v>0</v>
          </cell>
        </row>
        <row r="490">
          <cell r="A490" t="str">
            <v>800-30-018</v>
          </cell>
          <cell r="B490" t="str">
            <v>O/S TAX</v>
          </cell>
          <cell r="C490">
            <v>0</v>
          </cell>
          <cell r="D490">
            <v>0</v>
          </cell>
          <cell r="E490">
            <v>0</v>
          </cell>
          <cell r="F490">
            <v>0</v>
          </cell>
        </row>
        <row r="491">
          <cell r="A491" t="str">
            <v>800-30-019</v>
          </cell>
          <cell r="B491" t="str">
            <v>DISPOSAL PROCEEDS FREE LANDER</v>
          </cell>
          <cell r="C491">
            <v>0</v>
          </cell>
          <cell r="D491">
            <v>0</v>
          </cell>
          <cell r="E491">
            <v>0</v>
          </cell>
          <cell r="F491">
            <v>0</v>
          </cell>
        </row>
        <row r="492">
          <cell r="A492" t="str">
            <v>800-30-020</v>
          </cell>
          <cell r="B492" t="str">
            <v>TRADE CREDITORS</v>
          </cell>
          <cell r="C492">
            <v>-311316.90000000002</v>
          </cell>
          <cell r="D492">
            <v>0</v>
          </cell>
          <cell r="E492">
            <v>-311316.90000000002</v>
          </cell>
          <cell r="F492">
            <v>-311316.90000000002</v>
          </cell>
        </row>
        <row r="493">
          <cell r="A493" t="str">
            <v>800-30-025</v>
          </cell>
          <cell r="B493" t="str">
            <v>PROVISIONS FOR EXPENSES</v>
          </cell>
          <cell r="C493">
            <v>0</v>
          </cell>
          <cell r="D493">
            <v>0</v>
          </cell>
          <cell r="E493">
            <v>0</v>
          </cell>
          <cell r="F493">
            <v>0</v>
          </cell>
        </row>
        <row r="494">
          <cell r="A494" t="str">
            <v>800-30-026</v>
          </cell>
          <cell r="B494" t="str">
            <v>PROVISION FOR BAD DEBTS-PREMIUM INCOME</v>
          </cell>
          <cell r="C494">
            <v>0</v>
          </cell>
          <cell r="D494">
            <v>0</v>
          </cell>
          <cell r="E494">
            <v>0</v>
          </cell>
          <cell r="F494">
            <v>0</v>
          </cell>
        </row>
        <row r="495">
          <cell r="A495" t="str">
            <v>800-30-029</v>
          </cell>
          <cell r="B495" t="str">
            <v>APA INSURANCE</v>
          </cell>
          <cell r="C495">
            <v>0</v>
          </cell>
          <cell r="D495">
            <v>0</v>
          </cell>
          <cell r="E495">
            <v>0</v>
          </cell>
          <cell r="F495">
            <v>0</v>
          </cell>
        </row>
        <row r="496">
          <cell r="A496" t="str">
            <v>800-30-030</v>
          </cell>
          <cell r="B496" t="str">
            <v>ALA TZ</v>
          </cell>
          <cell r="C496">
            <v>0</v>
          </cell>
          <cell r="D496">
            <v>0</v>
          </cell>
          <cell r="E496">
            <v>0</v>
          </cell>
          <cell r="F496">
            <v>0</v>
          </cell>
        </row>
        <row r="497">
          <cell r="A497" t="str">
            <v>800-30-031</v>
          </cell>
          <cell r="B497" t="str">
            <v>PA SECURITIES</v>
          </cell>
          <cell r="C497">
            <v>0</v>
          </cell>
          <cell r="D497">
            <v>0</v>
          </cell>
          <cell r="E497">
            <v>0</v>
          </cell>
          <cell r="F497">
            <v>0</v>
          </cell>
        </row>
        <row r="498">
          <cell r="A498" t="str">
            <v>800-30-032</v>
          </cell>
          <cell r="B498" t="str">
            <v>EXECUTIVE CONTRA</v>
          </cell>
          <cell r="C498">
            <v>0</v>
          </cell>
          <cell r="D498">
            <v>0</v>
          </cell>
          <cell r="E498">
            <v>0</v>
          </cell>
          <cell r="F498">
            <v>0</v>
          </cell>
        </row>
        <row r="499">
          <cell r="A499" t="str">
            <v>800-30-033</v>
          </cell>
          <cell r="B499" t="str">
            <v>DELOITTE(ACTUARY)</v>
          </cell>
          <cell r="C499">
            <v>0</v>
          </cell>
          <cell r="D499">
            <v>0</v>
          </cell>
          <cell r="E499">
            <v>0</v>
          </cell>
          <cell r="F499">
            <v>0</v>
          </cell>
        </row>
        <row r="500">
          <cell r="A500" t="str">
            <v>800-30-034</v>
          </cell>
          <cell r="B500" t="str">
            <v>PAIC HOLDINGS</v>
          </cell>
          <cell r="C500">
            <v>0</v>
          </cell>
          <cell r="D500">
            <v>0</v>
          </cell>
          <cell r="E500">
            <v>0</v>
          </cell>
          <cell r="F500">
            <v>0</v>
          </cell>
        </row>
        <row r="501">
          <cell r="A501" t="str">
            <v>800-30-035</v>
          </cell>
          <cell r="B501" t="str">
            <v>ALA-INTERCOMPANY</v>
          </cell>
          <cell r="C501">
            <v>0</v>
          </cell>
          <cell r="D501">
            <v>0</v>
          </cell>
          <cell r="E501">
            <v>0</v>
          </cell>
          <cell r="F501">
            <v>0</v>
          </cell>
        </row>
        <row r="502">
          <cell r="A502" t="str">
            <v>800-30-036</v>
          </cell>
          <cell r="B502" t="str">
            <v>POLICY LOANS ON UNIT LINK</v>
          </cell>
          <cell r="C502">
            <v>0</v>
          </cell>
          <cell r="D502">
            <v>0</v>
          </cell>
          <cell r="E502">
            <v>0</v>
          </cell>
          <cell r="F502">
            <v>0</v>
          </cell>
        </row>
        <row r="503">
          <cell r="A503" t="str">
            <v>800-30-037</v>
          </cell>
          <cell r="B503" t="str">
            <v>PAHL-INVESTMENT INCOME</v>
          </cell>
          <cell r="C503">
            <v>159293</v>
          </cell>
          <cell r="D503">
            <v>0</v>
          </cell>
          <cell r="E503">
            <v>159293</v>
          </cell>
          <cell r="F503">
            <v>159293</v>
          </cell>
        </row>
        <row r="504">
          <cell r="A504" t="str">
            <v>800-30-040</v>
          </cell>
          <cell r="B504" t="str">
            <v>NET PAY</v>
          </cell>
          <cell r="C504">
            <v>0</v>
          </cell>
          <cell r="D504">
            <v>0</v>
          </cell>
          <cell r="E504">
            <v>0</v>
          </cell>
          <cell r="F504">
            <v>0</v>
          </cell>
        </row>
        <row r="505">
          <cell r="A505" t="str">
            <v>800-30-045</v>
          </cell>
          <cell r="B505" t="str">
            <v>CO-OP SAVING - STAFF</v>
          </cell>
          <cell r="C505">
            <v>-23239</v>
          </cell>
          <cell r="D505">
            <v>0</v>
          </cell>
          <cell r="E505">
            <v>-23239</v>
          </cell>
          <cell r="F505">
            <v>-23239</v>
          </cell>
        </row>
        <row r="506">
          <cell r="A506" t="str">
            <v>800-30-050</v>
          </cell>
          <cell r="B506" t="str">
            <v>PAYROLL CREDITORS - STAFF</v>
          </cell>
          <cell r="C506">
            <v>0</v>
          </cell>
          <cell r="D506">
            <v>0</v>
          </cell>
          <cell r="E506">
            <v>0</v>
          </cell>
          <cell r="F506">
            <v>0</v>
          </cell>
        </row>
        <row r="507">
          <cell r="A507" t="str">
            <v>800-30-051</v>
          </cell>
          <cell r="B507" t="str">
            <v>MANCOM SINBIN</v>
          </cell>
          <cell r="C507">
            <v>0</v>
          </cell>
          <cell r="D507">
            <v>0</v>
          </cell>
          <cell r="E507">
            <v>0</v>
          </cell>
          <cell r="F507">
            <v>0</v>
          </cell>
        </row>
        <row r="508">
          <cell r="A508" t="str">
            <v>800-30-052</v>
          </cell>
          <cell r="B508" t="str">
            <v>STAFF DONATIONS</v>
          </cell>
          <cell r="C508">
            <v>0</v>
          </cell>
          <cell r="D508">
            <v>0</v>
          </cell>
          <cell r="E508">
            <v>0</v>
          </cell>
          <cell r="F508">
            <v>0</v>
          </cell>
        </row>
        <row r="509">
          <cell r="A509" t="str">
            <v>800-30-055</v>
          </cell>
          <cell r="B509" t="str">
            <v>PENSION - STAFF</v>
          </cell>
          <cell r="C509">
            <v>0</v>
          </cell>
          <cell r="D509">
            <v>0</v>
          </cell>
          <cell r="E509">
            <v>0</v>
          </cell>
          <cell r="F509">
            <v>0</v>
          </cell>
        </row>
        <row r="510">
          <cell r="A510" t="str">
            <v>800-30-060</v>
          </cell>
          <cell r="B510" t="str">
            <v>N .H .I. F</v>
          </cell>
          <cell r="C510">
            <v>0</v>
          </cell>
          <cell r="D510">
            <v>0</v>
          </cell>
          <cell r="E510">
            <v>0</v>
          </cell>
          <cell r="F510">
            <v>0</v>
          </cell>
        </row>
        <row r="511">
          <cell r="A511" t="str">
            <v>800-30-065</v>
          </cell>
          <cell r="B511" t="str">
            <v>N.S.S.F</v>
          </cell>
          <cell r="C511">
            <v>0</v>
          </cell>
          <cell r="D511">
            <v>0</v>
          </cell>
          <cell r="E511">
            <v>0</v>
          </cell>
          <cell r="F511">
            <v>0</v>
          </cell>
        </row>
        <row r="512">
          <cell r="A512" t="str">
            <v>800-30-070</v>
          </cell>
          <cell r="B512" t="str">
            <v>ACTUARIAL FEES</v>
          </cell>
          <cell r="C512">
            <v>0</v>
          </cell>
          <cell r="D512">
            <v>0</v>
          </cell>
          <cell r="E512">
            <v>0</v>
          </cell>
          <cell r="F512">
            <v>0</v>
          </cell>
        </row>
        <row r="513">
          <cell r="A513" t="str">
            <v>800-30-071</v>
          </cell>
          <cell r="B513" t="str">
            <v>GRATUITY</v>
          </cell>
          <cell r="C513">
            <v>0</v>
          </cell>
          <cell r="D513">
            <v>0</v>
          </cell>
          <cell r="E513">
            <v>0</v>
          </cell>
          <cell r="F513">
            <v>0</v>
          </cell>
        </row>
        <row r="514">
          <cell r="A514" t="str">
            <v>800-30-072</v>
          </cell>
          <cell r="B514" t="str">
            <v>AIG FEES</v>
          </cell>
          <cell r="C514">
            <v>-127411</v>
          </cell>
          <cell r="D514">
            <v>0</v>
          </cell>
          <cell r="E514">
            <v>-127411</v>
          </cell>
          <cell r="F514">
            <v>-127411</v>
          </cell>
        </row>
        <row r="515">
          <cell r="A515" t="str">
            <v>800-30-073</v>
          </cell>
          <cell r="B515" t="str">
            <v>CUSTODY FEES</v>
          </cell>
          <cell r="C515">
            <v>-20877</v>
          </cell>
          <cell r="D515">
            <v>0</v>
          </cell>
          <cell r="E515">
            <v>-20877</v>
          </cell>
          <cell r="F515">
            <v>-20877</v>
          </cell>
        </row>
        <row r="516">
          <cell r="A516" t="str">
            <v>800-30-075</v>
          </cell>
          <cell r="B516" t="str">
            <v>AUDIT FEES</v>
          </cell>
          <cell r="C516">
            <v>0</v>
          </cell>
          <cell r="D516">
            <v>0</v>
          </cell>
          <cell r="E516">
            <v>0</v>
          </cell>
          <cell r="F516">
            <v>0</v>
          </cell>
        </row>
        <row r="517">
          <cell r="A517" t="str">
            <v>800-30-080</v>
          </cell>
          <cell r="B517" t="str">
            <v>STAFF BONUS</v>
          </cell>
          <cell r="C517">
            <v>0</v>
          </cell>
          <cell r="D517">
            <v>0</v>
          </cell>
          <cell r="E517">
            <v>0</v>
          </cell>
          <cell r="F517">
            <v>0</v>
          </cell>
        </row>
        <row r="518">
          <cell r="A518" t="str">
            <v>800-30-081</v>
          </cell>
          <cell r="B518" t="str">
            <v>STAFF BONUS-PRIOR YEAR PROV</v>
          </cell>
          <cell r="C518">
            <v>0</v>
          </cell>
          <cell r="D518">
            <v>0</v>
          </cell>
          <cell r="E518">
            <v>0</v>
          </cell>
          <cell r="F518">
            <v>0</v>
          </cell>
        </row>
        <row r="519">
          <cell r="A519" t="str">
            <v>800-30-082</v>
          </cell>
          <cell r="B519" t="str">
            <v>LONG TERM INCENTIVE PLAN</v>
          </cell>
          <cell r="C519">
            <v>0</v>
          </cell>
          <cell r="D519">
            <v>0</v>
          </cell>
          <cell r="E519">
            <v>0</v>
          </cell>
          <cell r="F519">
            <v>0</v>
          </cell>
        </row>
        <row r="520">
          <cell r="A520" t="str">
            <v>800-30-085</v>
          </cell>
          <cell r="B520" t="str">
            <v>W/TAX-AGENTS</v>
          </cell>
          <cell r="C520">
            <v>0</v>
          </cell>
          <cell r="D520">
            <v>0</v>
          </cell>
          <cell r="E520">
            <v>0</v>
          </cell>
          <cell r="F520">
            <v>0</v>
          </cell>
        </row>
        <row r="521">
          <cell r="A521" t="str">
            <v>800-30-090</v>
          </cell>
          <cell r="B521" t="str">
            <v>RETAINED COMMISSION</v>
          </cell>
          <cell r="C521">
            <v>0</v>
          </cell>
          <cell r="D521">
            <v>0</v>
          </cell>
          <cell r="E521">
            <v>0</v>
          </cell>
          <cell r="F521">
            <v>0</v>
          </cell>
        </row>
        <row r="522">
          <cell r="A522" t="str">
            <v>800-30-095</v>
          </cell>
          <cell r="B522" t="str">
            <v>KNIGHT FRANK</v>
          </cell>
          <cell r="C522">
            <v>0</v>
          </cell>
          <cell r="D522">
            <v>0</v>
          </cell>
          <cell r="E522">
            <v>0</v>
          </cell>
          <cell r="F522">
            <v>0</v>
          </cell>
        </row>
        <row r="523">
          <cell r="A523" t="str">
            <v>800-30-100</v>
          </cell>
          <cell r="B523" t="str">
            <v>PAYE</v>
          </cell>
          <cell r="C523">
            <v>0</v>
          </cell>
          <cell r="D523">
            <v>0</v>
          </cell>
          <cell r="E523">
            <v>0</v>
          </cell>
          <cell r="F523">
            <v>0</v>
          </cell>
        </row>
        <row r="524">
          <cell r="A524" t="str">
            <v>800-30-105</v>
          </cell>
          <cell r="B524" t="str">
            <v>ALA GROUP CHARGES</v>
          </cell>
          <cell r="C524">
            <v>0</v>
          </cell>
          <cell r="D524">
            <v>0</v>
          </cell>
          <cell r="E524">
            <v>0</v>
          </cell>
          <cell r="F524">
            <v>0</v>
          </cell>
        </row>
        <row r="525">
          <cell r="A525" t="str">
            <v>800-30-110</v>
          </cell>
          <cell r="B525" t="str">
            <v>AGENTS PAYROLL CREDITORS</v>
          </cell>
          <cell r="C525">
            <v>0</v>
          </cell>
          <cell r="D525">
            <v>0</v>
          </cell>
          <cell r="E525">
            <v>0</v>
          </cell>
          <cell r="F525">
            <v>0</v>
          </cell>
        </row>
        <row r="526">
          <cell r="A526" t="str">
            <v>800-30-115</v>
          </cell>
          <cell r="B526" t="str">
            <v>AGENCY PENSION</v>
          </cell>
          <cell r="C526">
            <v>0</v>
          </cell>
          <cell r="D526">
            <v>0</v>
          </cell>
          <cell r="E526">
            <v>0</v>
          </cell>
          <cell r="F526">
            <v>0</v>
          </cell>
        </row>
        <row r="527">
          <cell r="A527" t="str">
            <v>800-30-120</v>
          </cell>
          <cell r="B527" t="str">
            <v>AGENTS CO-OP SAVINGS</v>
          </cell>
          <cell r="C527">
            <v>0</v>
          </cell>
          <cell r="D527">
            <v>0</v>
          </cell>
          <cell r="E527">
            <v>0</v>
          </cell>
          <cell r="F527">
            <v>0</v>
          </cell>
        </row>
        <row r="528">
          <cell r="A528" t="str">
            <v>800-30-122</v>
          </cell>
          <cell r="B528" t="str">
            <v>N.H.I.F - AGENTS</v>
          </cell>
          <cell r="C528">
            <v>0</v>
          </cell>
          <cell r="D528">
            <v>0</v>
          </cell>
          <cell r="E528">
            <v>0</v>
          </cell>
          <cell r="F528">
            <v>0</v>
          </cell>
        </row>
        <row r="529">
          <cell r="A529" t="str">
            <v>800-30-123</v>
          </cell>
          <cell r="B529" t="str">
            <v>N.S.S.F-AGENTS</v>
          </cell>
          <cell r="C529">
            <v>0</v>
          </cell>
          <cell r="D529">
            <v>0</v>
          </cell>
          <cell r="E529">
            <v>0</v>
          </cell>
          <cell r="F529">
            <v>0</v>
          </cell>
        </row>
        <row r="530">
          <cell r="A530" t="str">
            <v>800-30-125</v>
          </cell>
          <cell r="B530" t="str">
            <v>STALE CHEQUES - 5039035</v>
          </cell>
          <cell r="C530">
            <v>0</v>
          </cell>
          <cell r="D530">
            <v>0</v>
          </cell>
          <cell r="E530">
            <v>0</v>
          </cell>
          <cell r="F530">
            <v>0</v>
          </cell>
        </row>
        <row r="531">
          <cell r="A531" t="str">
            <v>800-30-130</v>
          </cell>
          <cell r="B531" t="str">
            <v>STALE CHEQUES - CBA</v>
          </cell>
          <cell r="C531">
            <v>0</v>
          </cell>
          <cell r="D531">
            <v>0</v>
          </cell>
          <cell r="E531">
            <v>0</v>
          </cell>
          <cell r="F531">
            <v>0</v>
          </cell>
        </row>
        <row r="532">
          <cell r="A532" t="str">
            <v>800-30-135</v>
          </cell>
          <cell r="B532" t="str">
            <v>STALE CHEQUES - INDOSUEZ</v>
          </cell>
          <cell r="C532">
            <v>0</v>
          </cell>
          <cell r="D532">
            <v>0</v>
          </cell>
          <cell r="E532">
            <v>0</v>
          </cell>
          <cell r="F532">
            <v>0</v>
          </cell>
        </row>
        <row r="533">
          <cell r="A533" t="str">
            <v>800-30-140</v>
          </cell>
          <cell r="B533" t="str">
            <v>STALE CHEQUES -5776688</v>
          </cell>
          <cell r="C533">
            <v>0</v>
          </cell>
          <cell r="D533">
            <v>0</v>
          </cell>
          <cell r="E533">
            <v>0</v>
          </cell>
          <cell r="F533">
            <v>0</v>
          </cell>
        </row>
        <row r="534">
          <cell r="A534" t="str">
            <v>800-30-145</v>
          </cell>
          <cell r="B534" t="str">
            <v>STALE CHEQUES -5039027</v>
          </cell>
          <cell r="C534">
            <v>0</v>
          </cell>
          <cell r="D534">
            <v>0</v>
          </cell>
          <cell r="E534">
            <v>0</v>
          </cell>
          <cell r="F534">
            <v>0</v>
          </cell>
        </row>
        <row r="535">
          <cell r="A535" t="str">
            <v>800-30-150</v>
          </cell>
          <cell r="B535" t="str">
            <v>STALE CHEQUES-5776793</v>
          </cell>
          <cell r="C535">
            <v>0</v>
          </cell>
          <cell r="D535">
            <v>0</v>
          </cell>
          <cell r="E535">
            <v>0</v>
          </cell>
          <cell r="F535">
            <v>0</v>
          </cell>
        </row>
        <row r="536">
          <cell r="A536" t="str">
            <v>800-30-155</v>
          </cell>
          <cell r="B536" t="str">
            <v>STALE CHEQUES - MOMBASA</v>
          </cell>
          <cell r="C536">
            <v>0</v>
          </cell>
          <cell r="D536">
            <v>0</v>
          </cell>
          <cell r="E536">
            <v>0</v>
          </cell>
          <cell r="F536">
            <v>0</v>
          </cell>
        </row>
        <row r="537">
          <cell r="A537" t="str">
            <v>800-30-160</v>
          </cell>
          <cell r="B537" t="str">
            <v>BROKERAGE W/TAX</v>
          </cell>
          <cell r="C537">
            <v>0</v>
          </cell>
          <cell r="D537">
            <v>0</v>
          </cell>
          <cell r="E537">
            <v>0</v>
          </cell>
          <cell r="F537">
            <v>0</v>
          </cell>
        </row>
        <row r="538">
          <cell r="A538" t="str">
            <v>800-30-165</v>
          </cell>
          <cell r="B538" t="str">
            <v>GROUP CREDITORS</v>
          </cell>
          <cell r="C538">
            <v>0</v>
          </cell>
          <cell r="D538">
            <v>0</v>
          </cell>
          <cell r="E538">
            <v>0</v>
          </cell>
          <cell r="F538">
            <v>0</v>
          </cell>
        </row>
        <row r="539">
          <cell r="A539" t="str">
            <v>800-30-170</v>
          </cell>
          <cell r="B539" t="str">
            <v>UNEARNED INTEREST</v>
          </cell>
          <cell r="C539">
            <v>0</v>
          </cell>
          <cell r="D539">
            <v>0</v>
          </cell>
          <cell r="E539">
            <v>0</v>
          </cell>
          <cell r="F539">
            <v>0</v>
          </cell>
        </row>
        <row r="540">
          <cell r="A540" t="str">
            <v>800-30-174</v>
          </cell>
          <cell r="B540" t="str">
            <v>DEPOSIT ON MORTGAGE</v>
          </cell>
          <cell r="C540">
            <v>0</v>
          </cell>
          <cell r="D540">
            <v>0</v>
          </cell>
          <cell r="E540">
            <v>0</v>
          </cell>
          <cell r="F540">
            <v>0</v>
          </cell>
        </row>
        <row r="541">
          <cell r="A541" t="str">
            <v>800-30-175</v>
          </cell>
          <cell r="B541" t="str">
            <v>CONTRA ACCOUNT(COST CENTRES)</v>
          </cell>
          <cell r="C541">
            <v>30244460.120000001</v>
          </cell>
          <cell r="D541">
            <v>-627934.9</v>
          </cell>
          <cell r="E541">
            <v>29616525.219999999</v>
          </cell>
          <cell r="F541">
            <v>29616525.219999999</v>
          </cell>
        </row>
        <row r="542">
          <cell r="A542" t="str">
            <v>800-30-180</v>
          </cell>
          <cell r="B542" t="str">
            <v>W/TAX - OTHERS</v>
          </cell>
          <cell r="C542">
            <v>-186563</v>
          </cell>
          <cell r="D542">
            <v>-48049</v>
          </cell>
          <cell r="E542">
            <v>-234612</v>
          </cell>
          <cell r="F542">
            <v>-234612</v>
          </cell>
        </row>
        <row r="543">
          <cell r="A543" t="str">
            <v>800-30-185</v>
          </cell>
          <cell r="B543" t="str">
            <v>BROKERAGE COMMISSION CONTROL ACCOUNT</v>
          </cell>
          <cell r="C543">
            <v>0</v>
          </cell>
          <cell r="D543">
            <v>0</v>
          </cell>
          <cell r="E543">
            <v>0</v>
          </cell>
          <cell r="F543">
            <v>0</v>
          </cell>
        </row>
        <row r="544">
          <cell r="A544" t="str">
            <v>800-30-190</v>
          </cell>
          <cell r="B544" t="str">
            <v>TRANSFERS CONTRA ACCOUNT</v>
          </cell>
          <cell r="C544">
            <v>0</v>
          </cell>
          <cell r="D544">
            <v>0</v>
          </cell>
          <cell r="E544">
            <v>0</v>
          </cell>
          <cell r="F544">
            <v>0</v>
          </cell>
        </row>
        <row r="545">
          <cell r="A545" t="str">
            <v>800-30-195</v>
          </cell>
          <cell r="B545" t="str">
            <v>STALE CHEQUES - UNIT LINK ACCOUNT</v>
          </cell>
          <cell r="C545">
            <v>0</v>
          </cell>
          <cell r="D545">
            <v>0</v>
          </cell>
          <cell r="E545">
            <v>0</v>
          </cell>
          <cell r="F545">
            <v>0</v>
          </cell>
        </row>
        <row r="546">
          <cell r="A546" t="str">
            <v>800-30-200</v>
          </cell>
          <cell r="B546" t="str">
            <v>STALE CHEQUES - NIC</v>
          </cell>
          <cell r="C546">
            <v>-15680</v>
          </cell>
          <cell r="D546">
            <v>0</v>
          </cell>
          <cell r="E546">
            <v>-15680</v>
          </cell>
          <cell r="F546">
            <v>-15680</v>
          </cell>
        </row>
        <row r="547">
          <cell r="A547" t="str">
            <v>800-30-205</v>
          </cell>
          <cell r="B547" t="str">
            <v>STAFF SOCIAL CLUB</v>
          </cell>
          <cell r="C547">
            <v>0</v>
          </cell>
          <cell r="D547">
            <v>0</v>
          </cell>
          <cell r="E547">
            <v>0</v>
          </cell>
          <cell r="F547">
            <v>0</v>
          </cell>
        </row>
        <row r="548">
          <cell r="A548" t="str">
            <v>800-30-210</v>
          </cell>
          <cell r="B548" t="str">
            <v>PROVISION FOR TERMINATED AGENTS</v>
          </cell>
          <cell r="C548">
            <v>0</v>
          </cell>
          <cell r="D548">
            <v>0</v>
          </cell>
          <cell r="E548">
            <v>0</v>
          </cell>
          <cell r="F548">
            <v>0</v>
          </cell>
        </row>
        <row r="549">
          <cell r="A549" t="str">
            <v>800-30-215</v>
          </cell>
          <cell r="B549" t="str">
            <v>GROUP LIFE BENEFITS</v>
          </cell>
          <cell r="C549">
            <v>0</v>
          </cell>
          <cell r="D549">
            <v>0</v>
          </cell>
          <cell r="E549">
            <v>0</v>
          </cell>
          <cell r="F549">
            <v>0</v>
          </cell>
        </row>
        <row r="550">
          <cell r="A550" t="str">
            <v>800-40-010</v>
          </cell>
          <cell r="B550" t="str">
            <v>KENYA REINSURANCE CORP-REIN PREMIUM</v>
          </cell>
          <cell r="C550">
            <v>0</v>
          </cell>
          <cell r="D550">
            <v>0</v>
          </cell>
          <cell r="E550">
            <v>0</v>
          </cell>
          <cell r="F550">
            <v>0</v>
          </cell>
        </row>
        <row r="551">
          <cell r="A551" t="str">
            <v>800-40-020</v>
          </cell>
          <cell r="B551" t="str">
            <v>EAST AFRICA REINSURANCE LTD-REIN PREM</v>
          </cell>
          <cell r="C551">
            <v>0</v>
          </cell>
          <cell r="D551">
            <v>0</v>
          </cell>
          <cell r="E551">
            <v>0</v>
          </cell>
          <cell r="F551">
            <v>0</v>
          </cell>
        </row>
        <row r="552">
          <cell r="A552" t="str">
            <v>800-40-030</v>
          </cell>
          <cell r="B552" t="str">
            <v>AFRICA REINSURANCE CORP-REIN PREM</v>
          </cell>
          <cell r="C552">
            <v>0</v>
          </cell>
          <cell r="D552">
            <v>0</v>
          </cell>
          <cell r="E552">
            <v>0</v>
          </cell>
          <cell r="F552">
            <v>0</v>
          </cell>
        </row>
        <row r="553">
          <cell r="A553" t="str">
            <v>800-40-040</v>
          </cell>
          <cell r="B553" t="str">
            <v>PTA REINSURANCE</v>
          </cell>
          <cell r="C553">
            <v>0</v>
          </cell>
          <cell r="D553">
            <v>0</v>
          </cell>
          <cell r="E553">
            <v>0</v>
          </cell>
          <cell r="F553">
            <v>0</v>
          </cell>
        </row>
        <row r="554">
          <cell r="A554" t="str">
            <v>800-40-050</v>
          </cell>
          <cell r="B554" t="str">
            <v>CICA RE</v>
          </cell>
          <cell r="C554">
            <v>0</v>
          </cell>
          <cell r="D554">
            <v>0</v>
          </cell>
          <cell r="E554">
            <v>0</v>
          </cell>
          <cell r="F554">
            <v>0</v>
          </cell>
        </row>
        <row r="555">
          <cell r="A555" t="str">
            <v>800-40-060</v>
          </cell>
          <cell r="B555" t="str">
            <v>GHANA RE</v>
          </cell>
          <cell r="C555">
            <v>0</v>
          </cell>
          <cell r="D555">
            <v>0</v>
          </cell>
          <cell r="E555">
            <v>0</v>
          </cell>
          <cell r="F555">
            <v>0</v>
          </cell>
        </row>
        <row r="556">
          <cell r="A556" t="str">
            <v>800-50-010</v>
          </cell>
          <cell r="B556" t="str">
            <v>O/S MATURITY CLAIMS</v>
          </cell>
          <cell r="C556">
            <v>0</v>
          </cell>
          <cell r="D556">
            <v>0</v>
          </cell>
          <cell r="E556">
            <v>0</v>
          </cell>
          <cell r="F556">
            <v>0</v>
          </cell>
        </row>
        <row r="557">
          <cell r="A557" t="str">
            <v>800-50-020</v>
          </cell>
          <cell r="B557" t="str">
            <v>O/S CLAIMS ENDOWMENT</v>
          </cell>
          <cell r="C557">
            <v>0</v>
          </cell>
          <cell r="D557">
            <v>0</v>
          </cell>
          <cell r="E557">
            <v>0</v>
          </cell>
          <cell r="F557">
            <v>0</v>
          </cell>
        </row>
        <row r="558">
          <cell r="A558" t="str">
            <v>800-50-030</v>
          </cell>
          <cell r="B558" t="str">
            <v>O/S DEATH CLAIMS -ORDINARY</v>
          </cell>
          <cell r="C558">
            <v>0</v>
          </cell>
          <cell r="D558">
            <v>0</v>
          </cell>
          <cell r="E558">
            <v>0</v>
          </cell>
          <cell r="F558">
            <v>0</v>
          </cell>
        </row>
        <row r="559">
          <cell r="A559" t="str">
            <v>800-50-040</v>
          </cell>
          <cell r="B559" t="str">
            <v>O/S ANNUITY CLAIMS</v>
          </cell>
          <cell r="C559">
            <v>0</v>
          </cell>
          <cell r="D559">
            <v>0</v>
          </cell>
          <cell r="E559">
            <v>0</v>
          </cell>
          <cell r="F559">
            <v>0</v>
          </cell>
        </row>
        <row r="560">
          <cell r="A560" t="str">
            <v>800-50-050</v>
          </cell>
          <cell r="B560" t="str">
            <v>O/S DEATH-TANZANIA</v>
          </cell>
          <cell r="C560">
            <v>0</v>
          </cell>
          <cell r="D560">
            <v>0</v>
          </cell>
          <cell r="E560">
            <v>0</v>
          </cell>
          <cell r="F560">
            <v>0</v>
          </cell>
        </row>
        <row r="561">
          <cell r="A561" t="str">
            <v>800-50-060</v>
          </cell>
          <cell r="B561" t="str">
            <v>O/S MATURIRT CLMS-TANZANIA</v>
          </cell>
          <cell r="C561">
            <v>0</v>
          </cell>
          <cell r="D561">
            <v>0</v>
          </cell>
          <cell r="E561">
            <v>0</v>
          </cell>
          <cell r="F561">
            <v>0</v>
          </cell>
        </row>
        <row r="562">
          <cell r="A562" t="str">
            <v>800-50-070</v>
          </cell>
          <cell r="B562" t="str">
            <v>O/S FFFP DEATH CLAIMS</v>
          </cell>
          <cell r="C562">
            <v>0</v>
          </cell>
          <cell r="D562">
            <v>0</v>
          </cell>
          <cell r="E562">
            <v>0</v>
          </cell>
          <cell r="F562">
            <v>0</v>
          </cell>
        </row>
        <row r="563">
          <cell r="A563" t="str">
            <v>800-50-080</v>
          </cell>
          <cell r="B563" t="str">
            <v>O/S WP CLAIMS</v>
          </cell>
          <cell r="C563">
            <v>0</v>
          </cell>
          <cell r="D563">
            <v>0</v>
          </cell>
          <cell r="E563">
            <v>0</v>
          </cell>
          <cell r="F563">
            <v>0</v>
          </cell>
        </row>
        <row r="564">
          <cell r="A564" t="str">
            <v>800-50-085</v>
          </cell>
          <cell r="B564" t="str">
            <v>O/S PENSIONS</v>
          </cell>
          <cell r="C564">
            <v>0</v>
          </cell>
          <cell r="D564">
            <v>0</v>
          </cell>
          <cell r="E564">
            <v>0</v>
          </cell>
          <cell r="F564">
            <v>0</v>
          </cell>
        </row>
        <row r="565">
          <cell r="A565" t="str">
            <v>800-50-090</v>
          </cell>
          <cell r="B565" t="str">
            <v>O/S GROUP DEATH CLAIMS</v>
          </cell>
          <cell r="C565">
            <v>0</v>
          </cell>
          <cell r="D565">
            <v>0</v>
          </cell>
          <cell r="E565">
            <v>0</v>
          </cell>
          <cell r="F565">
            <v>0</v>
          </cell>
        </row>
        <row r="566">
          <cell r="A566" t="str">
            <v>800-50-095</v>
          </cell>
          <cell r="B566" t="str">
            <v>O/S GROUP MATURITIES</v>
          </cell>
          <cell r="C566">
            <v>0</v>
          </cell>
          <cell r="D566">
            <v>0</v>
          </cell>
          <cell r="E566">
            <v>0</v>
          </cell>
          <cell r="F566">
            <v>0</v>
          </cell>
        </row>
        <row r="567">
          <cell r="A567" t="str">
            <v>800-50-100</v>
          </cell>
          <cell r="B567" t="str">
            <v>O/S GROUP ANTICIPATED</v>
          </cell>
          <cell r="C567">
            <v>0</v>
          </cell>
          <cell r="D567">
            <v>0</v>
          </cell>
          <cell r="E567">
            <v>0</v>
          </cell>
          <cell r="F567">
            <v>0</v>
          </cell>
        </row>
        <row r="568">
          <cell r="A568" t="str">
            <v>800-50-110</v>
          </cell>
          <cell r="B568" t="str">
            <v>O/S RETIREMENT ANNUITIES</v>
          </cell>
          <cell r="C568">
            <v>0</v>
          </cell>
          <cell r="D568">
            <v>0</v>
          </cell>
          <cell r="E568">
            <v>0</v>
          </cell>
          <cell r="F568">
            <v>0</v>
          </cell>
        </row>
        <row r="569">
          <cell r="A569" t="str">
            <v>800-50-115</v>
          </cell>
          <cell r="B569" t="str">
            <v>GROUP HARAMBEE SURRENDERS</v>
          </cell>
          <cell r="C569">
            <v>0</v>
          </cell>
          <cell r="D569">
            <v>0</v>
          </cell>
          <cell r="E569">
            <v>0</v>
          </cell>
          <cell r="F569">
            <v>0</v>
          </cell>
        </row>
        <row r="570">
          <cell r="A570" t="str">
            <v>800-60-010</v>
          </cell>
          <cell r="B570" t="str">
            <v>PREMIUM TAX</v>
          </cell>
          <cell r="C570">
            <v>0</v>
          </cell>
          <cell r="D570">
            <v>0</v>
          </cell>
          <cell r="E570">
            <v>0</v>
          </cell>
          <cell r="F570">
            <v>0</v>
          </cell>
        </row>
        <row r="571">
          <cell r="A571" t="str">
            <v>800-60-015</v>
          </cell>
          <cell r="B571" t="str">
            <v>POLICY HOLDER COMPENSATION LEVY</v>
          </cell>
          <cell r="C571">
            <v>0</v>
          </cell>
          <cell r="D571">
            <v>0</v>
          </cell>
          <cell r="E571">
            <v>0</v>
          </cell>
          <cell r="F571">
            <v>0</v>
          </cell>
        </row>
        <row r="572">
          <cell r="A572" t="str">
            <v>800-65-010</v>
          </cell>
          <cell r="B572" t="str">
            <v>RESIDENTIAL HOUSE-LORESHO</v>
          </cell>
          <cell r="C572">
            <v>0</v>
          </cell>
          <cell r="D572">
            <v>0</v>
          </cell>
          <cell r="E572">
            <v>0</v>
          </cell>
          <cell r="F572">
            <v>0</v>
          </cell>
        </row>
        <row r="573">
          <cell r="A573" t="str">
            <v>800-68-010</v>
          </cell>
          <cell r="B573" t="str">
            <v>RESIDENTIAL -LORESHO HSE</v>
          </cell>
          <cell r="C573">
            <v>0</v>
          </cell>
          <cell r="D573">
            <v>0</v>
          </cell>
          <cell r="E573">
            <v>0</v>
          </cell>
          <cell r="F573">
            <v>0</v>
          </cell>
        </row>
        <row r="574">
          <cell r="A574" t="str">
            <v>800-68-015</v>
          </cell>
          <cell r="B574" t="str">
            <v>REVALUATION SURPLUS</v>
          </cell>
          <cell r="C574">
            <v>0</v>
          </cell>
          <cell r="D574">
            <v>0</v>
          </cell>
          <cell r="E574">
            <v>0</v>
          </cell>
          <cell r="F574">
            <v>0</v>
          </cell>
        </row>
        <row r="575">
          <cell r="A575" t="str">
            <v>800-68-020</v>
          </cell>
          <cell r="B575" t="str">
            <v>REVALUATION - POLICY LOANS</v>
          </cell>
          <cell r="C575">
            <v>0</v>
          </cell>
          <cell r="D575">
            <v>0</v>
          </cell>
          <cell r="E575">
            <v>0</v>
          </cell>
          <cell r="F575">
            <v>0</v>
          </cell>
        </row>
        <row r="576">
          <cell r="A576" t="str">
            <v>800-70-010</v>
          </cell>
          <cell r="B576" t="str">
            <v>ACC.DEP-MOTOR</v>
          </cell>
          <cell r="C576">
            <v>0</v>
          </cell>
          <cell r="D576">
            <v>0</v>
          </cell>
          <cell r="E576">
            <v>0</v>
          </cell>
          <cell r="F576">
            <v>0</v>
          </cell>
        </row>
        <row r="577">
          <cell r="A577" t="str">
            <v>800-70-020</v>
          </cell>
          <cell r="B577" t="str">
            <v>ACC.DEP-COMPUTER</v>
          </cell>
          <cell r="C577">
            <v>0</v>
          </cell>
          <cell r="D577">
            <v>0</v>
          </cell>
          <cell r="E577">
            <v>0</v>
          </cell>
          <cell r="F577">
            <v>0</v>
          </cell>
        </row>
        <row r="578">
          <cell r="A578" t="str">
            <v>800-70-025</v>
          </cell>
          <cell r="B578" t="str">
            <v>AMMORTISATION-INTANGIBLE ASSETS</v>
          </cell>
          <cell r="C578">
            <v>0</v>
          </cell>
          <cell r="D578">
            <v>0</v>
          </cell>
          <cell r="E578">
            <v>0</v>
          </cell>
          <cell r="F578">
            <v>0</v>
          </cell>
        </row>
        <row r="579">
          <cell r="A579" t="str">
            <v>800-70-030</v>
          </cell>
          <cell r="B579" t="str">
            <v>FURNITURE &amp; FITTING</v>
          </cell>
          <cell r="C579">
            <v>0</v>
          </cell>
          <cell r="D579">
            <v>0</v>
          </cell>
          <cell r="E579">
            <v>0</v>
          </cell>
          <cell r="F579">
            <v>0</v>
          </cell>
        </row>
        <row r="580">
          <cell r="A580" t="str">
            <v>900-05-010</v>
          </cell>
          <cell r="B580" t="str">
            <v>SHARE CAPITAL</v>
          </cell>
          <cell r="C580">
            <v>0</v>
          </cell>
          <cell r="D580">
            <v>0</v>
          </cell>
          <cell r="E580">
            <v>0</v>
          </cell>
          <cell r="F580">
            <v>0</v>
          </cell>
        </row>
        <row r="581">
          <cell r="A581" t="str">
            <v>900-05-015</v>
          </cell>
          <cell r="B581" t="str">
            <v>SHARE PREMIUM</v>
          </cell>
          <cell r="C581">
            <v>0</v>
          </cell>
          <cell r="D581">
            <v>0</v>
          </cell>
          <cell r="E581">
            <v>0</v>
          </cell>
          <cell r="F581">
            <v>0</v>
          </cell>
        </row>
        <row r="582">
          <cell r="A582" t="str">
            <v>900-05-020</v>
          </cell>
          <cell r="B582" t="str">
            <v>RETAINED EARNINGS</v>
          </cell>
          <cell r="C582">
            <v>0</v>
          </cell>
          <cell r="D582">
            <v>0</v>
          </cell>
          <cell r="E582">
            <v>0</v>
          </cell>
          <cell r="F582">
            <v>0</v>
          </cell>
        </row>
        <row r="583">
          <cell r="A583" t="str">
            <v>ACCOUNT</v>
          </cell>
          <cell r="B583" t="str">
            <v>ACCOUNT NAME</v>
          </cell>
          <cell r="C583" t="str">
            <v>OPENING BALANCE</v>
          </cell>
          <cell r="D583" t="e">
            <v>#VALUE!</v>
          </cell>
          <cell r="E583" t="e">
            <v>#VALUE!</v>
          </cell>
          <cell r="F583" t="str">
            <v>YR-TO-DATE</v>
          </cell>
        </row>
        <row r="585">
          <cell r="F585">
            <v>-2.2351741790771484E-8</v>
          </cell>
        </row>
      </sheetData>
      <sheetData sheetId="47"/>
      <sheetData sheetId="48"/>
      <sheetData sheetId="49">
        <row r="1027">
          <cell r="B1027" t="str">
            <v>Account</v>
          </cell>
          <cell r="C1027" t="str">
            <v>Particulars</v>
          </cell>
          <cell r="D1027" t="str">
            <v>Aims TB</v>
          </cell>
          <cell r="E1027" t="str">
            <v>Closing</v>
          </cell>
        </row>
        <row r="1028">
          <cell r="B1028" t="str">
            <v>020-40-040</v>
          </cell>
        </row>
        <row r="1029">
          <cell r="B1029" t="str">
            <v>Account</v>
          </cell>
          <cell r="C1029" t="str">
            <v>Particulars</v>
          </cell>
          <cell r="D1029" t="str">
            <v>Aims TB</v>
          </cell>
          <cell r="E1029" t="str">
            <v>Closing</v>
          </cell>
        </row>
        <row r="1030">
          <cell r="B1030" t="str">
            <v>520-20-010</v>
          </cell>
        </row>
        <row r="1031">
          <cell r="B1031" t="str">
            <v>Account</v>
          </cell>
          <cell r="C1031" t="str">
            <v>Particulars</v>
          </cell>
          <cell r="D1031" t="str">
            <v>Aims TB</v>
          </cell>
          <cell r="E1031" t="str">
            <v>Closing</v>
          </cell>
        </row>
        <row r="1032">
          <cell r="B1032" t="str">
            <v>520-10-010</v>
          </cell>
        </row>
        <row r="1033">
          <cell r="B1033" t="str">
            <v>Account</v>
          </cell>
          <cell r="C1033" t="str">
            <v>Particulars</v>
          </cell>
          <cell r="D1033" t="str">
            <v>Aims TB</v>
          </cell>
          <cell r="E1033" t="str">
            <v>Closing</v>
          </cell>
        </row>
        <row r="1034">
          <cell r="B1034" t="str">
            <v>020-40-010</v>
          </cell>
        </row>
        <row r="1035">
          <cell r="B1035" t="str">
            <v>Account</v>
          </cell>
          <cell r="C1035" t="str">
            <v>Particulars</v>
          </cell>
          <cell r="D1035" t="str">
            <v>Aims TB</v>
          </cell>
          <cell r="E1035" t="str">
            <v>Closing</v>
          </cell>
        </row>
        <row r="1036">
          <cell r="B1036" t="str">
            <v>520-20-020</v>
          </cell>
        </row>
        <row r="1037">
          <cell r="B1037" t="str">
            <v>Account</v>
          </cell>
          <cell r="C1037" t="str">
            <v>Particulars</v>
          </cell>
          <cell r="D1037" t="str">
            <v>Aims TB</v>
          </cell>
          <cell r="E1037" t="str">
            <v>Closing</v>
          </cell>
        </row>
        <row r="1038">
          <cell r="B1038" t="str">
            <v>520-10-020</v>
          </cell>
        </row>
        <row r="1039">
          <cell r="B1039" t="str">
            <v>520-10-030</v>
          </cell>
        </row>
        <row r="1040">
          <cell r="B1040" t="str">
            <v>Account</v>
          </cell>
          <cell r="C1040" t="str">
            <v>Particulars</v>
          </cell>
          <cell r="D1040" t="str">
            <v>Aims TB</v>
          </cell>
          <cell r="E1040" t="str">
            <v>Closing</v>
          </cell>
        </row>
        <row r="1041">
          <cell r="B1041" t="str">
            <v>300-15-030</v>
          </cell>
        </row>
        <row r="1043">
          <cell r="B1043" t="str">
            <v>Account</v>
          </cell>
          <cell r="C1043" t="str">
            <v>Particulars</v>
          </cell>
          <cell r="D1043" t="str">
            <v>Aims TB</v>
          </cell>
          <cell r="E1043" t="str">
            <v>Closing</v>
          </cell>
        </row>
        <row r="1044">
          <cell r="B1044" t="str">
            <v>800-10-025</v>
          </cell>
        </row>
        <row r="1045">
          <cell r="B1045" t="str">
            <v>Account</v>
          </cell>
          <cell r="C1045" t="str">
            <v>Particulars</v>
          </cell>
          <cell r="D1045" t="str">
            <v>Aims TB</v>
          </cell>
          <cell r="E1045" t="str">
            <v>Closing</v>
          </cell>
        </row>
        <row r="1046">
          <cell r="B1046" t="str">
            <v>700-10-035</v>
          </cell>
        </row>
        <row r="1047">
          <cell r="B1047" t="str">
            <v>Account</v>
          </cell>
          <cell r="C1047" t="str">
            <v>Particulars</v>
          </cell>
          <cell r="D1047" t="str">
            <v>Aims TB</v>
          </cell>
          <cell r="E1047" t="str">
            <v>Closing</v>
          </cell>
        </row>
        <row r="1048">
          <cell r="B1048" t="str">
            <v>300-15-005</v>
          </cell>
        </row>
        <row r="1049">
          <cell r="B1049" t="str">
            <v>Account</v>
          </cell>
          <cell r="C1049" t="str">
            <v>Particulars</v>
          </cell>
          <cell r="D1049" t="str">
            <v>Aims TB</v>
          </cell>
          <cell r="E1049" t="str">
            <v>Closing</v>
          </cell>
        </row>
        <row r="1050">
          <cell r="B1050" t="str">
            <v>300-13-010</v>
          </cell>
        </row>
        <row r="1051">
          <cell r="B1051" t="str">
            <v>Account</v>
          </cell>
          <cell r="C1051" t="str">
            <v>Particulars</v>
          </cell>
          <cell r="D1051" t="str">
            <v>Aims TB</v>
          </cell>
          <cell r="E1051" t="str">
            <v>Closing</v>
          </cell>
        </row>
        <row r="1052">
          <cell r="B1052" t="str">
            <v>800-30-029</v>
          </cell>
        </row>
        <row r="1053">
          <cell r="B1053" t="str">
            <v>Account</v>
          </cell>
          <cell r="C1053" t="str">
            <v>Particulars</v>
          </cell>
          <cell r="D1053" t="str">
            <v>Aims TB</v>
          </cell>
          <cell r="E1053" t="str">
            <v>Closing</v>
          </cell>
        </row>
        <row r="1054">
          <cell r="B1054" t="str">
            <v>800-10-050</v>
          </cell>
        </row>
        <row r="1055">
          <cell r="B1055" t="str">
            <v>Account</v>
          </cell>
          <cell r="C1055" t="str">
            <v>Particulars</v>
          </cell>
          <cell r="D1055" t="str">
            <v>Aims TB</v>
          </cell>
          <cell r="E1055" t="str">
            <v>Closing</v>
          </cell>
        </row>
        <row r="1057">
          <cell r="B1057" t="str">
            <v>Account</v>
          </cell>
          <cell r="C1057" t="str">
            <v>Particulars</v>
          </cell>
          <cell r="D1057" t="str">
            <v>Aims TB</v>
          </cell>
          <cell r="E1057" t="str">
            <v>Closing</v>
          </cell>
        </row>
        <row r="1058">
          <cell r="B1058" t="str">
            <v>200-25</v>
          </cell>
        </row>
        <row r="1059">
          <cell r="B1059" t="str">
            <v>Account</v>
          </cell>
          <cell r="C1059" t="str">
            <v>Particulars</v>
          </cell>
          <cell r="D1059" t="str">
            <v>Aims TB</v>
          </cell>
          <cell r="E1059" t="str">
            <v>Closing</v>
          </cell>
        </row>
        <row r="1060">
          <cell r="B1060" t="str">
            <v>300-86</v>
          </cell>
        </row>
        <row r="1064">
          <cell r="B1064" t="str">
            <v>Account</v>
          </cell>
          <cell r="C1064" t="str">
            <v>Particulars</v>
          </cell>
          <cell r="D1064" t="str">
            <v>Aims TB</v>
          </cell>
          <cell r="E1064" t="str">
            <v>Closing</v>
          </cell>
        </row>
        <row r="1065">
          <cell r="B1065" t="str">
            <v>Com</v>
          </cell>
        </row>
        <row r="1066">
          <cell r="B1066" t="str">
            <v>Account</v>
          </cell>
          <cell r="C1066" t="str">
            <v>Particulars</v>
          </cell>
          <cell r="D1066" t="str">
            <v>Aims TB</v>
          </cell>
          <cell r="E1066" t="str">
            <v>Closing</v>
          </cell>
        </row>
        <row r="1067">
          <cell r="B1067" t="str">
            <v>Adm</v>
          </cell>
        </row>
        <row r="1068">
          <cell r="B1068" t="str">
            <v>Account</v>
          </cell>
          <cell r="C1068" t="str">
            <v>Particulars</v>
          </cell>
          <cell r="D1068" t="str">
            <v>Aims TB</v>
          </cell>
          <cell r="E1068" t="str">
            <v>Closing</v>
          </cell>
        </row>
        <row r="1069">
          <cell r="B1069" t="str">
            <v>Rip</v>
          </cell>
        </row>
        <row r="1070">
          <cell r="B1070" t="str">
            <v>Account</v>
          </cell>
          <cell r="C1070" t="str">
            <v>Particulars</v>
          </cell>
          <cell r="D1070" t="str">
            <v>Aims TB</v>
          </cell>
          <cell r="E1070" t="str">
            <v>Closing</v>
          </cell>
        </row>
        <row r="1071">
          <cell r="B1071" t="str">
            <v>Ric</v>
          </cell>
        </row>
        <row r="1072">
          <cell r="B1072" t="str">
            <v>Account</v>
          </cell>
          <cell r="C1072" t="str">
            <v>Particulars</v>
          </cell>
          <cell r="D1072" t="str">
            <v>Aims TB</v>
          </cell>
          <cell r="E1072" t="str">
            <v>Closing</v>
          </cell>
        </row>
        <row r="1073">
          <cell r="B1073" t="str">
            <v>ClmGl</v>
          </cell>
        </row>
        <row r="1074">
          <cell r="B1074" t="str">
            <v>Account</v>
          </cell>
          <cell r="C1074" t="str">
            <v>Particulars</v>
          </cell>
          <cell r="D1074" t="str">
            <v>Aims TB</v>
          </cell>
          <cell r="E1074" t="str">
            <v>Closing</v>
          </cell>
        </row>
        <row r="1075">
          <cell r="B1075" t="str">
            <v>Clmda</v>
          </cell>
        </row>
        <row r="1076">
          <cell r="B1076" t="str">
            <v>Account</v>
          </cell>
          <cell r="C1076" t="str">
            <v>Particulars</v>
          </cell>
          <cell r="D1076" t="str">
            <v>Aims TB</v>
          </cell>
          <cell r="E1076" t="str">
            <v>Closing</v>
          </cell>
        </row>
        <row r="1077">
          <cell r="B1077" t="str">
            <v>clmrec</v>
          </cell>
        </row>
        <row r="1078">
          <cell r="B1078" t="str">
            <v>Account</v>
          </cell>
          <cell r="C1078" t="str">
            <v>Particulars</v>
          </cell>
          <cell r="D1078" t="str">
            <v>Aims TB</v>
          </cell>
          <cell r="E1078" t="str">
            <v>Closing</v>
          </cell>
        </row>
        <row r="1079">
          <cell r="B1079" t="str">
            <v>BA</v>
          </cell>
        </row>
        <row r="1081">
          <cell r="B1081" t="str">
            <v>Account</v>
          </cell>
          <cell r="C1081" t="str">
            <v>Particulars</v>
          </cell>
          <cell r="D1081" t="str">
            <v>Aims TB</v>
          </cell>
          <cell r="E1081" t="str">
            <v>Closing</v>
          </cell>
        </row>
        <row r="1082">
          <cell r="B1082" t="str">
            <v>700-05</v>
          </cell>
        </row>
        <row r="1083">
          <cell r="B1083" t="str">
            <v>Account</v>
          </cell>
          <cell r="C1083" t="str">
            <v>Particulars</v>
          </cell>
          <cell r="D1083" t="str">
            <v>Aims TB</v>
          </cell>
          <cell r="E1083" t="str">
            <v>Closing</v>
          </cell>
        </row>
        <row r="1084">
          <cell r="B1084" t="str">
            <v>700-10</v>
          </cell>
        </row>
        <row r="1085">
          <cell r="B1085" t="str">
            <v>Account</v>
          </cell>
          <cell r="C1085" t="str">
            <v>Particulars</v>
          </cell>
          <cell r="D1085" t="str">
            <v>Aims TB</v>
          </cell>
          <cell r="E1085" t="str">
            <v>Closing</v>
          </cell>
        </row>
        <row r="1086">
          <cell r="B1086" t="str">
            <v>700-20</v>
          </cell>
        </row>
        <row r="1087">
          <cell r="B1087" t="str">
            <v>Account</v>
          </cell>
          <cell r="C1087" t="str">
            <v>Particulars</v>
          </cell>
          <cell r="D1087" t="str">
            <v>Aims TB</v>
          </cell>
          <cell r="E1087" t="str">
            <v>Closing</v>
          </cell>
        </row>
        <row r="1088">
          <cell r="B1088" t="str">
            <v>700-25</v>
          </cell>
        </row>
        <row r="1089">
          <cell r="B1089" t="str">
            <v>Account</v>
          </cell>
          <cell r="C1089" t="str">
            <v>Particulars</v>
          </cell>
          <cell r="D1089" t="str">
            <v>Aims TB</v>
          </cell>
          <cell r="E1089" t="str">
            <v>Closing</v>
          </cell>
        </row>
        <row r="1097">
          <cell r="B1097" t="str">
            <v>700-55</v>
          </cell>
        </row>
        <row r="1098">
          <cell r="B1098" t="str">
            <v>Account</v>
          </cell>
          <cell r="C1098" t="str">
            <v>Particulars</v>
          </cell>
          <cell r="D1098" t="str">
            <v>Aims TB</v>
          </cell>
          <cell r="E1098" t="str">
            <v>Closing</v>
          </cell>
        </row>
        <row r="1099">
          <cell r="B1099" t="str">
            <v>700-60</v>
          </cell>
        </row>
        <row r="1100">
          <cell r="B1100" t="str">
            <v>Account</v>
          </cell>
          <cell r="C1100" t="str">
            <v>Particulars</v>
          </cell>
          <cell r="D1100" t="str">
            <v>Aims TB</v>
          </cell>
          <cell r="E1100" t="str">
            <v>Closing</v>
          </cell>
        </row>
        <row r="1101">
          <cell r="B1101" t="str">
            <v>700-70</v>
          </cell>
        </row>
        <row r="1102">
          <cell r="B1102" t="str">
            <v>Account</v>
          </cell>
          <cell r="C1102" t="str">
            <v>Particulars</v>
          </cell>
          <cell r="D1102" t="str">
            <v>Aims TB</v>
          </cell>
          <cell r="E1102" t="str">
            <v>Closing</v>
          </cell>
        </row>
        <row r="1103">
          <cell r="B1103" t="str">
            <v>700-75</v>
          </cell>
        </row>
        <row r="1104">
          <cell r="B1104" t="str">
            <v>Account</v>
          </cell>
          <cell r="C1104" t="str">
            <v>Particulars</v>
          </cell>
          <cell r="D1104" t="str">
            <v>Aims TB</v>
          </cell>
          <cell r="E1104" t="str">
            <v>Closing</v>
          </cell>
        </row>
        <row r="1105">
          <cell r="B1105" t="str">
            <v>700-78</v>
          </cell>
        </row>
        <row r="1106">
          <cell r="B1106" t="str">
            <v>Account</v>
          </cell>
          <cell r="C1106" t="str">
            <v>Particulars</v>
          </cell>
          <cell r="D1106" t="str">
            <v>Aims TB</v>
          </cell>
          <cell r="E1106" t="str">
            <v>Closing</v>
          </cell>
        </row>
        <row r="1107">
          <cell r="B1107" t="str">
            <v>700-79</v>
          </cell>
        </row>
        <row r="1108">
          <cell r="B1108" t="str">
            <v>Account</v>
          </cell>
          <cell r="C1108" t="str">
            <v>Particulars</v>
          </cell>
          <cell r="D1108" t="str">
            <v>Aims TB</v>
          </cell>
          <cell r="E1108" t="str">
            <v>Closing</v>
          </cell>
        </row>
        <row r="1109">
          <cell r="B1109" t="str">
            <v>700-80</v>
          </cell>
        </row>
        <row r="1111">
          <cell r="B1111" t="str">
            <v>Account</v>
          </cell>
          <cell r="C1111" t="str">
            <v>Particulars</v>
          </cell>
          <cell r="D1111" t="str">
            <v>Aims TB</v>
          </cell>
          <cell r="E1111" t="str">
            <v>Closing</v>
          </cell>
        </row>
        <row r="1112">
          <cell r="B1112" t="str">
            <v>700-80</v>
          </cell>
          <cell r="E1112" t="str">
            <v>&gt;0</v>
          </cell>
        </row>
        <row r="1115">
          <cell r="B1115" t="str">
            <v>800-30</v>
          </cell>
          <cell r="E1115" t="str">
            <v>&gt;0</v>
          </cell>
        </row>
        <row r="1116">
          <cell r="B1116" t="str">
            <v>800-60</v>
          </cell>
          <cell r="E1116" t="str">
            <v>&gt;0</v>
          </cell>
        </row>
        <row r="1117">
          <cell r="B1117" t="str">
            <v>800-25</v>
          </cell>
          <cell r="E1117" t="str">
            <v>&gt;0</v>
          </cell>
        </row>
        <row r="1118">
          <cell r="B1118" t="str">
            <v>Account</v>
          </cell>
          <cell r="C1118" t="str">
            <v>Particulars</v>
          </cell>
          <cell r="D1118" t="str">
            <v>Aims TB</v>
          </cell>
          <cell r="E1118" t="str">
            <v>Closing</v>
          </cell>
        </row>
        <row r="1119">
          <cell r="B1119" t="str">
            <v>700-80</v>
          </cell>
          <cell r="E1119" t="str">
            <v>&lt;0</v>
          </cell>
        </row>
        <row r="1120">
          <cell r="B1120" t="str">
            <v>700-85</v>
          </cell>
          <cell r="E1120" t="str">
            <v>&lt;0</v>
          </cell>
        </row>
        <row r="1133">
          <cell r="B1133" t="str">
            <v>700-83</v>
          </cell>
        </row>
        <row r="1134">
          <cell r="B1134" t="str">
            <v>Account</v>
          </cell>
          <cell r="C1134" t="str">
            <v>Particulars</v>
          </cell>
          <cell r="D1134" t="str">
            <v>Aims TB</v>
          </cell>
          <cell r="E1134" t="str">
            <v>Closing</v>
          </cell>
        </row>
        <row r="1135">
          <cell r="B1135" t="str">
            <v>700-84</v>
          </cell>
        </row>
        <row r="1136">
          <cell r="B1136" t="str">
            <v>Account</v>
          </cell>
          <cell r="C1136" t="str">
            <v>Particulars</v>
          </cell>
          <cell r="D1136" t="str">
            <v>Aims TB</v>
          </cell>
          <cell r="E1136" t="str">
            <v>Closing</v>
          </cell>
        </row>
        <row r="1137">
          <cell r="B1137" t="str">
            <v>700-85</v>
          </cell>
        </row>
        <row r="1138">
          <cell r="B1138" t="str">
            <v>Account</v>
          </cell>
          <cell r="C1138" t="str">
            <v>Particulars</v>
          </cell>
          <cell r="D1138" t="str">
            <v>Aims TB</v>
          </cell>
          <cell r="E1138" t="str">
            <v>Closing</v>
          </cell>
        </row>
      </sheetData>
      <sheetData sheetId="50"/>
      <sheetData sheetId="51"/>
      <sheetData sheetId="52"/>
      <sheetData sheetId="53"/>
      <sheetData sheetId="54"/>
      <sheetData sheetId="55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la-qtr"/>
      <sheetName val="Contents"/>
      <sheetName val="ALA-snap shot"/>
      <sheetName val="Contol Sheet"/>
      <sheetName val="staff bonus"/>
      <sheetName val="Cashflow"/>
      <sheetName val="Statistics"/>
      <sheetName val="INC. STATE. SUM"/>
      <sheetName val="INC.ST. IND LIFE"/>
      <sheetName val="INC.ST. CB"/>
      <sheetName val="BAL SHEET"/>
      <sheetName val="note2(month)"/>
      <sheetName val="NOTES 1"/>
      <sheetName val="note2"/>
      <sheetName val="Note3"/>
      <sheetName val="NOTES(4-6)"/>
      <sheetName val="budget-corporate"/>
      <sheetName val="AR-Administration"/>
      <sheetName val="Finance"/>
      <sheetName val="AR-Corporate"/>
      <sheetName val="AR-Marketing"/>
      <sheetName val="sec.50(Ind. Life)"/>
      <sheetName val="Sec.50(group)"/>
      <sheetName val="Sec.50(DA)"/>
      <sheetName val="marketing Budget"/>
      <sheetName val="Administration budget"/>
      <sheetName val="premiums"/>
      <sheetName val="Note1(Month)"/>
      <sheetName val="citeria budget"/>
      <sheetName val="Prior year tb"/>
      <sheetName val="Renewal Api"/>
      <sheetName val="70-1"/>
      <sheetName val="prior year AGENCYtb"/>
      <sheetName val="TB"/>
      <sheetName val="AgencyTB"/>
      <sheetName val="unitcost"/>
      <sheetName val="New Business"/>
      <sheetName val="File Size"/>
      <sheetName val="Investment-Income"/>
      <sheetName val="criteria"/>
      <sheetName val="Lastyear"/>
      <sheetName val="54-2"/>
      <sheetName val="54-5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>
        <row r="294">
          <cell r="A294" t="str">
            <v>ACCOUNT</v>
          </cell>
          <cell r="B294" t="str">
            <v>Particulars</v>
          </cell>
          <cell r="C294" t="str">
            <v>Unitcode</v>
          </cell>
          <cell r="D294" t="str">
            <v>Unit</v>
          </cell>
          <cell r="E294" t="str">
            <v>Jan</v>
          </cell>
          <cell r="F294" t="str">
            <v>Feb</v>
          </cell>
          <cell r="G294" t="str">
            <v>Mar</v>
          </cell>
          <cell r="H294" t="str">
            <v>Apr</v>
          </cell>
          <cell r="I294" t="str">
            <v>May</v>
          </cell>
          <cell r="J294" t="str">
            <v>Jun</v>
          </cell>
          <cell r="K294" t="str">
            <v>Jul</v>
          </cell>
          <cell r="L294" t="str">
            <v>Aug</v>
          </cell>
          <cell r="M294" t="str">
            <v>Sep</v>
          </cell>
          <cell r="N294" t="str">
            <v>Oct</v>
          </cell>
          <cell r="O294" t="str">
            <v>Nov</v>
          </cell>
          <cell r="P294" t="str">
            <v>Dec</v>
          </cell>
          <cell r="Q294" t="str">
            <v>Total</v>
          </cell>
        </row>
        <row r="295">
          <cell r="A295" t="str">
            <v>105-10-010</v>
          </cell>
          <cell r="B295" t="str">
            <v>BASIC SALARY</v>
          </cell>
          <cell r="C295">
            <v>1</v>
          </cell>
          <cell r="D295" t="str">
            <v>EXECUTIVE</v>
          </cell>
          <cell r="E295">
            <v>979407</v>
          </cell>
          <cell r="F295">
            <v>1958814</v>
          </cell>
          <cell r="G295">
            <v>2938221</v>
          </cell>
          <cell r="H295">
            <v>3917628</v>
          </cell>
          <cell r="I295">
            <v>4897035</v>
          </cell>
          <cell r="J295">
            <v>5876442</v>
          </cell>
          <cell r="K295">
            <v>6855849</v>
          </cell>
          <cell r="L295">
            <v>7835256</v>
          </cell>
          <cell r="M295">
            <v>8814663</v>
          </cell>
          <cell r="N295">
            <v>9794070</v>
          </cell>
          <cell r="O295">
            <v>10773477</v>
          </cell>
          <cell r="P295">
            <v>11752884</v>
          </cell>
          <cell r="Q295">
            <v>11752884</v>
          </cell>
        </row>
        <row r="296">
          <cell r="A296" t="str">
            <v>105-10-010</v>
          </cell>
          <cell r="B296" t="str">
            <v>BASIC SALARY</v>
          </cell>
          <cell r="C296">
            <v>2</v>
          </cell>
          <cell r="D296" t="str">
            <v>OPERATIONS</v>
          </cell>
          <cell r="E296">
            <v>212999</v>
          </cell>
          <cell r="F296">
            <v>425998</v>
          </cell>
          <cell r="G296">
            <v>638997</v>
          </cell>
          <cell r="H296">
            <v>851996</v>
          </cell>
          <cell r="I296">
            <v>1064995</v>
          </cell>
          <cell r="J296">
            <v>1277994</v>
          </cell>
          <cell r="K296">
            <v>1490993</v>
          </cell>
          <cell r="L296">
            <v>1703992</v>
          </cell>
          <cell r="M296">
            <v>1916991</v>
          </cell>
          <cell r="N296">
            <v>2129990</v>
          </cell>
          <cell r="O296">
            <v>2342989</v>
          </cell>
          <cell r="P296">
            <v>2555988</v>
          </cell>
          <cell r="Q296">
            <v>2555988</v>
          </cell>
        </row>
        <row r="297">
          <cell r="A297" t="str">
            <v>105-10-010</v>
          </cell>
          <cell r="B297" t="str">
            <v>BASIC SALARY</v>
          </cell>
          <cell r="C297">
            <v>3</v>
          </cell>
          <cell r="D297" t="str">
            <v>PREMIUM LIASON</v>
          </cell>
          <cell r="E297">
            <v>251831</v>
          </cell>
          <cell r="F297">
            <v>503662</v>
          </cell>
          <cell r="G297">
            <v>755493</v>
          </cell>
          <cell r="H297">
            <v>1007324</v>
          </cell>
          <cell r="I297">
            <v>1259155</v>
          </cell>
          <cell r="J297">
            <v>1510986</v>
          </cell>
          <cell r="K297">
            <v>1762817</v>
          </cell>
          <cell r="L297">
            <v>2014648</v>
          </cell>
          <cell r="M297">
            <v>2266479</v>
          </cell>
          <cell r="N297">
            <v>2518310</v>
          </cell>
          <cell r="O297">
            <v>2770141</v>
          </cell>
          <cell r="P297">
            <v>3021972</v>
          </cell>
          <cell r="Q297">
            <v>3021972</v>
          </cell>
        </row>
        <row r="298">
          <cell r="A298" t="str">
            <v>105-10-010</v>
          </cell>
          <cell r="B298" t="str">
            <v>BASIC SALARY</v>
          </cell>
          <cell r="C298">
            <v>4</v>
          </cell>
          <cell r="D298" t="str">
            <v>CUSTOMER SERVIC</v>
          </cell>
          <cell r="E298">
            <v>238315</v>
          </cell>
          <cell r="F298">
            <v>476630</v>
          </cell>
          <cell r="G298">
            <v>714945</v>
          </cell>
          <cell r="H298">
            <v>953260</v>
          </cell>
          <cell r="I298">
            <v>1191575</v>
          </cell>
          <cell r="J298">
            <v>1429890</v>
          </cell>
          <cell r="K298">
            <v>1668205</v>
          </cell>
          <cell r="L298">
            <v>1906520</v>
          </cell>
          <cell r="M298">
            <v>2144835</v>
          </cell>
          <cell r="N298">
            <v>2383150</v>
          </cell>
          <cell r="O298">
            <v>2621465</v>
          </cell>
          <cell r="P298">
            <v>2859780</v>
          </cell>
          <cell r="Q298">
            <v>2859780</v>
          </cell>
        </row>
        <row r="299">
          <cell r="A299" t="str">
            <v>105-10-010</v>
          </cell>
          <cell r="B299" t="str">
            <v>BASIC SALARY</v>
          </cell>
          <cell r="C299">
            <v>5</v>
          </cell>
          <cell r="D299" t="str">
            <v>PREMIUM ADMINST</v>
          </cell>
          <cell r="E299">
            <v>302665</v>
          </cell>
          <cell r="F299">
            <v>605330</v>
          </cell>
          <cell r="G299">
            <v>907995</v>
          </cell>
          <cell r="H299">
            <v>1210660</v>
          </cell>
          <cell r="I299">
            <v>1513325</v>
          </cell>
          <cell r="J299">
            <v>1815990</v>
          </cell>
          <cell r="K299">
            <v>2118655</v>
          </cell>
          <cell r="L299">
            <v>2421320</v>
          </cell>
          <cell r="M299">
            <v>2723985</v>
          </cell>
          <cell r="N299">
            <v>3026650</v>
          </cell>
          <cell r="O299">
            <v>3329315</v>
          </cell>
          <cell r="P299">
            <v>3631980</v>
          </cell>
          <cell r="Q299">
            <v>3631980</v>
          </cell>
        </row>
        <row r="300">
          <cell r="A300" t="str">
            <v>105-10-010</v>
          </cell>
          <cell r="B300" t="str">
            <v>BASIC SALARY</v>
          </cell>
          <cell r="C300">
            <v>6</v>
          </cell>
          <cell r="D300" t="str">
            <v>BENEFIT PAYMENT</v>
          </cell>
          <cell r="E300">
            <v>402150</v>
          </cell>
          <cell r="F300">
            <v>804300</v>
          </cell>
          <cell r="G300">
            <v>1206450</v>
          </cell>
          <cell r="H300">
            <v>1608600</v>
          </cell>
          <cell r="I300">
            <v>2010750</v>
          </cell>
          <cell r="J300">
            <v>2412900</v>
          </cell>
          <cell r="K300">
            <v>2815050</v>
          </cell>
          <cell r="L300">
            <v>3217200</v>
          </cell>
          <cell r="M300">
            <v>3619350</v>
          </cell>
          <cell r="N300">
            <v>4021500</v>
          </cell>
          <cell r="O300">
            <v>4423650</v>
          </cell>
          <cell r="P300">
            <v>4825800</v>
          </cell>
          <cell r="Q300">
            <v>4825800</v>
          </cell>
        </row>
        <row r="301">
          <cell r="A301" t="str">
            <v>105-10-010</v>
          </cell>
          <cell r="B301" t="str">
            <v>BASIC SALARY</v>
          </cell>
          <cell r="C301">
            <v>7</v>
          </cell>
          <cell r="D301" t="str">
            <v>NEW BUSINESS</v>
          </cell>
          <cell r="E301">
            <v>148390</v>
          </cell>
          <cell r="F301">
            <v>296780</v>
          </cell>
          <cell r="G301">
            <v>445170</v>
          </cell>
          <cell r="H301">
            <v>593560</v>
          </cell>
          <cell r="I301">
            <v>741950</v>
          </cell>
          <cell r="J301">
            <v>890340</v>
          </cell>
          <cell r="K301">
            <v>1038730</v>
          </cell>
          <cell r="L301">
            <v>1187120</v>
          </cell>
          <cell r="M301">
            <v>1335510</v>
          </cell>
          <cell r="N301">
            <v>1483900</v>
          </cell>
          <cell r="O301">
            <v>1632290</v>
          </cell>
          <cell r="P301">
            <v>1780680</v>
          </cell>
          <cell r="Q301">
            <v>1780680</v>
          </cell>
        </row>
        <row r="302">
          <cell r="A302" t="str">
            <v>105-10-010</v>
          </cell>
          <cell r="B302" t="str">
            <v>BASIC SALARY</v>
          </cell>
          <cell r="C302">
            <v>8</v>
          </cell>
          <cell r="D302" t="str">
            <v>FINANCE</v>
          </cell>
          <cell r="E302">
            <v>639417</v>
          </cell>
          <cell r="F302">
            <v>1278834</v>
          </cell>
          <cell r="G302">
            <v>1918251</v>
          </cell>
          <cell r="H302">
            <v>2557668</v>
          </cell>
          <cell r="I302">
            <v>3197085</v>
          </cell>
          <cell r="J302">
            <v>3836502</v>
          </cell>
          <cell r="K302">
            <v>4475919</v>
          </cell>
          <cell r="L302">
            <v>5115336</v>
          </cell>
          <cell r="M302">
            <v>5754753</v>
          </cell>
          <cell r="N302">
            <v>6394170</v>
          </cell>
          <cell r="O302">
            <v>7033587</v>
          </cell>
          <cell r="P302">
            <v>7673010</v>
          </cell>
          <cell r="Q302">
            <v>7673010</v>
          </cell>
        </row>
        <row r="303">
          <cell r="A303" t="str">
            <v>105-10-010</v>
          </cell>
          <cell r="B303" t="str">
            <v>BASIC SALARY</v>
          </cell>
          <cell r="C303">
            <v>9</v>
          </cell>
          <cell r="D303" t="str">
            <v>INFORMATION TEC</v>
          </cell>
          <cell r="E303">
            <v>438240</v>
          </cell>
          <cell r="F303">
            <v>876480</v>
          </cell>
          <cell r="G303">
            <v>1314720</v>
          </cell>
          <cell r="H303">
            <v>1752960</v>
          </cell>
          <cell r="I303">
            <v>2191200</v>
          </cell>
          <cell r="J303">
            <v>2629440</v>
          </cell>
          <cell r="K303">
            <v>3067680</v>
          </cell>
          <cell r="L303">
            <v>3505920</v>
          </cell>
          <cell r="M303">
            <v>3944160</v>
          </cell>
          <cell r="N303">
            <v>4382400</v>
          </cell>
          <cell r="O303">
            <v>4820640</v>
          </cell>
          <cell r="P303">
            <v>5258880</v>
          </cell>
          <cell r="Q303">
            <v>5258880</v>
          </cell>
        </row>
        <row r="304">
          <cell r="A304" t="str">
            <v>105-10-010</v>
          </cell>
          <cell r="B304" t="str">
            <v>BASIC SALARY</v>
          </cell>
          <cell r="C304">
            <v>10</v>
          </cell>
          <cell r="D304" t="str">
            <v>HUMAN RESOURCES</v>
          </cell>
          <cell r="E304">
            <v>245899</v>
          </cell>
          <cell r="F304">
            <v>491798</v>
          </cell>
          <cell r="G304">
            <v>737697</v>
          </cell>
          <cell r="H304">
            <v>983596</v>
          </cell>
          <cell r="I304">
            <v>1229495</v>
          </cell>
          <cell r="J304">
            <v>1475394</v>
          </cell>
          <cell r="K304">
            <v>1721293</v>
          </cell>
          <cell r="L304">
            <v>1967192</v>
          </cell>
          <cell r="M304">
            <v>2213091</v>
          </cell>
          <cell r="N304">
            <v>2458990</v>
          </cell>
          <cell r="O304">
            <v>2704889</v>
          </cell>
          <cell r="P304">
            <v>2950799</v>
          </cell>
          <cell r="Q304">
            <v>2950799</v>
          </cell>
        </row>
        <row r="305">
          <cell r="A305" t="str">
            <v>105-10-011</v>
          </cell>
          <cell r="B305" t="str">
            <v>PROVISION FOR EDUC</v>
          </cell>
          <cell r="C305">
            <v>2</v>
          </cell>
          <cell r="D305" t="str">
            <v>LIFE OPERATIONS</v>
          </cell>
          <cell r="E305">
            <v>3565</v>
          </cell>
          <cell r="F305">
            <v>7130</v>
          </cell>
          <cell r="G305">
            <v>10695</v>
          </cell>
          <cell r="H305">
            <v>14260</v>
          </cell>
          <cell r="I305">
            <v>17825</v>
          </cell>
          <cell r="J305">
            <v>21390</v>
          </cell>
          <cell r="K305">
            <v>24955</v>
          </cell>
          <cell r="L305">
            <v>28520</v>
          </cell>
          <cell r="M305">
            <v>32085</v>
          </cell>
          <cell r="N305">
            <v>35650</v>
          </cell>
          <cell r="O305">
            <v>39215</v>
          </cell>
          <cell r="P305">
            <v>42789</v>
          </cell>
          <cell r="Q305">
            <v>42789</v>
          </cell>
        </row>
        <row r="306">
          <cell r="A306" t="str">
            <v>105-10-011</v>
          </cell>
          <cell r="B306" t="str">
            <v>PROVISION FOR EDUC</v>
          </cell>
          <cell r="C306">
            <v>3</v>
          </cell>
          <cell r="D306" t="str">
            <v>PREM.LIASON</v>
          </cell>
          <cell r="E306">
            <v>3565</v>
          </cell>
          <cell r="F306">
            <v>7130</v>
          </cell>
          <cell r="G306">
            <v>10695</v>
          </cell>
          <cell r="H306">
            <v>14260</v>
          </cell>
          <cell r="I306">
            <v>17825</v>
          </cell>
          <cell r="J306">
            <v>21390</v>
          </cell>
          <cell r="K306">
            <v>24955</v>
          </cell>
          <cell r="L306">
            <v>28520</v>
          </cell>
          <cell r="M306">
            <v>32085</v>
          </cell>
          <cell r="N306">
            <v>35650</v>
          </cell>
          <cell r="O306">
            <v>39215</v>
          </cell>
          <cell r="P306">
            <v>42789</v>
          </cell>
          <cell r="Q306">
            <v>42789</v>
          </cell>
        </row>
        <row r="307">
          <cell r="A307" t="str">
            <v>105-10-011</v>
          </cell>
          <cell r="B307" t="str">
            <v>PROVISION FOR EDUC</v>
          </cell>
          <cell r="C307">
            <v>6</v>
          </cell>
          <cell r="D307" t="str">
            <v>BENEFIT PAYMENT</v>
          </cell>
          <cell r="E307">
            <v>2674</v>
          </cell>
          <cell r="F307">
            <v>5348</v>
          </cell>
          <cell r="G307">
            <v>8022</v>
          </cell>
          <cell r="H307">
            <v>10696</v>
          </cell>
          <cell r="I307">
            <v>13370</v>
          </cell>
          <cell r="J307">
            <v>16044</v>
          </cell>
          <cell r="K307">
            <v>18718</v>
          </cell>
          <cell r="L307">
            <v>21392</v>
          </cell>
          <cell r="M307">
            <v>24066</v>
          </cell>
          <cell r="N307">
            <v>26740</v>
          </cell>
          <cell r="O307">
            <v>29414</v>
          </cell>
          <cell r="P307">
            <v>32091</v>
          </cell>
          <cell r="Q307">
            <v>32091</v>
          </cell>
        </row>
        <row r="308">
          <cell r="A308" t="str">
            <v>105-10-011</v>
          </cell>
          <cell r="B308" t="str">
            <v>PROVISION FOR EDUC</v>
          </cell>
          <cell r="C308">
            <v>8</v>
          </cell>
          <cell r="D308" t="str">
            <v>FINANCE</v>
          </cell>
          <cell r="E308">
            <v>26537</v>
          </cell>
          <cell r="F308">
            <v>53074</v>
          </cell>
          <cell r="G308">
            <v>79611</v>
          </cell>
          <cell r="H308">
            <v>106148</v>
          </cell>
          <cell r="I308">
            <v>132685</v>
          </cell>
          <cell r="J308">
            <v>159222</v>
          </cell>
          <cell r="K308">
            <v>185759</v>
          </cell>
          <cell r="L308">
            <v>212296</v>
          </cell>
          <cell r="M308">
            <v>238833</v>
          </cell>
          <cell r="N308">
            <v>265370</v>
          </cell>
          <cell r="O308">
            <v>291907</v>
          </cell>
          <cell r="P308">
            <v>318446</v>
          </cell>
          <cell r="Q308">
            <v>318446</v>
          </cell>
        </row>
        <row r="309">
          <cell r="A309" t="str">
            <v>105-10-011</v>
          </cell>
          <cell r="B309" t="str">
            <v>PROVISION FOR EDUC</v>
          </cell>
          <cell r="C309">
            <v>9</v>
          </cell>
          <cell r="D309" t="str">
            <v>INFO.TECH</v>
          </cell>
          <cell r="E309">
            <v>5348</v>
          </cell>
          <cell r="F309">
            <v>10696</v>
          </cell>
          <cell r="G309">
            <v>16044</v>
          </cell>
          <cell r="H309">
            <v>21392</v>
          </cell>
          <cell r="I309">
            <v>26740</v>
          </cell>
          <cell r="J309">
            <v>32088</v>
          </cell>
          <cell r="K309">
            <v>37436</v>
          </cell>
          <cell r="L309">
            <v>42784</v>
          </cell>
          <cell r="M309">
            <v>48132</v>
          </cell>
          <cell r="N309">
            <v>53480</v>
          </cell>
          <cell r="O309">
            <v>58828</v>
          </cell>
          <cell r="P309">
            <v>64183</v>
          </cell>
          <cell r="Q309">
            <v>64183</v>
          </cell>
        </row>
        <row r="310">
          <cell r="A310" t="str">
            <v>105-10-011</v>
          </cell>
          <cell r="B310" t="str">
            <v>PROVISION FOR EDUC</v>
          </cell>
          <cell r="C310">
            <v>10</v>
          </cell>
          <cell r="D310" t="str">
            <v>HRM UNIT</v>
          </cell>
          <cell r="E310">
            <v>2674</v>
          </cell>
          <cell r="F310">
            <v>5348</v>
          </cell>
          <cell r="G310">
            <v>8022</v>
          </cell>
          <cell r="H310">
            <v>10696</v>
          </cell>
          <cell r="I310">
            <v>13370</v>
          </cell>
          <cell r="J310">
            <v>16044</v>
          </cell>
          <cell r="K310">
            <v>18718</v>
          </cell>
          <cell r="L310">
            <v>21392</v>
          </cell>
          <cell r="M310">
            <v>24066</v>
          </cell>
          <cell r="N310">
            <v>26740</v>
          </cell>
          <cell r="O310">
            <v>29414</v>
          </cell>
          <cell r="P310">
            <v>32091</v>
          </cell>
          <cell r="Q310">
            <v>32091</v>
          </cell>
        </row>
        <row r="311">
          <cell r="A311" t="str">
            <v>105-10-012</v>
          </cell>
          <cell r="B311" t="str">
            <v>PROVISION FOR MORT</v>
          </cell>
          <cell r="C311">
            <v>1</v>
          </cell>
          <cell r="D311" t="str">
            <v>EXECUTIVE</v>
          </cell>
          <cell r="E311">
            <v>1939</v>
          </cell>
          <cell r="F311">
            <v>3878</v>
          </cell>
          <cell r="G311">
            <v>5817</v>
          </cell>
          <cell r="H311">
            <v>7756</v>
          </cell>
          <cell r="I311">
            <v>9695</v>
          </cell>
          <cell r="J311">
            <v>11634</v>
          </cell>
          <cell r="K311">
            <v>13573</v>
          </cell>
          <cell r="L311">
            <v>15512</v>
          </cell>
          <cell r="M311">
            <v>17451</v>
          </cell>
          <cell r="N311">
            <v>19390</v>
          </cell>
          <cell r="O311">
            <v>21329</v>
          </cell>
          <cell r="P311">
            <v>23272</v>
          </cell>
          <cell r="Q311">
            <v>23272</v>
          </cell>
        </row>
        <row r="312">
          <cell r="A312" t="str">
            <v>105-10-012</v>
          </cell>
          <cell r="B312" t="str">
            <v>PROVISION FOR MORT</v>
          </cell>
          <cell r="C312">
            <v>3</v>
          </cell>
          <cell r="D312" t="str">
            <v>PREM LIASON</v>
          </cell>
          <cell r="E312">
            <v>1058</v>
          </cell>
          <cell r="F312">
            <v>2116</v>
          </cell>
          <cell r="G312">
            <v>3174</v>
          </cell>
          <cell r="H312">
            <v>4232</v>
          </cell>
          <cell r="I312">
            <v>5290</v>
          </cell>
          <cell r="J312">
            <v>6348</v>
          </cell>
          <cell r="K312">
            <v>7406</v>
          </cell>
          <cell r="L312">
            <v>8464</v>
          </cell>
          <cell r="M312">
            <v>9522</v>
          </cell>
          <cell r="N312">
            <v>10580</v>
          </cell>
          <cell r="O312">
            <v>11638</v>
          </cell>
          <cell r="P312">
            <v>12705</v>
          </cell>
          <cell r="Q312">
            <v>12705</v>
          </cell>
        </row>
        <row r="313">
          <cell r="A313" t="str">
            <v>105-10-012</v>
          </cell>
          <cell r="B313" t="str">
            <v>PROVISION FOR MORT</v>
          </cell>
          <cell r="C313">
            <v>6</v>
          </cell>
          <cell r="D313" t="str">
            <v>B/PAYMENTS</v>
          </cell>
          <cell r="E313">
            <v>4519</v>
          </cell>
          <cell r="F313">
            <v>9038</v>
          </cell>
          <cell r="G313">
            <v>13557</v>
          </cell>
          <cell r="H313">
            <v>18076</v>
          </cell>
          <cell r="I313">
            <v>22595</v>
          </cell>
          <cell r="J313">
            <v>27114</v>
          </cell>
          <cell r="K313">
            <v>31633</v>
          </cell>
          <cell r="L313">
            <v>36152</v>
          </cell>
          <cell r="M313">
            <v>40671</v>
          </cell>
          <cell r="N313">
            <v>45190</v>
          </cell>
          <cell r="O313">
            <v>49709</v>
          </cell>
          <cell r="P313">
            <v>54229</v>
          </cell>
          <cell r="Q313">
            <v>54229</v>
          </cell>
        </row>
        <row r="314">
          <cell r="A314" t="str">
            <v>105-10-012</v>
          </cell>
          <cell r="B314" t="str">
            <v>PROVISION FOR MORT</v>
          </cell>
          <cell r="C314">
            <v>7</v>
          </cell>
          <cell r="D314" t="str">
            <v>NEW BUSINESS</v>
          </cell>
          <cell r="E314">
            <v>3216</v>
          </cell>
          <cell r="F314">
            <v>6432</v>
          </cell>
          <cell r="G314">
            <v>9648</v>
          </cell>
          <cell r="H314">
            <v>12864</v>
          </cell>
          <cell r="I314">
            <v>16080</v>
          </cell>
          <cell r="J314">
            <v>19296</v>
          </cell>
          <cell r="K314">
            <v>22512</v>
          </cell>
          <cell r="L314">
            <v>25728</v>
          </cell>
          <cell r="M314">
            <v>28944</v>
          </cell>
          <cell r="N314">
            <v>32160</v>
          </cell>
          <cell r="O314">
            <v>35376</v>
          </cell>
          <cell r="P314">
            <v>38595</v>
          </cell>
          <cell r="Q314">
            <v>38595</v>
          </cell>
        </row>
        <row r="315">
          <cell r="A315" t="str">
            <v>105-10-012</v>
          </cell>
          <cell r="B315" t="str">
            <v>PROVISION FOR MORT</v>
          </cell>
          <cell r="C315">
            <v>8</v>
          </cell>
          <cell r="D315" t="str">
            <v>FINANCE</v>
          </cell>
          <cell r="E315">
            <v>29512</v>
          </cell>
          <cell r="F315">
            <v>59024</v>
          </cell>
          <cell r="G315">
            <v>88536</v>
          </cell>
          <cell r="H315">
            <v>118048</v>
          </cell>
          <cell r="I315">
            <v>147560</v>
          </cell>
          <cell r="J315">
            <v>177072</v>
          </cell>
          <cell r="K315">
            <v>206584</v>
          </cell>
          <cell r="L315">
            <v>236096</v>
          </cell>
          <cell r="M315">
            <v>265608</v>
          </cell>
          <cell r="N315">
            <v>295120</v>
          </cell>
          <cell r="O315">
            <v>324632</v>
          </cell>
          <cell r="P315">
            <v>354155</v>
          </cell>
          <cell r="Q315">
            <v>354155</v>
          </cell>
        </row>
        <row r="316">
          <cell r="A316" t="str">
            <v>105-10-012</v>
          </cell>
          <cell r="B316" t="str">
            <v>PROVISION FOR MORT</v>
          </cell>
          <cell r="C316">
            <v>9</v>
          </cell>
          <cell r="D316" t="str">
            <v>INFO.TECHNOLOGY</v>
          </cell>
          <cell r="E316">
            <v>13575</v>
          </cell>
          <cell r="F316">
            <v>27150</v>
          </cell>
          <cell r="G316">
            <v>40725</v>
          </cell>
          <cell r="H316">
            <v>54300</v>
          </cell>
          <cell r="I316">
            <v>67875</v>
          </cell>
          <cell r="J316">
            <v>81450</v>
          </cell>
          <cell r="K316">
            <v>95025</v>
          </cell>
          <cell r="L316">
            <v>108600</v>
          </cell>
          <cell r="M316">
            <v>122175</v>
          </cell>
          <cell r="N316">
            <v>135750</v>
          </cell>
          <cell r="O316">
            <v>149325</v>
          </cell>
          <cell r="P316">
            <v>162901</v>
          </cell>
          <cell r="Q316">
            <v>162901</v>
          </cell>
        </row>
        <row r="317">
          <cell r="A317" t="str">
            <v>105-10-013</v>
          </cell>
          <cell r="B317" t="str">
            <v>PROVISION FOR CAR</v>
          </cell>
          <cell r="C317">
            <v>2</v>
          </cell>
          <cell r="D317" t="str">
            <v>LIFE OPERATIONS</v>
          </cell>
          <cell r="E317">
            <v>2925</v>
          </cell>
          <cell r="F317">
            <v>5850</v>
          </cell>
          <cell r="G317">
            <v>8775</v>
          </cell>
          <cell r="H317">
            <v>11700</v>
          </cell>
          <cell r="I317">
            <v>14625</v>
          </cell>
          <cell r="J317">
            <v>17550</v>
          </cell>
          <cell r="K317">
            <v>20475</v>
          </cell>
          <cell r="L317">
            <v>23400</v>
          </cell>
          <cell r="M317">
            <v>26325</v>
          </cell>
          <cell r="N317">
            <v>29250</v>
          </cell>
          <cell r="O317">
            <v>32175</v>
          </cell>
          <cell r="P317">
            <v>35103</v>
          </cell>
          <cell r="Q317">
            <v>35103</v>
          </cell>
        </row>
        <row r="318">
          <cell r="A318" t="str">
            <v>105-10-013</v>
          </cell>
          <cell r="B318" t="str">
            <v>PROVISION FOR CAR</v>
          </cell>
          <cell r="C318">
            <v>3</v>
          </cell>
          <cell r="D318" t="str">
            <v>PREM LIASON</v>
          </cell>
          <cell r="E318">
            <v>1563</v>
          </cell>
          <cell r="F318">
            <v>3126</v>
          </cell>
          <cell r="G318">
            <v>4689</v>
          </cell>
          <cell r="H318">
            <v>6252</v>
          </cell>
          <cell r="I318">
            <v>7815</v>
          </cell>
          <cell r="J318">
            <v>9378</v>
          </cell>
          <cell r="K318">
            <v>10941</v>
          </cell>
          <cell r="L318">
            <v>12504</v>
          </cell>
          <cell r="M318">
            <v>14067</v>
          </cell>
          <cell r="N318">
            <v>15630</v>
          </cell>
          <cell r="O318">
            <v>17193</v>
          </cell>
          <cell r="P318">
            <v>18762</v>
          </cell>
          <cell r="Q318">
            <v>18762</v>
          </cell>
        </row>
        <row r="319">
          <cell r="A319" t="str">
            <v>105-10-013</v>
          </cell>
          <cell r="B319" t="str">
            <v>PROVISION FOR CAR</v>
          </cell>
          <cell r="C319">
            <v>6</v>
          </cell>
          <cell r="D319" t="str">
            <v>B/PAYMENTS</v>
          </cell>
          <cell r="E319">
            <v>1710</v>
          </cell>
          <cell r="F319">
            <v>3420</v>
          </cell>
          <cell r="G319">
            <v>5130</v>
          </cell>
          <cell r="H319">
            <v>6840</v>
          </cell>
          <cell r="I319">
            <v>8550</v>
          </cell>
          <cell r="J319">
            <v>10260</v>
          </cell>
          <cell r="K319">
            <v>11970</v>
          </cell>
          <cell r="L319">
            <v>13680</v>
          </cell>
          <cell r="M319">
            <v>15390</v>
          </cell>
          <cell r="N319">
            <v>17100</v>
          </cell>
          <cell r="O319">
            <v>18810</v>
          </cell>
          <cell r="P319">
            <v>20529</v>
          </cell>
          <cell r="Q319">
            <v>20529</v>
          </cell>
        </row>
        <row r="320">
          <cell r="A320" t="str">
            <v>105-10-013</v>
          </cell>
          <cell r="B320" t="str">
            <v>PROVISION FOR CAR</v>
          </cell>
          <cell r="C320">
            <v>8</v>
          </cell>
          <cell r="D320" t="str">
            <v>FINANCE</v>
          </cell>
          <cell r="E320">
            <v>535</v>
          </cell>
          <cell r="F320">
            <v>1070</v>
          </cell>
          <cell r="G320">
            <v>1605</v>
          </cell>
          <cell r="H320">
            <v>2140</v>
          </cell>
          <cell r="I320">
            <v>2675</v>
          </cell>
          <cell r="J320">
            <v>3210</v>
          </cell>
          <cell r="K320">
            <v>3745</v>
          </cell>
          <cell r="L320">
            <v>4280</v>
          </cell>
          <cell r="M320">
            <v>4815</v>
          </cell>
          <cell r="N320">
            <v>5350</v>
          </cell>
          <cell r="O320">
            <v>5885</v>
          </cell>
          <cell r="P320">
            <v>6423</v>
          </cell>
          <cell r="Q320">
            <v>6423</v>
          </cell>
        </row>
        <row r="321">
          <cell r="A321" t="str">
            <v>105-10-013</v>
          </cell>
          <cell r="B321" t="str">
            <v>PROVISION FOR CAR</v>
          </cell>
          <cell r="C321">
            <v>10</v>
          </cell>
          <cell r="D321" t="str">
            <v>HRM UNIT</v>
          </cell>
          <cell r="E321">
            <v>400</v>
          </cell>
          <cell r="F321">
            <v>800</v>
          </cell>
          <cell r="G321">
            <v>1200</v>
          </cell>
          <cell r="H321">
            <v>1600</v>
          </cell>
          <cell r="I321">
            <v>2000</v>
          </cell>
          <cell r="J321">
            <v>2400</v>
          </cell>
          <cell r="K321">
            <v>2800</v>
          </cell>
          <cell r="L321">
            <v>3200</v>
          </cell>
          <cell r="M321">
            <v>3600</v>
          </cell>
          <cell r="N321">
            <v>4000</v>
          </cell>
          <cell r="O321">
            <v>4400</v>
          </cell>
          <cell r="P321">
            <v>4805</v>
          </cell>
          <cell r="Q321">
            <v>4805</v>
          </cell>
        </row>
        <row r="322">
          <cell r="A322" t="str">
            <v>105-10-020</v>
          </cell>
          <cell r="B322" t="str">
            <v>HOUSE ALLOWANCE</v>
          </cell>
          <cell r="C322">
            <v>1</v>
          </cell>
          <cell r="D322" t="str">
            <v>EXECUTIVE</v>
          </cell>
          <cell r="E322">
            <v>166660</v>
          </cell>
          <cell r="F322">
            <v>333320</v>
          </cell>
          <cell r="G322">
            <v>499980</v>
          </cell>
          <cell r="H322">
            <v>666640</v>
          </cell>
          <cell r="I322">
            <v>833300</v>
          </cell>
          <cell r="J322">
            <v>999960</v>
          </cell>
          <cell r="K322">
            <v>1166620</v>
          </cell>
          <cell r="L322">
            <v>1333280</v>
          </cell>
          <cell r="M322">
            <v>1499940</v>
          </cell>
          <cell r="N322">
            <v>1666600</v>
          </cell>
          <cell r="O322">
            <v>1833260</v>
          </cell>
          <cell r="P322">
            <v>1999920</v>
          </cell>
          <cell r="Q322">
            <v>1999920</v>
          </cell>
        </row>
        <row r="323">
          <cell r="A323" t="str">
            <v>105-10-020</v>
          </cell>
          <cell r="B323" t="str">
            <v>HOUSE ALLOWANCE</v>
          </cell>
          <cell r="C323">
            <v>2</v>
          </cell>
          <cell r="D323" t="str">
            <v>OPERATIONS</v>
          </cell>
          <cell r="E323">
            <v>28600</v>
          </cell>
          <cell r="F323">
            <v>57200</v>
          </cell>
          <cell r="G323">
            <v>85800</v>
          </cell>
          <cell r="H323">
            <v>114400</v>
          </cell>
          <cell r="I323">
            <v>143000</v>
          </cell>
          <cell r="J323">
            <v>171600</v>
          </cell>
          <cell r="K323">
            <v>200200</v>
          </cell>
          <cell r="L323">
            <v>228800</v>
          </cell>
          <cell r="M323">
            <v>257400</v>
          </cell>
          <cell r="N323">
            <v>286000</v>
          </cell>
          <cell r="O323">
            <v>314600</v>
          </cell>
          <cell r="P323">
            <v>343200</v>
          </cell>
          <cell r="Q323">
            <v>343200</v>
          </cell>
        </row>
        <row r="324">
          <cell r="A324" t="str">
            <v>105-10-020</v>
          </cell>
          <cell r="B324" t="str">
            <v>HOUSE ALLOWANCE</v>
          </cell>
          <cell r="C324">
            <v>3</v>
          </cell>
          <cell r="D324" t="str">
            <v>PREMIUM LIASON</v>
          </cell>
          <cell r="E324">
            <v>42900</v>
          </cell>
          <cell r="F324">
            <v>85800</v>
          </cell>
          <cell r="G324">
            <v>128700</v>
          </cell>
          <cell r="H324">
            <v>171600</v>
          </cell>
          <cell r="I324">
            <v>214500</v>
          </cell>
          <cell r="J324">
            <v>257400</v>
          </cell>
          <cell r="K324">
            <v>300300</v>
          </cell>
          <cell r="L324">
            <v>343200</v>
          </cell>
          <cell r="M324">
            <v>386100</v>
          </cell>
          <cell r="N324">
            <v>429000</v>
          </cell>
          <cell r="O324">
            <v>471900</v>
          </cell>
          <cell r="P324">
            <v>514800</v>
          </cell>
          <cell r="Q324">
            <v>514800</v>
          </cell>
        </row>
        <row r="325">
          <cell r="A325" t="str">
            <v>105-10-020</v>
          </cell>
          <cell r="B325" t="str">
            <v>HOUSE ALLOWANCE</v>
          </cell>
          <cell r="C325">
            <v>4</v>
          </cell>
          <cell r="D325" t="str">
            <v>CUSTOMER SERVIC</v>
          </cell>
          <cell r="E325">
            <v>35100</v>
          </cell>
          <cell r="F325">
            <v>70200</v>
          </cell>
          <cell r="G325">
            <v>105300</v>
          </cell>
          <cell r="H325">
            <v>140400</v>
          </cell>
          <cell r="I325">
            <v>175500</v>
          </cell>
          <cell r="J325">
            <v>210600</v>
          </cell>
          <cell r="K325">
            <v>245700</v>
          </cell>
          <cell r="L325">
            <v>280800</v>
          </cell>
          <cell r="M325">
            <v>315900</v>
          </cell>
          <cell r="N325">
            <v>351000</v>
          </cell>
          <cell r="O325">
            <v>386100</v>
          </cell>
          <cell r="P325">
            <v>421200</v>
          </cell>
          <cell r="Q325">
            <v>421200</v>
          </cell>
        </row>
        <row r="326">
          <cell r="A326" t="str">
            <v>105-10-020</v>
          </cell>
          <cell r="B326" t="str">
            <v>HOUSE ALLOWANCE</v>
          </cell>
          <cell r="C326">
            <v>5</v>
          </cell>
          <cell r="D326" t="str">
            <v>PREMIUM ADMINST</v>
          </cell>
          <cell r="E326">
            <v>50700</v>
          </cell>
          <cell r="F326">
            <v>101400</v>
          </cell>
          <cell r="G326">
            <v>152100</v>
          </cell>
          <cell r="H326">
            <v>202800</v>
          </cell>
          <cell r="I326">
            <v>253500</v>
          </cell>
          <cell r="J326">
            <v>304200</v>
          </cell>
          <cell r="K326">
            <v>354900</v>
          </cell>
          <cell r="L326">
            <v>405600</v>
          </cell>
          <cell r="M326">
            <v>456300</v>
          </cell>
          <cell r="N326">
            <v>507000</v>
          </cell>
          <cell r="O326">
            <v>557700</v>
          </cell>
          <cell r="P326">
            <v>608400</v>
          </cell>
          <cell r="Q326">
            <v>608400</v>
          </cell>
        </row>
        <row r="327">
          <cell r="A327" t="str">
            <v>105-10-020</v>
          </cell>
          <cell r="B327" t="str">
            <v>HOUSE ALLOWANCE</v>
          </cell>
          <cell r="C327">
            <v>6</v>
          </cell>
          <cell r="D327" t="str">
            <v>BENEFIT PAYMENT</v>
          </cell>
          <cell r="E327">
            <v>61100</v>
          </cell>
          <cell r="F327">
            <v>122200</v>
          </cell>
          <cell r="G327">
            <v>183300</v>
          </cell>
          <cell r="H327">
            <v>244400</v>
          </cell>
          <cell r="I327">
            <v>305500</v>
          </cell>
          <cell r="J327">
            <v>366600</v>
          </cell>
          <cell r="K327">
            <v>427700</v>
          </cell>
          <cell r="L327">
            <v>488800</v>
          </cell>
          <cell r="M327">
            <v>549900</v>
          </cell>
          <cell r="N327">
            <v>611000</v>
          </cell>
          <cell r="O327">
            <v>672100</v>
          </cell>
          <cell r="P327">
            <v>733200</v>
          </cell>
          <cell r="Q327">
            <v>733200</v>
          </cell>
        </row>
        <row r="328">
          <cell r="A328" t="str">
            <v>105-10-020</v>
          </cell>
          <cell r="B328" t="str">
            <v>HOUSE ALLOWANCE</v>
          </cell>
          <cell r="C328">
            <v>7</v>
          </cell>
          <cell r="D328" t="str">
            <v>NEW BUSINESS</v>
          </cell>
          <cell r="E328">
            <v>27300</v>
          </cell>
          <cell r="F328">
            <v>54600</v>
          </cell>
          <cell r="G328">
            <v>81900</v>
          </cell>
          <cell r="H328">
            <v>109200</v>
          </cell>
          <cell r="I328">
            <v>136500</v>
          </cell>
          <cell r="J328">
            <v>163800</v>
          </cell>
          <cell r="K328">
            <v>191100</v>
          </cell>
          <cell r="L328">
            <v>218400</v>
          </cell>
          <cell r="M328">
            <v>245700</v>
          </cell>
          <cell r="N328">
            <v>273000</v>
          </cell>
          <cell r="O328">
            <v>300300</v>
          </cell>
          <cell r="P328">
            <v>327600</v>
          </cell>
          <cell r="Q328">
            <v>327600</v>
          </cell>
        </row>
        <row r="329">
          <cell r="A329" t="str">
            <v>105-10-020</v>
          </cell>
          <cell r="B329" t="str">
            <v>HOUSE ALLOWANCE</v>
          </cell>
          <cell r="C329">
            <v>8</v>
          </cell>
          <cell r="D329" t="str">
            <v>FINANCE</v>
          </cell>
          <cell r="E329">
            <v>94125</v>
          </cell>
          <cell r="F329">
            <v>188250</v>
          </cell>
          <cell r="G329">
            <v>282375</v>
          </cell>
          <cell r="H329">
            <v>376500</v>
          </cell>
          <cell r="I329">
            <v>470625</v>
          </cell>
          <cell r="J329">
            <v>564750</v>
          </cell>
          <cell r="K329">
            <v>658875</v>
          </cell>
          <cell r="L329">
            <v>753000</v>
          </cell>
          <cell r="M329">
            <v>847125</v>
          </cell>
          <cell r="N329">
            <v>941250</v>
          </cell>
          <cell r="O329">
            <v>1035375</v>
          </cell>
          <cell r="P329">
            <v>1129500</v>
          </cell>
          <cell r="Q329">
            <v>1129500</v>
          </cell>
        </row>
        <row r="330">
          <cell r="A330" t="str">
            <v>105-10-020</v>
          </cell>
          <cell r="B330" t="str">
            <v>HOUSE ALLOWANCE</v>
          </cell>
          <cell r="C330">
            <v>9</v>
          </cell>
          <cell r="D330" t="str">
            <v>INFORMATION TEC</v>
          </cell>
          <cell r="E330">
            <v>39000</v>
          </cell>
          <cell r="F330">
            <v>78000</v>
          </cell>
          <cell r="G330">
            <v>117000</v>
          </cell>
          <cell r="H330">
            <v>156000</v>
          </cell>
          <cell r="I330">
            <v>195000</v>
          </cell>
          <cell r="J330">
            <v>234000</v>
          </cell>
          <cell r="K330">
            <v>273000</v>
          </cell>
          <cell r="L330">
            <v>312000</v>
          </cell>
          <cell r="M330">
            <v>351000</v>
          </cell>
          <cell r="N330">
            <v>390000</v>
          </cell>
          <cell r="O330">
            <v>429000</v>
          </cell>
          <cell r="P330">
            <v>468000</v>
          </cell>
          <cell r="Q330">
            <v>468000</v>
          </cell>
        </row>
        <row r="331">
          <cell r="A331" t="str">
            <v>105-10-020</v>
          </cell>
          <cell r="B331" t="str">
            <v>HOUSE ALLOWANCE</v>
          </cell>
          <cell r="C331">
            <v>10</v>
          </cell>
          <cell r="D331" t="str">
            <v>HUMAN RESORCES</v>
          </cell>
          <cell r="E331">
            <v>38250</v>
          </cell>
          <cell r="F331">
            <v>76500</v>
          </cell>
          <cell r="G331">
            <v>114750</v>
          </cell>
          <cell r="H331">
            <v>153000</v>
          </cell>
          <cell r="I331">
            <v>191250</v>
          </cell>
          <cell r="J331">
            <v>229500</v>
          </cell>
          <cell r="K331">
            <v>267750</v>
          </cell>
          <cell r="L331">
            <v>306000</v>
          </cell>
          <cell r="M331">
            <v>344250</v>
          </cell>
          <cell r="N331">
            <v>382500</v>
          </cell>
          <cell r="O331">
            <v>420750</v>
          </cell>
          <cell r="P331">
            <v>459000</v>
          </cell>
          <cell r="Q331">
            <v>459000</v>
          </cell>
        </row>
        <row r="332">
          <cell r="A332" t="str">
            <v>105-10-030</v>
          </cell>
          <cell r="B332" t="str">
            <v>TELEPHONE ALLOWANC</v>
          </cell>
          <cell r="C332">
            <v>1</v>
          </cell>
          <cell r="D332" t="str">
            <v>EXECUTIVE</v>
          </cell>
          <cell r="E332">
            <v>5000</v>
          </cell>
          <cell r="F332">
            <v>10000</v>
          </cell>
          <cell r="G332">
            <v>15000</v>
          </cell>
          <cell r="H332">
            <v>20000</v>
          </cell>
          <cell r="I332">
            <v>25000</v>
          </cell>
          <cell r="J332">
            <v>30000</v>
          </cell>
          <cell r="K332">
            <v>35000</v>
          </cell>
          <cell r="L332">
            <v>40000</v>
          </cell>
          <cell r="M332">
            <v>45000</v>
          </cell>
          <cell r="N332">
            <v>50000</v>
          </cell>
          <cell r="O332">
            <v>55000</v>
          </cell>
          <cell r="P332">
            <v>60000</v>
          </cell>
          <cell r="Q332">
            <v>60000</v>
          </cell>
        </row>
        <row r="333">
          <cell r="A333" t="str">
            <v>105-10-030</v>
          </cell>
          <cell r="B333" t="str">
            <v>TELEPHONE ALLOWANC</v>
          </cell>
          <cell r="C333">
            <v>2</v>
          </cell>
          <cell r="D333" t="str">
            <v>OPERATIONS</v>
          </cell>
          <cell r="E333">
            <v>7000</v>
          </cell>
          <cell r="F333">
            <v>14000</v>
          </cell>
          <cell r="G333">
            <v>21000</v>
          </cell>
          <cell r="H333">
            <v>28000</v>
          </cell>
          <cell r="I333">
            <v>35000</v>
          </cell>
          <cell r="J333">
            <v>42000</v>
          </cell>
          <cell r="K333">
            <v>49000</v>
          </cell>
          <cell r="L333">
            <v>56000</v>
          </cell>
          <cell r="M333">
            <v>63000</v>
          </cell>
          <cell r="N333">
            <v>70000</v>
          </cell>
          <cell r="O333">
            <v>77000</v>
          </cell>
          <cell r="P333">
            <v>84000</v>
          </cell>
          <cell r="Q333">
            <v>84000</v>
          </cell>
        </row>
        <row r="334">
          <cell r="A334" t="str">
            <v>105-10-030</v>
          </cell>
          <cell r="B334" t="str">
            <v>TELEPHONE ALLOWANC</v>
          </cell>
          <cell r="C334">
            <v>3</v>
          </cell>
          <cell r="D334" t="str">
            <v>PREMIUMS LIASON</v>
          </cell>
          <cell r="E334">
            <v>2500</v>
          </cell>
          <cell r="F334">
            <v>5000</v>
          </cell>
          <cell r="G334">
            <v>7500</v>
          </cell>
          <cell r="H334">
            <v>10000</v>
          </cell>
          <cell r="I334">
            <v>12500</v>
          </cell>
          <cell r="J334">
            <v>15000</v>
          </cell>
          <cell r="K334">
            <v>17500</v>
          </cell>
          <cell r="L334">
            <v>20000</v>
          </cell>
          <cell r="M334">
            <v>22500</v>
          </cell>
          <cell r="N334">
            <v>25000</v>
          </cell>
          <cell r="O334">
            <v>27500</v>
          </cell>
          <cell r="P334">
            <v>30000</v>
          </cell>
          <cell r="Q334">
            <v>30000</v>
          </cell>
        </row>
        <row r="335">
          <cell r="A335" t="str">
            <v>105-10-030</v>
          </cell>
          <cell r="B335" t="str">
            <v>TELEPHONE ALLOWANC</v>
          </cell>
          <cell r="C335">
            <v>8</v>
          </cell>
          <cell r="D335" t="str">
            <v>FINANCE</v>
          </cell>
          <cell r="E335">
            <v>2500</v>
          </cell>
          <cell r="F335">
            <v>5000</v>
          </cell>
          <cell r="G335">
            <v>7500</v>
          </cell>
          <cell r="H335">
            <v>10000</v>
          </cell>
          <cell r="I335">
            <v>12500</v>
          </cell>
          <cell r="J335">
            <v>15000</v>
          </cell>
          <cell r="K335">
            <v>17500</v>
          </cell>
          <cell r="L335">
            <v>20000</v>
          </cell>
          <cell r="M335">
            <v>22500</v>
          </cell>
          <cell r="N335">
            <v>25000</v>
          </cell>
          <cell r="O335">
            <v>27500</v>
          </cell>
          <cell r="P335">
            <v>30000</v>
          </cell>
          <cell r="Q335">
            <v>30000</v>
          </cell>
        </row>
        <row r="336">
          <cell r="A336" t="str">
            <v>105-10-030</v>
          </cell>
          <cell r="B336" t="str">
            <v>TELEPHONE ALLOWANC</v>
          </cell>
          <cell r="C336">
            <v>9</v>
          </cell>
          <cell r="D336" t="str">
            <v>INFORMTION TECN</v>
          </cell>
          <cell r="E336">
            <v>7000</v>
          </cell>
          <cell r="F336">
            <v>14000</v>
          </cell>
          <cell r="G336">
            <v>21000</v>
          </cell>
          <cell r="H336">
            <v>28000</v>
          </cell>
          <cell r="I336">
            <v>35000</v>
          </cell>
          <cell r="J336">
            <v>42000</v>
          </cell>
          <cell r="K336">
            <v>49000</v>
          </cell>
          <cell r="L336">
            <v>56000</v>
          </cell>
          <cell r="M336">
            <v>63000</v>
          </cell>
          <cell r="N336">
            <v>70000</v>
          </cell>
          <cell r="O336">
            <v>77000</v>
          </cell>
          <cell r="P336">
            <v>84000</v>
          </cell>
          <cell r="Q336">
            <v>84000</v>
          </cell>
        </row>
        <row r="337">
          <cell r="A337" t="str">
            <v>105-10-030</v>
          </cell>
          <cell r="B337" t="str">
            <v>TELEPHONE ALLOWANC</v>
          </cell>
          <cell r="C337">
            <v>10</v>
          </cell>
          <cell r="D337" t="str">
            <v>HUMAN RESORCES</v>
          </cell>
          <cell r="E337">
            <v>5498</v>
          </cell>
          <cell r="F337">
            <v>10996</v>
          </cell>
          <cell r="G337">
            <v>16494</v>
          </cell>
          <cell r="H337">
            <v>21992</v>
          </cell>
          <cell r="I337">
            <v>27490</v>
          </cell>
          <cell r="J337">
            <v>32988</v>
          </cell>
          <cell r="K337">
            <v>38486</v>
          </cell>
          <cell r="L337">
            <v>43984</v>
          </cell>
          <cell r="M337">
            <v>49482</v>
          </cell>
          <cell r="N337">
            <v>54980</v>
          </cell>
          <cell r="O337">
            <v>60478</v>
          </cell>
          <cell r="P337">
            <v>65980</v>
          </cell>
          <cell r="Q337">
            <v>65980</v>
          </cell>
        </row>
        <row r="338">
          <cell r="A338" t="str">
            <v>105-10-040</v>
          </cell>
          <cell r="B338" t="str">
            <v>SECURITY ALLOWANCE</v>
          </cell>
          <cell r="C338">
            <v>1</v>
          </cell>
          <cell r="D338" t="str">
            <v>EXECUTIVE</v>
          </cell>
          <cell r="E338">
            <v>44000</v>
          </cell>
          <cell r="F338">
            <v>88000</v>
          </cell>
          <cell r="G338">
            <v>132000</v>
          </cell>
          <cell r="H338">
            <v>176000</v>
          </cell>
          <cell r="I338">
            <v>220000</v>
          </cell>
          <cell r="J338">
            <v>264000</v>
          </cell>
          <cell r="K338">
            <v>308000</v>
          </cell>
          <cell r="L338">
            <v>352000</v>
          </cell>
          <cell r="M338">
            <v>396000</v>
          </cell>
          <cell r="N338">
            <v>440000</v>
          </cell>
          <cell r="O338">
            <v>484000</v>
          </cell>
          <cell r="P338">
            <v>528000</v>
          </cell>
          <cell r="Q338">
            <v>528000</v>
          </cell>
        </row>
        <row r="339">
          <cell r="A339" t="str">
            <v>105-10-040</v>
          </cell>
          <cell r="B339" t="str">
            <v>SECURITY ALLOWANCE</v>
          </cell>
          <cell r="C339">
            <v>8</v>
          </cell>
          <cell r="D339" t="str">
            <v>FINANCE</v>
          </cell>
          <cell r="E339">
            <v>25000</v>
          </cell>
          <cell r="F339">
            <v>50000</v>
          </cell>
          <cell r="G339">
            <v>75000</v>
          </cell>
          <cell r="H339">
            <v>100000</v>
          </cell>
          <cell r="I339">
            <v>125000</v>
          </cell>
          <cell r="J339">
            <v>150000</v>
          </cell>
          <cell r="K339">
            <v>175000</v>
          </cell>
          <cell r="L339">
            <v>200000</v>
          </cell>
          <cell r="M339">
            <v>225000</v>
          </cell>
          <cell r="N339">
            <v>250000</v>
          </cell>
          <cell r="O339">
            <v>275000</v>
          </cell>
          <cell r="P339">
            <v>300000</v>
          </cell>
          <cell r="Q339">
            <v>300000</v>
          </cell>
        </row>
        <row r="340">
          <cell r="A340" t="str">
            <v>105-10-050</v>
          </cell>
          <cell r="B340" t="str">
            <v>EDUCATION ALLOWANC</v>
          </cell>
          <cell r="C340">
            <v>1</v>
          </cell>
          <cell r="D340" t="str">
            <v>EXECUTIVE</v>
          </cell>
          <cell r="E340">
            <v>81187</v>
          </cell>
          <cell r="F340">
            <v>162374</v>
          </cell>
          <cell r="G340">
            <v>243561</v>
          </cell>
          <cell r="H340">
            <v>324748</v>
          </cell>
          <cell r="I340">
            <v>405935</v>
          </cell>
          <cell r="J340">
            <v>487122</v>
          </cell>
          <cell r="K340">
            <v>568309</v>
          </cell>
          <cell r="L340">
            <v>649496</v>
          </cell>
          <cell r="M340">
            <v>730683</v>
          </cell>
          <cell r="N340">
            <v>811870</v>
          </cell>
          <cell r="O340">
            <v>893057</v>
          </cell>
          <cell r="P340">
            <v>974250</v>
          </cell>
          <cell r="Q340">
            <v>974250</v>
          </cell>
        </row>
        <row r="341">
          <cell r="A341" t="str">
            <v>105-10-050</v>
          </cell>
          <cell r="B341" t="str">
            <v>EDUCATION ALLOWANC</v>
          </cell>
          <cell r="C341">
            <v>2</v>
          </cell>
          <cell r="D341" t="str">
            <v>OPERATIONS</v>
          </cell>
          <cell r="E341">
            <v>8320</v>
          </cell>
          <cell r="F341">
            <v>16640</v>
          </cell>
          <cell r="G341">
            <v>24960</v>
          </cell>
          <cell r="H341">
            <v>33280</v>
          </cell>
          <cell r="I341">
            <v>41600</v>
          </cell>
          <cell r="J341">
            <v>49920</v>
          </cell>
          <cell r="K341">
            <v>58240</v>
          </cell>
          <cell r="L341">
            <v>66560</v>
          </cell>
          <cell r="M341">
            <v>74880</v>
          </cell>
          <cell r="N341">
            <v>83200</v>
          </cell>
          <cell r="O341">
            <v>91520</v>
          </cell>
          <cell r="P341">
            <v>99840</v>
          </cell>
          <cell r="Q341">
            <v>99840</v>
          </cell>
        </row>
        <row r="342">
          <cell r="A342" t="str">
            <v>105-10-050</v>
          </cell>
          <cell r="B342" t="str">
            <v>EDUCATION ALLOWANC</v>
          </cell>
          <cell r="C342">
            <v>3</v>
          </cell>
          <cell r="D342" t="str">
            <v>PREMIUM LIASON</v>
          </cell>
          <cell r="E342">
            <v>8320</v>
          </cell>
          <cell r="F342">
            <v>16640</v>
          </cell>
          <cell r="G342">
            <v>24960</v>
          </cell>
          <cell r="H342">
            <v>33280</v>
          </cell>
          <cell r="I342">
            <v>41600</v>
          </cell>
          <cell r="J342">
            <v>49920</v>
          </cell>
          <cell r="K342">
            <v>58240</v>
          </cell>
          <cell r="L342">
            <v>66560</v>
          </cell>
          <cell r="M342">
            <v>74880</v>
          </cell>
          <cell r="N342">
            <v>83200</v>
          </cell>
          <cell r="O342">
            <v>91520</v>
          </cell>
          <cell r="P342">
            <v>99840</v>
          </cell>
          <cell r="Q342">
            <v>99840</v>
          </cell>
        </row>
        <row r="343">
          <cell r="A343" t="str">
            <v>105-10-050</v>
          </cell>
          <cell r="B343" t="str">
            <v>EDUCATION ALLOWANC</v>
          </cell>
          <cell r="C343">
            <v>6</v>
          </cell>
          <cell r="D343" t="str">
            <v>BENEFIT PAYMENT</v>
          </cell>
          <cell r="E343">
            <v>6240</v>
          </cell>
          <cell r="F343">
            <v>12480</v>
          </cell>
          <cell r="G343">
            <v>18720</v>
          </cell>
          <cell r="H343">
            <v>24960</v>
          </cell>
          <cell r="I343">
            <v>31200</v>
          </cell>
          <cell r="J343">
            <v>37440</v>
          </cell>
          <cell r="K343">
            <v>43680</v>
          </cell>
          <cell r="L343">
            <v>49920</v>
          </cell>
          <cell r="M343">
            <v>56160</v>
          </cell>
          <cell r="N343">
            <v>62400</v>
          </cell>
          <cell r="O343">
            <v>68640</v>
          </cell>
          <cell r="P343">
            <v>74880</v>
          </cell>
          <cell r="Q343">
            <v>74880</v>
          </cell>
        </row>
        <row r="344">
          <cell r="A344" t="str">
            <v>105-10-050</v>
          </cell>
          <cell r="B344" t="str">
            <v>EDUCATION ALLOWANC</v>
          </cell>
          <cell r="C344">
            <v>8</v>
          </cell>
          <cell r="D344" t="str">
            <v>FINANCE</v>
          </cell>
          <cell r="E344">
            <v>61920</v>
          </cell>
          <cell r="F344">
            <v>123840</v>
          </cell>
          <cell r="G344">
            <v>185760</v>
          </cell>
          <cell r="H344">
            <v>247680</v>
          </cell>
          <cell r="I344">
            <v>309600</v>
          </cell>
          <cell r="J344">
            <v>371520</v>
          </cell>
          <cell r="K344">
            <v>433440</v>
          </cell>
          <cell r="L344">
            <v>495360</v>
          </cell>
          <cell r="M344">
            <v>557280</v>
          </cell>
          <cell r="N344">
            <v>619200</v>
          </cell>
          <cell r="O344">
            <v>681120</v>
          </cell>
          <cell r="P344">
            <v>743040</v>
          </cell>
          <cell r="Q344">
            <v>743040</v>
          </cell>
        </row>
        <row r="345">
          <cell r="A345" t="str">
            <v>105-10-050</v>
          </cell>
          <cell r="B345" t="str">
            <v>EDUCATION ALLOWANC</v>
          </cell>
          <cell r="C345">
            <v>9</v>
          </cell>
          <cell r="D345" t="str">
            <v>INFORMATION TEC</v>
          </cell>
          <cell r="E345">
            <v>12480</v>
          </cell>
          <cell r="F345">
            <v>24960</v>
          </cell>
          <cell r="G345">
            <v>37440</v>
          </cell>
          <cell r="H345">
            <v>49920</v>
          </cell>
          <cell r="I345">
            <v>62400</v>
          </cell>
          <cell r="J345">
            <v>74880</v>
          </cell>
          <cell r="K345">
            <v>87360</v>
          </cell>
          <cell r="L345">
            <v>99840</v>
          </cell>
          <cell r="M345">
            <v>112320</v>
          </cell>
          <cell r="N345">
            <v>124800</v>
          </cell>
          <cell r="O345">
            <v>137280</v>
          </cell>
          <cell r="P345">
            <v>149760</v>
          </cell>
          <cell r="Q345">
            <v>149760</v>
          </cell>
        </row>
        <row r="346">
          <cell r="A346" t="str">
            <v>105-10-050</v>
          </cell>
          <cell r="B346" t="str">
            <v>EDUCATION ALLOWANC</v>
          </cell>
          <cell r="C346">
            <v>10</v>
          </cell>
          <cell r="D346" t="str">
            <v>HUMAN RESOURCES</v>
          </cell>
          <cell r="E346">
            <v>6240</v>
          </cell>
          <cell r="F346">
            <v>12480</v>
          </cell>
          <cell r="G346">
            <v>18720</v>
          </cell>
          <cell r="H346">
            <v>24960</v>
          </cell>
          <cell r="I346">
            <v>31200</v>
          </cell>
          <cell r="J346">
            <v>37440</v>
          </cell>
          <cell r="K346">
            <v>43680</v>
          </cell>
          <cell r="L346">
            <v>49920</v>
          </cell>
          <cell r="M346">
            <v>56160</v>
          </cell>
          <cell r="N346">
            <v>62400</v>
          </cell>
          <cell r="O346">
            <v>68640</v>
          </cell>
          <cell r="P346">
            <v>74880</v>
          </cell>
          <cell r="Q346">
            <v>74880</v>
          </cell>
        </row>
        <row r="347">
          <cell r="A347" t="str">
            <v>105-10-060</v>
          </cell>
          <cell r="B347" t="str">
            <v>TRAVEL ALLOWANCE</v>
          </cell>
          <cell r="C347">
            <v>1</v>
          </cell>
          <cell r="D347" t="str">
            <v>EXECUTIVE</v>
          </cell>
          <cell r="E347">
            <v>50000</v>
          </cell>
          <cell r="F347">
            <v>100000</v>
          </cell>
          <cell r="G347">
            <v>150000</v>
          </cell>
          <cell r="H347">
            <v>200000</v>
          </cell>
          <cell r="I347">
            <v>250000</v>
          </cell>
          <cell r="J347">
            <v>300000</v>
          </cell>
          <cell r="K347">
            <v>350000</v>
          </cell>
          <cell r="L347">
            <v>400000</v>
          </cell>
          <cell r="M347">
            <v>450000</v>
          </cell>
          <cell r="N347">
            <v>500000</v>
          </cell>
          <cell r="O347">
            <v>550000</v>
          </cell>
          <cell r="P347">
            <v>600000</v>
          </cell>
          <cell r="Q347">
            <v>600000</v>
          </cell>
        </row>
        <row r="348">
          <cell r="A348" t="str">
            <v>105-10-060</v>
          </cell>
          <cell r="B348" t="str">
            <v>TRAVEL ALLOWANCE</v>
          </cell>
          <cell r="C348">
            <v>2</v>
          </cell>
          <cell r="D348" t="str">
            <v>OPERATIONS</v>
          </cell>
          <cell r="E348">
            <v>2080</v>
          </cell>
          <cell r="F348">
            <v>4160</v>
          </cell>
          <cell r="G348">
            <v>6240</v>
          </cell>
          <cell r="H348">
            <v>8320</v>
          </cell>
          <cell r="I348">
            <v>10400</v>
          </cell>
          <cell r="J348">
            <v>12480</v>
          </cell>
          <cell r="K348">
            <v>14560</v>
          </cell>
          <cell r="L348">
            <v>16640</v>
          </cell>
          <cell r="M348">
            <v>18720</v>
          </cell>
          <cell r="N348">
            <v>20800</v>
          </cell>
          <cell r="O348">
            <v>22880</v>
          </cell>
          <cell r="P348">
            <v>24960</v>
          </cell>
          <cell r="Q348">
            <v>24960</v>
          </cell>
        </row>
        <row r="349">
          <cell r="A349" t="str">
            <v>105-10-060</v>
          </cell>
          <cell r="B349" t="str">
            <v>TRAVEL ALLOWANCE</v>
          </cell>
          <cell r="C349">
            <v>3</v>
          </cell>
          <cell r="D349" t="str">
            <v>PREMIUM LIASON</v>
          </cell>
          <cell r="E349">
            <v>2080</v>
          </cell>
          <cell r="F349">
            <v>4160</v>
          </cell>
          <cell r="G349">
            <v>6240</v>
          </cell>
          <cell r="H349">
            <v>8320</v>
          </cell>
          <cell r="I349">
            <v>10400</v>
          </cell>
          <cell r="J349">
            <v>12480</v>
          </cell>
          <cell r="K349">
            <v>14560</v>
          </cell>
          <cell r="L349">
            <v>16640</v>
          </cell>
          <cell r="M349">
            <v>18720</v>
          </cell>
          <cell r="N349">
            <v>20800</v>
          </cell>
          <cell r="O349">
            <v>22880</v>
          </cell>
          <cell r="P349">
            <v>24960</v>
          </cell>
          <cell r="Q349">
            <v>24960</v>
          </cell>
        </row>
        <row r="350">
          <cell r="A350" t="str">
            <v>105-10-060</v>
          </cell>
          <cell r="B350" t="str">
            <v>TRAVEL ALLOWANCE</v>
          </cell>
          <cell r="C350">
            <v>6</v>
          </cell>
          <cell r="D350" t="str">
            <v>BENEFIT PAYMENT</v>
          </cell>
          <cell r="E350">
            <v>1560</v>
          </cell>
          <cell r="F350">
            <v>3120</v>
          </cell>
          <cell r="G350">
            <v>4680</v>
          </cell>
          <cell r="H350">
            <v>6240</v>
          </cell>
          <cell r="I350">
            <v>7800</v>
          </cell>
          <cell r="J350">
            <v>9360</v>
          </cell>
          <cell r="K350">
            <v>10920</v>
          </cell>
          <cell r="L350">
            <v>12480</v>
          </cell>
          <cell r="M350">
            <v>14040</v>
          </cell>
          <cell r="N350">
            <v>15600</v>
          </cell>
          <cell r="O350">
            <v>17160</v>
          </cell>
          <cell r="P350">
            <v>18720</v>
          </cell>
          <cell r="Q350">
            <v>18720</v>
          </cell>
        </row>
        <row r="351">
          <cell r="A351" t="str">
            <v>105-10-060</v>
          </cell>
          <cell r="B351" t="str">
            <v>TRAVEL ALLOWANCE</v>
          </cell>
          <cell r="C351">
            <v>8</v>
          </cell>
          <cell r="D351" t="str">
            <v>FINANCE</v>
          </cell>
          <cell r="E351">
            <v>15480</v>
          </cell>
          <cell r="F351">
            <v>30960</v>
          </cell>
          <cell r="G351">
            <v>46440</v>
          </cell>
          <cell r="H351">
            <v>61920</v>
          </cell>
          <cell r="I351">
            <v>77400</v>
          </cell>
          <cell r="J351">
            <v>92880</v>
          </cell>
          <cell r="K351">
            <v>108360</v>
          </cell>
          <cell r="L351">
            <v>123840</v>
          </cell>
          <cell r="M351">
            <v>139320</v>
          </cell>
          <cell r="N351">
            <v>154800</v>
          </cell>
          <cell r="O351">
            <v>170280</v>
          </cell>
          <cell r="P351">
            <v>185760</v>
          </cell>
          <cell r="Q351">
            <v>185760</v>
          </cell>
        </row>
        <row r="352">
          <cell r="A352" t="str">
            <v>105-10-060</v>
          </cell>
          <cell r="B352" t="str">
            <v>TRAVEL ALLOWANCE</v>
          </cell>
          <cell r="C352">
            <v>9</v>
          </cell>
          <cell r="D352" t="str">
            <v>INFORMATION TEC</v>
          </cell>
          <cell r="E352">
            <v>3120</v>
          </cell>
          <cell r="F352">
            <v>6240</v>
          </cell>
          <cell r="G352">
            <v>9360</v>
          </cell>
          <cell r="H352">
            <v>12480</v>
          </cell>
          <cell r="I352">
            <v>15600</v>
          </cell>
          <cell r="J352">
            <v>18720</v>
          </cell>
          <cell r="K352">
            <v>21840</v>
          </cell>
          <cell r="L352">
            <v>24960</v>
          </cell>
          <cell r="M352">
            <v>28080</v>
          </cell>
          <cell r="N352">
            <v>31200</v>
          </cell>
          <cell r="O352">
            <v>34320</v>
          </cell>
          <cell r="P352">
            <v>37440</v>
          </cell>
          <cell r="Q352">
            <v>37440</v>
          </cell>
        </row>
        <row r="353">
          <cell r="A353" t="str">
            <v>105-10-060</v>
          </cell>
          <cell r="B353" t="str">
            <v>TRAVEL ALLOWANCE</v>
          </cell>
          <cell r="C353">
            <v>10</v>
          </cell>
          <cell r="D353" t="str">
            <v>HUMAN RESOURCES</v>
          </cell>
          <cell r="E353">
            <v>1560</v>
          </cell>
          <cell r="F353">
            <v>3120</v>
          </cell>
          <cell r="G353">
            <v>4680</v>
          </cell>
          <cell r="H353">
            <v>6240</v>
          </cell>
          <cell r="I353">
            <v>7800</v>
          </cell>
          <cell r="J353">
            <v>9360</v>
          </cell>
          <cell r="K353">
            <v>10920</v>
          </cell>
          <cell r="L353">
            <v>12480</v>
          </cell>
          <cell r="M353">
            <v>14040</v>
          </cell>
          <cell r="N353">
            <v>15600</v>
          </cell>
          <cell r="O353">
            <v>17160</v>
          </cell>
          <cell r="P353">
            <v>18720</v>
          </cell>
          <cell r="Q353">
            <v>18720</v>
          </cell>
        </row>
        <row r="354">
          <cell r="A354" t="str">
            <v>105-10-065</v>
          </cell>
          <cell r="B354" t="str">
            <v>PROVISION FOR 2002</v>
          </cell>
          <cell r="C354">
            <v>1</v>
          </cell>
          <cell r="D354" t="str">
            <v>EXECUTIVE</v>
          </cell>
          <cell r="E354">
            <v>166666</v>
          </cell>
          <cell r="F354">
            <v>333332</v>
          </cell>
          <cell r="G354">
            <v>499998</v>
          </cell>
          <cell r="H354">
            <v>666664</v>
          </cell>
          <cell r="I354">
            <v>833330</v>
          </cell>
          <cell r="J354">
            <v>999996</v>
          </cell>
          <cell r="K354">
            <v>1166662</v>
          </cell>
          <cell r="L354">
            <v>1333328</v>
          </cell>
          <cell r="M354">
            <v>1499994</v>
          </cell>
          <cell r="N354">
            <v>1666660</v>
          </cell>
          <cell r="O354">
            <v>1833326</v>
          </cell>
          <cell r="P354">
            <v>2000000</v>
          </cell>
          <cell r="Q354">
            <v>2000000</v>
          </cell>
        </row>
        <row r="355">
          <cell r="A355" t="str">
            <v>105-20-010</v>
          </cell>
          <cell r="B355" t="str">
            <v>NSSF</v>
          </cell>
          <cell r="C355">
            <v>1</v>
          </cell>
          <cell r="D355" t="str">
            <v>EXECUTIVE</v>
          </cell>
          <cell r="E355">
            <v>400</v>
          </cell>
          <cell r="F355">
            <v>800</v>
          </cell>
          <cell r="G355">
            <v>1200</v>
          </cell>
          <cell r="H355">
            <v>1600</v>
          </cell>
          <cell r="I355">
            <v>2000</v>
          </cell>
          <cell r="J355">
            <v>2400</v>
          </cell>
          <cell r="K355">
            <v>2800</v>
          </cell>
          <cell r="L355">
            <v>3200</v>
          </cell>
          <cell r="M355">
            <v>3600</v>
          </cell>
          <cell r="N355">
            <v>4000</v>
          </cell>
          <cell r="O355">
            <v>4400</v>
          </cell>
          <cell r="P355">
            <v>4800</v>
          </cell>
          <cell r="Q355">
            <v>4800</v>
          </cell>
        </row>
        <row r="356">
          <cell r="A356" t="str">
            <v>105-20-010</v>
          </cell>
          <cell r="B356" t="str">
            <v>NSSF</v>
          </cell>
          <cell r="C356">
            <v>2</v>
          </cell>
          <cell r="D356" t="str">
            <v>OPERATIONS</v>
          </cell>
          <cell r="E356">
            <v>240</v>
          </cell>
          <cell r="F356">
            <v>480</v>
          </cell>
          <cell r="G356">
            <v>720</v>
          </cell>
          <cell r="H356">
            <v>960</v>
          </cell>
          <cell r="I356">
            <v>1200</v>
          </cell>
          <cell r="J356">
            <v>1440</v>
          </cell>
          <cell r="K356">
            <v>1680</v>
          </cell>
          <cell r="L356">
            <v>1920</v>
          </cell>
          <cell r="M356">
            <v>2160</v>
          </cell>
          <cell r="N356">
            <v>2400</v>
          </cell>
          <cell r="O356">
            <v>2640</v>
          </cell>
          <cell r="P356">
            <v>2880</v>
          </cell>
          <cell r="Q356">
            <v>2880</v>
          </cell>
        </row>
        <row r="357">
          <cell r="A357" t="str">
            <v>105-20-010</v>
          </cell>
          <cell r="B357" t="str">
            <v>NSSF</v>
          </cell>
          <cell r="C357">
            <v>3</v>
          </cell>
          <cell r="D357" t="str">
            <v>PREMIUM LIASON</v>
          </cell>
          <cell r="E357">
            <v>1200</v>
          </cell>
          <cell r="F357">
            <v>2400</v>
          </cell>
          <cell r="G357">
            <v>3600</v>
          </cell>
          <cell r="H357">
            <v>4800</v>
          </cell>
          <cell r="I357">
            <v>6000</v>
          </cell>
          <cell r="J357">
            <v>7200</v>
          </cell>
          <cell r="K357">
            <v>8400</v>
          </cell>
          <cell r="L357">
            <v>9600</v>
          </cell>
          <cell r="M357">
            <v>10800</v>
          </cell>
          <cell r="N357">
            <v>12000</v>
          </cell>
          <cell r="O357">
            <v>13200</v>
          </cell>
          <cell r="P357">
            <v>14400</v>
          </cell>
          <cell r="Q357">
            <v>14400</v>
          </cell>
        </row>
        <row r="358">
          <cell r="A358" t="str">
            <v>105-20-010</v>
          </cell>
          <cell r="B358" t="str">
            <v>NSSF</v>
          </cell>
          <cell r="C358">
            <v>4</v>
          </cell>
          <cell r="D358" t="str">
            <v>CUSTOMER SERVIC</v>
          </cell>
          <cell r="E358">
            <v>1200</v>
          </cell>
          <cell r="F358">
            <v>2400</v>
          </cell>
          <cell r="G358">
            <v>3600</v>
          </cell>
          <cell r="H358">
            <v>4800</v>
          </cell>
          <cell r="I358">
            <v>6000</v>
          </cell>
          <cell r="J358">
            <v>7200</v>
          </cell>
          <cell r="K358">
            <v>8400</v>
          </cell>
          <cell r="L358">
            <v>9600</v>
          </cell>
          <cell r="M358">
            <v>10800</v>
          </cell>
          <cell r="N358">
            <v>12000</v>
          </cell>
          <cell r="O358">
            <v>13200</v>
          </cell>
          <cell r="P358">
            <v>14400</v>
          </cell>
          <cell r="Q358">
            <v>14400</v>
          </cell>
        </row>
        <row r="359">
          <cell r="A359" t="str">
            <v>105-20-010</v>
          </cell>
          <cell r="B359" t="str">
            <v>NSSF</v>
          </cell>
          <cell r="C359">
            <v>5</v>
          </cell>
          <cell r="D359" t="str">
            <v>PREMIUM ADMINST</v>
          </cell>
          <cell r="E359">
            <v>1800</v>
          </cell>
          <cell r="F359">
            <v>3600</v>
          </cell>
          <cell r="G359">
            <v>5400</v>
          </cell>
          <cell r="H359">
            <v>7200</v>
          </cell>
          <cell r="I359">
            <v>9000</v>
          </cell>
          <cell r="J359">
            <v>10800</v>
          </cell>
          <cell r="K359">
            <v>12600</v>
          </cell>
          <cell r="L359">
            <v>14400</v>
          </cell>
          <cell r="M359">
            <v>16200</v>
          </cell>
          <cell r="N359">
            <v>18000</v>
          </cell>
          <cell r="O359">
            <v>19800</v>
          </cell>
          <cell r="P359">
            <v>21600</v>
          </cell>
          <cell r="Q359">
            <v>21600</v>
          </cell>
        </row>
        <row r="360">
          <cell r="A360" t="str">
            <v>105-20-010</v>
          </cell>
          <cell r="B360" t="str">
            <v>NSSF</v>
          </cell>
          <cell r="C360">
            <v>6</v>
          </cell>
          <cell r="D360" t="str">
            <v>BENEFIT PAYMENT</v>
          </cell>
          <cell r="E360">
            <v>2120</v>
          </cell>
          <cell r="F360">
            <v>4240</v>
          </cell>
          <cell r="G360">
            <v>6360</v>
          </cell>
          <cell r="H360">
            <v>8480</v>
          </cell>
          <cell r="I360">
            <v>10600</v>
          </cell>
          <cell r="J360">
            <v>12720</v>
          </cell>
          <cell r="K360">
            <v>14840</v>
          </cell>
          <cell r="L360">
            <v>16960</v>
          </cell>
          <cell r="M360">
            <v>19080</v>
          </cell>
          <cell r="N360">
            <v>21200</v>
          </cell>
          <cell r="O360">
            <v>23320</v>
          </cell>
          <cell r="P360">
            <v>25440</v>
          </cell>
          <cell r="Q360">
            <v>25440</v>
          </cell>
        </row>
        <row r="361">
          <cell r="A361" t="str">
            <v>105-20-010</v>
          </cell>
          <cell r="B361" t="str">
            <v>NSSF</v>
          </cell>
          <cell r="C361">
            <v>7</v>
          </cell>
          <cell r="D361" t="str">
            <v>NEW BUSINESS</v>
          </cell>
          <cell r="E361">
            <v>1000</v>
          </cell>
          <cell r="F361">
            <v>2000</v>
          </cell>
          <cell r="G361">
            <v>3000</v>
          </cell>
          <cell r="H361">
            <v>4000</v>
          </cell>
          <cell r="I361">
            <v>5000</v>
          </cell>
          <cell r="J361">
            <v>6000</v>
          </cell>
          <cell r="K361">
            <v>7000</v>
          </cell>
          <cell r="L361">
            <v>8000</v>
          </cell>
          <cell r="M361">
            <v>9000</v>
          </cell>
          <cell r="N361">
            <v>10000</v>
          </cell>
          <cell r="O361">
            <v>11000</v>
          </cell>
          <cell r="P361">
            <v>12000</v>
          </cell>
          <cell r="Q361">
            <v>12000</v>
          </cell>
        </row>
        <row r="362">
          <cell r="A362" t="str">
            <v>105-20-010</v>
          </cell>
          <cell r="B362" t="str">
            <v>NSSF</v>
          </cell>
          <cell r="C362">
            <v>8</v>
          </cell>
          <cell r="D362" t="str">
            <v>FINANCE</v>
          </cell>
          <cell r="E362">
            <v>1800</v>
          </cell>
          <cell r="F362">
            <v>3600</v>
          </cell>
          <cell r="G362">
            <v>5400</v>
          </cell>
          <cell r="H362">
            <v>7200</v>
          </cell>
          <cell r="I362">
            <v>9000</v>
          </cell>
          <cell r="J362">
            <v>10800</v>
          </cell>
          <cell r="K362">
            <v>12600</v>
          </cell>
          <cell r="L362">
            <v>14400</v>
          </cell>
          <cell r="M362">
            <v>16200</v>
          </cell>
          <cell r="N362">
            <v>18000</v>
          </cell>
          <cell r="O362">
            <v>19800</v>
          </cell>
          <cell r="P362">
            <v>21600</v>
          </cell>
          <cell r="Q362">
            <v>21600</v>
          </cell>
        </row>
        <row r="363">
          <cell r="A363" t="str">
            <v>105-20-010</v>
          </cell>
          <cell r="B363" t="str">
            <v>NSSF</v>
          </cell>
          <cell r="C363">
            <v>9</v>
          </cell>
          <cell r="D363" t="str">
            <v>INFORMATION TEC</v>
          </cell>
          <cell r="E363">
            <v>1000</v>
          </cell>
          <cell r="F363">
            <v>2000</v>
          </cell>
          <cell r="G363">
            <v>3000</v>
          </cell>
          <cell r="H363">
            <v>4000</v>
          </cell>
          <cell r="I363">
            <v>5000</v>
          </cell>
          <cell r="J363">
            <v>6000</v>
          </cell>
          <cell r="K363">
            <v>7000</v>
          </cell>
          <cell r="L363">
            <v>8000</v>
          </cell>
          <cell r="M363">
            <v>9000</v>
          </cell>
          <cell r="N363">
            <v>10000</v>
          </cell>
          <cell r="O363">
            <v>11000</v>
          </cell>
          <cell r="P363">
            <v>12000</v>
          </cell>
          <cell r="Q363">
            <v>12000</v>
          </cell>
        </row>
        <row r="364">
          <cell r="A364" t="str">
            <v>105-20-010</v>
          </cell>
          <cell r="B364" t="str">
            <v>NSSF</v>
          </cell>
          <cell r="C364">
            <v>10</v>
          </cell>
          <cell r="D364" t="str">
            <v>HUMAN RESOURCES</v>
          </cell>
          <cell r="E364">
            <v>750</v>
          </cell>
          <cell r="F364">
            <v>1500</v>
          </cell>
          <cell r="G364">
            <v>2250</v>
          </cell>
          <cell r="H364">
            <v>3000</v>
          </cell>
          <cell r="I364">
            <v>3750</v>
          </cell>
          <cell r="J364">
            <v>4500</v>
          </cell>
          <cell r="K364">
            <v>5250</v>
          </cell>
          <cell r="L364">
            <v>6000</v>
          </cell>
          <cell r="M364">
            <v>6750</v>
          </cell>
          <cell r="N364">
            <v>7500</v>
          </cell>
          <cell r="O364">
            <v>8250</v>
          </cell>
          <cell r="P364">
            <v>9000</v>
          </cell>
          <cell r="Q364">
            <v>9000</v>
          </cell>
        </row>
        <row r="365">
          <cell r="A365" t="str">
            <v>105-20-020</v>
          </cell>
          <cell r="B365" t="str">
            <v>NHIF</v>
          </cell>
          <cell r="C365">
            <v>1</v>
          </cell>
          <cell r="D365" t="str">
            <v>EXECUTIVE</v>
          </cell>
          <cell r="E365">
            <v>720</v>
          </cell>
          <cell r="F365">
            <v>1440</v>
          </cell>
          <cell r="G365">
            <v>2160</v>
          </cell>
          <cell r="H365">
            <v>2880</v>
          </cell>
          <cell r="I365">
            <v>3600</v>
          </cell>
          <cell r="J365">
            <v>4320</v>
          </cell>
          <cell r="K365">
            <v>5040</v>
          </cell>
          <cell r="L365">
            <v>5760</v>
          </cell>
          <cell r="M365">
            <v>6480</v>
          </cell>
          <cell r="N365">
            <v>7200</v>
          </cell>
          <cell r="O365">
            <v>7920</v>
          </cell>
          <cell r="P365">
            <v>8640</v>
          </cell>
          <cell r="Q365">
            <v>8640</v>
          </cell>
        </row>
        <row r="366">
          <cell r="A366" t="str">
            <v>105-20-020</v>
          </cell>
          <cell r="B366" t="str">
            <v>NHIF</v>
          </cell>
          <cell r="C366">
            <v>2</v>
          </cell>
          <cell r="D366" t="str">
            <v>OPERATIONS</v>
          </cell>
          <cell r="E366">
            <v>720</v>
          </cell>
          <cell r="F366">
            <v>1440</v>
          </cell>
          <cell r="G366">
            <v>2160</v>
          </cell>
          <cell r="H366">
            <v>2880</v>
          </cell>
          <cell r="I366">
            <v>3600</v>
          </cell>
          <cell r="J366">
            <v>4320</v>
          </cell>
          <cell r="K366">
            <v>5040</v>
          </cell>
          <cell r="L366">
            <v>5760</v>
          </cell>
          <cell r="M366">
            <v>6480</v>
          </cell>
          <cell r="N366">
            <v>7200</v>
          </cell>
          <cell r="O366">
            <v>7920</v>
          </cell>
          <cell r="P366">
            <v>8640</v>
          </cell>
          <cell r="Q366">
            <v>8640</v>
          </cell>
        </row>
        <row r="367">
          <cell r="A367" t="str">
            <v>105-20-020</v>
          </cell>
          <cell r="B367" t="str">
            <v>NHIF</v>
          </cell>
          <cell r="C367">
            <v>3</v>
          </cell>
          <cell r="D367" t="str">
            <v>PREMIUM LIASON</v>
          </cell>
          <cell r="E367">
            <v>1440</v>
          </cell>
          <cell r="F367">
            <v>2880</v>
          </cell>
          <cell r="G367">
            <v>4320</v>
          </cell>
          <cell r="H367">
            <v>5760</v>
          </cell>
          <cell r="I367">
            <v>7200</v>
          </cell>
          <cell r="J367">
            <v>8640</v>
          </cell>
          <cell r="K367">
            <v>10080</v>
          </cell>
          <cell r="L367">
            <v>11520</v>
          </cell>
          <cell r="M367">
            <v>12960</v>
          </cell>
          <cell r="N367">
            <v>14400</v>
          </cell>
          <cell r="O367">
            <v>15840</v>
          </cell>
          <cell r="P367">
            <v>17280</v>
          </cell>
          <cell r="Q367">
            <v>17280</v>
          </cell>
        </row>
        <row r="368">
          <cell r="A368" t="str">
            <v>105-20-020</v>
          </cell>
          <cell r="B368" t="str">
            <v>NHIF</v>
          </cell>
          <cell r="C368">
            <v>4</v>
          </cell>
          <cell r="D368" t="str">
            <v>CUSTOMER SERVIC</v>
          </cell>
          <cell r="E368">
            <v>1680</v>
          </cell>
          <cell r="F368">
            <v>3360</v>
          </cell>
          <cell r="G368">
            <v>5040</v>
          </cell>
          <cell r="H368">
            <v>6720</v>
          </cell>
          <cell r="I368">
            <v>8400</v>
          </cell>
          <cell r="J368">
            <v>10080</v>
          </cell>
          <cell r="K368">
            <v>11760</v>
          </cell>
          <cell r="L368">
            <v>13440</v>
          </cell>
          <cell r="M368">
            <v>15120</v>
          </cell>
          <cell r="N368">
            <v>16800</v>
          </cell>
          <cell r="O368">
            <v>18480</v>
          </cell>
          <cell r="P368">
            <v>20160</v>
          </cell>
          <cell r="Q368">
            <v>20160</v>
          </cell>
        </row>
        <row r="369">
          <cell r="A369" t="str">
            <v>105-20-020</v>
          </cell>
          <cell r="B369" t="str">
            <v>NHIF</v>
          </cell>
          <cell r="C369">
            <v>5</v>
          </cell>
          <cell r="D369" t="str">
            <v>PREMIUM ADMINST</v>
          </cell>
          <cell r="E369">
            <v>2160</v>
          </cell>
          <cell r="F369">
            <v>4320</v>
          </cell>
          <cell r="G369">
            <v>6480</v>
          </cell>
          <cell r="H369">
            <v>8640</v>
          </cell>
          <cell r="I369">
            <v>10800</v>
          </cell>
          <cell r="J369">
            <v>12960</v>
          </cell>
          <cell r="K369">
            <v>15120</v>
          </cell>
          <cell r="L369">
            <v>17280</v>
          </cell>
          <cell r="M369">
            <v>19440</v>
          </cell>
          <cell r="N369">
            <v>21600</v>
          </cell>
          <cell r="O369">
            <v>23760</v>
          </cell>
          <cell r="P369">
            <v>25920</v>
          </cell>
          <cell r="Q369">
            <v>25920</v>
          </cell>
        </row>
        <row r="370">
          <cell r="A370" t="str">
            <v>105-20-020</v>
          </cell>
          <cell r="B370" t="str">
            <v>NHIF</v>
          </cell>
          <cell r="C370">
            <v>6</v>
          </cell>
          <cell r="D370" t="str">
            <v>BENEFIT PAYMENT</v>
          </cell>
          <cell r="E370">
            <v>1840</v>
          </cell>
          <cell r="F370">
            <v>3680</v>
          </cell>
          <cell r="G370">
            <v>5520</v>
          </cell>
          <cell r="H370">
            <v>7360</v>
          </cell>
          <cell r="I370">
            <v>9200</v>
          </cell>
          <cell r="J370">
            <v>11040</v>
          </cell>
          <cell r="K370">
            <v>12880</v>
          </cell>
          <cell r="L370">
            <v>14720</v>
          </cell>
          <cell r="M370">
            <v>16560</v>
          </cell>
          <cell r="N370">
            <v>18400</v>
          </cell>
          <cell r="O370">
            <v>20240</v>
          </cell>
          <cell r="P370">
            <v>22080</v>
          </cell>
          <cell r="Q370">
            <v>22080</v>
          </cell>
        </row>
        <row r="371">
          <cell r="A371" t="str">
            <v>105-20-020</v>
          </cell>
          <cell r="B371" t="str">
            <v>NHIF</v>
          </cell>
          <cell r="C371">
            <v>7</v>
          </cell>
          <cell r="D371" t="str">
            <v>NEW BUSINESS</v>
          </cell>
          <cell r="E371">
            <v>1200</v>
          </cell>
          <cell r="F371">
            <v>2400</v>
          </cell>
          <cell r="G371">
            <v>3600</v>
          </cell>
          <cell r="H371">
            <v>4800</v>
          </cell>
          <cell r="I371">
            <v>6000</v>
          </cell>
          <cell r="J371">
            <v>7200</v>
          </cell>
          <cell r="K371">
            <v>8400</v>
          </cell>
          <cell r="L371">
            <v>9600</v>
          </cell>
          <cell r="M371">
            <v>10800</v>
          </cell>
          <cell r="N371">
            <v>12000</v>
          </cell>
          <cell r="O371">
            <v>13200</v>
          </cell>
          <cell r="P371">
            <v>14400</v>
          </cell>
          <cell r="Q371">
            <v>14400</v>
          </cell>
        </row>
        <row r="372">
          <cell r="A372" t="str">
            <v>105-20-020</v>
          </cell>
          <cell r="B372" t="str">
            <v>NHIF</v>
          </cell>
          <cell r="C372">
            <v>8</v>
          </cell>
          <cell r="D372" t="str">
            <v>FINANCE</v>
          </cell>
          <cell r="E372">
            <v>2160</v>
          </cell>
          <cell r="F372">
            <v>4320</v>
          </cell>
          <cell r="G372">
            <v>6480</v>
          </cell>
          <cell r="H372">
            <v>8640</v>
          </cell>
          <cell r="I372">
            <v>10800</v>
          </cell>
          <cell r="J372">
            <v>12960</v>
          </cell>
          <cell r="K372">
            <v>15120</v>
          </cell>
          <cell r="L372">
            <v>17280</v>
          </cell>
          <cell r="M372">
            <v>19440</v>
          </cell>
          <cell r="N372">
            <v>21600</v>
          </cell>
          <cell r="O372">
            <v>23760</v>
          </cell>
          <cell r="P372">
            <v>25920</v>
          </cell>
          <cell r="Q372">
            <v>25920</v>
          </cell>
        </row>
        <row r="373">
          <cell r="A373" t="str">
            <v>105-20-020</v>
          </cell>
          <cell r="B373" t="str">
            <v>NHIF</v>
          </cell>
          <cell r="C373">
            <v>9</v>
          </cell>
          <cell r="D373" t="str">
            <v>INFORMATIOM TEC</v>
          </cell>
          <cell r="E373">
            <v>1200</v>
          </cell>
          <cell r="F373">
            <v>2400</v>
          </cell>
          <cell r="G373">
            <v>3600</v>
          </cell>
          <cell r="H373">
            <v>4800</v>
          </cell>
          <cell r="I373">
            <v>6000</v>
          </cell>
          <cell r="J373">
            <v>7200</v>
          </cell>
          <cell r="K373">
            <v>8400</v>
          </cell>
          <cell r="L373">
            <v>9600</v>
          </cell>
          <cell r="M373">
            <v>10800</v>
          </cell>
          <cell r="N373">
            <v>12000</v>
          </cell>
          <cell r="O373">
            <v>13200</v>
          </cell>
          <cell r="P373">
            <v>14400</v>
          </cell>
          <cell r="Q373">
            <v>14400</v>
          </cell>
        </row>
        <row r="374">
          <cell r="A374" t="str">
            <v>105-20-020</v>
          </cell>
          <cell r="B374" t="str">
            <v>NHIF</v>
          </cell>
          <cell r="C374">
            <v>10</v>
          </cell>
          <cell r="D374" t="str">
            <v>HUMAN RESOURCES</v>
          </cell>
          <cell r="E374">
            <v>860</v>
          </cell>
          <cell r="F374">
            <v>1720</v>
          </cell>
          <cell r="G374">
            <v>2580</v>
          </cell>
          <cell r="H374">
            <v>3440</v>
          </cell>
          <cell r="I374">
            <v>4300</v>
          </cell>
          <cell r="J374">
            <v>5160</v>
          </cell>
          <cell r="K374">
            <v>6020</v>
          </cell>
          <cell r="L374">
            <v>6880</v>
          </cell>
          <cell r="M374">
            <v>7740</v>
          </cell>
          <cell r="N374">
            <v>8600</v>
          </cell>
          <cell r="O374">
            <v>9460</v>
          </cell>
          <cell r="P374">
            <v>10320</v>
          </cell>
          <cell r="Q374">
            <v>10320</v>
          </cell>
        </row>
        <row r="375">
          <cell r="A375" t="str">
            <v>105-30-010</v>
          </cell>
          <cell r="B375" t="str">
            <v>PENSION</v>
          </cell>
          <cell r="C375">
            <v>1</v>
          </cell>
          <cell r="D375" t="str">
            <v>EXECUTIVE</v>
          </cell>
          <cell r="E375">
            <v>9728</v>
          </cell>
          <cell r="F375">
            <v>19456</v>
          </cell>
          <cell r="G375">
            <v>29184</v>
          </cell>
          <cell r="H375">
            <v>38912</v>
          </cell>
          <cell r="I375">
            <v>48640</v>
          </cell>
          <cell r="J375">
            <v>58368</v>
          </cell>
          <cell r="K375">
            <v>68096</v>
          </cell>
          <cell r="L375">
            <v>77824</v>
          </cell>
          <cell r="M375">
            <v>87552</v>
          </cell>
          <cell r="N375">
            <v>97280</v>
          </cell>
          <cell r="O375">
            <v>107008</v>
          </cell>
          <cell r="P375">
            <v>116736</v>
          </cell>
          <cell r="Q375">
            <v>116736</v>
          </cell>
        </row>
        <row r="376">
          <cell r="A376" t="str">
            <v>105-30-010</v>
          </cell>
          <cell r="B376" t="str">
            <v>PENSION</v>
          </cell>
          <cell r="C376">
            <v>2</v>
          </cell>
          <cell r="D376" t="str">
            <v>OPERATIONS</v>
          </cell>
          <cell r="E376">
            <v>25643</v>
          </cell>
          <cell r="F376">
            <v>51286</v>
          </cell>
          <cell r="G376">
            <v>76929</v>
          </cell>
          <cell r="H376">
            <v>102572</v>
          </cell>
          <cell r="I376">
            <v>128215</v>
          </cell>
          <cell r="J376">
            <v>153858</v>
          </cell>
          <cell r="K376">
            <v>179501</v>
          </cell>
          <cell r="L376">
            <v>205144</v>
          </cell>
          <cell r="M376">
            <v>230787</v>
          </cell>
          <cell r="N376">
            <v>256430</v>
          </cell>
          <cell r="O376">
            <v>282073</v>
          </cell>
          <cell r="P376">
            <v>307725</v>
          </cell>
          <cell r="Q376">
            <v>307725</v>
          </cell>
        </row>
        <row r="377">
          <cell r="A377" t="str">
            <v>105-30-010</v>
          </cell>
          <cell r="B377" t="str">
            <v>PENSION</v>
          </cell>
          <cell r="C377">
            <v>3</v>
          </cell>
          <cell r="D377" t="str">
            <v>PREMIUM LIASON</v>
          </cell>
          <cell r="E377">
            <v>31478</v>
          </cell>
          <cell r="F377">
            <v>62956</v>
          </cell>
          <cell r="G377">
            <v>94434</v>
          </cell>
          <cell r="H377">
            <v>125912</v>
          </cell>
          <cell r="I377">
            <v>157390</v>
          </cell>
          <cell r="J377">
            <v>188868</v>
          </cell>
          <cell r="K377">
            <v>220346</v>
          </cell>
          <cell r="L377">
            <v>251824</v>
          </cell>
          <cell r="M377">
            <v>283302</v>
          </cell>
          <cell r="N377">
            <v>314780</v>
          </cell>
          <cell r="O377">
            <v>346258</v>
          </cell>
          <cell r="P377">
            <v>377747</v>
          </cell>
          <cell r="Q377">
            <v>377747</v>
          </cell>
        </row>
        <row r="378">
          <cell r="A378" t="str">
            <v>105-30-010</v>
          </cell>
          <cell r="B378" t="str">
            <v>PENSION</v>
          </cell>
          <cell r="C378">
            <v>4</v>
          </cell>
          <cell r="D378" t="str">
            <v>CUSTOMER SERVIC</v>
          </cell>
          <cell r="E378">
            <v>29789</v>
          </cell>
          <cell r="F378">
            <v>59578</v>
          </cell>
          <cell r="G378">
            <v>89367</v>
          </cell>
          <cell r="H378">
            <v>119156</v>
          </cell>
          <cell r="I378">
            <v>148945</v>
          </cell>
          <cell r="J378">
            <v>178734</v>
          </cell>
          <cell r="K378">
            <v>208523</v>
          </cell>
          <cell r="L378">
            <v>238312</v>
          </cell>
          <cell r="M378">
            <v>268101</v>
          </cell>
          <cell r="N378">
            <v>297890</v>
          </cell>
          <cell r="O378">
            <v>327679</v>
          </cell>
          <cell r="P378">
            <v>357473</v>
          </cell>
          <cell r="Q378">
            <v>357473</v>
          </cell>
        </row>
        <row r="379">
          <cell r="A379" t="str">
            <v>105-30-010</v>
          </cell>
          <cell r="B379" t="str">
            <v>PENSION</v>
          </cell>
          <cell r="C379">
            <v>5</v>
          </cell>
          <cell r="D379" t="str">
            <v>PREMIUM ADMINST</v>
          </cell>
          <cell r="E379">
            <v>37832</v>
          </cell>
          <cell r="F379">
            <v>75664</v>
          </cell>
          <cell r="G379">
            <v>113496</v>
          </cell>
          <cell r="H379">
            <v>151328</v>
          </cell>
          <cell r="I379">
            <v>189160</v>
          </cell>
          <cell r="J379">
            <v>226992</v>
          </cell>
          <cell r="K379">
            <v>264824</v>
          </cell>
          <cell r="L379">
            <v>302656</v>
          </cell>
          <cell r="M379">
            <v>340488</v>
          </cell>
          <cell r="N379">
            <v>378320</v>
          </cell>
          <cell r="O379">
            <v>416152</v>
          </cell>
          <cell r="P379">
            <v>453992</v>
          </cell>
          <cell r="Q379">
            <v>453992</v>
          </cell>
        </row>
        <row r="380">
          <cell r="A380" t="str">
            <v>105-30-010</v>
          </cell>
          <cell r="B380" t="str">
            <v>PENSION</v>
          </cell>
          <cell r="C380">
            <v>6</v>
          </cell>
          <cell r="D380" t="str">
            <v>BENEFIT PAYMENT</v>
          </cell>
          <cell r="E380">
            <v>50269</v>
          </cell>
          <cell r="F380">
            <v>100538</v>
          </cell>
          <cell r="G380">
            <v>150807</v>
          </cell>
          <cell r="H380">
            <v>201076</v>
          </cell>
          <cell r="I380">
            <v>251345</v>
          </cell>
          <cell r="J380">
            <v>301614</v>
          </cell>
          <cell r="K380">
            <v>351883</v>
          </cell>
          <cell r="L380">
            <v>402152</v>
          </cell>
          <cell r="M380">
            <v>452421</v>
          </cell>
          <cell r="N380">
            <v>502690</v>
          </cell>
          <cell r="O380">
            <v>552959</v>
          </cell>
          <cell r="P380">
            <v>603231</v>
          </cell>
          <cell r="Q380">
            <v>603231</v>
          </cell>
        </row>
        <row r="381">
          <cell r="A381" t="str">
            <v>105-30-010</v>
          </cell>
          <cell r="B381" t="str">
            <v>PENSION</v>
          </cell>
          <cell r="C381">
            <v>7</v>
          </cell>
          <cell r="D381" t="str">
            <v>NEW BUSINESS</v>
          </cell>
          <cell r="E381">
            <v>18548</v>
          </cell>
          <cell r="F381">
            <v>37096</v>
          </cell>
          <cell r="G381">
            <v>55644</v>
          </cell>
          <cell r="H381">
            <v>74192</v>
          </cell>
          <cell r="I381">
            <v>92740</v>
          </cell>
          <cell r="J381">
            <v>111288</v>
          </cell>
          <cell r="K381">
            <v>129836</v>
          </cell>
          <cell r="L381">
            <v>148384</v>
          </cell>
          <cell r="M381">
            <v>166932</v>
          </cell>
          <cell r="N381">
            <v>185480</v>
          </cell>
          <cell r="O381">
            <v>204028</v>
          </cell>
          <cell r="P381">
            <v>222585</v>
          </cell>
          <cell r="Q381">
            <v>222585</v>
          </cell>
        </row>
        <row r="382">
          <cell r="A382" t="str">
            <v>105-30-010</v>
          </cell>
          <cell r="B382" t="str">
            <v>PENSION</v>
          </cell>
          <cell r="C382">
            <v>8</v>
          </cell>
          <cell r="D382" t="str">
            <v>FINANCE</v>
          </cell>
          <cell r="E382">
            <v>79927</v>
          </cell>
          <cell r="F382">
            <v>159854</v>
          </cell>
          <cell r="G382">
            <v>239781</v>
          </cell>
          <cell r="H382">
            <v>319708</v>
          </cell>
          <cell r="I382">
            <v>399635</v>
          </cell>
          <cell r="J382">
            <v>479562</v>
          </cell>
          <cell r="K382">
            <v>559489</v>
          </cell>
          <cell r="L382">
            <v>639416</v>
          </cell>
          <cell r="M382">
            <v>719343</v>
          </cell>
          <cell r="N382">
            <v>799270</v>
          </cell>
          <cell r="O382">
            <v>879197</v>
          </cell>
          <cell r="P382">
            <v>959126</v>
          </cell>
          <cell r="Q382">
            <v>959126</v>
          </cell>
        </row>
        <row r="383">
          <cell r="A383" t="str">
            <v>105-30-010</v>
          </cell>
          <cell r="B383" t="str">
            <v>PENSION</v>
          </cell>
          <cell r="C383">
            <v>9</v>
          </cell>
          <cell r="D383" t="str">
            <v>INFORMATION TEC</v>
          </cell>
          <cell r="E383">
            <v>54780</v>
          </cell>
          <cell r="F383">
            <v>109560</v>
          </cell>
          <cell r="G383">
            <v>164340</v>
          </cell>
          <cell r="H383">
            <v>219120</v>
          </cell>
          <cell r="I383">
            <v>273900</v>
          </cell>
          <cell r="J383">
            <v>328680</v>
          </cell>
          <cell r="K383">
            <v>383460</v>
          </cell>
          <cell r="L383">
            <v>438240</v>
          </cell>
          <cell r="M383">
            <v>493020</v>
          </cell>
          <cell r="N383">
            <v>547800</v>
          </cell>
          <cell r="O383">
            <v>602580</v>
          </cell>
          <cell r="P383">
            <v>657360</v>
          </cell>
          <cell r="Q383">
            <v>657360</v>
          </cell>
        </row>
        <row r="384">
          <cell r="A384" t="str">
            <v>105-30-010</v>
          </cell>
          <cell r="B384" t="str">
            <v>PENSION</v>
          </cell>
          <cell r="C384">
            <v>10</v>
          </cell>
          <cell r="D384" t="str">
            <v>HUMAN RESOURCES</v>
          </cell>
          <cell r="E384">
            <v>30737</v>
          </cell>
          <cell r="F384">
            <v>61474</v>
          </cell>
          <cell r="G384">
            <v>92211</v>
          </cell>
          <cell r="H384">
            <v>122948</v>
          </cell>
          <cell r="I384">
            <v>153685</v>
          </cell>
          <cell r="J384">
            <v>184422</v>
          </cell>
          <cell r="K384">
            <v>215159</v>
          </cell>
          <cell r="L384">
            <v>245896</v>
          </cell>
          <cell r="M384">
            <v>276633</v>
          </cell>
          <cell r="N384">
            <v>307370</v>
          </cell>
          <cell r="O384">
            <v>338107</v>
          </cell>
          <cell r="P384">
            <v>368850</v>
          </cell>
          <cell r="Q384">
            <v>368850</v>
          </cell>
        </row>
        <row r="385">
          <cell r="A385" t="str">
            <v>105-30-020</v>
          </cell>
          <cell r="B385" t="str">
            <v>LAST EXPENSE</v>
          </cell>
          <cell r="C385">
            <v>1</v>
          </cell>
          <cell r="D385" t="str">
            <v>EXECUTIVE</v>
          </cell>
          <cell r="E385">
            <v>437</v>
          </cell>
          <cell r="F385">
            <v>874</v>
          </cell>
          <cell r="G385">
            <v>1311</v>
          </cell>
          <cell r="H385">
            <v>1748</v>
          </cell>
          <cell r="I385">
            <v>2185</v>
          </cell>
          <cell r="J385">
            <v>2622</v>
          </cell>
          <cell r="K385">
            <v>3059</v>
          </cell>
          <cell r="L385">
            <v>3496</v>
          </cell>
          <cell r="M385">
            <v>3933</v>
          </cell>
          <cell r="N385">
            <v>4370</v>
          </cell>
          <cell r="O385">
            <v>4807</v>
          </cell>
          <cell r="P385">
            <v>5250</v>
          </cell>
          <cell r="Q385">
            <v>5250</v>
          </cell>
        </row>
        <row r="386">
          <cell r="A386" t="str">
            <v>105-30-020</v>
          </cell>
          <cell r="B386" t="str">
            <v>LAST EXPENSE</v>
          </cell>
          <cell r="C386">
            <v>2</v>
          </cell>
          <cell r="D386" t="str">
            <v>OPERATIONS</v>
          </cell>
          <cell r="E386">
            <v>479</v>
          </cell>
          <cell r="F386">
            <v>958</v>
          </cell>
          <cell r="G386">
            <v>1437</v>
          </cell>
          <cell r="H386">
            <v>1916</v>
          </cell>
          <cell r="I386">
            <v>2395</v>
          </cell>
          <cell r="J386">
            <v>2874</v>
          </cell>
          <cell r="K386">
            <v>3353</v>
          </cell>
          <cell r="L386">
            <v>3832</v>
          </cell>
          <cell r="M386">
            <v>4311</v>
          </cell>
          <cell r="N386">
            <v>4790</v>
          </cell>
          <cell r="O386">
            <v>5269</v>
          </cell>
          <cell r="P386">
            <v>5750</v>
          </cell>
          <cell r="Q386">
            <v>5750</v>
          </cell>
        </row>
        <row r="387">
          <cell r="A387" t="str">
            <v>105-30-020</v>
          </cell>
          <cell r="B387" t="str">
            <v>LAST EXPENSE</v>
          </cell>
          <cell r="C387">
            <v>3</v>
          </cell>
          <cell r="D387" t="str">
            <v>PREMIUM LIASON</v>
          </cell>
          <cell r="E387">
            <v>645</v>
          </cell>
          <cell r="F387">
            <v>1290</v>
          </cell>
          <cell r="G387">
            <v>1935</v>
          </cell>
          <cell r="H387">
            <v>2580</v>
          </cell>
          <cell r="I387">
            <v>3225</v>
          </cell>
          <cell r="J387">
            <v>3870</v>
          </cell>
          <cell r="K387">
            <v>4515</v>
          </cell>
          <cell r="L387">
            <v>5160</v>
          </cell>
          <cell r="M387">
            <v>5805</v>
          </cell>
          <cell r="N387">
            <v>6450</v>
          </cell>
          <cell r="O387">
            <v>7095</v>
          </cell>
          <cell r="P387">
            <v>7750</v>
          </cell>
          <cell r="Q387">
            <v>7750</v>
          </cell>
        </row>
        <row r="388">
          <cell r="A388" t="str">
            <v>105-30-020</v>
          </cell>
          <cell r="B388" t="str">
            <v>LAST EXPENSE</v>
          </cell>
          <cell r="C388">
            <v>4</v>
          </cell>
          <cell r="D388" t="str">
            <v>CUSTOMER SERVIC</v>
          </cell>
          <cell r="E388">
            <v>437</v>
          </cell>
          <cell r="F388">
            <v>874</v>
          </cell>
          <cell r="G388">
            <v>1311</v>
          </cell>
          <cell r="H388">
            <v>1748</v>
          </cell>
          <cell r="I388">
            <v>2185</v>
          </cell>
          <cell r="J388">
            <v>2622</v>
          </cell>
          <cell r="K388">
            <v>3059</v>
          </cell>
          <cell r="L388">
            <v>3496</v>
          </cell>
          <cell r="M388">
            <v>3933</v>
          </cell>
          <cell r="N388">
            <v>4370</v>
          </cell>
          <cell r="O388">
            <v>4807</v>
          </cell>
          <cell r="P388">
            <v>5250</v>
          </cell>
          <cell r="Q388">
            <v>5250</v>
          </cell>
        </row>
        <row r="389">
          <cell r="A389" t="str">
            <v>105-30-020</v>
          </cell>
          <cell r="B389" t="str">
            <v>LAST EXPENSE</v>
          </cell>
          <cell r="C389">
            <v>5</v>
          </cell>
          <cell r="D389" t="str">
            <v>PREMIUM ADMINST</v>
          </cell>
          <cell r="E389">
            <v>833</v>
          </cell>
          <cell r="F389">
            <v>1666</v>
          </cell>
          <cell r="G389">
            <v>2499</v>
          </cell>
          <cell r="H389">
            <v>3332</v>
          </cell>
          <cell r="I389">
            <v>4165</v>
          </cell>
          <cell r="J389">
            <v>4998</v>
          </cell>
          <cell r="K389">
            <v>5831</v>
          </cell>
          <cell r="L389">
            <v>6664</v>
          </cell>
          <cell r="M389">
            <v>7497</v>
          </cell>
          <cell r="N389">
            <v>8330</v>
          </cell>
          <cell r="O389">
            <v>9163</v>
          </cell>
          <cell r="P389">
            <v>10004</v>
          </cell>
          <cell r="Q389">
            <v>10004</v>
          </cell>
        </row>
        <row r="390">
          <cell r="A390" t="str">
            <v>105-30-020</v>
          </cell>
          <cell r="B390" t="str">
            <v>LAST EXPENSE</v>
          </cell>
          <cell r="C390">
            <v>6</v>
          </cell>
          <cell r="D390" t="str">
            <v>BENEFIT PAYMENT</v>
          </cell>
          <cell r="E390">
            <v>1408</v>
          </cell>
          <cell r="F390">
            <v>2816</v>
          </cell>
          <cell r="G390">
            <v>4224</v>
          </cell>
          <cell r="H390">
            <v>5632</v>
          </cell>
          <cell r="I390">
            <v>7040</v>
          </cell>
          <cell r="J390">
            <v>8448</v>
          </cell>
          <cell r="K390">
            <v>9856</v>
          </cell>
          <cell r="L390">
            <v>11264</v>
          </cell>
          <cell r="M390">
            <v>12672</v>
          </cell>
          <cell r="N390">
            <v>14080</v>
          </cell>
          <cell r="O390">
            <v>15488</v>
          </cell>
          <cell r="P390">
            <v>16896</v>
          </cell>
          <cell r="Q390">
            <v>16896</v>
          </cell>
        </row>
        <row r="391">
          <cell r="A391" t="str">
            <v>105-30-020</v>
          </cell>
          <cell r="B391" t="str">
            <v>LAST EXPENSE</v>
          </cell>
          <cell r="C391">
            <v>7</v>
          </cell>
          <cell r="D391" t="str">
            <v>NEW BUSINESS</v>
          </cell>
          <cell r="E391">
            <v>500</v>
          </cell>
          <cell r="F391">
            <v>1000</v>
          </cell>
          <cell r="G391">
            <v>1500</v>
          </cell>
          <cell r="H391">
            <v>2000</v>
          </cell>
          <cell r="I391">
            <v>2500</v>
          </cell>
          <cell r="J391">
            <v>3000</v>
          </cell>
          <cell r="K391">
            <v>3500</v>
          </cell>
          <cell r="L391">
            <v>4000</v>
          </cell>
          <cell r="M391">
            <v>4500</v>
          </cell>
          <cell r="N391">
            <v>5000</v>
          </cell>
          <cell r="O391">
            <v>5500</v>
          </cell>
          <cell r="P391">
            <v>6000</v>
          </cell>
          <cell r="Q391">
            <v>6000</v>
          </cell>
        </row>
        <row r="392">
          <cell r="A392" t="str">
            <v>105-30-020</v>
          </cell>
          <cell r="B392" t="str">
            <v>LAST EXPENSE</v>
          </cell>
          <cell r="C392">
            <v>8</v>
          </cell>
          <cell r="D392" t="str">
            <v>FINANCE</v>
          </cell>
          <cell r="E392">
            <v>1541</v>
          </cell>
          <cell r="F392">
            <v>3082</v>
          </cell>
          <cell r="G392">
            <v>4623</v>
          </cell>
          <cell r="H392">
            <v>6164</v>
          </cell>
          <cell r="I392">
            <v>7705</v>
          </cell>
          <cell r="J392">
            <v>9246</v>
          </cell>
          <cell r="K392">
            <v>10787</v>
          </cell>
          <cell r="L392">
            <v>12328</v>
          </cell>
          <cell r="M392">
            <v>13869</v>
          </cell>
          <cell r="N392">
            <v>15410</v>
          </cell>
          <cell r="O392">
            <v>16951</v>
          </cell>
          <cell r="P392">
            <v>18500</v>
          </cell>
          <cell r="Q392">
            <v>18500</v>
          </cell>
        </row>
        <row r="393">
          <cell r="A393" t="str">
            <v>105-30-020</v>
          </cell>
          <cell r="B393" t="str">
            <v>LAST EXPENSE</v>
          </cell>
          <cell r="C393">
            <v>9</v>
          </cell>
          <cell r="D393" t="str">
            <v>INFORMATION TEC</v>
          </cell>
          <cell r="E393">
            <v>5583</v>
          </cell>
          <cell r="F393">
            <v>11166</v>
          </cell>
          <cell r="G393">
            <v>16749</v>
          </cell>
          <cell r="H393">
            <v>22332</v>
          </cell>
          <cell r="I393">
            <v>27915</v>
          </cell>
          <cell r="J393">
            <v>33498</v>
          </cell>
          <cell r="K393">
            <v>39081</v>
          </cell>
          <cell r="L393">
            <v>44664</v>
          </cell>
          <cell r="M393">
            <v>50247</v>
          </cell>
          <cell r="N393">
            <v>55830</v>
          </cell>
          <cell r="O393">
            <v>61413</v>
          </cell>
          <cell r="P393">
            <v>67000</v>
          </cell>
          <cell r="Q393">
            <v>67000</v>
          </cell>
        </row>
        <row r="394">
          <cell r="A394" t="str">
            <v>105-30-020</v>
          </cell>
          <cell r="B394" t="str">
            <v>LAST EXPENSE</v>
          </cell>
          <cell r="C394">
            <v>10</v>
          </cell>
          <cell r="D394" t="str">
            <v>HUMAN RESOURCES</v>
          </cell>
          <cell r="E394">
            <v>541</v>
          </cell>
          <cell r="F394">
            <v>1082</v>
          </cell>
          <cell r="G394">
            <v>1623</v>
          </cell>
          <cell r="H394">
            <v>2164</v>
          </cell>
          <cell r="I394">
            <v>2705</v>
          </cell>
          <cell r="J394">
            <v>3246</v>
          </cell>
          <cell r="K394">
            <v>3787</v>
          </cell>
          <cell r="L394">
            <v>4328</v>
          </cell>
          <cell r="M394">
            <v>4869</v>
          </cell>
          <cell r="N394">
            <v>5410</v>
          </cell>
          <cell r="O394">
            <v>5951</v>
          </cell>
          <cell r="P394">
            <v>6500</v>
          </cell>
          <cell r="Q394">
            <v>6500</v>
          </cell>
        </row>
        <row r="395">
          <cell r="A395" t="str">
            <v>105-30-030</v>
          </cell>
          <cell r="B395" t="str">
            <v>GROUP LIFE ASSURAN</v>
          </cell>
          <cell r="C395">
            <v>1</v>
          </cell>
          <cell r="D395" t="str">
            <v>EXECUTIVE</v>
          </cell>
          <cell r="E395">
            <v>12735</v>
          </cell>
          <cell r="F395">
            <v>25470</v>
          </cell>
          <cell r="G395">
            <v>38205</v>
          </cell>
          <cell r="H395">
            <v>50940</v>
          </cell>
          <cell r="I395">
            <v>63675</v>
          </cell>
          <cell r="J395">
            <v>76410</v>
          </cell>
          <cell r="K395">
            <v>89145</v>
          </cell>
          <cell r="L395">
            <v>101880</v>
          </cell>
          <cell r="M395">
            <v>114615</v>
          </cell>
          <cell r="N395">
            <v>127350</v>
          </cell>
          <cell r="O395">
            <v>140085</v>
          </cell>
          <cell r="P395">
            <v>152821</v>
          </cell>
          <cell r="Q395">
            <v>152821</v>
          </cell>
        </row>
        <row r="396">
          <cell r="A396" t="str">
            <v>105-30-030</v>
          </cell>
          <cell r="B396" t="str">
            <v>GROUP LIFE ASSURAN</v>
          </cell>
          <cell r="C396">
            <v>2</v>
          </cell>
          <cell r="D396" t="str">
            <v>OPERATIONS</v>
          </cell>
          <cell r="E396">
            <v>4794</v>
          </cell>
          <cell r="F396">
            <v>9588</v>
          </cell>
          <cell r="G396">
            <v>14382</v>
          </cell>
          <cell r="H396">
            <v>19176</v>
          </cell>
          <cell r="I396">
            <v>23970</v>
          </cell>
          <cell r="J396">
            <v>28764</v>
          </cell>
          <cell r="K396">
            <v>33558</v>
          </cell>
          <cell r="L396">
            <v>38352</v>
          </cell>
          <cell r="M396">
            <v>43146</v>
          </cell>
          <cell r="N396">
            <v>47940</v>
          </cell>
          <cell r="O396">
            <v>52734</v>
          </cell>
          <cell r="P396">
            <v>57529</v>
          </cell>
          <cell r="Q396">
            <v>57529</v>
          </cell>
        </row>
        <row r="397">
          <cell r="A397" t="str">
            <v>105-30-030</v>
          </cell>
          <cell r="B397" t="str">
            <v>GROUP LIFE ASSURAN</v>
          </cell>
          <cell r="C397">
            <v>3</v>
          </cell>
          <cell r="D397" t="str">
            <v>PREMIUM LIASON</v>
          </cell>
          <cell r="E397">
            <v>3406</v>
          </cell>
          <cell r="F397">
            <v>6812</v>
          </cell>
          <cell r="G397">
            <v>10218</v>
          </cell>
          <cell r="H397">
            <v>13624</v>
          </cell>
          <cell r="I397">
            <v>17030</v>
          </cell>
          <cell r="J397">
            <v>20436</v>
          </cell>
          <cell r="K397">
            <v>23842</v>
          </cell>
          <cell r="L397">
            <v>27248</v>
          </cell>
          <cell r="M397">
            <v>30654</v>
          </cell>
          <cell r="N397">
            <v>34060</v>
          </cell>
          <cell r="O397">
            <v>37466</v>
          </cell>
          <cell r="P397">
            <v>40876</v>
          </cell>
          <cell r="Q397">
            <v>40876</v>
          </cell>
        </row>
        <row r="398">
          <cell r="A398" t="str">
            <v>105-30-030</v>
          </cell>
          <cell r="B398" t="str">
            <v>GROUP LIFE ASSURAN</v>
          </cell>
          <cell r="C398">
            <v>4</v>
          </cell>
          <cell r="D398" t="str">
            <v>CUSTOMER SERVIC</v>
          </cell>
          <cell r="E398">
            <v>2614</v>
          </cell>
          <cell r="F398">
            <v>5228</v>
          </cell>
          <cell r="G398">
            <v>7842</v>
          </cell>
          <cell r="H398">
            <v>10456</v>
          </cell>
          <cell r="I398">
            <v>13070</v>
          </cell>
          <cell r="J398">
            <v>15684</v>
          </cell>
          <cell r="K398">
            <v>18298</v>
          </cell>
          <cell r="L398">
            <v>20912</v>
          </cell>
          <cell r="M398">
            <v>23526</v>
          </cell>
          <cell r="N398">
            <v>26140</v>
          </cell>
          <cell r="O398">
            <v>28754</v>
          </cell>
          <cell r="P398">
            <v>31375</v>
          </cell>
          <cell r="Q398">
            <v>31375</v>
          </cell>
        </row>
        <row r="399">
          <cell r="A399" t="str">
            <v>105-30-030</v>
          </cell>
          <cell r="B399" t="str">
            <v>GROUP LIFE ASSURAN</v>
          </cell>
          <cell r="C399">
            <v>5</v>
          </cell>
          <cell r="D399" t="str">
            <v>PREMIUM ADMINST</v>
          </cell>
          <cell r="E399">
            <v>4299</v>
          </cell>
          <cell r="F399">
            <v>8598</v>
          </cell>
          <cell r="G399">
            <v>12897</v>
          </cell>
          <cell r="H399">
            <v>17196</v>
          </cell>
          <cell r="I399">
            <v>21495</v>
          </cell>
          <cell r="J399">
            <v>25794</v>
          </cell>
          <cell r="K399">
            <v>30093</v>
          </cell>
          <cell r="L399">
            <v>34392</v>
          </cell>
          <cell r="M399">
            <v>38691</v>
          </cell>
          <cell r="N399">
            <v>42990</v>
          </cell>
          <cell r="O399">
            <v>47289</v>
          </cell>
          <cell r="P399">
            <v>51594</v>
          </cell>
          <cell r="Q399">
            <v>51594</v>
          </cell>
        </row>
        <row r="400">
          <cell r="A400" t="str">
            <v>105-30-030</v>
          </cell>
          <cell r="B400" t="str">
            <v>GROUP LIFE ASSURAN</v>
          </cell>
          <cell r="C400">
            <v>6</v>
          </cell>
          <cell r="D400" t="str">
            <v>BENEFIT PAYMENT</v>
          </cell>
          <cell r="E400">
            <v>4716</v>
          </cell>
          <cell r="F400">
            <v>9432</v>
          </cell>
          <cell r="G400">
            <v>14148</v>
          </cell>
          <cell r="H400">
            <v>18864</v>
          </cell>
          <cell r="I400">
            <v>23580</v>
          </cell>
          <cell r="J400">
            <v>28296</v>
          </cell>
          <cell r="K400">
            <v>33012</v>
          </cell>
          <cell r="L400">
            <v>37728</v>
          </cell>
          <cell r="M400">
            <v>42444</v>
          </cell>
          <cell r="N400">
            <v>47160</v>
          </cell>
          <cell r="O400">
            <v>51876</v>
          </cell>
          <cell r="P400">
            <v>56593</v>
          </cell>
          <cell r="Q400">
            <v>56593</v>
          </cell>
        </row>
        <row r="401">
          <cell r="A401" t="str">
            <v>105-30-030</v>
          </cell>
          <cell r="B401" t="str">
            <v>GROUP LIFE ASSURAN</v>
          </cell>
          <cell r="C401">
            <v>7</v>
          </cell>
          <cell r="D401" t="str">
            <v>NEW BUSINESS</v>
          </cell>
          <cell r="E401">
            <v>1643</v>
          </cell>
          <cell r="F401">
            <v>3286</v>
          </cell>
          <cell r="G401">
            <v>4929</v>
          </cell>
          <cell r="H401">
            <v>6572</v>
          </cell>
          <cell r="I401">
            <v>8215</v>
          </cell>
          <cell r="J401">
            <v>9858</v>
          </cell>
          <cell r="K401">
            <v>11501</v>
          </cell>
          <cell r="L401">
            <v>13144</v>
          </cell>
          <cell r="M401">
            <v>14787</v>
          </cell>
          <cell r="N401">
            <v>16430</v>
          </cell>
          <cell r="O401">
            <v>18073</v>
          </cell>
          <cell r="P401">
            <v>19721</v>
          </cell>
          <cell r="Q401">
            <v>19721</v>
          </cell>
        </row>
        <row r="402">
          <cell r="A402" t="str">
            <v>105-30-030</v>
          </cell>
          <cell r="B402" t="str">
            <v>GROUP LIFE ASSURAN</v>
          </cell>
          <cell r="C402">
            <v>8</v>
          </cell>
          <cell r="D402" t="str">
            <v>FINANCE</v>
          </cell>
          <cell r="E402">
            <v>8218</v>
          </cell>
          <cell r="F402">
            <v>16436</v>
          </cell>
          <cell r="G402">
            <v>24654</v>
          </cell>
          <cell r="H402">
            <v>32872</v>
          </cell>
          <cell r="I402">
            <v>41090</v>
          </cell>
          <cell r="J402">
            <v>49308</v>
          </cell>
          <cell r="K402">
            <v>57526</v>
          </cell>
          <cell r="L402">
            <v>65744</v>
          </cell>
          <cell r="M402">
            <v>73962</v>
          </cell>
          <cell r="N402">
            <v>82180</v>
          </cell>
          <cell r="O402">
            <v>90398</v>
          </cell>
          <cell r="P402">
            <v>98624</v>
          </cell>
          <cell r="Q402">
            <v>98624</v>
          </cell>
        </row>
        <row r="403">
          <cell r="A403" t="str">
            <v>105-30-030</v>
          </cell>
          <cell r="B403" t="str">
            <v>GROUP LIFE ASSURAN</v>
          </cell>
          <cell r="C403">
            <v>9</v>
          </cell>
          <cell r="D403" t="str">
            <v>INFORMATION TEC</v>
          </cell>
          <cell r="E403">
            <v>4421</v>
          </cell>
          <cell r="F403">
            <v>8842</v>
          </cell>
          <cell r="G403">
            <v>13263</v>
          </cell>
          <cell r="H403">
            <v>17684</v>
          </cell>
          <cell r="I403">
            <v>22105</v>
          </cell>
          <cell r="J403">
            <v>26526</v>
          </cell>
          <cell r="K403">
            <v>30947</v>
          </cell>
          <cell r="L403">
            <v>35368</v>
          </cell>
          <cell r="M403">
            <v>39789</v>
          </cell>
          <cell r="N403">
            <v>44210</v>
          </cell>
          <cell r="O403">
            <v>48631</v>
          </cell>
          <cell r="P403">
            <v>53061</v>
          </cell>
          <cell r="Q403">
            <v>53061</v>
          </cell>
        </row>
        <row r="404">
          <cell r="A404" t="str">
            <v>105-30-030</v>
          </cell>
          <cell r="B404" t="str">
            <v>GROUP LIFE ASSURAN</v>
          </cell>
          <cell r="C404">
            <v>10</v>
          </cell>
          <cell r="D404" t="str">
            <v>HUMAN RESOURCES</v>
          </cell>
          <cell r="E404">
            <v>2030</v>
          </cell>
          <cell r="F404">
            <v>4060</v>
          </cell>
          <cell r="G404">
            <v>6090</v>
          </cell>
          <cell r="H404">
            <v>8120</v>
          </cell>
          <cell r="I404">
            <v>10150</v>
          </cell>
          <cell r="J404">
            <v>12180</v>
          </cell>
          <cell r="K404">
            <v>14210</v>
          </cell>
          <cell r="L404">
            <v>16240</v>
          </cell>
          <cell r="M404">
            <v>18270</v>
          </cell>
          <cell r="N404">
            <v>20300</v>
          </cell>
          <cell r="O404">
            <v>22330</v>
          </cell>
          <cell r="P404">
            <v>24368</v>
          </cell>
          <cell r="Q404">
            <v>24368</v>
          </cell>
        </row>
        <row r="405">
          <cell r="A405" t="str">
            <v>105-30-040</v>
          </cell>
          <cell r="B405" t="str">
            <v>STAFF MEDICAL</v>
          </cell>
          <cell r="C405">
            <v>8</v>
          </cell>
          <cell r="D405" t="str">
            <v>FINANCE</v>
          </cell>
          <cell r="E405">
            <v>324134</v>
          </cell>
          <cell r="F405">
            <v>648268</v>
          </cell>
          <cell r="G405">
            <v>972402</v>
          </cell>
          <cell r="H405">
            <v>1296536</v>
          </cell>
          <cell r="I405">
            <v>1620670</v>
          </cell>
          <cell r="J405">
            <v>1944804</v>
          </cell>
          <cell r="K405">
            <v>2268938</v>
          </cell>
          <cell r="L405">
            <v>2593072</v>
          </cell>
          <cell r="M405">
            <v>2917206</v>
          </cell>
          <cell r="N405">
            <v>3241340</v>
          </cell>
          <cell r="O405">
            <v>3565474</v>
          </cell>
          <cell r="P405">
            <v>3889610</v>
          </cell>
          <cell r="Q405">
            <v>3889610</v>
          </cell>
        </row>
        <row r="406">
          <cell r="A406" t="str">
            <v>105-30-060</v>
          </cell>
          <cell r="B406" t="str">
            <v>GRATUITY</v>
          </cell>
          <cell r="C406">
            <v>1</v>
          </cell>
          <cell r="D406" t="str">
            <v>EXECUTIVE</v>
          </cell>
          <cell r="E406">
            <v>220396</v>
          </cell>
          <cell r="F406">
            <v>440792</v>
          </cell>
          <cell r="G406">
            <v>661188</v>
          </cell>
          <cell r="H406">
            <v>881584</v>
          </cell>
          <cell r="I406">
            <v>1101980</v>
          </cell>
          <cell r="J406">
            <v>1322376</v>
          </cell>
          <cell r="K406">
            <v>1542772</v>
          </cell>
          <cell r="L406">
            <v>1763168</v>
          </cell>
          <cell r="M406">
            <v>1983564</v>
          </cell>
          <cell r="N406">
            <v>2203960</v>
          </cell>
          <cell r="O406">
            <v>2424356</v>
          </cell>
          <cell r="P406">
            <v>2644752</v>
          </cell>
          <cell r="Q406">
            <v>2644752</v>
          </cell>
        </row>
        <row r="407">
          <cell r="A407" t="str">
            <v>105-30-070</v>
          </cell>
          <cell r="B407" t="str">
            <v>LONG SERVICE AWARD</v>
          </cell>
          <cell r="C407">
            <v>8</v>
          </cell>
          <cell r="D407" t="str">
            <v>FINANCE</v>
          </cell>
          <cell r="E407">
            <v>6850</v>
          </cell>
          <cell r="F407">
            <v>13700</v>
          </cell>
          <cell r="G407">
            <v>20550</v>
          </cell>
          <cell r="H407">
            <v>27400</v>
          </cell>
          <cell r="I407">
            <v>34250</v>
          </cell>
          <cell r="J407">
            <v>41100</v>
          </cell>
          <cell r="K407">
            <v>47950</v>
          </cell>
          <cell r="L407">
            <v>54800</v>
          </cell>
          <cell r="M407">
            <v>61650</v>
          </cell>
          <cell r="N407">
            <v>68500</v>
          </cell>
          <cell r="O407">
            <v>75350</v>
          </cell>
          <cell r="P407">
            <v>82203</v>
          </cell>
          <cell r="Q407">
            <v>82203</v>
          </cell>
        </row>
        <row r="408">
          <cell r="A408" t="str">
            <v>105-30-070</v>
          </cell>
          <cell r="B408" t="str">
            <v>LONG SERVICE AWARD</v>
          </cell>
          <cell r="C408">
            <v>10</v>
          </cell>
          <cell r="D408" t="str">
            <v>HUMAN RESOURCES</v>
          </cell>
          <cell r="E408">
            <v>833</v>
          </cell>
          <cell r="F408">
            <v>1666</v>
          </cell>
          <cell r="G408">
            <v>2499</v>
          </cell>
          <cell r="H408">
            <v>3332</v>
          </cell>
          <cell r="I408">
            <v>4165</v>
          </cell>
          <cell r="J408">
            <v>4998</v>
          </cell>
          <cell r="K408">
            <v>5831</v>
          </cell>
          <cell r="L408">
            <v>6664</v>
          </cell>
          <cell r="M408">
            <v>7497</v>
          </cell>
          <cell r="N408">
            <v>8330</v>
          </cell>
          <cell r="O408">
            <v>9163</v>
          </cell>
          <cell r="P408">
            <v>9996</v>
          </cell>
          <cell r="Q408">
            <v>9996</v>
          </cell>
        </row>
        <row r="409">
          <cell r="A409" t="str">
            <v>115-10-010</v>
          </cell>
          <cell r="B409" t="str">
            <v>DEPRECIATION-FURNI</v>
          </cell>
          <cell r="C409">
            <v>8</v>
          </cell>
          <cell r="D409" t="str">
            <v>FINANCE</v>
          </cell>
          <cell r="E409">
            <v>153413</v>
          </cell>
          <cell r="F409">
            <v>306826</v>
          </cell>
          <cell r="G409">
            <v>460239</v>
          </cell>
          <cell r="H409">
            <v>613652</v>
          </cell>
          <cell r="I409">
            <v>767065</v>
          </cell>
          <cell r="J409">
            <v>920478</v>
          </cell>
          <cell r="K409">
            <v>1073891</v>
          </cell>
          <cell r="L409">
            <v>1227304</v>
          </cell>
          <cell r="M409">
            <v>1380717</v>
          </cell>
          <cell r="N409">
            <v>1534130</v>
          </cell>
          <cell r="O409">
            <v>1687543</v>
          </cell>
          <cell r="P409">
            <v>1840966</v>
          </cell>
          <cell r="Q409">
            <v>1840966</v>
          </cell>
        </row>
        <row r="410">
          <cell r="A410" t="str">
            <v>115-10-020</v>
          </cell>
          <cell r="B410" t="str">
            <v>DEPRECIATION-COMPU</v>
          </cell>
          <cell r="C410">
            <v>8</v>
          </cell>
          <cell r="D410" t="str">
            <v>FINANCE</v>
          </cell>
          <cell r="E410">
            <v>431104</v>
          </cell>
          <cell r="F410">
            <v>862208</v>
          </cell>
          <cell r="G410">
            <v>1293312</v>
          </cell>
          <cell r="H410">
            <v>1724416</v>
          </cell>
          <cell r="I410">
            <v>2155520</v>
          </cell>
          <cell r="J410">
            <v>2586624</v>
          </cell>
          <cell r="K410">
            <v>3017728</v>
          </cell>
          <cell r="L410">
            <v>3448832</v>
          </cell>
          <cell r="M410">
            <v>3879936</v>
          </cell>
          <cell r="N410">
            <v>4311040</v>
          </cell>
          <cell r="O410">
            <v>4742144</v>
          </cell>
          <cell r="P410">
            <v>5173257</v>
          </cell>
          <cell r="Q410">
            <v>5173257</v>
          </cell>
        </row>
        <row r="411">
          <cell r="A411" t="str">
            <v>115-10-030</v>
          </cell>
          <cell r="B411" t="str">
            <v>DEPRECIATION-MOTOR</v>
          </cell>
          <cell r="C411">
            <v>8</v>
          </cell>
          <cell r="D411" t="str">
            <v>FINANCE</v>
          </cell>
          <cell r="E411">
            <v>37916</v>
          </cell>
          <cell r="F411">
            <v>75832</v>
          </cell>
          <cell r="G411">
            <v>113748</v>
          </cell>
          <cell r="H411">
            <v>151664</v>
          </cell>
          <cell r="I411">
            <v>189580</v>
          </cell>
          <cell r="J411">
            <v>227496</v>
          </cell>
          <cell r="K411">
            <v>265412</v>
          </cell>
          <cell r="L411">
            <v>303328</v>
          </cell>
          <cell r="M411">
            <v>341244</v>
          </cell>
          <cell r="N411">
            <v>379160</v>
          </cell>
          <cell r="O411">
            <v>417076</v>
          </cell>
          <cell r="P411">
            <v>455000</v>
          </cell>
          <cell r="Q411">
            <v>455000</v>
          </cell>
        </row>
        <row r="412">
          <cell r="A412" t="str">
            <v>115-10-040</v>
          </cell>
          <cell r="B412" t="str">
            <v>OFFICE RENT</v>
          </cell>
          <cell r="C412">
            <v>1</v>
          </cell>
          <cell r="D412" t="str">
            <v>EXECUTIVE</v>
          </cell>
          <cell r="E412">
            <v>33251</v>
          </cell>
          <cell r="F412">
            <v>66502</v>
          </cell>
          <cell r="G412">
            <v>99753</v>
          </cell>
          <cell r="H412">
            <v>133004</v>
          </cell>
          <cell r="I412">
            <v>166255</v>
          </cell>
          <cell r="J412">
            <v>199506</v>
          </cell>
          <cell r="K412">
            <v>232757</v>
          </cell>
          <cell r="L412">
            <v>266008</v>
          </cell>
          <cell r="M412">
            <v>299259</v>
          </cell>
          <cell r="N412">
            <v>332510</v>
          </cell>
          <cell r="O412">
            <v>365761</v>
          </cell>
          <cell r="P412">
            <v>399022</v>
          </cell>
          <cell r="Q412">
            <v>399022</v>
          </cell>
        </row>
        <row r="413">
          <cell r="A413" t="str">
            <v>115-10-040</v>
          </cell>
          <cell r="B413" t="str">
            <v>OFFICE RENT</v>
          </cell>
          <cell r="C413">
            <v>2</v>
          </cell>
          <cell r="D413" t="str">
            <v>OPERATIONS</v>
          </cell>
          <cell r="E413">
            <v>85578</v>
          </cell>
          <cell r="F413">
            <v>171156</v>
          </cell>
          <cell r="G413">
            <v>256734</v>
          </cell>
          <cell r="H413">
            <v>342312</v>
          </cell>
          <cell r="I413">
            <v>427890</v>
          </cell>
          <cell r="J413">
            <v>513468</v>
          </cell>
          <cell r="K413">
            <v>599046</v>
          </cell>
          <cell r="L413">
            <v>684624</v>
          </cell>
          <cell r="M413">
            <v>770202</v>
          </cell>
          <cell r="N413">
            <v>855780</v>
          </cell>
          <cell r="O413">
            <v>941358</v>
          </cell>
          <cell r="P413">
            <v>1026939</v>
          </cell>
          <cell r="Q413">
            <v>1026939</v>
          </cell>
        </row>
        <row r="414">
          <cell r="A414" t="str">
            <v>115-10-040</v>
          </cell>
          <cell r="B414" t="str">
            <v>OFFICE RENT</v>
          </cell>
          <cell r="C414">
            <v>3</v>
          </cell>
          <cell r="D414" t="str">
            <v>PREMIUM LIASON</v>
          </cell>
          <cell r="E414">
            <v>14852</v>
          </cell>
          <cell r="F414">
            <v>29704</v>
          </cell>
          <cell r="G414">
            <v>44556</v>
          </cell>
          <cell r="H414">
            <v>59408</v>
          </cell>
          <cell r="I414">
            <v>74260</v>
          </cell>
          <cell r="J414">
            <v>89112</v>
          </cell>
          <cell r="K414">
            <v>103964</v>
          </cell>
          <cell r="L414">
            <v>118816</v>
          </cell>
          <cell r="M414">
            <v>133668</v>
          </cell>
          <cell r="N414">
            <v>148520</v>
          </cell>
          <cell r="O414">
            <v>163372</v>
          </cell>
          <cell r="P414">
            <v>178224</v>
          </cell>
          <cell r="Q414">
            <v>178224</v>
          </cell>
        </row>
        <row r="415">
          <cell r="A415" t="str">
            <v>115-10-040</v>
          </cell>
          <cell r="B415" t="str">
            <v>OFFICE RENT</v>
          </cell>
          <cell r="C415">
            <v>4</v>
          </cell>
          <cell r="D415" t="str">
            <v>CDUSTOMER SERVI</v>
          </cell>
          <cell r="E415">
            <v>60954</v>
          </cell>
          <cell r="F415">
            <v>121908</v>
          </cell>
          <cell r="G415">
            <v>182862</v>
          </cell>
          <cell r="H415">
            <v>243816</v>
          </cell>
          <cell r="I415">
            <v>304770</v>
          </cell>
          <cell r="J415">
            <v>365724</v>
          </cell>
          <cell r="K415">
            <v>426678</v>
          </cell>
          <cell r="L415">
            <v>487632</v>
          </cell>
          <cell r="M415">
            <v>548586</v>
          </cell>
          <cell r="N415">
            <v>609540</v>
          </cell>
          <cell r="O415">
            <v>670494</v>
          </cell>
          <cell r="P415">
            <v>731452</v>
          </cell>
          <cell r="Q415">
            <v>731452</v>
          </cell>
        </row>
        <row r="416">
          <cell r="A416" t="str">
            <v>115-10-040</v>
          </cell>
          <cell r="B416" t="str">
            <v>OFFICE RENT</v>
          </cell>
          <cell r="C416">
            <v>5</v>
          </cell>
          <cell r="D416" t="str">
            <v>PREMIUM ADMINST</v>
          </cell>
          <cell r="E416">
            <v>32885</v>
          </cell>
          <cell r="F416">
            <v>65770</v>
          </cell>
          <cell r="G416">
            <v>98655</v>
          </cell>
          <cell r="H416">
            <v>131540</v>
          </cell>
          <cell r="I416">
            <v>164425</v>
          </cell>
          <cell r="J416">
            <v>197310</v>
          </cell>
          <cell r="K416">
            <v>230195</v>
          </cell>
          <cell r="L416">
            <v>263080</v>
          </cell>
          <cell r="M416">
            <v>295965</v>
          </cell>
          <cell r="N416">
            <v>328850</v>
          </cell>
          <cell r="O416">
            <v>361735</v>
          </cell>
          <cell r="P416">
            <v>394625</v>
          </cell>
          <cell r="Q416">
            <v>394625</v>
          </cell>
        </row>
        <row r="417">
          <cell r="A417" t="str">
            <v>115-10-040</v>
          </cell>
          <cell r="B417" t="str">
            <v>OFFICE RENT</v>
          </cell>
          <cell r="C417">
            <v>6</v>
          </cell>
          <cell r="D417" t="str">
            <v>BENEFIT PAYMENT</v>
          </cell>
          <cell r="E417">
            <v>36564</v>
          </cell>
          <cell r="F417">
            <v>73128</v>
          </cell>
          <cell r="G417">
            <v>109692</v>
          </cell>
          <cell r="H417">
            <v>146256</v>
          </cell>
          <cell r="I417">
            <v>182820</v>
          </cell>
          <cell r="J417">
            <v>219384</v>
          </cell>
          <cell r="K417">
            <v>255948</v>
          </cell>
          <cell r="L417">
            <v>292512</v>
          </cell>
          <cell r="M417">
            <v>329076</v>
          </cell>
          <cell r="N417">
            <v>365640</v>
          </cell>
          <cell r="O417">
            <v>402204</v>
          </cell>
          <cell r="P417">
            <v>438769</v>
          </cell>
          <cell r="Q417">
            <v>438769</v>
          </cell>
        </row>
        <row r="418">
          <cell r="A418" t="str">
            <v>115-10-040</v>
          </cell>
          <cell r="B418" t="str">
            <v>OFFICE RENT</v>
          </cell>
          <cell r="C418">
            <v>7</v>
          </cell>
          <cell r="D418" t="str">
            <v>NEW BUSINESS</v>
          </cell>
          <cell r="E418">
            <v>21467</v>
          </cell>
          <cell r="F418">
            <v>42934</v>
          </cell>
          <cell r="G418">
            <v>64401</v>
          </cell>
          <cell r="H418">
            <v>85868</v>
          </cell>
          <cell r="I418">
            <v>107335</v>
          </cell>
          <cell r="J418">
            <v>128802</v>
          </cell>
          <cell r="K418">
            <v>150269</v>
          </cell>
          <cell r="L418">
            <v>171736</v>
          </cell>
          <cell r="M418">
            <v>193203</v>
          </cell>
          <cell r="N418">
            <v>214670</v>
          </cell>
          <cell r="O418">
            <v>236137</v>
          </cell>
          <cell r="P418">
            <v>257613</v>
          </cell>
          <cell r="Q418">
            <v>257613</v>
          </cell>
        </row>
        <row r="419">
          <cell r="A419" t="str">
            <v>115-10-040</v>
          </cell>
          <cell r="B419" t="str">
            <v>OFFICE RENT</v>
          </cell>
          <cell r="C419">
            <v>8</v>
          </cell>
          <cell r="D419" t="str">
            <v>FINANCE</v>
          </cell>
          <cell r="E419">
            <v>54630</v>
          </cell>
          <cell r="F419">
            <v>109260</v>
          </cell>
          <cell r="G419">
            <v>163890</v>
          </cell>
          <cell r="H419">
            <v>218520</v>
          </cell>
          <cell r="I419">
            <v>273150</v>
          </cell>
          <cell r="J419">
            <v>327780</v>
          </cell>
          <cell r="K419">
            <v>382410</v>
          </cell>
          <cell r="L419">
            <v>437040</v>
          </cell>
          <cell r="M419">
            <v>491670</v>
          </cell>
          <cell r="N419">
            <v>546300</v>
          </cell>
          <cell r="O419">
            <v>600930</v>
          </cell>
          <cell r="P419">
            <v>655567</v>
          </cell>
          <cell r="Q419">
            <v>655567</v>
          </cell>
        </row>
        <row r="420">
          <cell r="A420" t="str">
            <v>115-10-040</v>
          </cell>
          <cell r="B420" t="str">
            <v>OFFICE RENT</v>
          </cell>
          <cell r="C420">
            <v>9</v>
          </cell>
          <cell r="D420" t="str">
            <v>INFORMATION TEC</v>
          </cell>
          <cell r="E420">
            <v>29674</v>
          </cell>
          <cell r="F420">
            <v>59348</v>
          </cell>
          <cell r="G420">
            <v>89022</v>
          </cell>
          <cell r="H420">
            <v>118696</v>
          </cell>
          <cell r="I420">
            <v>148370</v>
          </cell>
          <cell r="J420">
            <v>178044</v>
          </cell>
          <cell r="K420">
            <v>207718</v>
          </cell>
          <cell r="L420">
            <v>237392</v>
          </cell>
          <cell r="M420">
            <v>267066</v>
          </cell>
          <cell r="N420">
            <v>296740</v>
          </cell>
          <cell r="O420">
            <v>326414</v>
          </cell>
          <cell r="P420">
            <v>356093</v>
          </cell>
          <cell r="Q420">
            <v>356093</v>
          </cell>
        </row>
        <row r="421">
          <cell r="A421" t="str">
            <v>115-10-040</v>
          </cell>
          <cell r="B421" t="str">
            <v>OFFICE RENT</v>
          </cell>
          <cell r="C421">
            <v>10</v>
          </cell>
          <cell r="D421" t="str">
            <v>HUMAN RESOURCES</v>
          </cell>
          <cell r="E421">
            <v>17108</v>
          </cell>
          <cell r="F421">
            <v>34216</v>
          </cell>
          <cell r="G421">
            <v>51324</v>
          </cell>
          <cell r="H421">
            <v>68432</v>
          </cell>
          <cell r="I421">
            <v>85540</v>
          </cell>
          <cell r="J421">
            <v>102648</v>
          </cell>
          <cell r="K421">
            <v>119756</v>
          </cell>
          <cell r="L421">
            <v>136864</v>
          </cell>
          <cell r="M421">
            <v>153972</v>
          </cell>
          <cell r="N421">
            <v>171080</v>
          </cell>
          <cell r="O421">
            <v>188188</v>
          </cell>
          <cell r="P421">
            <v>205296</v>
          </cell>
          <cell r="Q421">
            <v>205296</v>
          </cell>
        </row>
        <row r="422">
          <cell r="A422" t="str">
            <v>115-10-050</v>
          </cell>
          <cell r="B422" t="str">
            <v>OFFICE CATERING,CL</v>
          </cell>
          <cell r="C422">
            <v>1</v>
          </cell>
          <cell r="D422" t="str">
            <v>EXECUTIVE</v>
          </cell>
          <cell r="E422">
            <v>2725</v>
          </cell>
          <cell r="F422">
            <v>5450</v>
          </cell>
          <cell r="G422">
            <v>8175</v>
          </cell>
          <cell r="H422">
            <v>10900</v>
          </cell>
          <cell r="I422">
            <v>13625</v>
          </cell>
          <cell r="J422">
            <v>16350</v>
          </cell>
          <cell r="K422">
            <v>19075</v>
          </cell>
          <cell r="L422">
            <v>21800</v>
          </cell>
          <cell r="M422">
            <v>24525</v>
          </cell>
          <cell r="N422">
            <v>27250</v>
          </cell>
          <cell r="O422">
            <v>29975</v>
          </cell>
          <cell r="P422">
            <v>32700</v>
          </cell>
          <cell r="Q422">
            <v>32700</v>
          </cell>
        </row>
        <row r="423">
          <cell r="A423" t="str">
            <v>115-10-050</v>
          </cell>
          <cell r="B423" t="str">
            <v>OFFICE CATERING,CL</v>
          </cell>
          <cell r="C423">
            <v>2</v>
          </cell>
          <cell r="D423" t="str">
            <v>OPERATIONS</v>
          </cell>
          <cell r="E423">
            <v>3758</v>
          </cell>
          <cell r="F423">
            <v>7516</v>
          </cell>
          <cell r="G423">
            <v>11274</v>
          </cell>
          <cell r="H423">
            <v>15032</v>
          </cell>
          <cell r="I423">
            <v>18790</v>
          </cell>
          <cell r="J423">
            <v>22548</v>
          </cell>
          <cell r="K423">
            <v>26306</v>
          </cell>
          <cell r="L423">
            <v>30064</v>
          </cell>
          <cell r="M423">
            <v>33822</v>
          </cell>
          <cell r="N423">
            <v>37580</v>
          </cell>
          <cell r="O423">
            <v>41338</v>
          </cell>
          <cell r="P423">
            <v>45100</v>
          </cell>
          <cell r="Q423">
            <v>45100</v>
          </cell>
        </row>
        <row r="424">
          <cell r="A424" t="str">
            <v>115-10-050</v>
          </cell>
          <cell r="B424" t="str">
            <v>OFFICE CATERING,CL</v>
          </cell>
          <cell r="C424">
            <v>3</v>
          </cell>
          <cell r="D424" t="str">
            <v>PREMIUM LIASON</v>
          </cell>
          <cell r="E424">
            <v>3583</v>
          </cell>
          <cell r="F424">
            <v>7166</v>
          </cell>
          <cell r="G424">
            <v>10749</v>
          </cell>
          <cell r="H424">
            <v>14332</v>
          </cell>
          <cell r="I424">
            <v>17915</v>
          </cell>
          <cell r="J424">
            <v>21498</v>
          </cell>
          <cell r="K424">
            <v>25081</v>
          </cell>
          <cell r="L424">
            <v>28664</v>
          </cell>
          <cell r="M424">
            <v>32247</v>
          </cell>
          <cell r="N424">
            <v>35830</v>
          </cell>
          <cell r="O424">
            <v>39413</v>
          </cell>
          <cell r="P424">
            <v>43000</v>
          </cell>
          <cell r="Q424">
            <v>43000</v>
          </cell>
        </row>
        <row r="425">
          <cell r="A425" t="str">
            <v>115-10-050</v>
          </cell>
          <cell r="B425" t="str">
            <v>OFFICE CATERING,CL</v>
          </cell>
          <cell r="C425">
            <v>4</v>
          </cell>
          <cell r="D425" t="str">
            <v>CUSTOMER SERVIC</v>
          </cell>
          <cell r="E425">
            <v>3091</v>
          </cell>
          <cell r="F425">
            <v>6182</v>
          </cell>
          <cell r="G425">
            <v>9273</v>
          </cell>
          <cell r="H425">
            <v>12364</v>
          </cell>
          <cell r="I425">
            <v>15455</v>
          </cell>
          <cell r="J425">
            <v>18546</v>
          </cell>
          <cell r="K425">
            <v>21637</v>
          </cell>
          <cell r="L425">
            <v>24728</v>
          </cell>
          <cell r="M425">
            <v>27819</v>
          </cell>
          <cell r="N425">
            <v>30910</v>
          </cell>
          <cell r="O425">
            <v>34001</v>
          </cell>
          <cell r="P425">
            <v>37100</v>
          </cell>
          <cell r="Q425">
            <v>37100</v>
          </cell>
        </row>
        <row r="426">
          <cell r="A426" t="str">
            <v>115-10-050</v>
          </cell>
          <cell r="B426" t="str">
            <v>OFFICE CATERING,CL</v>
          </cell>
          <cell r="C426">
            <v>5</v>
          </cell>
          <cell r="D426" t="str">
            <v>PREMIUM ADMINST</v>
          </cell>
          <cell r="E426">
            <v>7485</v>
          </cell>
          <cell r="F426">
            <v>14970</v>
          </cell>
          <cell r="G426">
            <v>22455</v>
          </cell>
          <cell r="H426">
            <v>29940</v>
          </cell>
          <cell r="I426">
            <v>37425</v>
          </cell>
          <cell r="J426">
            <v>44910</v>
          </cell>
          <cell r="K426">
            <v>52395</v>
          </cell>
          <cell r="L426">
            <v>59880</v>
          </cell>
          <cell r="M426">
            <v>67365</v>
          </cell>
          <cell r="N426">
            <v>74850</v>
          </cell>
          <cell r="O426">
            <v>82335</v>
          </cell>
          <cell r="P426">
            <v>89820</v>
          </cell>
          <cell r="Q426">
            <v>89820</v>
          </cell>
        </row>
        <row r="427">
          <cell r="A427" t="str">
            <v>115-10-050</v>
          </cell>
          <cell r="B427" t="str">
            <v>OFFICE CATERING,CL</v>
          </cell>
          <cell r="C427">
            <v>6</v>
          </cell>
          <cell r="D427" t="str">
            <v>BENEFITS PAYMEN</v>
          </cell>
          <cell r="E427">
            <v>6365</v>
          </cell>
          <cell r="F427">
            <v>12730</v>
          </cell>
          <cell r="G427">
            <v>19095</v>
          </cell>
          <cell r="H427">
            <v>25460</v>
          </cell>
          <cell r="I427">
            <v>31825</v>
          </cell>
          <cell r="J427">
            <v>38190</v>
          </cell>
          <cell r="K427">
            <v>44555</v>
          </cell>
          <cell r="L427">
            <v>50920</v>
          </cell>
          <cell r="M427">
            <v>57285</v>
          </cell>
          <cell r="N427">
            <v>63650</v>
          </cell>
          <cell r="O427">
            <v>70015</v>
          </cell>
          <cell r="P427">
            <v>76380</v>
          </cell>
          <cell r="Q427">
            <v>76380</v>
          </cell>
        </row>
        <row r="428">
          <cell r="A428" t="str">
            <v>115-10-050</v>
          </cell>
          <cell r="B428" t="str">
            <v>OFFICE CATERING,CL</v>
          </cell>
          <cell r="C428">
            <v>7</v>
          </cell>
          <cell r="D428" t="str">
            <v>NEW BUSINESS</v>
          </cell>
          <cell r="E428">
            <v>3458</v>
          </cell>
          <cell r="F428">
            <v>6916</v>
          </cell>
          <cell r="G428">
            <v>10374</v>
          </cell>
          <cell r="H428">
            <v>13832</v>
          </cell>
          <cell r="I428">
            <v>17290</v>
          </cell>
          <cell r="J428">
            <v>20748</v>
          </cell>
          <cell r="K428">
            <v>24206</v>
          </cell>
          <cell r="L428">
            <v>27664</v>
          </cell>
          <cell r="M428">
            <v>31122</v>
          </cell>
          <cell r="N428">
            <v>34580</v>
          </cell>
          <cell r="O428">
            <v>38038</v>
          </cell>
          <cell r="P428">
            <v>41500</v>
          </cell>
          <cell r="Q428">
            <v>41500</v>
          </cell>
        </row>
        <row r="429">
          <cell r="A429" t="str">
            <v>115-10-050</v>
          </cell>
          <cell r="B429" t="str">
            <v>OFFICE CATERING,CL</v>
          </cell>
          <cell r="C429">
            <v>8</v>
          </cell>
          <cell r="D429" t="str">
            <v>FINANCE</v>
          </cell>
          <cell r="E429">
            <v>6495</v>
          </cell>
          <cell r="F429">
            <v>12990</v>
          </cell>
          <cell r="G429">
            <v>19485</v>
          </cell>
          <cell r="H429">
            <v>25980</v>
          </cell>
          <cell r="I429">
            <v>32475</v>
          </cell>
          <cell r="J429">
            <v>38970</v>
          </cell>
          <cell r="K429">
            <v>45465</v>
          </cell>
          <cell r="L429">
            <v>51960</v>
          </cell>
          <cell r="M429">
            <v>58455</v>
          </cell>
          <cell r="N429">
            <v>64950</v>
          </cell>
          <cell r="O429">
            <v>71445</v>
          </cell>
          <cell r="P429">
            <v>77940</v>
          </cell>
          <cell r="Q429">
            <v>77940</v>
          </cell>
        </row>
        <row r="430">
          <cell r="A430" t="str">
            <v>115-10-050</v>
          </cell>
          <cell r="B430" t="str">
            <v>OFFICE CATERING,CL</v>
          </cell>
          <cell r="C430">
            <v>9</v>
          </cell>
          <cell r="D430" t="str">
            <v>INFORMATION TEC</v>
          </cell>
          <cell r="E430">
            <v>4825</v>
          </cell>
          <cell r="F430">
            <v>9650</v>
          </cell>
          <cell r="G430">
            <v>14475</v>
          </cell>
          <cell r="H430">
            <v>19300</v>
          </cell>
          <cell r="I430">
            <v>24125</v>
          </cell>
          <cell r="J430">
            <v>28950</v>
          </cell>
          <cell r="K430">
            <v>33775</v>
          </cell>
          <cell r="L430">
            <v>38600</v>
          </cell>
          <cell r="M430">
            <v>43425</v>
          </cell>
          <cell r="N430">
            <v>48250</v>
          </cell>
          <cell r="O430">
            <v>53075</v>
          </cell>
          <cell r="P430">
            <v>57900</v>
          </cell>
          <cell r="Q430">
            <v>57900</v>
          </cell>
        </row>
        <row r="431">
          <cell r="A431" t="str">
            <v>115-10-050</v>
          </cell>
          <cell r="B431" t="str">
            <v>OFFICE CATERING,CL</v>
          </cell>
          <cell r="C431">
            <v>10</v>
          </cell>
          <cell r="D431" t="str">
            <v>HUMAN RESOURCES</v>
          </cell>
          <cell r="E431">
            <v>2725</v>
          </cell>
          <cell r="F431">
            <v>5450</v>
          </cell>
          <cell r="G431">
            <v>8175</v>
          </cell>
          <cell r="H431">
            <v>10900</v>
          </cell>
          <cell r="I431">
            <v>13625</v>
          </cell>
          <cell r="J431">
            <v>16350</v>
          </cell>
          <cell r="K431">
            <v>19075</v>
          </cell>
          <cell r="L431">
            <v>21800</v>
          </cell>
          <cell r="M431">
            <v>24525</v>
          </cell>
          <cell r="N431">
            <v>27250</v>
          </cell>
          <cell r="O431">
            <v>29975</v>
          </cell>
          <cell r="P431">
            <v>32700</v>
          </cell>
          <cell r="Q431">
            <v>32700</v>
          </cell>
        </row>
        <row r="432">
          <cell r="A432" t="str">
            <v>115-10-051</v>
          </cell>
          <cell r="B432" t="str">
            <v>OFFICE CLEANING</v>
          </cell>
          <cell r="C432">
            <v>8</v>
          </cell>
          <cell r="D432" t="str">
            <v>OFFICE CLEANING</v>
          </cell>
          <cell r="E432">
            <v>13929</v>
          </cell>
          <cell r="F432">
            <v>27858</v>
          </cell>
          <cell r="G432">
            <v>41787</v>
          </cell>
          <cell r="H432">
            <v>55716</v>
          </cell>
          <cell r="I432">
            <v>69645</v>
          </cell>
          <cell r="J432">
            <v>83574</v>
          </cell>
          <cell r="K432">
            <v>97503</v>
          </cell>
          <cell r="L432">
            <v>111432</v>
          </cell>
          <cell r="M432">
            <v>125361</v>
          </cell>
          <cell r="N432">
            <v>139290</v>
          </cell>
          <cell r="O432">
            <v>153219</v>
          </cell>
          <cell r="P432">
            <v>167150</v>
          </cell>
          <cell r="Q432">
            <v>167150</v>
          </cell>
        </row>
        <row r="433">
          <cell r="A433" t="str">
            <v>115-10-060</v>
          </cell>
          <cell r="B433" t="str">
            <v>OFFICE WATER</v>
          </cell>
          <cell r="C433">
            <v>1</v>
          </cell>
          <cell r="D433" t="str">
            <v>EXECUTIVE</v>
          </cell>
          <cell r="E433">
            <v>670</v>
          </cell>
          <cell r="F433">
            <v>1340</v>
          </cell>
          <cell r="G433">
            <v>2010</v>
          </cell>
          <cell r="H433">
            <v>2680</v>
          </cell>
          <cell r="I433">
            <v>3350</v>
          </cell>
          <cell r="J433">
            <v>4020</v>
          </cell>
          <cell r="K433">
            <v>4690</v>
          </cell>
          <cell r="L433">
            <v>5360</v>
          </cell>
          <cell r="M433">
            <v>6030</v>
          </cell>
          <cell r="N433">
            <v>6700</v>
          </cell>
          <cell r="O433">
            <v>7370</v>
          </cell>
          <cell r="P433">
            <v>8040</v>
          </cell>
          <cell r="Q433">
            <v>8040</v>
          </cell>
        </row>
        <row r="434">
          <cell r="A434" t="str">
            <v>115-10-060</v>
          </cell>
          <cell r="B434" t="str">
            <v>OFFICE WATER</v>
          </cell>
          <cell r="C434">
            <v>2</v>
          </cell>
          <cell r="D434" t="str">
            <v>OPERATIONS</v>
          </cell>
          <cell r="E434">
            <v>2112</v>
          </cell>
          <cell r="F434">
            <v>4224</v>
          </cell>
          <cell r="G434">
            <v>6336</v>
          </cell>
          <cell r="H434">
            <v>8448</v>
          </cell>
          <cell r="I434">
            <v>10560</v>
          </cell>
          <cell r="J434">
            <v>12672</v>
          </cell>
          <cell r="K434">
            <v>14784</v>
          </cell>
          <cell r="L434">
            <v>16896</v>
          </cell>
          <cell r="M434">
            <v>19008</v>
          </cell>
          <cell r="N434">
            <v>21120</v>
          </cell>
          <cell r="O434">
            <v>23232</v>
          </cell>
          <cell r="P434">
            <v>25344</v>
          </cell>
          <cell r="Q434">
            <v>25344</v>
          </cell>
        </row>
        <row r="435">
          <cell r="A435" t="str">
            <v>115-10-060</v>
          </cell>
          <cell r="B435" t="str">
            <v>OFFICE WATER</v>
          </cell>
          <cell r="C435">
            <v>3</v>
          </cell>
          <cell r="D435" t="str">
            <v>PREMIUM LIASON</v>
          </cell>
          <cell r="E435">
            <v>1155</v>
          </cell>
          <cell r="F435">
            <v>2310</v>
          </cell>
          <cell r="G435">
            <v>3465</v>
          </cell>
          <cell r="H435">
            <v>4620</v>
          </cell>
          <cell r="I435">
            <v>5775</v>
          </cell>
          <cell r="J435">
            <v>6930</v>
          </cell>
          <cell r="K435">
            <v>8085</v>
          </cell>
          <cell r="L435">
            <v>9240</v>
          </cell>
          <cell r="M435">
            <v>10395</v>
          </cell>
          <cell r="N435">
            <v>11550</v>
          </cell>
          <cell r="O435">
            <v>12705</v>
          </cell>
          <cell r="P435">
            <v>13860</v>
          </cell>
          <cell r="Q435">
            <v>13860</v>
          </cell>
        </row>
        <row r="436">
          <cell r="A436" t="str">
            <v>115-10-060</v>
          </cell>
          <cell r="B436" t="str">
            <v>OFFICE WATER</v>
          </cell>
          <cell r="C436">
            <v>4</v>
          </cell>
          <cell r="D436" t="str">
            <v>CUSTOMER SERVIC</v>
          </cell>
          <cell r="E436">
            <v>5833</v>
          </cell>
          <cell r="F436">
            <v>11666</v>
          </cell>
          <cell r="G436">
            <v>17499</v>
          </cell>
          <cell r="H436">
            <v>23332</v>
          </cell>
          <cell r="I436">
            <v>29165</v>
          </cell>
          <cell r="J436">
            <v>34998</v>
          </cell>
          <cell r="K436">
            <v>40831</v>
          </cell>
          <cell r="L436">
            <v>46664</v>
          </cell>
          <cell r="M436">
            <v>52497</v>
          </cell>
          <cell r="N436">
            <v>58330</v>
          </cell>
          <cell r="O436">
            <v>64163</v>
          </cell>
          <cell r="P436">
            <v>70000</v>
          </cell>
          <cell r="Q436">
            <v>70000</v>
          </cell>
        </row>
        <row r="437">
          <cell r="A437" t="str">
            <v>115-10-060</v>
          </cell>
          <cell r="B437" t="str">
            <v>OFFICE WATER</v>
          </cell>
          <cell r="C437">
            <v>5</v>
          </cell>
          <cell r="D437" t="str">
            <v>PREMIUM ADMINST</v>
          </cell>
          <cell r="E437">
            <v>1875</v>
          </cell>
          <cell r="F437">
            <v>3750</v>
          </cell>
          <cell r="G437">
            <v>5625</v>
          </cell>
          <cell r="H437">
            <v>7500</v>
          </cell>
          <cell r="I437">
            <v>9375</v>
          </cell>
          <cell r="J437">
            <v>11250</v>
          </cell>
          <cell r="K437">
            <v>13125</v>
          </cell>
          <cell r="L437">
            <v>15000</v>
          </cell>
          <cell r="M437">
            <v>16875</v>
          </cell>
          <cell r="N437">
            <v>18750</v>
          </cell>
          <cell r="O437">
            <v>20625</v>
          </cell>
          <cell r="P437">
            <v>22500</v>
          </cell>
          <cell r="Q437">
            <v>22500</v>
          </cell>
        </row>
        <row r="438">
          <cell r="A438" t="str">
            <v>115-10-060</v>
          </cell>
          <cell r="B438" t="str">
            <v>OFFICE WATER</v>
          </cell>
          <cell r="C438">
            <v>6</v>
          </cell>
          <cell r="D438" t="str">
            <v>BENEFITS PAYMEN</v>
          </cell>
          <cell r="E438">
            <v>1008</v>
          </cell>
          <cell r="F438">
            <v>2016</v>
          </cell>
          <cell r="G438">
            <v>3024</v>
          </cell>
          <cell r="H438">
            <v>4032</v>
          </cell>
          <cell r="I438">
            <v>5040</v>
          </cell>
          <cell r="J438">
            <v>6048</v>
          </cell>
          <cell r="K438">
            <v>7056</v>
          </cell>
          <cell r="L438">
            <v>8064</v>
          </cell>
          <cell r="M438">
            <v>9072</v>
          </cell>
          <cell r="N438">
            <v>10080</v>
          </cell>
          <cell r="O438">
            <v>11088</v>
          </cell>
          <cell r="P438">
            <v>12100</v>
          </cell>
          <cell r="Q438">
            <v>12100</v>
          </cell>
        </row>
        <row r="439">
          <cell r="A439" t="str">
            <v>115-10-060</v>
          </cell>
          <cell r="B439" t="str">
            <v>OFFICE WATER</v>
          </cell>
          <cell r="C439">
            <v>7</v>
          </cell>
          <cell r="D439" t="str">
            <v>NEW BUSINESS</v>
          </cell>
          <cell r="E439">
            <v>100</v>
          </cell>
          <cell r="F439">
            <v>200</v>
          </cell>
          <cell r="G439">
            <v>300</v>
          </cell>
          <cell r="H439">
            <v>400</v>
          </cell>
          <cell r="I439">
            <v>500</v>
          </cell>
          <cell r="J439">
            <v>600</v>
          </cell>
          <cell r="K439">
            <v>700</v>
          </cell>
          <cell r="L439">
            <v>800</v>
          </cell>
          <cell r="M439">
            <v>900</v>
          </cell>
          <cell r="N439">
            <v>1000</v>
          </cell>
          <cell r="O439">
            <v>1100</v>
          </cell>
          <cell r="P439">
            <v>1200</v>
          </cell>
          <cell r="Q439">
            <v>1200</v>
          </cell>
        </row>
        <row r="440">
          <cell r="A440" t="str">
            <v>115-10-060</v>
          </cell>
          <cell r="B440" t="str">
            <v>OFFICE WATER</v>
          </cell>
          <cell r="C440">
            <v>8</v>
          </cell>
          <cell r="D440" t="str">
            <v>FINANCE</v>
          </cell>
          <cell r="E440">
            <v>975</v>
          </cell>
          <cell r="F440">
            <v>1950</v>
          </cell>
          <cell r="G440">
            <v>2925</v>
          </cell>
          <cell r="H440">
            <v>3900</v>
          </cell>
          <cell r="I440">
            <v>4875</v>
          </cell>
          <cell r="J440">
            <v>5850</v>
          </cell>
          <cell r="K440">
            <v>6825</v>
          </cell>
          <cell r="L440">
            <v>7800</v>
          </cell>
          <cell r="M440">
            <v>8775</v>
          </cell>
          <cell r="N440">
            <v>9750</v>
          </cell>
          <cell r="O440">
            <v>10725</v>
          </cell>
          <cell r="P440">
            <v>11700</v>
          </cell>
          <cell r="Q440">
            <v>11700</v>
          </cell>
        </row>
        <row r="441">
          <cell r="A441" t="str">
            <v>115-10-060</v>
          </cell>
          <cell r="B441" t="str">
            <v>OFFICE WATER</v>
          </cell>
          <cell r="C441">
            <v>9</v>
          </cell>
          <cell r="D441" t="str">
            <v>INFORMATION TEC</v>
          </cell>
          <cell r="E441">
            <v>924</v>
          </cell>
          <cell r="F441">
            <v>1848</v>
          </cell>
          <cell r="G441">
            <v>2772</v>
          </cell>
          <cell r="H441">
            <v>3696</v>
          </cell>
          <cell r="I441">
            <v>4620</v>
          </cell>
          <cell r="J441">
            <v>5544</v>
          </cell>
          <cell r="K441">
            <v>6468</v>
          </cell>
          <cell r="L441">
            <v>7392</v>
          </cell>
          <cell r="M441">
            <v>8316</v>
          </cell>
          <cell r="N441">
            <v>9240</v>
          </cell>
          <cell r="O441">
            <v>10164</v>
          </cell>
          <cell r="P441">
            <v>11088</v>
          </cell>
          <cell r="Q441">
            <v>11088</v>
          </cell>
        </row>
        <row r="442">
          <cell r="A442" t="str">
            <v>115-10-060</v>
          </cell>
          <cell r="B442" t="str">
            <v>OFFICE WATER</v>
          </cell>
          <cell r="C442">
            <v>10</v>
          </cell>
          <cell r="D442" t="str">
            <v>OFFICE WATER</v>
          </cell>
          <cell r="E442">
            <v>750</v>
          </cell>
          <cell r="F442">
            <v>1500</v>
          </cell>
          <cell r="G442">
            <v>2250</v>
          </cell>
          <cell r="H442">
            <v>3000</v>
          </cell>
          <cell r="I442">
            <v>3750</v>
          </cell>
          <cell r="J442">
            <v>4500</v>
          </cell>
          <cell r="K442">
            <v>5250</v>
          </cell>
          <cell r="L442">
            <v>6000</v>
          </cell>
          <cell r="M442">
            <v>6750</v>
          </cell>
          <cell r="N442">
            <v>7500</v>
          </cell>
          <cell r="O442">
            <v>8250</v>
          </cell>
          <cell r="P442">
            <v>9000</v>
          </cell>
          <cell r="Q442">
            <v>9000</v>
          </cell>
        </row>
        <row r="443">
          <cell r="A443" t="str">
            <v>125-10-010</v>
          </cell>
          <cell r="B443" t="str">
            <v>BANK CHARGES</v>
          </cell>
          <cell r="C443">
            <v>8</v>
          </cell>
          <cell r="D443" t="str">
            <v>FINANCE</v>
          </cell>
          <cell r="E443">
            <v>166666</v>
          </cell>
          <cell r="F443">
            <v>333332</v>
          </cell>
          <cell r="G443">
            <v>499998</v>
          </cell>
          <cell r="H443">
            <v>666664</v>
          </cell>
          <cell r="I443">
            <v>833330</v>
          </cell>
          <cell r="J443">
            <v>999996</v>
          </cell>
          <cell r="K443">
            <v>1166662</v>
          </cell>
          <cell r="L443">
            <v>1333328</v>
          </cell>
          <cell r="M443">
            <v>1499994</v>
          </cell>
          <cell r="N443">
            <v>1666660</v>
          </cell>
          <cell r="O443">
            <v>1833326</v>
          </cell>
          <cell r="P443">
            <v>2000000</v>
          </cell>
          <cell r="Q443">
            <v>2000000</v>
          </cell>
        </row>
        <row r="444">
          <cell r="A444" t="str">
            <v>135-10-020</v>
          </cell>
          <cell r="B444" t="str">
            <v>MEDICAL FEE</v>
          </cell>
          <cell r="C444">
            <v>7</v>
          </cell>
          <cell r="D444" t="str">
            <v>NEW BUSINESS</v>
          </cell>
          <cell r="E444">
            <v>14166</v>
          </cell>
          <cell r="F444">
            <v>28332</v>
          </cell>
          <cell r="G444">
            <v>42498</v>
          </cell>
          <cell r="H444">
            <v>56664</v>
          </cell>
          <cell r="I444">
            <v>70830</v>
          </cell>
          <cell r="J444">
            <v>84996</v>
          </cell>
          <cell r="K444">
            <v>99162</v>
          </cell>
          <cell r="L444">
            <v>113328</v>
          </cell>
          <cell r="M444">
            <v>127494</v>
          </cell>
          <cell r="N444">
            <v>141660</v>
          </cell>
          <cell r="O444">
            <v>155826</v>
          </cell>
          <cell r="P444">
            <v>170000</v>
          </cell>
          <cell r="Q444">
            <v>170000</v>
          </cell>
        </row>
        <row r="445">
          <cell r="A445" t="str">
            <v>145-10-010</v>
          </cell>
          <cell r="B445" t="str">
            <v>ALA GROUP CHARGES</v>
          </cell>
          <cell r="C445">
            <v>8</v>
          </cell>
          <cell r="D445" t="str">
            <v>FINANCE</v>
          </cell>
          <cell r="E445">
            <v>199045</v>
          </cell>
          <cell r="F445">
            <v>398090</v>
          </cell>
          <cell r="G445">
            <v>597135</v>
          </cell>
          <cell r="H445">
            <v>796180</v>
          </cell>
          <cell r="I445">
            <v>995225</v>
          </cell>
          <cell r="J445">
            <v>1194270</v>
          </cell>
          <cell r="K445">
            <v>1393315</v>
          </cell>
          <cell r="L445">
            <v>1592360</v>
          </cell>
          <cell r="M445">
            <v>1791405</v>
          </cell>
          <cell r="N445">
            <v>1990450</v>
          </cell>
          <cell r="O445">
            <v>2189495</v>
          </cell>
          <cell r="P445">
            <v>2388546</v>
          </cell>
          <cell r="Q445">
            <v>2388546</v>
          </cell>
        </row>
        <row r="446">
          <cell r="A446" t="str">
            <v>145-10-020</v>
          </cell>
          <cell r="B446" t="str">
            <v>ACTUARIAL FEES</v>
          </cell>
          <cell r="C446">
            <v>2</v>
          </cell>
          <cell r="D446" t="str">
            <v>LIFE OPERATIONS</v>
          </cell>
          <cell r="E446">
            <v>349875</v>
          </cell>
          <cell r="F446">
            <v>699750</v>
          </cell>
          <cell r="G446">
            <v>1049625</v>
          </cell>
          <cell r="H446">
            <v>1399500</v>
          </cell>
          <cell r="I446">
            <v>1749375</v>
          </cell>
          <cell r="J446">
            <v>2099250</v>
          </cell>
          <cell r="K446">
            <v>2449125</v>
          </cell>
          <cell r="L446">
            <v>2799000</v>
          </cell>
          <cell r="M446">
            <v>3148875</v>
          </cell>
          <cell r="N446">
            <v>3498750</v>
          </cell>
          <cell r="O446">
            <v>3848625</v>
          </cell>
          <cell r="P446">
            <v>4198500</v>
          </cell>
          <cell r="Q446">
            <v>4198500</v>
          </cell>
        </row>
        <row r="447">
          <cell r="A447" t="str">
            <v>145-10-030</v>
          </cell>
          <cell r="B447" t="str">
            <v>AUDIT FEES</v>
          </cell>
          <cell r="C447">
            <v>8</v>
          </cell>
          <cell r="D447" t="str">
            <v>FINANCE AND INV</v>
          </cell>
          <cell r="E447">
            <v>79166</v>
          </cell>
          <cell r="F447">
            <v>158332</v>
          </cell>
          <cell r="G447">
            <v>237498</v>
          </cell>
          <cell r="H447">
            <v>316664</v>
          </cell>
          <cell r="I447">
            <v>395830</v>
          </cell>
          <cell r="J447">
            <v>474996</v>
          </cell>
          <cell r="K447">
            <v>554162</v>
          </cell>
          <cell r="L447">
            <v>633328</v>
          </cell>
          <cell r="M447">
            <v>712494</v>
          </cell>
          <cell r="N447">
            <v>791660</v>
          </cell>
          <cell r="O447">
            <v>870826</v>
          </cell>
          <cell r="P447">
            <v>950000</v>
          </cell>
          <cell r="Q447">
            <v>950000</v>
          </cell>
        </row>
        <row r="448">
          <cell r="A448" t="str">
            <v>145-10-031</v>
          </cell>
          <cell r="B448" t="str">
            <v>TAX CONSULTANCY FE</v>
          </cell>
          <cell r="C448">
            <v>8</v>
          </cell>
          <cell r="D448" t="str">
            <v>TAX CONULTANCY</v>
          </cell>
          <cell r="E448">
            <v>20833</v>
          </cell>
          <cell r="F448">
            <v>41666</v>
          </cell>
          <cell r="G448">
            <v>62499</v>
          </cell>
          <cell r="H448">
            <v>83332</v>
          </cell>
          <cell r="I448">
            <v>104165</v>
          </cell>
          <cell r="J448">
            <v>124998</v>
          </cell>
          <cell r="K448">
            <v>145831</v>
          </cell>
          <cell r="L448">
            <v>166664</v>
          </cell>
          <cell r="M448">
            <v>187497</v>
          </cell>
          <cell r="N448">
            <v>208330</v>
          </cell>
          <cell r="O448">
            <v>229163</v>
          </cell>
          <cell r="P448">
            <v>250000</v>
          </cell>
          <cell r="Q448">
            <v>250000</v>
          </cell>
        </row>
        <row r="449">
          <cell r="A449" t="str">
            <v>145-10-040</v>
          </cell>
          <cell r="B449" t="str">
            <v>LEGAL FEES</v>
          </cell>
          <cell r="C449">
            <v>1</v>
          </cell>
          <cell r="D449" t="str">
            <v>EXECUTIVE</v>
          </cell>
          <cell r="E449">
            <v>20833</v>
          </cell>
          <cell r="F449">
            <v>41666</v>
          </cell>
          <cell r="G449">
            <v>62499</v>
          </cell>
          <cell r="H449">
            <v>83332</v>
          </cell>
          <cell r="I449">
            <v>104165</v>
          </cell>
          <cell r="J449">
            <v>124998</v>
          </cell>
          <cell r="K449">
            <v>145831</v>
          </cell>
          <cell r="L449">
            <v>166664</v>
          </cell>
          <cell r="M449">
            <v>187497</v>
          </cell>
          <cell r="N449">
            <v>208330</v>
          </cell>
          <cell r="O449">
            <v>229163</v>
          </cell>
          <cell r="P449">
            <v>250000</v>
          </cell>
          <cell r="Q449">
            <v>250000</v>
          </cell>
        </row>
        <row r="450">
          <cell r="A450" t="str">
            <v>145-10-060</v>
          </cell>
          <cell r="B450" t="str">
            <v>INTRA COMPANY -IND</v>
          </cell>
          <cell r="C450">
            <v>8</v>
          </cell>
          <cell r="D450" t="str">
            <v>FINANCE</v>
          </cell>
          <cell r="E450">
            <v>406228</v>
          </cell>
          <cell r="F450">
            <v>812456</v>
          </cell>
          <cell r="G450">
            <v>1218684</v>
          </cell>
          <cell r="H450">
            <v>1624912</v>
          </cell>
          <cell r="I450">
            <v>2031140</v>
          </cell>
          <cell r="J450">
            <v>2437368</v>
          </cell>
          <cell r="K450">
            <v>2843596</v>
          </cell>
          <cell r="L450">
            <v>3249824</v>
          </cell>
          <cell r="M450">
            <v>3656052</v>
          </cell>
          <cell r="N450">
            <v>4062280</v>
          </cell>
          <cell r="O450">
            <v>4468508</v>
          </cell>
          <cell r="P450">
            <v>4874737</v>
          </cell>
          <cell r="Q450">
            <v>4874737</v>
          </cell>
        </row>
        <row r="451">
          <cell r="A451" t="str">
            <v>155-10-007</v>
          </cell>
          <cell r="B451" t="str">
            <v>NEWSPAPERS &amp; JOURN</v>
          </cell>
          <cell r="C451">
            <v>1</v>
          </cell>
          <cell r="D451" t="str">
            <v>EXECUTIVE</v>
          </cell>
          <cell r="E451">
            <v>1993</v>
          </cell>
          <cell r="F451">
            <v>3986</v>
          </cell>
          <cell r="G451">
            <v>5979</v>
          </cell>
          <cell r="H451">
            <v>7972</v>
          </cell>
          <cell r="I451">
            <v>9965</v>
          </cell>
          <cell r="J451">
            <v>11958</v>
          </cell>
          <cell r="K451">
            <v>13951</v>
          </cell>
          <cell r="L451">
            <v>15944</v>
          </cell>
          <cell r="M451">
            <v>17937</v>
          </cell>
          <cell r="N451">
            <v>19930</v>
          </cell>
          <cell r="O451">
            <v>21923</v>
          </cell>
          <cell r="P451">
            <v>23920</v>
          </cell>
          <cell r="Q451">
            <v>23920</v>
          </cell>
        </row>
        <row r="452">
          <cell r="A452" t="str">
            <v>155-10-007</v>
          </cell>
          <cell r="B452" t="str">
            <v>NEWSPAPERS &amp; JOURN</v>
          </cell>
          <cell r="C452">
            <v>2</v>
          </cell>
          <cell r="D452" t="str">
            <v>OPERATIONS</v>
          </cell>
          <cell r="E452">
            <v>2112</v>
          </cell>
          <cell r="F452">
            <v>4224</v>
          </cell>
          <cell r="G452">
            <v>6336</v>
          </cell>
          <cell r="H452">
            <v>8448</v>
          </cell>
          <cell r="I452">
            <v>10560</v>
          </cell>
          <cell r="J452">
            <v>12672</v>
          </cell>
          <cell r="K452">
            <v>14784</v>
          </cell>
          <cell r="L452">
            <v>16896</v>
          </cell>
          <cell r="M452">
            <v>19008</v>
          </cell>
          <cell r="N452">
            <v>21120</v>
          </cell>
          <cell r="O452">
            <v>23232</v>
          </cell>
          <cell r="P452">
            <v>25350</v>
          </cell>
          <cell r="Q452">
            <v>25350</v>
          </cell>
        </row>
        <row r="453">
          <cell r="A453" t="str">
            <v>155-10-007</v>
          </cell>
          <cell r="B453" t="str">
            <v>NEWSPAPERS &amp; JOURN</v>
          </cell>
          <cell r="C453">
            <v>3</v>
          </cell>
          <cell r="D453" t="str">
            <v>PREMIUM LIASON</v>
          </cell>
          <cell r="E453">
            <v>240</v>
          </cell>
          <cell r="F453">
            <v>480</v>
          </cell>
          <cell r="G453">
            <v>720</v>
          </cell>
          <cell r="H453">
            <v>960</v>
          </cell>
          <cell r="I453">
            <v>1200</v>
          </cell>
          <cell r="J453">
            <v>1440</v>
          </cell>
          <cell r="K453">
            <v>1680</v>
          </cell>
          <cell r="L453">
            <v>1920</v>
          </cell>
          <cell r="M453">
            <v>2160</v>
          </cell>
          <cell r="N453">
            <v>2400</v>
          </cell>
          <cell r="O453">
            <v>2640</v>
          </cell>
          <cell r="P453">
            <v>2880</v>
          </cell>
          <cell r="Q453">
            <v>2880</v>
          </cell>
        </row>
        <row r="454">
          <cell r="A454" t="str">
            <v>155-10-007</v>
          </cell>
          <cell r="B454" t="str">
            <v>NEWSPAPERS &amp; JOURN</v>
          </cell>
          <cell r="C454">
            <v>4</v>
          </cell>
          <cell r="D454" t="str">
            <v>CUSTOMER SERVIC</v>
          </cell>
          <cell r="E454">
            <v>1100</v>
          </cell>
          <cell r="F454">
            <v>2200</v>
          </cell>
          <cell r="G454">
            <v>3300</v>
          </cell>
          <cell r="H454">
            <v>4400</v>
          </cell>
          <cell r="I454">
            <v>5500</v>
          </cell>
          <cell r="J454">
            <v>6600</v>
          </cell>
          <cell r="K454">
            <v>7700</v>
          </cell>
          <cell r="L454">
            <v>8800</v>
          </cell>
          <cell r="M454">
            <v>9900</v>
          </cell>
          <cell r="N454">
            <v>11000</v>
          </cell>
          <cell r="O454">
            <v>12100</v>
          </cell>
          <cell r="P454">
            <v>13200</v>
          </cell>
          <cell r="Q454">
            <v>13200</v>
          </cell>
        </row>
        <row r="455">
          <cell r="A455" t="str">
            <v>155-10-007</v>
          </cell>
          <cell r="B455" t="str">
            <v>NEWSPAPERS &amp; JOURN</v>
          </cell>
          <cell r="C455">
            <v>5</v>
          </cell>
          <cell r="D455" t="str">
            <v>PREMIUM ADMINST</v>
          </cell>
          <cell r="E455">
            <v>240</v>
          </cell>
          <cell r="F455">
            <v>480</v>
          </cell>
          <cell r="G455">
            <v>720</v>
          </cell>
          <cell r="H455">
            <v>960</v>
          </cell>
          <cell r="I455">
            <v>1200</v>
          </cell>
          <cell r="J455">
            <v>1440</v>
          </cell>
          <cell r="K455">
            <v>1680</v>
          </cell>
          <cell r="L455">
            <v>1920</v>
          </cell>
          <cell r="M455">
            <v>2160</v>
          </cell>
          <cell r="N455">
            <v>2400</v>
          </cell>
          <cell r="O455">
            <v>2640</v>
          </cell>
          <cell r="P455">
            <v>2880</v>
          </cell>
          <cell r="Q455">
            <v>2880</v>
          </cell>
        </row>
        <row r="456">
          <cell r="A456" t="str">
            <v>155-10-007</v>
          </cell>
          <cell r="B456" t="str">
            <v>NEWSPAPERS &amp; JOURN</v>
          </cell>
          <cell r="C456">
            <v>6</v>
          </cell>
          <cell r="D456" t="str">
            <v>BENEFITS PAYMEN</v>
          </cell>
          <cell r="E456">
            <v>1180</v>
          </cell>
          <cell r="F456">
            <v>2360</v>
          </cell>
          <cell r="G456">
            <v>3540</v>
          </cell>
          <cell r="H456">
            <v>4720</v>
          </cell>
          <cell r="I456">
            <v>5900</v>
          </cell>
          <cell r="J456">
            <v>7080</v>
          </cell>
          <cell r="K456">
            <v>8260</v>
          </cell>
          <cell r="L456">
            <v>9440</v>
          </cell>
          <cell r="M456">
            <v>10620</v>
          </cell>
          <cell r="N456">
            <v>11800</v>
          </cell>
          <cell r="O456">
            <v>12980</v>
          </cell>
          <cell r="P456">
            <v>14160</v>
          </cell>
          <cell r="Q456">
            <v>14160</v>
          </cell>
        </row>
        <row r="457">
          <cell r="A457" t="str">
            <v>155-10-007</v>
          </cell>
          <cell r="B457" t="str">
            <v>NEWSPAPERS &amp; JOURN</v>
          </cell>
          <cell r="C457">
            <v>7</v>
          </cell>
          <cell r="D457" t="str">
            <v>NEW BUSINESS</v>
          </cell>
          <cell r="E457">
            <v>240</v>
          </cell>
          <cell r="F457">
            <v>480</v>
          </cell>
          <cell r="G457">
            <v>720</v>
          </cell>
          <cell r="H457">
            <v>960</v>
          </cell>
          <cell r="I457">
            <v>1200</v>
          </cell>
          <cell r="J457">
            <v>1440</v>
          </cell>
          <cell r="K457">
            <v>1680</v>
          </cell>
          <cell r="L457">
            <v>1920</v>
          </cell>
          <cell r="M457">
            <v>2160</v>
          </cell>
          <cell r="N457">
            <v>2400</v>
          </cell>
          <cell r="O457">
            <v>2640</v>
          </cell>
          <cell r="P457">
            <v>2880</v>
          </cell>
          <cell r="Q457">
            <v>2880</v>
          </cell>
        </row>
        <row r="458">
          <cell r="A458" t="str">
            <v>155-10-007</v>
          </cell>
          <cell r="B458" t="str">
            <v>NEWSPAPERS &amp; JOURN</v>
          </cell>
          <cell r="C458">
            <v>8</v>
          </cell>
          <cell r="D458" t="str">
            <v>FINANCE</v>
          </cell>
          <cell r="E458">
            <v>4040</v>
          </cell>
          <cell r="F458">
            <v>8080</v>
          </cell>
          <cell r="G458">
            <v>12120</v>
          </cell>
          <cell r="H458">
            <v>16160</v>
          </cell>
          <cell r="I458">
            <v>20200</v>
          </cell>
          <cell r="J458">
            <v>24240</v>
          </cell>
          <cell r="K458">
            <v>28280</v>
          </cell>
          <cell r="L458">
            <v>32320</v>
          </cell>
          <cell r="M458">
            <v>36360</v>
          </cell>
          <cell r="N458">
            <v>40400</v>
          </cell>
          <cell r="O458">
            <v>44440</v>
          </cell>
          <cell r="P458">
            <v>48480</v>
          </cell>
          <cell r="Q458">
            <v>48480</v>
          </cell>
        </row>
        <row r="459">
          <cell r="A459" t="str">
            <v>155-10-007</v>
          </cell>
          <cell r="B459" t="str">
            <v>NEWSPAPERS &amp; JOURN</v>
          </cell>
          <cell r="C459">
            <v>9</v>
          </cell>
          <cell r="D459" t="str">
            <v>INFORMATION TEC</v>
          </cell>
          <cell r="E459">
            <v>1360</v>
          </cell>
          <cell r="F459">
            <v>2720</v>
          </cell>
          <cell r="G459">
            <v>4080</v>
          </cell>
          <cell r="H459">
            <v>5440</v>
          </cell>
          <cell r="I459">
            <v>6800</v>
          </cell>
          <cell r="J459">
            <v>8160</v>
          </cell>
          <cell r="K459">
            <v>9520</v>
          </cell>
          <cell r="L459">
            <v>10880</v>
          </cell>
          <cell r="M459">
            <v>12240</v>
          </cell>
          <cell r="N459">
            <v>13600</v>
          </cell>
          <cell r="O459">
            <v>14960</v>
          </cell>
          <cell r="P459">
            <v>16320</v>
          </cell>
          <cell r="Q459">
            <v>16320</v>
          </cell>
        </row>
        <row r="460">
          <cell r="A460" t="str">
            <v>155-10-007</v>
          </cell>
          <cell r="B460" t="str">
            <v>NEWSPAPERS &amp; JOURN</v>
          </cell>
          <cell r="C460">
            <v>10</v>
          </cell>
          <cell r="D460" t="str">
            <v>HUMAN RESOURCES</v>
          </cell>
          <cell r="E460">
            <v>240</v>
          </cell>
          <cell r="F460">
            <v>480</v>
          </cell>
          <cell r="G460">
            <v>720</v>
          </cell>
          <cell r="H460">
            <v>960</v>
          </cell>
          <cell r="I460">
            <v>1200</v>
          </cell>
          <cell r="J460">
            <v>1440</v>
          </cell>
          <cell r="K460">
            <v>1680</v>
          </cell>
          <cell r="L460">
            <v>1920</v>
          </cell>
          <cell r="M460">
            <v>2160</v>
          </cell>
          <cell r="N460">
            <v>2400</v>
          </cell>
          <cell r="O460">
            <v>2640</v>
          </cell>
          <cell r="P460">
            <v>2880</v>
          </cell>
          <cell r="Q460">
            <v>2880</v>
          </cell>
        </row>
        <row r="461">
          <cell r="A461" t="str">
            <v>155-10-008</v>
          </cell>
          <cell r="B461" t="str">
            <v>ENTERTAINMENT &amp; DO</v>
          </cell>
          <cell r="C461">
            <v>1</v>
          </cell>
          <cell r="D461" t="str">
            <v>EXECUTIVE</v>
          </cell>
          <cell r="E461">
            <v>36666</v>
          </cell>
          <cell r="F461">
            <v>73332</v>
          </cell>
          <cell r="G461">
            <v>109998</v>
          </cell>
          <cell r="H461">
            <v>146664</v>
          </cell>
          <cell r="I461">
            <v>183330</v>
          </cell>
          <cell r="J461">
            <v>219996</v>
          </cell>
          <cell r="K461">
            <v>256662</v>
          </cell>
          <cell r="L461">
            <v>293328</v>
          </cell>
          <cell r="M461">
            <v>329994</v>
          </cell>
          <cell r="N461">
            <v>366660</v>
          </cell>
          <cell r="O461">
            <v>403326</v>
          </cell>
          <cell r="P461">
            <v>440000</v>
          </cell>
          <cell r="Q461">
            <v>440000</v>
          </cell>
        </row>
        <row r="462">
          <cell r="A462" t="str">
            <v>155-10-008</v>
          </cell>
          <cell r="B462" t="str">
            <v>ENTERTAINMENT &amp; DO</v>
          </cell>
          <cell r="C462">
            <v>2</v>
          </cell>
          <cell r="D462" t="str">
            <v>OPERATIONS</v>
          </cell>
          <cell r="E462">
            <v>3791</v>
          </cell>
          <cell r="F462">
            <v>7582</v>
          </cell>
          <cell r="G462">
            <v>11373</v>
          </cell>
          <cell r="H462">
            <v>15164</v>
          </cell>
          <cell r="I462">
            <v>18955</v>
          </cell>
          <cell r="J462">
            <v>22746</v>
          </cell>
          <cell r="K462">
            <v>26537</v>
          </cell>
          <cell r="L462">
            <v>30328</v>
          </cell>
          <cell r="M462">
            <v>34119</v>
          </cell>
          <cell r="N462">
            <v>37910</v>
          </cell>
          <cell r="O462">
            <v>41701</v>
          </cell>
          <cell r="P462">
            <v>45500</v>
          </cell>
          <cell r="Q462">
            <v>45500</v>
          </cell>
        </row>
        <row r="463">
          <cell r="A463" t="str">
            <v>155-10-008</v>
          </cell>
          <cell r="B463" t="str">
            <v>ENTERTAINMENT &amp; DO</v>
          </cell>
          <cell r="C463">
            <v>3</v>
          </cell>
          <cell r="D463" t="str">
            <v>PREMIUM LIASON</v>
          </cell>
          <cell r="E463">
            <v>14583</v>
          </cell>
          <cell r="F463">
            <v>29166</v>
          </cell>
          <cell r="G463">
            <v>43749</v>
          </cell>
          <cell r="H463">
            <v>58332</v>
          </cell>
          <cell r="I463">
            <v>72915</v>
          </cell>
          <cell r="J463">
            <v>87498</v>
          </cell>
          <cell r="K463">
            <v>102081</v>
          </cell>
          <cell r="L463">
            <v>116664</v>
          </cell>
          <cell r="M463">
            <v>131247</v>
          </cell>
          <cell r="N463">
            <v>145830</v>
          </cell>
          <cell r="O463">
            <v>160413</v>
          </cell>
          <cell r="P463">
            <v>175000</v>
          </cell>
          <cell r="Q463">
            <v>175000</v>
          </cell>
        </row>
        <row r="464">
          <cell r="A464" t="str">
            <v>155-10-008</v>
          </cell>
          <cell r="B464" t="str">
            <v>ENTERTAINMENT &amp; DO</v>
          </cell>
          <cell r="C464">
            <v>4</v>
          </cell>
          <cell r="D464" t="str">
            <v>CUSTOMER SERVIC</v>
          </cell>
          <cell r="E464">
            <v>2916</v>
          </cell>
          <cell r="F464">
            <v>5832</v>
          </cell>
          <cell r="G464">
            <v>8748</v>
          </cell>
          <cell r="H464">
            <v>11664</v>
          </cell>
          <cell r="I464">
            <v>14580</v>
          </cell>
          <cell r="J464">
            <v>17496</v>
          </cell>
          <cell r="K464">
            <v>20412</v>
          </cell>
          <cell r="L464">
            <v>23328</v>
          </cell>
          <cell r="M464">
            <v>26244</v>
          </cell>
          <cell r="N464">
            <v>29160</v>
          </cell>
          <cell r="O464">
            <v>32076</v>
          </cell>
          <cell r="P464">
            <v>35000</v>
          </cell>
          <cell r="Q464">
            <v>35000</v>
          </cell>
        </row>
        <row r="465">
          <cell r="A465" t="str">
            <v>155-10-008</v>
          </cell>
          <cell r="B465" t="str">
            <v>ENTERTAINMENT &amp; DO</v>
          </cell>
          <cell r="C465">
            <v>5</v>
          </cell>
          <cell r="D465" t="str">
            <v>PREMIUM ADMISTR</v>
          </cell>
          <cell r="E465">
            <v>3020</v>
          </cell>
          <cell r="F465">
            <v>6040</v>
          </cell>
          <cell r="G465">
            <v>9060</v>
          </cell>
          <cell r="H465">
            <v>12080</v>
          </cell>
          <cell r="I465">
            <v>15100</v>
          </cell>
          <cell r="J465">
            <v>18120</v>
          </cell>
          <cell r="K465">
            <v>21140</v>
          </cell>
          <cell r="L465">
            <v>24160</v>
          </cell>
          <cell r="M465">
            <v>27180</v>
          </cell>
          <cell r="N465">
            <v>30200</v>
          </cell>
          <cell r="O465">
            <v>33220</v>
          </cell>
          <cell r="P465">
            <v>36250</v>
          </cell>
          <cell r="Q465">
            <v>36250</v>
          </cell>
        </row>
        <row r="466">
          <cell r="A466" t="str">
            <v>155-10-008</v>
          </cell>
          <cell r="B466" t="str">
            <v>ENTERTAINMENT &amp; DO</v>
          </cell>
          <cell r="C466">
            <v>6</v>
          </cell>
          <cell r="D466" t="str">
            <v>BENEFIT PAYMENT</v>
          </cell>
          <cell r="E466">
            <v>3020</v>
          </cell>
          <cell r="F466">
            <v>6040</v>
          </cell>
          <cell r="G466">
            <v>9060</v>
          </cell>
          <cell r="H466">
            <v>12080</v>
          </cell>
          <cell r="I466">
            <v>15100</v>
          </cell>
          <cell r="J466">
            <v>18120</v>
          </cell>
          <cell r="K466">
            <v>21140</v>
          </cell>
          <cell r="L466">
            <v>24160</v>
          </cell>
          <cell r="M466">
            <v>27180</v>
          </cell>
          <cell r="N466">
            <v>30200</v>
          </cell>
          <cell r="O466">
            <v>33220</v>
          </cell>
          <cell r="P466">
            <v>36250</v>
          </cell>
          <cell r="Q466">
            <v>36250</v>
          </cell>
        </row>
        <row r="467">
          <cell r="A467" t="str">
            <v>155-10-008</v>
          </cell>
          <cell r="B467" t="str">
            <v>ENTERTAINMENT &amp; DO</v>
          </cell>
          <cell r="C467">
            <v>7</v>
          </cell>
          <cell r="D467" t="str">
            <v>NEW BUSINESS</v>
          </cell>
          <cell r="E467">
            <v>2916</v>
          </cell>
          <cell r="F467">
            <v>5832</v>
          </cell>
          <cell r="G467">
            <v>8748</v>
          </cell>
          <cell r="H467">
            <v>11664</v>
          </cell>
          <cell r="I467">
            <v>14580</v>
          </cell>
          <cell r="J467">
            <v>17496</v>
          </cell>
          <cell r="K467">
            <v>20412</v>
          </cell>
          <cell r="L467">
            <v>23328</v>
          </cell>
          <cell r="M467">
            <v>26244</v>
          </cell>
          <cell r="N467">
            <v>29160</v>
          </cell>
          <cell r="O467">
            <v>32076</v>
          </cell>
          <cell r="P467">
            <v>35000</v>
          </cell>
          <cell r="Q467">
            <v>35000</v>
          </cell>
        </row>
        <row r="468">
          <cell r="A468" t="str">
            <v>155-10-008</v>
          </cell>
          <cell r="B468" t="str">
            <v>ENTERTAINMENT &amp; DO</v>
          </cell>
          <cell r="C468">
            <v>8</v>
          </cell>
          <cell r="D468" t="str">
            <v>FINANCE</v>
          </cell>
          <cell r="E468">
            <v>4125</v>
          </cell>
          <cell r="F468">
            <v>8250</v>
          </cell>
          <cell r="G468">
            <v>12375</v>
          </cell>
          <cell r="H468">
            <v>16500</v>
          </cell>
          <cell r="I468">
            <v>20625</v>
          </cell>
          <cell r="J468">
            <v>24750</v>
          </cell>
          <cell r="K468">
            <v>28875</v>
          </cell>
          <cell r="L468">
            <v>33000</v>
          </cell>
          <cell r="M468">
            <v>37125</v>
          </cell>
          <cell r="N468">
            <v>41250</v>
          </cell>
          <cell r="O468">
            <v>45375</v>
          </cell>
          <cell r="P468">
            <v>49500</v>
          </cell>
          <cell r="Q468">
            <v>49500</v>
          </cell>
        </row>
        <row r="469">
          <cell r="A469" t="str">
            <v>155-10-008</v>
          </cell>
          <cell r="B469" t="str">
            <v>ENTERTAINMENT &amp; DO</v>
          </cell>
          <cell r="C469">
            <v>9</v>
          </cell>
          <cell r="D469" t="str">
            <v>INFORMATION TEC</v>
          </cell>
          <cell r="E469">
            <v>1666</v>
          </cell>
          <cell r="F469">
            <v>3332</v>
          </cell>
          <cell r="G469">
            <v>4998</v>
          </cell>
          <cell r="H469">
            <v>6664</v>
          </cell>
          <cell r="I469">
            <v>8330</v>
          </cell>
          <cell r="J469">
            <v>9996</v>
          </cell>
          <cell r="K469">
            <v>11662</v>
          </cell>
          <cell r="L469">
            <v>13328</v>
          </cell>
          <cell r="M469">
            <v>14994</v>
          </cell>
          <cell r="N469">
            <v>16660</v>
          </cell>
          <cell r="O469">
            <v>18326</v>
          </cell>
          <cell r="P469">
            <v>20000</v>
          </cell>
          <cell r="Q469">
            <v>20000</v>
          </cell>
        </row>
        <row r="470">
          <cell r="A470" t="str">
            <v>155-10-008</v>
          </cell>
          <cell r="B470" t="str">
            <v>ENTERTAINMENT &amp; DO</v>
          </cell>
          <cell r="C470">
            <v>10</v>
          </cell>
          <cell r="D470" t="str">
            <v>HUMAN RESOURCES</v>
          </cell>
          <cell r="E470">
            <v>750</v>
          </cell>
          <cell r="F470">
            <v>1500</v>
          </cell>
          <cell r="G470">
            <v>2250</v>
          </cell>
          <cell r="H470">
            <v>3000</v>
          </cell>
          <cell r="I470">
            <v>3750</v>
          </cell>
          <cell r="J470">
            <v>4500</v>
          </cell>
          <cell r="K470">
            <v>5250</v>
          </cell>
          <cell r="L470">
            <v>6000</v>
          </cell>
          <cell r="M470">
            <v>6750</v>
          </cell>
          <cell r="N470">
            <v>7500</v>
          </cell>
          <cell r="O470">
            <v>8250</v>
          </cell>
          <cell r="P470">
            <v>9000</v>
          </cell>
          <cell r="Q470">
            <v>9000</v>
          </cell>
        </row>
        <row r="471">
          <cell r="A471" t="str">
            <v>155-10-009</v>
          </cell>
          <cell r="B471" t="str">
            <v>COURIER &amp; FREIGHT</v>
          </cell>
          <cell r="C471">
            <v>2</v>
          </cell>
          <cell r="D471" t="str">
            <v>OPERATIONS</v>
          </cell>
          <cell r="E471">
            <v>16333</v>
          </cell>
          <cell r="F471">
            <v>32666</v>
          </cell>
          <cell r="G471">
            <v>48999</v>
          </cell>
          <cell r="H471">
            <v>65332</v>
          </cell>
          <cell r="I471">
            <v>81665</v>
          </cell>
          <cell r="J471">
            <v>97998</v>
          </cell>
          <cell r="K471">
            <v>114331</v>
          </cell>
          <cell r="L471">
            <v>130664</v>
          </cell>
          <cell r="M471">
            <v>146997</v>
          </cell>
          <cell r="N471">
            <v>163330</v>
          </cell>
          <cell r="O471">
            <v>179663</v>
          </cell>
          <cell r="P471">
            <v>196000</v>
          </cell>
          <cell r="Q471">
            <v>196000</v>
          </cell>
        </row>
        <row r="472">
          <cell r="A472" t="str">
            <v>155-10-010</v>
          </cell>
          <cell r="B472" t="str">
            <v>ADVERTISING &amp; PUBL</v>
          </cell>
          <cell r="C472">
            <v>1</v>
          </cell>
          <cell r="D472" t="str">
            <v>EXECUTIVE</v>
          </cell>
          <cell r="E472">
            <v>25000</v>
          </cell>
          <cell r="F472">
            <v>50000</v>
          </cell>
          <cell r="G472">
            <v>75000</v>
          </cell>
          <cell r="H472">
            <v>100000</v>
          </cell>
          <cell r="I472">
            <v>125000</v>
          </cell>
          <cell r="J472">
            <v>150000</v>
          </cell>
          <cell r="K472">
            <v>175000</v>
          </cell>
          <cell r="L472">
            <v>200000</v>
          </cell>
          <cell r="M472">
            <v>225000</v>
          </cell>
          <cell r="N472">
            <v>250000</v>
          </cell>
          <cell r="O472">
            <v>275000</v>
          </cell>
          <cell r="P472">
            <v>300000</v>
          </cell>
          <cell r="Q472">
            <v>300000</v>
          </cell>
        </row>
        <row r="473">
          <cell r="A473" t="str">
            <v>155-10-010</v>
          </cell>
          <cell r="B473" t="str">
            <v>ADVERTISING &amp; PUBL</v>
          </cell>
          <cell r="C473">
            <v>4</v>
          </cell>
          <cell r="D473" t="str">
            <v>CUSTOMER SERVIC</v>
          </cell>
          <cell r="E473">
            <v>4166</v>
          </cell>
          <cell r="F473">
            <v>8332</v>
          </cell>
          <cell r="G473">
            <v>12498</v>
          </cell>
          <cell r="H473">
            <v>16664</v>
          </cell>
          <cell r="I473">
            <v>20830</v>
          </cell>
          <cell r="J473">
            <v>24996</v>
          </cell>
          <cell r="K473">
            <v>29162</v>
          </cell>
          <cell r="L473">
            <v>33328</v>
          </cell>
          <cell r="M473">
            <v>37494</v>
          </cell>
          <cell r="N473">
            <v>41660</v>
          </cell>
          <cell r="O473">
            <v>45826</v>
          </cell>
          <cell r="P473">
            <v>50000</v>
          </cell>
          <cell r="Q473">
            <v>50000</v>
          </cell>
        </row>
        <row r="474">
          <cell r="A474" t="str">
            <v>155-10-013</v>
          </cell>
          <cell r="B474" t="str">
            <v>INSURANCES</v>
          </cell>
          <cell r="C474">
            <v>8</v>
          </cell>
          <cell r="D474" t="str">
            <v>FINANCE</v>
          </cell>
          <cell r="E474">
            <v>0</v>
          </cell>
          <cell r="F474">
            <v>0</v>
          </cell>
          <cell r="G474">
            <v>0</v>
          </cell>
          <cell r="H474">
            <v>0</v>
          </cell>
          <cell r="I474">
            <v>1100000</v>
          </cell>
          <cell r="J474">
            <v>1100000</v>
          </cell>
          <cell r="K474">
            <v>1100000</v>
          </cell>
          <cell r="L474">
            <v>1100000</v>
          </cell>
          <cell r="M474">
            <v>1100000</v>
          </cell>
          <cell r="N474">
            <v>1100000</v>
          </cell>
          <cell r="O474">
            <v>1100000</v>
          </cell>
          <cell r="P474">
            <v>1100000</v>
          </cell>
          <cell r="Q474">
            <v>1100000</v>
          </cell>
        </row>
        <row r="475">
          <cell r="A475" t="str">
            <v>155-10-014</v>
          </cell>
          <cell r="B475" t="str">
            <v>PHOTOCOPY</v>
          </cell>
          <cell r="C475">
            <v>1</v>
          </cell>
          <cell r="D475" t="str">
            <v>EXECUTIVE</v>
          </cell>
          <cell r="E475">
            <v>3750</v>
          </cell>
          <cell r="F475">
            <v>7500</v>
          </cell>
          <cell r="G475">
            <v>11250</v>
          </cell>
          <cell r="H475">
            <v>15000</v>
          </cell>
          <cell r="I475">
            <v>18750</v>
          </cell>
          <cell r="J475">
            <v>22500</v>
          </cell>
          <cell r="K475">
            <v>26250</v>
          </cell>
          <cell r="L475">
            <v>30000</v>
          </cell>
          <cell r="M475">
            <v>33750</v>
          </cell>
          <cell r="N475">
            <v>37500</v>
          </cell>
          <cell r="O475">
            <v>41250</v>
          </cell>
          <cell r="P475">
            <v>45000</v>
          </cell>
          <cell r="Q475">
            <v>45000</v>
          </cell>
        </row>
        <row r="476">
          <cell r="A476" t="str">
            <v>155-10-014</v>
          </cell>
          <cell r="B476" t="str">
            <v>PHOTOCOPY</v>
          </cell>
          <cell r="C476">
            <v>2</v>
          </cell>
          <cell r="D476" t="str">
            <v>OPERATIONS</v>
          </cell>
          <cell r="E476">
            <v>2360</v>
          </cell>
          <cell r="F476">
            <v>4720</v>
          </cell>
          <cell r="G476">
            <v>7080</v>
          </cell>
          <cell r="H476">
            <v>9440</v>
          </cell>
          <cell r="I476">
            <v>11800</v>
          </cell>
          <cell r="J476">
            <v>14160</v>
          </cell>
          <cell r="K476">
            <v>16520</v>
          </cell>
          <cell r="L476">
            <v>18880</v>
          </cell>
          <cell r="M476">
            <v>21240</v>
          </cell>
          <cell r="N476">
            <v>23600</v>
          </cell>
          <cell r="O476">
            <v>25960</v>
          </cell>
          <cell r="P476">
            <v>28320</v>
          </cell>
          <cell r="Q476">
            <v>28320</v>
          </cell>
        </row>
        <row r="477">
          <cell r="A477" t="str">
            <v>155-10-014</v>
          </cell>
          <cell r="B477" t="str">
            <v>PHOTOCOPY</v>
          </cell>
          <cell r="C477">
            <v>3</v>
          </cell>
          <cell r="D477" t="str">
            <v>PREMIUM LIASON</v>
          </cell>
          <cell r="E477">
            <v>1000</v>
          </cell>
          <cell r="F477">
            <v>2000</v>
          </cell>
          <cell r="G477">
            <v>3000</v>
          </cell>
          <cell r="H477">
            <v>4000</v>
          </cell>
          <cell r="I477">
            <v>5000</v>
          </cell>
          <cell r="J477">
            <v>6000</v>
          </cell>
          <cell r="K477">
            <v>7000</v>
          </cell>
          <cell r="L477">
            <v>8000</v>
          </cell>
          <cell r="M477">
            <v>9000</v>
          </cell>
          <cell r="N477">
            <v>10000</v>
          </cell>
          <cell r="O477">
            <v>11000</v>
          </cell>
          <cell r="P477">
            <v>12000</v>
          </cell>
          <cell r="Q477">
            <v>12000</v>
          </cell>
        </row>
        <row r="478">
          <cell r="A478" t="str">
            <v>155-10-014</v>
          </cell>
          <cell r="B478" t="str">
            <v>PHOTOCOPY</v>
          </cell>
          <cell r="C478">
            <v>4</v>
          </cell>
          <cell r="D478" t="str">
            <v>CUSTOMER SERVIC</v>
          </cell>
          <cell r="E478">
            <v>625</v>
          </cell>
          <cell r="F478">
            <v>1250</v>
          </cell>
          <cell r="G478">
            <v>1875</v>
          </cell>
          <cell r="H478">
            <v>2500</v>
          </cell>
          <cell r="I478">
            <v>3125</v>
          </cell>
          <cell r="J478">
            <v>3750</v>
          </cell>
          <cell r="K478">
            <v>4375</v>
          </cell>
          <cell r="L478">
            <v>5000</v>
          </cell>
          <cell r="M478">
            <v>5625</v>
          </cell>
          <cell r="N478">
            <v>6250</v>
          </cell>
          <cell r="O478">
            <v>6875</v>
          </cell>
          <cell r="P478">
            <v>7500</v>
          </cell>
          <cell r="Q478">
            <v>7500</v>
          </cell>
        </row>
        <row r="479">
          <cell r="A479" t="str">
            <v>155-10-014</v>
          </cell>
          <cell r="B479" t="str">
            <v>PHOTOCOPY</v>
          </cell>
          <cell r="C479">
            <v>5</v>
          </cell>
          <cell r="D479" t="str">
            <v>PREMIUM ADMINST</v>
          </cell>
          <cell r="E479">
            <v>2083</v>
          </cell>
          <cell r="F479">
            <v>4166</v>
          </cell>
          <cell r="G479">
            <v>6249</v>
          </cell>
          <cell r="H479">
            <v>8332</v>
          </cell>
          <cell r="I479">
            <v>10415</v>
          </cell>
          <cell r="J479">
            <v>12498</v>
          </cell>
          <cell r="K479">
            <v>14581</v>
          </cell>
          <cell r="L479">
            <v>16664</v>
          </cell>
          <cell r="M479">
            <v>18747</v>
          </cell>
          <cell r="N479">
            <v>20830</v>
          </cell>
          <cell r="O479">
            <v>22913</v>
          </cell>
          <cell r="P479">
            <v>25000</v>
          </cell>
          <cell r="Q479">
            <v>25000</v>
          </cell>
        </row>
        <row r="480">
          <cell r="A480" t="str">
            <v>155-10-014</v>
          </cell>
          <cell r="B480" t="str">
            <v>PHOTOCOPY</v>
          </cell>
          <cell r="C480">
            <v>6</v>
          </cell>
          <cell r="D480" t="str">
            <v>BENEFITS PAYMEN</v>
          </cell>
          <cell r="E480">
            <v>1250</v>
          </cell>
          <cell r="F480">
            <v>2500</v>
          </cell>
          <cell r="G480">
            <v>3750</v>
          </cell>
          <cell r="H480">
            <v>5000</v>
          </cell>
          <cell r="I480">
            <v>6250</v>
          </cell>
          <cell r="J480">
            <v>7500</v>
          </cell>
          <cell r="K480">
            <v>8750</v>
          </cell>
          <cell r="L480">
            <v>10000</v>
          </cell>
          <cell r="M480">
            <v>11250</v>
          </cell>
          <cell r="N480">
            <v>12500</v>
          </cell>
          <cell r="O480">
            <v>13750</v>
          </cell>
          <cell r="P480">
            <v>15000</v>
          </cell>
          <cell r="Q480">
            <v>15000</v>
          </cell>
        </row>
        <row r="481">
          <cell r="A481" t="str">
            <v>155-10-014</v>
          </cell>
          <cell r="B481" t="str">
            <v>PHOTOCOPY</v>
          </cell>
          <cell r="C481">
            <v>7</v>
          </cell>
          <cell r="D481" t="str">
            <v>NEW BUSINESS</v>
          </cell>
          <cell r="E481">
            <v>164</v>
          </cell>
          <cell r="F481">
            <v>328</v>
          </cell>
          <cell r="G481">
            <v>492</v>
          </cell>
          <cell r="H481">
            <v>656</v>
          </cell>
          <cell r="I481">
            <v>820</v>
          </cell>
          <cell r="J481">
            <v>984</v>
          </cell>
          <cell r="K481">
            <v>1148</v>
          </cell>
          <cell r="L481">
            <v>1312</v>
          </cell>
          <cell r="M481">
            <v>1476</v>
          </cell>
          <cell r="N481">
            <v>1640</v>
          </cell>
          <cell r="O481">
            <v>1804</v>
          </cell>
          <cell r="P481">
            <v>1968</v>
          </cell>
          <cell r="Q481">
            <v>1968</v>
          </cell>
        </row>
        <row r="482">
          <cell r="A482" t="str">
            <v>155-10-014</v>
          </cell>
          <cell r="B482" t="str">
            <v>PHOTOCOPY</v>
          </cell>
          <cell r="C482">
            <v>8</v>
          </cell>
          <cell r="D482" t="str">
            <v>FINANCE</v>
          </cell>
          <cell r="E482">
            <v>2350</v>
          </cell>
          <cell r="F482">
            <v>4700</v>
          </cell>
          <cell r="G482">
            <v>7050</v>
          </cell>
          <cell r="H482">
            <v>9400</v>
          </cell>
          <cell r="I482">
            <v>11750</v>
          </cell>
          <cell r="J482">
            <v>14100</v>
          </cell>
          <cell r="K482">
            <v>16450</v>
          </cell>
          <cell r="L482">
            <v>18800</v>
          </cell>
          <cell r="M482">
            <v>21150</v>
          </cell>
          <cell r="N482">
            <v>23500</v>
          </cell>
          <cell r="O482">
            <v>25850</v>
          </cell>
          <cell r="P482">
            <v>28200</v>
          </cell>
          <cell r="Q482">
            <v>28200</v>
          </cell>
        </row>
        <row r="483">
          <cell r="A483" t="str">
            <v>155-10-014</v>
          </cell>
          <cell r="B483" t="str">
            <v>PHOTOCOPY</v>
          </cell>
          <cell r="C483">
            <v>9</v>
          </cell>
          <cell r="D483" t="str">
            <v>INFORMATION TEC</v>
          </cell>
          <cell r="E483">
            <v>200</v>
          </cell>
          <cell r="F483">
            <v>400</v>
          </cell>
          <cell r="G483">
            <v>600</v>
          </cell>
          <cell r="H483">
            <v>800</v>
          </cell>
          <cell r="I483">
            <v>1000</v>
          </cell>
          <cell r="J483">
            <v>1200</v>
          </cell>
          <cell r="K483">
            <v>1400</v>
          </cell>
          <cell r="L483">
            <v>1600</v>
          </cell>
          <cell r="M483">
            <v>1800</v>
          </cell>
          <cell r="N483">
            <v>2000</v>
          </cell>
          <cell r="O483">
            <v>2200</v>
          </cell>
          <cell r="P483">
            <v>2400</v>
          </cell>
          <cell r="Q483">
            <v>2400</v>
          </cell>
        </row>
        <row r="484">
          <cell r="A484" t="str">
            <v>155-10-014</v>
          </cell>
          <cell r="B484" t="str">
            <v>PHOTOCOPY</v>
          </cell>
          <cell r="C484">
            <v>10</v>
          </cell>
          <cell r="D484" t="str">
            <v>HUMAN RESOURCES</v>
          </cell>
          <cell r="E484">
            <v>800</v>
          </cell>
          <cell r="F484">
            <v>1600</v>
          </cell>
          <cell r="G484">
            <v>2400</v>
          </cell>
          <cell r="H484">
            <v>3200</v>
          </cell>
          <cell r="I484">
            <v>4000</v>
          </cell>
          <cell r="J484">
            <v>4800</v>
          </cell>
          <cell r="K484">
            <v>5600</v>
          </cell>
          <cell r="L484">
            <v>6400</v>
          </cell>
          <cell r="M484">
            <v>7200</v>
          </cell>
          <cell r="N484">
            <v>8000</v>
          </cell>
          <cell r="O484">
            <v>8800</v>
          </cell>
          <cell r="P484">
            <v>9600</v>
          </cell>
          <cell r="Q484">
            <v>9600</v>
          </cell>
        </row>
        <row r="485">
          <cell r="A485" t="str">
            <v>155-10-015</v>
          </cell>
          <cell r="B485" t="str">
            <v>COMPUTER MAINTENAN</v>
          </cell>
          <cell r="C485">
            <v>9</v>
          </cell>
          <cell r="D485" t="str">
            <v>INFORMATION TEC</v>
          </cell>
          <cell r="E485">
            <v>33333</v>
          </cell>
          <cell r="F485">
            <v>66666</v>
          </cell>
          <cell r="G485">
            <v>99999</v>
          </cell>
          <cell r="H485">
            <v>133332</v>
          </cell>
          <cell r="I485">
            <v>166665</v>
          </cell>
          <cell r="J485">
            <v>199998</v>
          </cell>
          <cell r="K485">
            <v>233331</v>
          </cell>
          <cell r="L485">
            <v>266664</v>
          </cell>
          <cell r="M485">
            <v>299997</v>
          </cell>
          <cell r="N485">
            <v>333330</v>
          </cell>
          <cell r="O485">
            <v>366663</v>
          </cell>
          <cell r="P485">
            <v>400000</v>
          </cell>
          <cell r="Q485">
            <v>400000</v>
          </cell>
        </row>
        <row r="486">
          <cell r="A486" t="str">
            <v>155-10-016</v>
          </cell>
          <cell r="B486" t="str">
            <v>EQUIPMENT MAINTENA</v>
          </cell>
          <cell r="C486">
            <v>1</v>
          </cell>
          <cell r="D486" t="str">
            <v>EXECUTIVE</v>
          </cell>
          <cell r="E486">
            <v>7916</v>
          </cell>
          <cell r="F486">
            <v>15832</v>
          </cell>
          <cell r="G486">
            <v>23748</v>
          </cell>
          <cell r="H486">
            <v>31664</v>
          </cell>
          <cell r="I486">
            <v>39580</v>
          </cell>
          <cell r="J486">
            <v>47496</v>
          </cell>
          <cell r="K486">
            <v>55412</v>
          </cell>
          <cell r="L486">
            <v>63328</v>
          </cell>
          <cell r="M486">
            <v>71244</v>
          </cell>
          <cell r="N486">
            <v>79160</v>
          </cell>
          <cell r="O486">
            <v>87076</v>
          </cell>
          <cell r="P486">
            <v>95000</v>
          </cell>
          <cell r="Q486">
            <v>95000</v>
          </cell>
        </row>
        <row r="487">
          <cell r="A487" t="str">
            <v>155-10-016</v>
          </cell>
          <cell r="B487" t="str">
            <v>EQUIPMENT MAINTENA</v>
          </cell>
          <cell r="C487">
            <v>2</v>
          </cell>
          <cell r="D487" t="str">
            <v>OPERATIONS</v>
          </cell>
          <cell r="E487">
            <v>625</v>
          </cell>
          <cell r="F487">
            <v>1250</v>
          </cell>
          <cell r="G487">
            <v>1875</v>
          </cell>
          <cell r="H487">
            <v>2500</v>
          </cell>
          <cell r="I487">
            <v>3125</v>
          </cell>
          <cell r="J487">
            <v>3750</v>
          </cell>
          <cell r="K487">
            <v>4375</v>
          </cell>
          <cell r="L487">
            <v>5000</v>
          </cell>
          <cell r="M487">
            <v>5625</v>
          </cell>
          <cell r="N487">
            <v>6250</v>
          </cell>
          <cell r="O487">
            <v>6875</v>
          </cell>
          <cell r="P487">
            <v>7500</v>
          </cell>
          <cell r="Q487">
            <v>7500</v>
          </cell>
        </row>
        <row r="488">
          <cell r="A488" t="str">
            <v>155-10-016</v>
          </cell>
          <cell r="B488" t="str">
            <v>EQUIPMENT MAINTENA</v>
          </cell>
          <cell r="C488">
            <v>3</v>
          </cell>
          <cell r="D488" t="str">
            <v>PREMIUM LIASON</v>
          </cell>
          <cell r="E488">
            <v>416</v>
          </cell>
          <cell r="F488">
            <v>832</v>
          </cell>
          <cell r="G488">
            <v>1248</v>
          </cell>
          <cell r="H488">
            <v>1664</v>
          </cell>
          <cell r="I488">
            <v>2080</v>
          </cell>
          <cell r="J488">
            <v>2496</v>
          </cell>
          <cell r="K488">
            <v>2912</v>
          </cell>
          <cell r="L488">
            <v>3328</v>
          </cell>
          <cell r="M488">
            <v>3744</v>
          </cell>
          <cell r="N488">
            <v>4160</v>
          </cell>
          <cell r="O488">
            <v>4576</v>
          </cell>
          <cell r="P488">
            <v>5000</v>
          </cell>
          <cell r="Q488">
            <v>5000</v>
          </cell>
        </row>
        <row r="489">
          <cell r="A489" t="str">
            <v>155-10-016</v>
          </cell>
          <cell r="B489" t="str">
            <v>EQUIPMENT MAINTENA</v>
          </cell>
          <cell r="C489">
            <v>4</v>
          </cell>
          <cell r="D489" t="str">
            <v>CUSTOMER SERVIC</v>
          </cell>
          <cell r="E489">
            <v>625</v>
          </cell>
          <cell r="F489">
            <v>1250</v>
          </cell>
          <cell r="G489">
            <v>1875</v>
          </cell>
          <cell r="H489">
            <v>2500</v>
          </cell>
          <cell r="I489">
            <v>3125</v>
          </cell>
          <cell r="J489">
            <v>3750</v>
          </cell>
          <cell r="K489">
            <v>4375</v>
          </cell>
          <cell r="L489">
            <v>5000</v>
          </cell>
          <cell r="M489">
            <v>5625</v>
          </cell>
          <cell r="N489">
            <v>6250</v>
          </cell>
          <cell r="O489">
            <v>6875</v>
          </cell>
          <cell r="P489">
            <v>7500</v>
          </cell>
          <cell r="Q489">
            <v>7500</v>
          </cell>
        </row>
        <row r="490">
          <cell r="A490" t="str">
            <v>155-10-016</v>
          </cell>
          <cell r="B490" t="str">
            <v>EQUIPMENT MAINTENA</v>
          </cell>
          <cell r="C490">
            <v>5</v>
          </cell>
          <cell r="D490" t="str">
            <v>PREMIUM ADMINST</v>
          </cell>
          <cell r="E490">
            <v>625</v>
          </cell>
          <cell r="F490">
            <v>1250</v>
          </cell>
          <cell r="G490">
            <v>1875</v>
          </cell>
          <cell r="H490">
            <v>2500</v>
          </cell>
          <cell r="I490">
            <v>3125</v>
          </cell>
          <cell r="J490">
            <v>3750</v>
          </cell>
          <cell r="K490">
            <v>4375</v>
          </cell>
          <cell r="L490">
            <v>5000</v>
          </cell>
          <cell r="M490">
            <v>5625</v>
          </cell>
          <cell r="N490">
            <v>6250</v>
          </cell>
          <cell r="O490">
            <v>6875</v>
          </cell>
          <cell r="P490">
            <v>7500</v>
          </cell>
          <cell r="Q490">
            <v>7500</v>
          </cell>
        </row>
        <row r="491">
          <cell r="A491" t="str">
            <v>155-10-016</v>
          </cell>
          <cell r="B491" t="str">
            <v>EQUIPMENT MAINTENA</v>
          </cell>
          <cell r="C491">
            <v>6</v>
          </cell>
          <cell r="D491" t="str">
            <v>BENEFITS PAYMEN</v>
          </cell>
          <cell r="E491">
            <v>375</v>
          </cell>
          <cell r="F491">
            <v>750</v>
          </cell>
          <cell r="G491">
            <v>1125</v>
          </cell>
          <cell r="H491">
            <v>1500</v>
          </cell>
          <cell r="I491">
            <v>1875</v>
          </cell>
          <cell r="J491">
            <v>2250</v>
          </cell>
          <cell r="K491">
            <v>2625</v>
          </cell>
          <cell r="L491">
            <v>3000</v>
          </cell>
          <cell r="M491">
            <v>3375</v>
          </cell>
          <cell r="N491">
            <v>3750</v>
          </cell>
          <cell r="O491">
            <v>4125</v>
          </cell>
          <cell r="P491">
            <v>4500</v>
          </cell>
          <cell r="Q491">
            <v>4500</v>
          </cell>
        </row>
        <row r="492">
          <cell r="A492" t="str">
            <v>155-10-016</v>
          </cell>
          <cell r="B492" t="str">
            <v>EQUIPMENT MAINTENA</v>
          </cell>
          <cell r="C492">
            <v>7</v>
          </cell>
          <cell r="D492" t="str">
            <v>NEW BUSINESS</v>
          </cell>
          <cell r="E492">
            <v>625</v>
          </cell>
          <cell r="F492">
            <v>1250</v>
          </cell>
          <cell r="G492">
            <v>1875</v>
          </cell>
          <cell r="H492">
            <v>2500</v>
          </cell>
          <cell r="I492">
            <v>3125</v>
          </cell>
          <cell r="J492">
            <v>3750</v>
          </cell>
          <cell r="K492">
            <v>4375</v>
          </cell>
          <cell r="L492">
            <v>5000</v>
          </cell>
          <cell r="M492">
            <v>5625</v>
          </cell>
          <cell r="N492">
            <v>6250</v>
          </cell>
          <cell r="O492">
            <v>6875</v>
          </cell>
          <cell r="P492">
            <v>7500</v>
          </cell>
          <cell r="Q492">
            <v>7500</v>
          </cell>
        </row>
        <row r="493">
          <cell r="A493" t="str">
            <v>155-10-016</v>
          </cell>
          <cell r="B493" t="str">
            <v>EQUIPMENT MAINTENA</v>
          </cell>
          <cell r="C493">
            <v>8</v>
          </cell>
          <cell r="D493" t="str">
            <v>FINANCE</v>
          </cell>
          <cell r="E493">
            <v>625</v>
          </cell>
          <cell r="F493">
            <v>1250</v>
          </cell>
          <cell r="G493">
            <v>1875</v>
          </cell>
          <cell r="H493">
            <v>2500</v>
          </cell>
          <cell r="I493">
            <v>3125</v>
          </cell>
          <cell r="J493">
            <v>3750</v>
          </cell>
          <cell r="K493">
            <v>4375</v>
          </cell>
          <cell r="L493">
            <v>5000</v>
          </cell>
          <cell r="M493">
            <v>5625</v>
          </cell>
          <cell r="N493">
            <v>6250</v>
          </cell>
          <cell r="O493">
            <v>6875</v>
          </cell>
          <cell r="P493">
            <v>7500</v>
          </cell>
          <cell r="Q493">
            <v>7500</v>
          </cell>
        </row>
        <row r="494">
          <cell r="A494" t="str">
            <v>155-10-016</v>
          </cell>
          <cell r="B494" t="str">
            <v>EQUIPMENT MAINTENA</v>
          </cell>
          <cell r="C494">
            <v>9</v>
          </cell>
          <cell r="D494" t="str">
            <v>INFORMATION TEC</v>
          </cell>
          <cell r="E494">
            <v>1250</v>
          </cell>
          <cell r="F494">
            <v>2500</v>
          </cell>
          <cell r="G494">
            <v>3750</v>
          </cell>
          <cell r="H494">
            <v>5000</v>
          </cell>
          <cell r="I494">
            <v>6250</v>
          </cell>
          <cell r="J494">
            <v>7500</v>
          </cell>
          <cell r="K494">
            <v>8750</v>
          </cell>
          <cell r="L494">
            <v>10000</v>
          </cell>
          <cell r="M494">
            <v>11250</v>
          </cell>
          <cell r="N494">
            <v>12500</v>
          </cell>
          <cell r="O494">
            <v>13750</v>
          </cell>
          <cell r="P494">
            <v>15000</v>
          </cell>
          <cell r="Q494">
            <v>15000</v>
          </cell>
        </row>
        <row r="495">
          <cell r="A495" t="str">
            <v>155-10-016</v>
          </cell>
          <cell r="B495" t="str">
            <v>EQUIPMENT MAINTENA</v>
          </cell>
          <cell r="C495">
            <v>10</v>
          </cell>
          <cell r="D495" t="str">
            <v>HUMAN RESOURCES</v>
          </cell>
          <cell r="E495">
            <v>625</v>
          </cell>
          <cell r="F495">
            <v>1250</v>
          </cell>
          <cell r="G495">
            <v>1875</v>
          </cell>
          <cell r="H495">
            <v>2500</v>
          </cell>
          <cell r="I495">
            <v>3125</v>
          </cell>
          <cell r="J495">
            <v>3750</v>
          </cell>
          <cell r="K495">
            <v>4375</v>
          </cell>
          <cell r="L495">
            <v>5000</v>
          </cell>
          <cell r="M495">
            <v>5625</v>
          </cell>
          <cell r="N495">
            <v>6250</v>
          </cell>
          <cell r="O495">
            <v>6875</v>
          </cell>
          <cell r="P495">
            <v>7500</v>
          </cell>
          <cell r="Q495">
            <v>7500</v>
          </cell>
        </row>
        <row r="496">
          <cell r="A496" t="str">
            <v>155-10-017</v>
          </cell>
          <cell r="B496" t="str">
            <v>SEMINARS &amp; SHORT T</v>
          </cell>
          <cell r="C496">
            <v>1</v>
          </cell>
          <cell r="D496" t="str">
            <v>EXECUTIVE</v>
          </cell>
          <cell r="E496">
            <v>3750</v>
          </cell>
          <cell r="F496">
            <v>7500</v>
          </cell>
          <cell r="G496">
            <v>11250</v>
          </cell>
          <cell r="H496">
            <v>15000</v>
          </cell>
          <cell r="I496">
            <v>18750</v>
          </cell>
          <cell r="J496">
            <v>22500</v>
          </cell>
          <cell r="K496">
            <v>26250</v>
          </cell>
          <cell r="L496">
            <v>30000</v>
          </cell>
          <cell r="M496">
            <v>33750</v>
          </cell>
          <cell r="N496">
            <v>37500</v>
          </cell>
          <cell r="O496">
            <v>41250</v>
          </cell>
          <cell r="P496">
            <v>45000</v>
          </cell>
          <cell r="Q496">
            <v>45000</v>
          </cell>
        </row>
        <row r="497">
          <cell r="A497" t="str">
            <v>155-10-017</v>
          </cell>
          <cell r="B497" t="str">
            <v>SEMINARS &amp; SHORT T</v>
          </cell>
          <cell r="C497">
            <v>2</v>
          </cell>
          <cell r="D497" t="str">
            <v>OPERATIONS</v>
          </cell>
          <cell r="E497">
            <v>1666</v>
          </cell>
          <cell r="F497">
            <v>3332</v>
          </cell>
          <cell r="G497">
            <v>4998</v>
          </cell>
          <cell r="H497">
            <v>6664</v>
          </cell>
          <cell r="I497">
            <v>8330</v>
          </cell>
          <cell r="J497">
            <v>9996</v>
          </cell>
          <cell r="K497">
            <v>11662</v>
          </cell>
          <cell r="L497">
            <v>13328</v>
          </cell>
          <cell r="M497">
            <v>14994</v>
          </cell>
          <cell r="N497">
            <v>16660</v>
          </cell>
          <cell r="O497">
            <v>18326</v>
          </cell>
          <cell r="P497">
            <v>20000</v>
          </cell>
          <cell r="Q497">
            <v>20000</v>
          </cell>
        </row>
        <row r="498">
          <cell r="A498" t="str">
            <v>155-10-017</v>
          </cell>
          <cell r="B498" t="str">
            <v>SEMINARS &amp; SHORT T</v>
          </cell>
          <cell r="C498">
            <v>3</v>
          </cell>
          <cell r="D498" t="str">
            <v>PREMIUM LIASON</v>
          </cell>
          <cell r="E498">
            <v>2500</v>
          </cell>
          <cell r="F498">
            <v>5000</v>
          </cell>
          <cell r="G498">
            <v>7500</v>
          </cell>
          <cell r="H498">
            <v>10000</v>
          </cell>
          <cell r="I498">
            <v>12500</v>
          </cell>
          <cell r="J498">
            <v>15000</v>
          </cell>
          <cell r="K498">
            <v>17500</v>
          </cell>
          <cell r="L498">
            <v>20000</v>
          </cell>
          <cell r="M498">
            <v>22500</v>
          </cell>
          <cell r="N498">
            <v>25000</v>
          </cell>
          <cell r="O498">
            <v>27500</v>
          </cell>
          <cell r="P498">
            <v>30000</v>
          </cell>
          <cell r="Q498">
            <v>30000</v>
          </cell>
        </row>
        <row r="499">
          <cell r="A499" t="str">
            <v>155-10-017</v>
          </cell>
          <cell r="B499" t="str">
            <v>SEMINARS &amp; SHORT T</v>
          </cell>
          <cell r="C499">
            <v>6</v>
          </cell>
          <cell r="D499" t="str">
            <v>BENEFITS PAYMEN</v>
          </cell>
          <cell r="E499">
            <v>2500</v>
          </cell>
          <cell r="F499">
            <v>5000</v>
          </cell>
          <cell r="G499">
            <v>7500</v>
          </cell>
          <cell r="H499">
            <v>10000</v>
          </cell>
          <cell r="I499">
            <v>12500</v>
          </cell>
          <cell r="J499">
            <v>15000</v>
          </cell>
          <cell r="K499">
            <v>17500</v>
          </cell>
          <cell r="L499">
            <v>20000</v>
          </cell>
          <cell r="M499">
            <v>22500</v>
          </cell>
          <cell r="N499">
            <v>25000</v>
          </cell>
          <cell r="O499">
            <v>27500</v>
          </cell>
          <cell r="P499">
            <v>30000</v>
          </cell>
          <cell r="Q499">
            <v>30000</v>
          </cell>
        </row>
        <row r="500">
          <cell r="A500" t="str">
            <v>155-10-017</v>
          </cell>
          <cell r="B500" t="str">
            <v>SEMINARS &amp; SHORT T</v>
          </cell>
          <cell r="C500">
            <v>7</v>
          </cell>
          <cell r="D500" t="str">
            <v>NEW BUSINESS</v>
          </cell>
          <cell r="E500">
            <v>1666</v>
          </cell>
          <cell r="F500">
            <v>3332</v>
          </cell>
          <cell r="G500">
            <v>4998</v>
          </cell>
          <cell r="H500">
            <v>6664</v>
          </cell>
          <cell r="I500">
            <v>8330</v>
          </cell>
          <cell r="J500">
            <v>9996</v>
          </cell>
          <cell r="K500">
            <v>11662</v>
          </cell>
          <cell r="L500">
            <v>13328</v>
          </cell>
          <cell r="M500">
            <v>14994</v>
          </cell>
          <cell r="N500">
            <v>16660</v>
          </cell>
          <cell r="O500">
            <v>18326</v>
          </cell>
          <cell r="P500">
            <v>20000</v>
          </cell>
          <cell r="Q500">
            <v>20000</v>
          </cell>
        </row>
        <row r="501">
          <cell r="A501" t="str">
            <v>155-10-017</v>
          </cell>
          <cell r="B501" t="str">
            <v>SEMINARS &amp; SHORT T</v>
          </cell>
          <cell r="C501">
            <v>8</v>
          </cell>
          <cell r="D501" t="str">
            <v>FINANCE</v>
          </cell>
          <cell r="E501">
            <v>7500</v>
          </cell>
          <cell r="F501">
            <v>15000</v>
          </cell>
          <cell r="G501">
            <v>22500</v>
          </cell>
          <cell r="H501">
            <v>30000</v>
          </cell>
          <cell r="I501">
            <v>37500</v>
          </cell>
          <cell r="J501">
            <v>45000</v>
          </cell>
          <cell r="K501">
            <v>52500</v>
          </cell>
          <cell r="L501">
            <v>60000</v>
          </cell>
          <cell r="M501">
            <v>67500</v>
          </cell>
          <cell r="N501">
            <v>75000</v>
          </cell>
          <cell r="O501">
            <v>82500</v>
          </cell>
          <cell r="P501">
            <v>90000</v>
          </cell>
          <cell r="Q501">
            <v>90000</v>
          </cell>
        </row>
        <row r="502">
          <cell r="A502" t="str">
            <v>155-10-017</v>
          </cell>
          <cell r="B502" t="str">
            <v>SEMINARS &amp; SHORT T</v>
          </cell>
          <cell r="C502">
            <v>9</v>
          </cell>
          <cell r="D502" t="str">
            <v>INFORMATION TEC</v>
          </cell>
          <cell r="E502">
            <v>1333</v>
          </cell>
          <cell r="F502">
            <v>2666</v>
          </cell>
          <cell r="G502">
            <v>3999</v>
          </cell>
          <cell r="H502">
            <v>5332</v>
          </cell>
          <cell r="I502">
            <v>6665</v>
          </cell>
          <cell r="J502">
            <v>7998</v>
          </cell>
          <cell r="K502">
            <v>9331</v>
          </cell>
          <cell r="L502">
            <v>10664</v>
          </cell>
          <cell r="M502">
            <v>11997</v>
          </cell>
          <cell r="N502">
            <v>13330</v>
          </cell>
          <cell r="O502">
            <v>14663</v>
          </cell>
          <cell r="P502">
            <v>16000</v>
          </cell>
          <cell r="Q502">
            <v>16000</v>
          </cell>
        </row>
        <row r="503">
          <cell r="A503" t="str">
            <v>155-10-020</v>
          </cell>
          <cell r="B503" t="str">
            <v>COMPUTER CONSUMABL</v>
          </cell>
          <cell r="C503">
            <v>1</v>
          </cell>
          <cell r="D503" t="str">
            <v>EXECUTIVE</v>
          </cell>
          <cell r="E503">
            <v>4583</v>
          </cell>
          <cell r="F503">
            <v>9166</v>
          </cell>
          <cell r="G503">
            <v>13749</v>
          </cell>
          <cell r="H503">
            <v>18332</v>
          </cell>
          <cell r="I503">
            <v>22915</v>
          </cell>
          <cell r="J503">
            <v>27498</v>
          </cell>
          <cell r="K503">
            <v>32081</v>
          </cell>
          <cell r="L503">
            <v>36664</v>
          </cell>
          <cell r="M503">
            <v>41247</v>
          </cell>
          <cell r="N503">
            <v>45830</v>
          </cell>
          <cell r="O503">
            <v>50413</v>
          </cell>
          <cell r="P503">
            <v>55000</v>
          </cell>
          <cell r="Q503">
            <v>55000</v>
          </cell>
        </row>
        <row r="504">
          <cell r="A504" t="str">
            <v>155-10-020</v>
          </cell>
          <cell r="B504" t="str">
            <v>COMPUTER CONSUMABL</v>
          </cell>
          <cell r="C504">
            <v>2</v>
          </cell>
          <cell r="D504" t="str">
            <v>OPERATIONS</v>
          </cell>
          <cell r="E504">
            <v>1666</v>
          </cell>
          <cell r="F504">
            <v>3332</v>
          </cell>
          <cell r="G504">
            <v>4998</v>
          </cell>
          <cell r="H504">
            <v>6664</v>
          </cell>
          <cell r="I504">
            <v>8330</v>
          </cell>
          <cell r="J504">
            <v>9996</v>
          </cell>
          <cell r="K504">
            <v>11662</v>
          </cell>
          <cell r="L504">
            <v>13328</v>
          </cell>
          <cell r="M504">
            <v>14994</v>
          </cell>
          <cell r="N504">
            <v>16660</v>
          </cell>
          <cell r="O504">
            <v>18326</v>
          </cell>
          <cell r="P504">
            <v>20000</v>
          </cell>
          <cell r="Q504">
            <v>20000</v>
          </cell>
        </row>
        <row r="505">
          <cell r="A505" t="str">
            <v>155-10-020</v>
          </cell>
          <cell r="B505" t="str">
            <v>COMPUTER CONSUMABL</v>
          </cell>
          <cell r="C505">
            <v>3</v>
          </cell>
          <cell r="D505" t="str">
            <v>PREMIUM LIASON</v>
          </cell>
          <cell r="E505">
            <v>3750</v>
          </cell>
          <cell r="F505">
            <v>7500</v>
          </cell>
          <cell r="G505">
            <v>11250</v>
          </cell>
          <cell r="H505">
            <v>15000</v>
          </cell>
          <cell r="I505">
            <v>18750</v>
          </cell>
          <cell r="J505">
            <v>22500</v>
          </cell>
          <cell r="K505">
            <v>26250</v>
          </cell>
          <cell r="L505">
            <v>30000</v>
          </cell>
          <cell r="M505">
            <v>33750</v>
          </cell>
          <cell r="N505">
            <v>37500</v>
          </cell>
          <cell r="O505">
            <v>41250</v>
          </cell>
          <cell r="P505">
            <v>45000</v>
          </cell>
          <cell r="Q505">
            <v>45000</v>
          </cell>
        </row>
        <row r="506">
          <cell r="A506" t="str">
            <v>155-10-020</v>
          </cell>
          <cell r="B506" t="str">
            <v>COMPUTER CONSUMABL</v>
          </cell>
          <cell r="C506">
            <v>4</v>
          </cell>
          <cell r="D506" t="str">
            <v>CUSTOMER SERVIC</v>
          </cell>
          <cell r="E506">
            <v>4166</v>
          </cell>
          <cell r="F506">
            <v>8332</v>
          </cell>
          <cell r="G506">
            <v>12498</v>
          </cell>
          <cell r="H506">
            <v>16664</v>
          </cell>
          <cell r="I506">
            <v>20830</v>
          </cell>
          <cell r="J506">
            <v>24996</v>
          </cell>
          <cell r="K506">
            <v>29162</v>
          </cell>
          <cell r="L506">
            <v>33328</v>
          </cell>
          <cell r="M506">
            <v>37494</v>
          </cell>
          <cell r="N506">
            <v>41660</v>
          </cell>
          <cell r="O506">
            <v>45826</v>
          </cell>
          <cell r="P506">
            <v>50000</v>
          </cell>
          <cell r="Q506">
            <v>50000</v>
          </cell>
        </row>
        <row r="507">
          <cell r="A507" t="str">
            <v>155-10-020</v>
          </cell>
          <cell r="B507" t="str">
            <v>COMPUTER CONSUMABL</v>
          </cell>
          <cell r="C507">
            <v>5</v>
          </cell>
          <cell r="D507" t="str">
            <v>PREMIUM ADMINIS</v>
          </cell>
          <cell r="E507">
            <v>4166</v>
          </cell>
          <cell r="F507">
            <v>8332</v>
          </cell>
          <cell r="G507">
            <v>12498</v>
          </cell>
          <cell r="H507">
            <v>16664</v>
          </cell>
          <cell r="I507">
            <v>20830</v>
          </cell>
          <cell r="J507">
            <v>24996</v>
          </cell>
          <cell r="K507">
            <v>29162</v>
          </cell>
          <cell r="L507">
            <v>33328</v>
          </cell>
          <cell r="M507">
            <v>37494</v>
          </cell>
          <cell r="N507">
            <v>41660</v>
          </cell>
          <cell r="O507">
            <v>45826</v>
          </cell>
          <cell r="P507">
            <v>50000</v>
          </cell>
          <cell r="Q507">
            <v>50000</v>
          </cell>
        </row>
        <row r="508">
          <cell r="A508" t="str">
            <v>155-10-020</v>
          </cell>
          <cell r="B508" t="str">
            <v>COMPUTER CONSUMABL</v>
          </cell>
          <cell r="C508">
            <v>6</v>
          </cell>
          <cell r="D508" t="str">
            <v>BENEFIT PAYMENT</v>
          </cell>
          <cell r="E508">
            <v>4000</v>
          </cell>
          <cell r="F508">
            <v>8000</v>
          </cell>
          <cell r="G508">
            <v>12000</v>
          </cell>
          <cell r="H508">
            <v>16000</v>
          </cell>
          <cell r="I508">
            <v>20000</v>
          </cell>
          <cell r="J508">
            <v>24000</v>
          </cell>
          <cell r="K508">
            <v>28000</v>
          </cell>
          <cell r="L508">
            <v>32000</v>
          </cell>
          <cell r="M508">
            <v>36000</v>
          </cell>
          <cell r="N508">
            <v>40000</v>
          </cell>
          <cell r="O508">
            <v>44000</v>
          </cell>
          <cell r="P508">
            <v>48000</v>
          </cell>
          <cell r="Q508">
            <v>48000</v>
          </cell>
        </row>
        <row r="509">
          <cell r="A509" t="str">
            <v>155-10-020</v>
          </cell>
          <cell r="B509" t="str">
            <v>COMPUTER CONSUMABL</v>
          </cell>
          <cell r="C509">
            <v>7</v>
          </cell>
          <cell r="D509" t="str">
            <v>NEW BUSSINESS</v>
          </cell>
          <cell r="E509">
            <v>4166</v>
          </cell>
          <cell r="F509">
            <v>8332</v>
          </cell>
          <cell r="G509">
            <v>12498</v>
          </cell>
          <cell r="H509">
            <v>16664</v>
          </cell>
          <cell r="I509">
            <v>20830</v>
          </cell>
          <cell r="J509">
            <v>24996</v>
          </cell>
          <cell r="K509">
            <v>29162</v>
          </cell>
          <cell r="L509">
            <v>33328</v>
          </cell>
          <cell r="M509">
            <v>37494</v>
          </cell>
          <cell r="N509">
            <v>41660</v>
          </cell>
          <cell r="O509">
            <v>45826</v>
          </cell>
          <cell r="P509">
            <v>50000</v>
          </cell>
          <cell r="Q509">
            <v>50000</v>
          </cell>
        </row>
        <row r="510">
          <cell r="A510" t="str">
            <v>155-10-020</v>
          </cell>
          <cell r="B510" t="str">
            <v>COMPUTER CONSUMABL</v>
          </cell>
          <cell r="C510">
            <v>8</v>
          </cell>
          <cell r="D510" t="str">
            <v>FINANCE</v>
          </cell>
          <cell r="E510">
            <v>4583</v>
          </cell>
          <cell r="F510">
            <v>9166</v>
          </cell>
          <cell r="G510">
            <v>13749</v>
          </cell>
          <cell r="H510">
            <v>18332</v>
          </cell>
          <cell r="I510">
            <v>22915</v>
          </cell>
          <cell r="J510">
            <v>27498</v>
          </cell>
          <cell r="K510">
            <v>32081</v>
          </cell>
          <cell r="L510">
            <v>36664</v>
          </cell>
          <cell r="M510">
            <v>41247</v>
          </cell>
          <cell r="N510">
            <v>45830</v>
          </cell>
          <cell r="O510">
            <v>50413</v>
          </cell>
          <cell r="P510">
            <v>55000</v>
          </cell>
          <cell r="Q510">
            <v>55000</v>
          </cell>
        </row>
        <row r="511">
          <cell r="A511" t="str">
            <v>155-10-020</v>
          </cell>
          <cell r="B511" t="str">
            <v>COMPUTER CONSUMABL</v>
          </cell>
          <cell r="C511">
            <v>9</v>
          </cell>
          <cell r="D511" t="str">
            <v>I T</v>
          </cell>
          <cell r="E511">
            <v>5000</v>
          </cell>
          <cell r="F511">
            <v>10000</v>
          </cell>
          <cell r="G511">
            <v>15000</v>
          </cell>
          <cell r="H511">
            <v>20000</v>
          </cell>
          <cell r="I511">
            <v>25000</v>
          </cell>
          <cell r="J511">
            <v>30000</v>
          </cell>
          <cell r="K511">
            <v>35000</v>
          </cell>
          <cell r="L511">
            <v>40000</v>
          </cell>
          <cell r="M511">
            <v>45000</v>
          </cell>
          <cell r="N511">
            <v>50000</v>
          </cell>
          <cell r="O511">
            <v>55000</v>
          </cell>
          <cell r="P511">
            <v>60000</v>
          </cell>
          <cell r="Q511">
            <v>60000</v>
          </cell>
        </row>
        <row r="512">
          <cell r="A512" t="str">
            <v>155-10-020</v>
          </cell>
          <cell r="B512" t="str">
            <v>COMPUTER CONSUMABL</v>
          </cell>
          <cell r="C512">
            <v>10</v>
          </cell>
          <cell r="D512" t="str">
            <v>HRM UNIT</v>
          </cell>
          <cell r="E512">
            <v>1446</v>
          </cell>
          <cell r="F512">
            <v>2892</v>
          </cell>
          <cell r="G512">
            <v>4338</v>
          </cell>
          <cell r="H512">
            <v>5784</v>
          </cell>
          <cell r="I512">
            <v>7230</v>
          </cell>
          <cell r="J512">
            <v>8676</v>
          </cell>
          <cell r="K512">
            <v>10122</v>
          </cell>
          <cell r="L512">
            <v>11568</v>
          </cell>
          <cell r="M512">
            <v>13014</v>
          </cell>
          <cell r="N512">
            <v>14460</v>
          </cell>
          <cell r="O512">
            <v>15906</v>
          </cell>
          <cell r="P512">
            <v>17360</v>
          </cell>
          <cell r="Q512">
            <v>17360</v>
          </cell>
        </row>
        <row r="513">
          <cell r="A513" t="str">
            <v>155-10-022</v>
          </cell>
          <cell r="B513" t="str">
            <v>PRINTING &amp; STATION</v>
          </cell>
          <cell r="C513">
            <v>1</v>
          </cell>
          <cell r="D513" t="str">
            <v>EXECUTIVE</v>
          </cell>
          <cell r="E513">
            <v>3750</v>
          </cell>
          <cell r="F513">
            <v>7500</v>
          </cell>
          <cell r="G513">
            <v>11250</v>
          </cell>
          <cell r="H513">
            <v>15000</v>
          </cell>
          <cell r="I513">
            <v>18750</v>
          </cell>
          <cell r="J513">
            <v>22500</v>
          </cell>
          <cell r="K513">
            <v>26250</v>
          </cell>
          <cell r="L513">
            <v>30000</v>
          </cell>
          <cell r="M513">
            <v>33750</v>
          </cell>
          <cell r="N513">
            <v>37500</v>
          </cell>
          <cell r="O513">
            <v>41250</v>
          </cell>
          <cell r="P513">
            <v>45000</v>
          </cell>
          <cell r="Q513">
            <v>45000</v>
          </cell>
        </row>
        <row r="514">
          <cell r="A514" t="str">
            <v>155-10-022</v>
          </cell>
          <cell r="B514" t="str">
            <v>PRINTING &amp; STATION</v>
          </cell>
          <cell r="C514">
            <v>2</v>
          </cell>
          <cell r="D514" t="str">
            <v>OPERATIONS</v>
          </cell>
          <cell r="E514">
            <v>4583</v>
          </cell>
          <cell r="F514">
            <v>9166</v>
          </cell>
          <cell r="G514">
            <v>13749</v>
          </cell>
          <cell r="H514">
            <v>18332</v>
          </cell>
          <cell r="I514">
            <v>22915</v>
          </cell>
          <cell r="J514">
            <v>27498</v>
          </cell>
          <cell r="K514">
            <v>32081</v>
          </cell>
          <cell r="L514">
            <v>36664</v>
          </cell>
          <cell r="M514">
            <v>41247</v>
          </cell>
          <cell r="N514">
            <v>45830</v>
          </cell>
          <cell r="O514">
            <v>50413</v>
          </cell>
          <cell r="P514">
            <v>55000</v>
          </cell>
          <cell r="Q514">
            <v>55000</v>
          </cell>
        </row>
        <row r="515">
          <cell r="A515" t="str">
            <v>155-10-022</v>
          </cell>
          <cell r="B515" t="str">
            <v>PRINTING &amp; STATION</v>
          </cell>
          <cell r="C515">
            <v>3</v>
          </cell>
          <cell r="D515" t="str">
            <v>PREMIUM LIASON</v>
          </cell>
          <cell r="E515">
            <v>8750</v>
          </cell>
          <cell r="F515">
            <v>17500</v>
          </cell>
          <cell r="G515">
            <v>26250</v>
          </cell>
          <cell r="H515">
            <v>35000</v>
          </cell>
          <cell r="I515">
            <v>43750</v>
          </cell>
          <cell r="J515">
            <v>52500</v>
          </cell>
          <cell r="K515">
            <v>61250</v>
          </cell>
          <cell r="L515">
            <v>70000</v>
          </cell>
          <cell r="M515">
            <v>78750</v>
          </cell>
          <cell r="N515">
            <v>87500</v>
          </cell>
          <cell r="O515">
            <v>96250</v>
          </cell>
          <cell r="P515">
            <v>105000</v>
          </cell>
          <cell r="Q515">
            <v>105000</v>
          </cell>
        </row>
        <row r="516">
          <cell r="A516" t="str">
            <v>155-10-022</v>
          </cell>
          <cell r="B516" t="str">
            <v>PRINTING &amp; STATION</v>
          </cell>
          <cell r="C516">
            <v>4</v>
          </cell>
          <cell r="D516" t="str">
            <v>CUSTOMER SERVIC</v>
          </cell>
          <cell r="E516">
            <v>27083</v>
          </cell>
          <cell r="F516">
            <v>54166</v>
          </cell>
          <cell r="G516">
            <v>81249</v>
          </cell>
          <cell r="H516">
            <v>108332</v>
          </cell>
          <cell r="I516">
            <v>135415</v>
          </cell>
          <cell r="J516">
            <v>162498</v>
          </cell>
          <cell r="K516">
            <v>189581</v>
          </cell>
          <cell r="L516">
            <v>216664</v>
          </cell>
          <cell r="M516">
            <v>243747</v>
          </cell>
          <cell r="N516">
            <v>270830</v>
          </cell>
          <cell r="O516">
            <v>297913</v>
          </cell>
          <cell r="P516">
            <v>325000</v>
          </cell>
          <cell r="Q516">
            <v>325000</v>
          </cell>
        </row>
        <row r="517">
          <cell r="A517" t="str">
            <v>155-10-022</v>
          </cell>
          <cell r="B517" t="str">
            <v>PRINTING &amp; STATION</v>
          </cell>
          <cell r="C517">
            <v>5</v>
          </cell>
          <cell r="D517" t="str">
            <v>PREMIUM ADMINST</v>
          </cell>
          <cell r="E517">
            <v>13616</v>
          </cell>
          <cell r="F517">
            <v>27232</v>
          </cell>
          <cell r="G517">
            <v>40848</v>
          </cell>
          <cell r="H517">
            <v>54464</v>
          </cell>
          <cell r="I517">
            <v>68080</v>
          </cell>
          <cell r="J517">
            <v>81696</v>
          </cell>
          <cell r="K517">
            <v>95312</v>
          </cell>
          <cell r="L517">
            <v>108928</v>
          </cell>
          <cell r="M517">
            <v>122544</v>
          </cell>
          <cell r="N517">
            <v>136160</v>
          </cell>
          <cell r="O517">
            <v>149776</v>
          </cell>
          <cell r="P517">
            <v>163400</v>
          </cell>
          <cell r="Q517">
            <v>163400</v>
          </cell>
        </row>
        <row r="518">
          <cell r="A518" t="str">
            <v>155-10-022</v>
          </cell>
          <cell r="B518" t="str">
            <v>PRINTING &amp; STATION</v>
          </cell>
          <cell r="C518">
            <v>6</v>
          </cell>
          <cell r="D518" t="str">
            <v>BENEFITS PAYMEN</v>
          </cell>
          <cell r="E518">
            <v>18883</v>
          </cell>
          <cell r="F518">
            <v>37766</v>
          </cell>
          <cell r="G518">
            <v>56649</v>
          </cell>
          <cell r="H518">
            <v>75532</v>
          </cell>
          <cell r="I518">
            <v>94415</v>
          </cell>
          <cell r="J518">
            <v>113298</v>
          </cell>
          <cell r="K518">
            <v>132181</v>
          </cell>
          <cell r="L518">
            <v>151064</v>
          </cell>
          <cell r="M518">
            <v>169947</v>
          </cell>
          <cell r="N518">
            <v>188830</v>
          </cell>
          <cell r="O518">
            <v>207713</v>
          </cell>
          <cell r="P518">
            <v>226600</v>
          </cell>
          <cell r="Q518">
            <v>226600</v>
          </cell>
        </row>
        <row r="519">
          <cell r="A519" t="str">
            <v>155-10-022</v>
          </cell>
          <cell r="B519" t="str">
            <v>PRINTING &amp; STATION</v>
          </cell>
          <cell r="C519">
            <v>7</v>
          </cell>
          <cell r="D519" t="str">
            <v>NEW BUSINESS</v>
          </cell>
          <cell r="E519">
            <v>57916</v>
          </cell>
          <cell r="F519">
            <v>115832</v>
          </cell>
          <cell r="G519">
            <v>173748</v>
          </cell>
          <cell r="H519">
            <v>231664</v>
          </cell>
          <cell r="I519">
            <v>289580</v>
          </cell>
          <cell r="J519">
            <v>347496</v>
          </cell>
          <cell r="K519">
            <v>405412</v>
          </cell>
          <cell r="L519">
            <v>463328</v>
          </cell>
          <cell r="M519">
            <v>521244</v>
          </cell>
          <cell r="N519">
            <v>579160</v>
          </cell>
          <cell r="O519">
            <v>637076</v>
          </cell>
          <cell r="P519">
            <v>695000</v>
          </cell>
          <cell r="Q519">
            <v>695000</v>
          </cell>
        </row>
        <row r="520">
          <cell r="A520" t="str">
            <v>155-10-022</v>
          </cell>
          <cell r="B520" t="str">
            <v>PRINTING &amp; STATION</v>
          </cell>
          <cell r="C520">
            <v>8</v>
          </cell>
          <cell r="D520" t="str">
            <v>FINANCE</v>
          </cell>
          <cell r="E520">
            <v>12916</v>
          </cell>
          <cell r="F520">
            <v>25832</v>
          </cell>
          <cell r="G520">
            <v>38748</v>
          </cell>
          <cell r="H520">
            <v>51664</v>
          </cell>
          <cell r="I520">
            <v>64580</v>
          </cell>
          <cell r="J520">
            <v>77496</v>
          </cell>
          <cell r="K520">
            <v>90412</v>
          </cell>
          <cell r="L520">
            <v>103328</v>
          </cell>
          <cell r="M520">
            <v>116244</v>
          </cell>
          <cell r="N520">
            <v>129160</v>
          </cell>
          <cell r="O520">
            <v>142076</v>
          </cell>
          <cell r="P520">
            <v>155000</v>
          </cell>
          <cell r="Q520">
            <v>155000</v>
          </cell>
        </row>
        <row r="521">
          <cell r="A521" t="str">
            <v>155-10-022</v>
          </cell>
          <cell r="B521" t="str">
            <v>PRINTING &amp; STATION</v>
          </cell>
          <cell r="C521">
            <v>9</v>
          </cell>
          <cell r="D521" t="str">
            <v>INFORMATION TEC</v>
          </cell>
          <cell r="E521">
            <v>6250</v>
          </cell>
          <cell r="F521">
            <v>12500</v>
          </cell>
          <cell r="G521">
            <v>18750</v>
          </cell>
          <cell r="H521">
            <v>25000</v>
          </cell>
          <cell r="I521">
            <v>31250</v>
          </cell>
          <cell r="J521">
            <v>37500</v>
          </cell>
          <cell r="K521">
            <v>43750</v>
          </cell>
          <cell r="L521">
            <v>50000</v>
          </cell>
          <cell r="M521">
            <v>56250</v>
          </cell>
          <cell r="N521">
            <v>62500</v>
          </cell>
          <cell r="O521">
            <v>68750</v>
          </cell>
          <cell r="P521">
            <v>75000</v>
          </cell>
          <cell r="Q521">
            <v>75000</v>
          </cell>
        </row>
        <row r="522">
          <cell r="A522" t="str">
            <v>155-10-022</v>
          </cell>
          <cell r="B522" t="str">
            <v>PRINTING &amp; STATION</v>
          </cell>
          <cell r="C522">
            <v>10</v>
          </cell>
          <cell r="D522" t="str">
            <v>HUMAN RESOURCES</v>
          </cell>
          <cell r="E522">
            <v>10416</v>
          </cell>
          <cell r="F522">
            <v>20832</v>
          </cell>
          <cell r="G522">
            <v>31248</v>
          </cell>
          <cell r="H522">
            <v>41664</v>
          </cell>
          <cell r="I522">
            <v>52080</v>
          </cell>
          <cell r="J522">
            <v>62496</v>
          </cell>
          <cell r="K522">
            <v>72912</v>
          </cell>
          <cell r="L522">
            <v>83328</v>
          </cell>
          <cell r="M522">
            <v>93744</v>
          </cell>
          <cell r="N522">
            <v>104160</v>
          </cell>
          <cell r="O522">
            <v>114576</v>
          </cell>
          <cell r="P522">
            <v>125000</v>
          </cell>
          <cell r="Q522">
            <v>125000</v>
          </cell>
        </row>
        <row r="523">
          <cell r="A523" t="str">
            <v>155-10-025</v>
          </cell>
          <cell r="B523" t="str">
            <v>STRATEGIC PLANNING</v>
          </cell>
          <cell r="C523">
            <v>1</v>
          </cell>
          <cell r="D523" t="str">
            <v>EXECUTIVE</v>
          </cell>
          <cell r="E523">
            <v>0</v>
          </cell>
          <cell r="F523">
            <v>0</v>
          </cell>
          <cell r="G523">
            <v>0</v>
          </cell>
          <cell r="H523">
            <v>0</v>
          </cell>
          <cell r="I523">
            <v>0</v>
          </cell>
          <cell r="J523">
            <v>700000</v>
          </cell>
          <cell r="K523">
            <v>700000</v>
          </cell>
          <cell r="L523">
            <v>700000</v>
          </cell>
          <cell r="M523">
            <v>700000</v>
          </cell>
          <cell r="N523">
            <v>700000</v>
          </cell>
          <cell r="O523">
            <v>700000</v>
          </cell>
          <cell r="P523">
            <v>700000</v>
          </cell>
          <cell r="Q523">
            <v>700000</v>
          </cell>
        </row>
        <row r="524">
          <cell r="A524" t="str">
            <v>155-10-027</v>
          </cell>
          <cell r="B524" t="str">
            <v>PROFESSIONAL SUBSC</v>
          </cell>
          <cell r="C524">
            <v>1</v>
          </cell>
          <cell r="D524" t="str">
            <v>EXECUTIVE</v>
          </cell>
          <cell r="E524">
            <v>3087</v>
          </cell>
          <cell r="F524">
            <v>6174</v>
          </cell>
          <cell r="G524">
            <v>9261</v>
          </cell>
          <cell r="H524">
            <v>12348</v>
          </cell>
          <cell r="I524">
            <v>15435</v>
          </cell>
          <cell r="J524">
            <v>18522</v>
          </cell>
          <cell r="K524">
            <v>21609</v>
          </cell>
          <cell r="L524">
            <v>24696</v>
          </cell>
          <cell r="M524">
            <v>27783</v>
          </cell>
          <cell r="N524">
            <v>30870</v>
          </cell>
          <cell r="O524">
            <v>33957</v>
          </cell>
          <cell r="P524">
            <v>37055</v>
          </cell>
          <cell r="Q524">
            <v>37055</v>
          </cell>
        </row>
        <row r="525">
          <cell r="A525" t="str">
            <v>155-10-027</v>
          </cell>
          <cell r="B525" t="str">
            <v>PROFESSIONAL SUBSC</v>
          </cell>
          <cell r="C525">
            <v>3</v>
          </cell>
          <cell r="D525" t="str">
            <v>PREMIUM LIASON</v>
          </cell>
          <cell r="E525">
            <v>850</v>
          </cell>
          <cell r="F525">
            <v>1700</v>
          </cell>
          <cell r="G525">
            <v>2550</v>
          </cell>
          <cell r="H525">
            <v>3400</v>
          </cell>
          <cell r="I525">
            <v>4250</v>
          </cell>
          <cell r="J525">
            <v>5100</v>
          </cell>
          <cell r="K525">
            <v>5950</v>
          </cell>
          <cell r="L525">
            <v>6800</v>
          </cell>
          <cell r="M525">
            <v>7650</v>
          </cell>
          <cell r="N525">
            <v>8500</v>
          </cell>
          <cell r="O525">
            <v>9350</v>
          </cell>
          <cell r="P525">
            <v>10200</v>
          </cell>
          <cell r="Q525">
            <v>10200</v>
          </cell>
        </row>
        <row r="526">
          <cell r="A526" t="str">
            <v>155-10-027</v>
          </cell>
          <cell r="B526" t="str">
            <v>PROFESSIONAL SUBSC</v>
          </cell>
          <cell r="C526">
            <v>6</v>
          </cell>
          <cell r="D526" t="str">
            <v>BANAFITS PAYMEN</v>
          </cell>
          <cell r="E526">
            <v>1208</v>
          </cell>
          <cell r="F526">
            <v>2416</v>
          </cell>
          <cell r="G526">
            <v>3624</v>
          </cell>
          <cell r="H526">
            <v>4832</v>
          </cell>
          <cell r="I526">
            <v>6040</v>
          </cell>
          <cell r="J526">
            <v>7248</v>
          </cell>
          <cell r="K526">
            <v>8456</v>
          </cell>
          <cell r="L526">
            <v>9664</v>
          </cell>
          <cell r="M526">
            <v>10872</v>
          </cell>
          <cell r="N526">
            <v>12080</v>
          </cell>
          <cell r="O526">
            <v>13288</v>
          </cell>
          <cell r="P526">
            <v>14500</v>
          </cell>
          <cell r="Q526">
            <v>14500</v>
          </cell>
        </row>
        <row r="527">
          <cell r="A527" t="str">
            <v>155-10-027</v>
          </cell>
          <cell r="B527" t="str">
            <v>PROFESSIONAL SUBSC</v>
          </cell>
          <cell r="C527">
            <v>7</v>
          </cell>
          <cell r="D527" t="str">
            <v>NEW BUSINESS</v>
          </cell>
          <cell r="E527">
            <v>400</v>
          </cell>
          <cell r="F527">
            <v>800</v>
          </cell>
          <cell r="G527">
            <v>1200</v>
          </cell>
          <cell r="H527">
            <v>1600</v>
          </cell>
          <cell r="I527">
            <v>2000</v>
          </cell>
          <cell r="J527">
            <v>2400</v>
          </cell>
          <cell r="K527">
            <v>2800</v>
          </cell>
          <cell r="L527">
            <v>3200</v>
          </cell>
          <cell r="M527">
            <v>3600</v>
          </cell>
          <cell r="N527">
            <v>4000</v>
          </cell>
          <cell r="O527">
            <v>4400</v>
          </cell>
          <cell r="P527">
            <v>4800</v>
          </cell>
          <cell r="Q527">
            <v>4800</v>
          </cell>
        </row>
        <row r="528">
          <cell r="A528" t="str">
            <v>155-10-027</v>
          </cell>
          <cell r="B528" t="str">
            <v>PROFESSIONAL SUBSC</v>
          </cell>
          <cell r="C528">
            <v>8</v>
          </cell>
          <cell r="D528" t="str">
            <v>FINANCE</v>
          </cell>
          <cell r="E528">
            <v>1916</v>
          </cell>
          <cell r="F528">
            <v>3832</v>
          </cell>
          <cell r="G528">
            <v>5748</v>
          </cell>
          <cell r="H528">
            <v>7664</v>
          </cell>
          <cell r="I528">
            <v>9580</v>
          </cell>
          <cell r="J528">
            <v>11496</v>
          </cell>
          <cell r="K528">
            <v>13412</v>
          </cell>
          <cell r="L528">
            <v>15328</v>
          </cell>
          <cell r="M528">
            <v>17244</v>
          </cell>
          <cell r="N528">
            <v>19160</v>
          </cell>
          <cell r="O528">
            <v>21076</v>
          </cell>
          <cell r="P528">
            <v>23000</v>
          </cell>
          <cell r="Q528">
            <v>23000</v>
          </cell>
        </row>
        <row r="529">
          <cell r="A529" t="str">
            <v>155-10-027</v>
          </cell>
          <cell r="B529" t="str">
            <v>PROFESSIONAL SUBSC</v>
          </cell>
          <cell r="C529">
            <v>9</v>
          </cell>
          <cell r="D529" t="str">
            <v>INFORMATION TEC</v>
          </cell>
          <cell r="E529">
            <v>1400</v>
          </cell>
          <cell r="F529">
            <v>2800</v>
          </cell>
          <cell r="G529">
            <v>4200</v>
          </cell>
          <cell r="H529">
            <v>5600</v>
          </cell>
          <cell r="I529">
            <v>7000</v>
          </cell>
          <cell r="J529">
            <v>8400</v>
          </cell>
          <cell r="K529">
            <v>9800</v>
          </cell>
          <cell r="L529">
            <v>11200</v>
          </cell>
          <cell r="M529">
            <v>12600</v>
          </cell>
          <cell r="N529">
            <v>14000</v>
          </cell>
          <cell r="O529">
            <v>15400</v>
          </cell>
          <cell r="P529">
            <v>16800</v>
          </cell>
          <cell r="Q529">
            <v>16800</v>
          </cell>
        </row>
        <row r="530">
          <cell r="A530" t="str">
            <v>155-10-027</v>
          </cell>
          <cell r="B530" t="str">
            <v>PROFESSIONAL SUBSC</v>
          </cell>
          <cell r="C530">
            <v>10</v>
          </cell>
          <cell r="D530" t="str">
            <v>HUMAN RESOURCES</v>
          </cell>
          <cell r="E530">
            <v>70</v>
          </cell>
          <cell r="F530">
            <v>140</v>
          </cell>
          <cell r="G530">
            <v>210</v>
          </cell>
          <cell r="H530">
            <v>280</v>
          </cell>
          <cell r="I530">
            <v>350</v>
          </cell>
          <cell r="J530">
            <v>420</v>
          </cell>
          <cell r="K530">
            <v>490</v>
          </cell>
          <cell r="L530">
            <v>560</v>
          </cell>
          <cell r="M530">
            <v>630</v>
          </cell>
          <cell r="N530">
            <v>700</v>
          </cell>
          <cell r="O530">
            <v>770</v>
          </cell>
          <cell r="P530">
            <v>850</v>
          </cell>
          <cell r="Q530">
            <v>850</v>
          </cell>
        </row>
        <row r="531">
          <cell r="A531" t="str">
            <v>155-10-028</v>
          </cell>
          <cell r="B531" t="str">
            <v>SUBSCRIPTIONS-COMP</v>
          </cell>
          <cell r="C531">
            <v>1</v>
          </cell>
          <cell r="D531" t="str">
            <v>EXECUTIVE</v>
          </cell>
          <cell r="E531">
            <v>5000</v>
          </cell>
          <cell r="F531">
            <v>10000</v>
          </cell>
          <cell r="G531">
            <v>15000</v>
          </cell>
          <cell r="H531">
            <v>20000</v>
          </cell>
          <cell r="I531">
            <v>25000</v>
          </cell>
          <cell r="J531">
            <v>30000</v>
          </cell>
          <cell r="K531">
            <v>35000</v>
          </cell>
          <cell r="L531">
            <v>40000</v>
          </cell>
          <cell r="M531">
            <v>45000</v>
          </cell>
          <cell r="N531">
            <v>50000</v>
          </cell>
          <cell r="O531">
            <v>55000</v>
          </cell>
          <cell r="P531">
            <v>60000</v>
          </cell>
          <cell r="Q531">
            <v>60000</v>
          </cell>
        </row>
        <row r="532">
          <cell r="A532" t="str">
            <v>155-10-028</v>
          </cell>
          <cell r="B532" t="str">
            <v>SUBSCRIPTIONS-COMP</v>
          </cell>
          <cell r="C532">
            <v>4</v>
          </cell>
          <cell r="D532" t="str">
            <v>CUSTOMER SERVIC</v>
          </cell>
          <cell r="E532">
            <v>291</v>
          </cell>
          <cell r="F532">
            <v>582</v>
          </cell>
          <cell r="G532">
            <v>873</v>
          </cell>
          <cell r="H532">
            <v>1164</v>
          </cell>
          <cell r="I532">
            <v>1455</v>
          </cell>
          <cell r="J532">
            <v>1746</v>
          </cell>
          <cell r="K532">
            <v>2037</v>
          </cell>
          <cell r="L532">
            <v>2328</v>
          </cell>
          <cell r="M532">
            <v>2619</v>
          </cell>
          <cell r="N532">
            <v>2910</v>
          </cell>
          <cell r="O532">
            <v>3201</v>
          </cell>
          <cell r="P532">
            <v>3500</v>
          </cell>
          <cell r="Q532">
            <v>3500</v>
          </cell>
        </row>
        <row r="533">
          <cell r="A533" t="str">
            <v>155-10-028</v>
          </cell>
          <cell r="B533" t="str">
            <v>SUBSCRIPTIONS-COMP</v>
          </cell>
          <cell r="C533">
            <v>6</v>
          </cell>
          <cell r="D533" t="str">
            <v>BENEFITS PAYMEN</v>
          </cell>
          <cell r="E533">
            <v>333</v>
          </cell>
          <cell r="F533">
            <v>666</v>
          </cell>
          <cell r="G533">
            <v>999</v>
          </cell>
          <cell r="H533">
            <v>1332</v>
          </cell>
          <cell r="I533">
            <v>1665</v>
          </cell>
          <cell r="J533">
            <v>1998</v>
          </cell>
          <cell r="K533">
            <v>2331</v>
          </cell>
          <cell r="L533">
            <v>2664</v>
          </cell>
          <cell r="M533">
            <v>2997</v>
          </cell>
          <cell r="N533">
            <v>3330</v>
          </cell>
          <cell r="O533">
            <v>3663</v>
          </cell>
          <cell r="P533">
            <v>4000</v>
          </cell>
          <cell r="Q533">
            <v>4000</v>
          </cell>
        </row>
        <row r="534">
          <cell r="A534" t="str">
            <v>155-10-028</v>
          </cell>
          <cell r="B534" t="str">
            <v>SUBSCRIPTIONS-COMP</v>
          </cell>
          <cell r="C534">
            <v>7</v>
          </cell>
          <cell r="D534" t="str">
            <v>NEW BUSINESS</v>
          </cell>
          <cell r="E534">
            <v>208</v>
          </cell>
          <cell r="F534">
            <v>416</v>
          </cell>
          <cell r="G534">
            <v>624</v>
          </cell>
          <cell r="H534">
            <v>832</v>
          </cell>
          <cell r="I534">
            <v>1040</v>
          </cell>
          <cell r="J534">
            <v>1248</v>
          </cell>
          <cell r="K534">
            <v>1456</v>
          </cell>
          <cell r="L534">
            <v>1664</v>
          </cell>
          <cell r="M534">
            <v>1872</v>
          </cell>
          <cell r="N534">
            <v>2080</v>
          </cell>
          <cell r="O534">
            <v>2288</v>
          </cell>
          <cell r="P534">
            <v>2500</v>
          </cell>
          <cell r="Q534">
            <v>2500</v>
          </cell>
        </row>
        <row r="535">
          <cell r="A535" t="str">
            <v>155-10-030</v>
          </cell>
          <cell r="B535" t="str">
            <v>TRAVEL &amp; ACCOMODAT</v>
          </cell>
          <cell r="C535">
            <v>1</v>
          </cell>
          <cell r="D535" t="str">
            <v>EXECUTIVE</v>
          </cell>
          <cell r="E535">
            <v>108333</v>
          </cell>
          <cell r="F535">
            <v>216666</v>
          </cell>
          <cell r="G535">
            <v>324999</v>
          </cell>
          <cell r="H535">
            <v>433332</v>
          </cell>
          <cell r="I535">
            <v>541665</v>
          </cell>
          <cell r="J535">
            <v>649998</v>
          </cell>
          <cell r="K535">
            <v>758331</v>
          </cell>
          <cell r="L535">
            <v>866664</v>
          </cell>
          <cell r="M535">
            <v>974997</v>
          </cell>
          <cell r="N535">
            <v>1083330</v>
          </cell>
          <cell r="O535">
            <v>1191663</v>
          </cell>
          <cell r="P535">
            <v>1300000</v>
          </cell>
          <cell r="Q535">
            <v>1300000</v>
          </cell>
        </row>
        <row r="536">
          <cell r="A536" t="str">
            <v>155-10-030</v>
          </cell>
          <cell r="B536" t="str">
            <v>TRAVEL &amp; ACCOMODAT</v>
          </cell>
          <cell r="C536">
            <v>2</v>
          </cell>
          <cell r="D536" t="str">
            <v>OPERATIONS</v>
          </cell>
          <cell r="E536">
            <v>6250</v>
          </cell>
          <cell r="F536">
            <v>12500</v>
          </cell>
          <cell r="G536">
            <v>18750</v>
          </cell>
          <cell r="H536">
            <v>25000</v>
          </cell>
          <cell r="I536">
            <v>31250</v>
          </cell>
          <cell r="J536">
            <v>37500</v>
          </cell>
          <cell r="K536">
            <v>43750</v>
          </cell>
          <cell r="L536">
            <v>50000</v>
          </cell>
          <cell r="M536">
            <v>56250</v>
          </cell>
          <cell r="N536">
            <v>62500</v>
          </cell>
          <cell r="O536">
            <v>68750</v>
          </cell>
          <cell r="P536">
            <v>75000</v>
          </cell>
          <cell r="Q536">
            <v>75000</v>
          </cell>
        </row>
        <row r="537">
          <cell r="A537" t="str">
            <v>155-10-030</v>
          </cell>
          <cell r="B537" t="str">
            <v>TRAVEL &amp; ACCOMODAT</v>
          </cell>
          <cell r="C537">
            <v>3</v>
          </cell>
          <cell r="D537" t="str">
            <v>PREMIUM LIASON</v>
          </cell>
          <cell r="E537">
            <v>5416</v>
          </cell>
          <cell r="F537">
            <v>10832</v>
          </cell>
          <cell r="G537">
            <v>16248</v>
          </cell>
          <cell r="H537">
            <v>21664</v>
          </cell>
          <cell r="I537">
            <v>27080</v>
          </cell>
          <cell r="J537">
            <v>32496</v>
          </cell>
          <cell r="K537">
            <v>37912</v>
          </cell>
          <cell r="L537">
            <v>43328</v>
          </cell>
          <cell r="M537">
            <v>48744</v>
          </cell>
          <cell r="N537">
            <v>54160</v>
          </cell>
          <cell r="O537">
            <v>59576</v>
          </cell>
          <cell r="P537">
            <v>65000</v>
          </cell>
          <cell r="Q537">
            <v>65000</v>
          </cell>
        </row>
        <row r="538">
          <cell r="A538" t="str">
            <v>155-10-030</v>
          </cell>
          <cell r="B538" t="str">
            <v>TRAVEL &amp; ACCOMODAT</v>
          </cell>
          <cell r="C538">
            <v>4</v>
          </cell>
          <cell r="D538" t="str">
            <v>CUSTIMER SERVIC</v>
          </cell>
          <cell r="E538">
            <v>1907</v>
          </cell>
          <cell r="F538">
            <v>3814</v>
          </cell>
          <cell r="G538">
            <v>5721</v>
          </cell>
          <cell r="H538">
            <v>7628</v>
          </cell>
          <cell r="I538">
            <v>9535</v>
          </cell>
          <cell r="J538">
            <v>11442</v>
          </cell>
          <cell r="K538">
            <v>13349</v>
          </cell>
          <cell r="L538">
            <v>15256</v>
          </cell>
          <cell r="M538">
            <v>17163</v>
          </cell>
          <cell r="N538">
            <v>19070</v>
          </cell>
          <cell r="O538">
            <v>20977</v>
          </cell>
          <cell r="P538">
            <v>22885</v>
          </cell>
          <cell r="Q538">
            <v>22885</v>
          </cell>
        </row>
        <row r="539">
          <cell r="A539" t="str">
            <v>155-10-030</v>
          </cell>
          <cell r="B539" t="str">
            <v>TRAVEL &amp; ACCOMODAT</v>
          </cell>
          <cell r="C539">
            <v>6</v>
          </cell>
          <cell r="D539" t="str">
            <v>BENEFITS PAYMEN</v>
          </cell>
          <cell r="E539">
            <v>1404</v>
          </cell>
          <cell r="F539">
            <v>2808</v>
          </cell>
          <cell r="G539">
            <v>4212</v>
          </cell>
          <cell r="H539">
            <v>5616</v>
          </cell>
          <cell r="I539">
            <v>7020</v>
          </cell>
          <cell r="J539">
            <v>8424</v>
          </cell>
          <cell r="K539">
            <v>9828</v>
          </cell>
          <cell r="L539">
            <v>11232</v>
          </cell>
          <cell r="M539">
            <v>12636</v>
          </cell>
          <cell r="N539">
            <v>14040</v>
          </cell>
          <cell r="O539">
            <v>15444</v>
          </cell>
          <cell r="P539">
            <v>16855</v>
          </cell>
          <cell r="Q539">
            <v>16855</v>
          </cell>
        </row>
        <row r="540">
          <cell r="A540" t="str">
            <v>155-10-030</v>
          </cell>
          <cell r="B540" t="str">
            <v>TRAVEL &amp; ACCOMODAT</v>
          </cell>
          <cell r="C540">
            <v>9</v>
          </cell>
          <cell r="D540" t="str">
            <v>INFORMATION TEC</v>
          </cell>
          <cell r="E540">
            <v>14583</v>
          </cell>
          <cell r="F540">
            <v>29166</v>
          </cell>
          <cell r="G540">
            <v>43749</v>
          </cell>
          <cell r="H540">
            <v>58332</v>
          </cell>
          <cell r="I540">
            <v>72915</v>
          </cell>
          <cell r="J540">
            <v>87498</v>
          </cell>
          <cell r="K540">
            <v>102081</v>
          </cell>
          <cell r="L540">
            <v>116664</v>
          </cell>
          <cell r="M540">
            <v>131247</v>
          </cell>
          <cell r="N540">
            <v>145830</v>
          </cell>
          <cell r="O540">
            <v>160413</v>
          </cell>
          <cell r="P540">
            <v>175000</v>
          </cell>
          <cell r="Q540">
            <v>175000</v>
          </cell>
        </row>
        <row r="541">
          <cell r="A541" t="str">
            <v>155-10-032</v>
          </cell>
          <cell r="B541" t="str">
            <v>MOTOR VEHICLE EXPE</v>
          </cell>
          <cell r="C541">
            <v>1</v>
          </cell>
          <cell r="D541" t="str">
            <v>EXECUTIVE</v>
          </cell>
          <cell r="E541">
            <v>23291</v>
          </cell>
          <cell r="F541">
            <v>46582</v>
          </cell>
          <cell r="G541">
            <v>69873</v>
          </cell>
          <cell r="H541">
            <v>93164</v>
          </cell>
          <cell r="I541">
            <v>116455</v>
          </cell>
          <cell r="J541">
            <v>139746</v>
          </cell>
          <cell r="K541">
            <v>163037</v>
          </cell>
          <cell r="L541">
            <v>186328</v>
          </cell>
          <cell r="M541">
            <v>209619</v>
          </cell>
          <cell r="N541">
            <v>232910</v>
          </cell>
          <cell r="O541">
            <v>256201</v>
          </cell>
          <cell r="P541">
            <v>279500</v>
          </cell>
          <cell r="Q541">
            <v>279500</v>
          </cell>
        </row>
        <row r="542">
          <cell r="A542" t="str">
            <v>155-10-032</v>
          </cell>
          <cell r="B542" t="str">
            <v>MOTOR VEHICLE EXPE</v>
          </cell>
          <cell r="C542">
            <v>8</v>
          </cell>
          <cell r="D542" t="str">
            <v>FINANCE</v>
          </cell>
          <cell r="E542">
            <v>2083</v>
          </cell>
          <cell r="F542">
            <v>4166</v>
          </cell>
          <cell r="G542">
            <v>6249</v>
          </cell>
          <cell r="H542">
            <v>8332</v>
          </cell>
          <cell r="I542">
            <v>10415</v>
          </cell>
          <cell r="J542">
            <v>12498</v>
          </cell>
          <cell r="K542">
            <v>14581</v>
          </cell>
          <cell r="L542">
            <v>16664</v>
          </cell>
          <cell r="M542">
            <v>18747</v>
          </cell>
          <cell r="N542">
            <v>20830</v>
          </cell>
          <cell r="O542">
            <v>22913</v>
          </cell>
          <cell r="P542">
            <v>25000</v>
          </cell>
          <cell r="Q542">
            <v>25000</v>
          </cell>
        </row>
        <row r="543">
          <cell r="A543" t="str">
            <v>155-10-040</v>
          </cell>
          <cell r="B543" t="str">
            <v>POSTAGE</v>
          </cell>
          <cell r="C543">
            <v>1</v>
          </cell>
          <cell r="D543" t="str">
            <v>EXECUTIVE</v>
          </cell>
          <cell r="E543">
            <v>2916</v>
          </cell>
          <cell r="F543">
            <v>5832</v>
          </cell>
          <cell r="G543">
            <v>8748</v>
          </cell>
          <cell r="H543">
            <v>11664</v>
          </cell>
          <cell r="I543">
            <v>14580</v>
          </cell>
          <cell r="J543">
            <v>17496</v>
          </cell>
          <cell r="K543">
            <v>20412</v>
          </cell>
          <cell r="L543">
            <v>23328</v>
          </cell>
          <cell r="M543">
            <v>26244</v>
          </cell>
          <cell r="N543">
            <v>29160</v>
          </cell>
          <cell r="O543">
            <v>32076</v>
          </cell>
          <cell r="P543">
            <v>35000</v>
          </cell>
          <cell r="Q543">
            <v>35000</v>
          </cell>
        </row>
        <row r="544">
          <cell r="A544" t="str">
            <v>155-10-040</v>
          </cell>
          <cell r="B544" t="str">
            <v>POSTAGE</v>
          </cell>
          <cell r="C544">
            <v>2</v>
          </cell>
          <cell r="D544" t="str">
            <v>OPERATIONS</v>
          </cell>
          <cell r="E544">
            <v>791</v>
          </cell>
          <cell r="F544">
            <v>1582</v>
          </cell>
          <cell r="G544">
            <v>2373</v>
          </cell>
          <cell r="H544">
            <v>3164</v>
          </cell>
          <cell r="I544">
            <v>3955</v>
          </cell>
          <cell r="J544">
            <v>4746</v>
          </cell>
          <cell r="K544">
            <v>5537</v>
          </cell>
          <cell r="L544">
            <v>6328</v>
          </cell>
          <cell r="M544">
            <v>7119</v>
          </cell>
          <cell r="N544">
            <v>7910</v>
          </cell>
          <cell r="O544">
            <v>8701</v>
          </cell>
          <cell r="P544">
            <v>9500</v>
          </cell>
          <cell r="Q544">
            <v>9500</v>
          </cell>
        </row>
        <row r="545">
          <cell r="A545" t="str">
            <v>155-10-040</v>
          </cell>
          <cell r="B545" t="str">
            <v>POSTAGE</v>
          </cell>
          <cell r="C545">
            <v>3</v>
          </cell>
          <cell r="D545" t="str">
            <v>PREMIUM LIASON</v>
          </cell>
          <cell r="E545">
            <v>10416</v>
          </cell>
          <cell r="F545">
            <v>20832</v>
          </cell>
          <cell r="G545">
            <v>31248</v>
          </cell>
          <cell r="H545">
            <v>41664</v>
          </cell>
          <cell r="I545">
            <v>52080</v>
          </cell>
          <cell r="J545">
            <v>62496</v>
          </cell>
          <cell r="K545">
            <v>72912</v>
          </cell>
          <cell r="L545">
            <v>83328</v>
          </cell>
          <cell r="M545">
            <v>93744</v>
          </cell>
          <cell r="N545">
            <v>104160</v>
          </cell>
          <cell r="O545">
            <v>114576</v>
          </cell>
          <cell r="P545">
            <v>125000</v>
          </cell>
          <cell r="Q545">
            <v>125000</v>
          </cell>
        </row>
        <row r="546">
          <cell r="A546" t="str">
            <v>155-10-040</v>
          </cell>
          <cell r="B546" t="str">
            <v>POSTAGE</v>
          </cell>
          <cell r="C546">
            <v>4</v>
          </cell>
          <cell r="D546" t="str">
            <v>CUSTOMER SERVIC</v>
          </cell>
          <cell r="E546">
            <v>54166</v>
          </cell>
          <cell r="F546">
            <v>108332</v>
          </cell>
          <cell r="G546">
            <v>162498</v>
          </cell>
          <cell r="H546">
            <v>216664</v>
          </cell>
          <cell r="I546">
            <v>270830</v>
          </cell>
          <cell r="J546">
            <v>324996</v>
          </cell>
          <cell r="K546">
            <v>379162</v>
          </cell>
          <cell r="L546">
            <v>433328</v>
          </cell>
          <cell r="M546">
            <v>487494</v>
          </cell>
          <cell r="N546">
            <v>541660</v>
          </cell>
          <cell r="O546">
            <v>595826</v>
          </cell>
          <cell r="P546">
            <v>650000</v>
          </cell>
          <cell r="Q546">
            <v>650000</v>
          </cell>
        </row>
        <row r="547">
          <cell r="A547" t="str">
            <v>155-10-040</v>
          </cell>
          <cell r="B547" t="str">
            <v>POSTAGE</v>
          </cell>
          <cell r="C547">
            <v>5</v>
          </cell>
          <cell r="D547" t="str">
            <v>PREMIUM ADMINST</v>
          </cell>
          <cell r="E547">
            <v>12500</v>
          </cell>
          <cell r="F547">
            <v>25000</v>
          </cell>
          <cell r="G547">
            <v>37500</v>
          </cell>
          <cell r="H547">
            <v>50000</v>
          </cell>
          <cell r="I547">
            <v>62500</v>
          </cell>
          <cell r="J547">
            <v>75000</v>
          </cell>
          <cell r="K547">
            <v>87500</v>
          </cell>
          <cell r="L547">
            <v>100000</v>
          </cell>
          <cell r="M547">
            <v>112500</v>
          </cell>
          <cell r="N547">
            <v>125000</v>
          </cell>
          <cell r="O547">
            <v>137500</v>
          </cell>
          <cell r="P547">
            <v>150000</v>
          </cell>
          <cell r="Q547">
            <v>150000</v>
          </cell>
        </row>
        <row r="548">
          <cell r="A548" t="str">
            <v>155-10-040</v>
          </cell>
          <cell r="B548" t="str">
            <v>POSTAGE</v>
          </cell>
          <cell r="C548">
            <v>6</v>
          </cell>
          <cell r="D548" t="str">
            <v>BENEFITS PAYMEN</v>
          </cell>
          <cell r="E548">
            <v>8333</v>
          </cell>
          <cell r="F548">
            <v>16666</v>
          </cell>
          <cell r="G548">
            <v>24999</v>
          </cell>
          <cell r="H548">
            <v>33332</v>
          </cell>
          <cell r="I548">
            <v>41665</v>
          </cell>
          <cell r="J548">
            <v>49998</v>
          </cell>
          <cell r="K548">
            <v>58331</v>
          </cell>
          <cell r="L548">
            <v>66664</v>
          </cell>
          <cell r="M548">
            <v>74997</v>
          </cell>
          <cell r="N548">
            <v>83330</v>
          </cell>
          <cell r="O548">
            <v>91663</v>
          </cell>
          <cell r="P548">
            <v>100000</v>
          </cell>
          <cell r="Q548">
            <v>100000</v>
          </cell>
        </row>
        <row r="549">
          <cell r="A549" t="str">
            <v>155-10-040</v>
          </cell>
          <cell r="B549" t="str">
            <v>POSTAGE</v>
          </cell>
          <cell r="C549">
            <v>7</v>
          </cell>
          <cell r="D549" t="str">
            <v>NEW BUSINESS</v>
          </cell>
          <cell r="E549">
            <v>45833</v>
          </cell>
          <cell r="F549">
            <v>91666</v>
          </cell>
          <cell r="G549">
            <v>137499</v>
          </cell>
          <cell r="H549">
            <v>183332</v>
          </cell>
          <cell r="I549">
            <v>229165</v>
          </cell>
          <cell r="J549">
            <v>274998</v>
          </cell>
          <cell r="K549">
            <v>320831</v>
          </cell>
          <cell r="L549">
            <v>366664</v>
          </cell>
          <cell r="M549">
            <v>412497</v>
          </cell>
          <cell r="N549">
            <v>458330</v>
          </cell>
          <cell r="O549">
            <v>504163</v>
          </cell>
          <cell r="P549">
            <v>550000</v>
          </cell>
          <cell r="Q549">
            <v>550000</v>
          </cell>
        </row>
        <row r="550">
          <cell r="A550" t="str">
            <v>155-10-040</v>
          </cell>
          <cell r="B550" t="str">
            <v>POSTAGE</v>
          </cell>
          <cell r="C550">
            <v>8</v>
          </cell>
          <cell r="D550" t="str">
            <v>FINANCE</v>
          </cell>
          <cell r="E550">
            <v>1625</v>
          </cell>
          <cell r="F550">
            <v>3250</v>
          </cell>
          <cell r="G550">
            <v>4875</v>
          </cell>
          <cell r="H550">
            <v>6500</v>
          </cell>
          <cell r="I550">
            <v>8125</v>
          </cell>
          <cell r="J550">
            <v>9750</v>
          </cell>
          <cell r="K550">
            <v>11375</v>
          </cell>
          <cell r="L550">
            <v>13000</v>
          </cell>
          <cell r="M550">
            <v>14625</v>
          </cell>
          <cell r="N550">
            <v>16250</v>
          </cell>
          <cell r="O550">
            <v>17875</v>
          </cell>
          <cell r="P550">
            <v>19500</v>
          </cell>
          <cell r="Q550">
            <v>19500</v>
          </cell>
        </row>
        <row r="551">
          <cell r="A551" t="str">
            <v>155-10-040</v>
          </cell>
          <cell r="B551" t="str">
            <v>POSTAGE</v>
          </cell>
          <cell r="C551">
            <v>10</v>
          </cell>
          <cell r="D551" t="str">
            <v>HUMAN RESOURCES</v>
          </cell>
          <cell r="E551">
            <v>625</v>
          </cell>
          <cell r="F551">
            <v>1250</v>
          </cell>
          <cell r="G551">
            <v>1875</v>
          </cell>
          <cell r="H551">
            <v>2500</v>
          </cell>
          <cell r="I551">
            <v>3125</v>
          </cell>
          <cell r="J551">
            <v>3750</v>
          </cell>
          <cell r="K551">
            <v>4375</v>
          </cell>
          <cell r="L551">
            <v>5000</v>
          </cell>
          <cell r="M551">
            <v>5625</v>
          </cell>
          <cell r="N551">
            <v>6250</v>
          </cell>
          <cell r="O551">
            <v>6875</v>
          </cell>
          <cell r="P551">
            <v>7500</v>
          </cell>
          <cell r="Q551">
            <v>7500</v>
          </cell>
        </row>
        <row r="552">
          <cell r="A552" t="str">
            <v>155-10-041</v>
          </cell>
          <cell r="B552" t="str">
            <v>TELEPHONE &amp; FAX</v>
          </cell>
          <cell r="C552">
            <v>1</v>
          </cell>
          <cell r="D552" t="str">
            <v>EXECUTIVE</v>
          </cell>
          <cell r="E552">
            <v>25000</v>
          </cell>
          <cell r="F552">
            <v>50000</v>
          </cell>
          <cell r="G552">
            <v>75000</v>
          </cell>
          <cell r="H552">
            <v>100000</v>
          </cell>
          <cell r="I552">
            <v>125000</v>
          </cell>
          <cell r="J552">
            <v>150000</v>
          </cell>
          <cell r="K552">
            <v>175000</v>
          </cell>
          <cell r="L552">
            <v>200000</v>
          </cell>
          <cell r="M552">
            <v>225000</v>
          </cell>
          <cell r="N552">
            <v>250000</v>
          </cell>
          <cell r="O552">
            <v>275000</v>
          </cell>
          <cell r="P552">
            <v>300000</v>
          </cell>
          <cell r="Q552">
            <v>300000</v>
          </cell>
        </row>
        <row r="553">
          <cell r="A553" t="str">
            <v>155-10-041</v>
          </cell>
          <cell r="B553" t="str">
            <v>TELEPHONE &amp; FAX</v>
          </cell>
          <cell r="C553">
            <v>2</v>
          </cell>
          <cell r="D553" t="str">
            <v>OPERATIONS</v>
          </cell>
          <cell r="E553">
            <v>9500</v>
          </cell>
          <cell r="F553">
            <v>19000</v>
          </cell>
          <cell r="G553">
            <v>28500</v>
          </cell>
          <cell r="H553">
            <v>38000</v>
          </cell>
          <cell r="I553">
            <v>47500</v>
          </cell>
          <cell r="J553">
            <v>57000</v>
          </cell>
          <cell r="K553">
            <v>66500</v>
          </cell>
          <cell r="L553">
            <v>76000</v>
          </cell>
          <cell r="M553">
            <v>85500</v>
          </cell>
          <cell r="N553">
            <v>95000</v>
          </cell>
          <cell r="O553">
            <v>104500</v>
          </cell>
          <cell r="P553">
            <v>114000</v>
          </cell>
          <cell r="Q553">
            <v>114000</v>
          </cell>
        </row>
        <row r="554">
          <cell r="A554" t="str">
            <v>155-10-041</v>
          </cell>
          <cell r="B554" t="str">
            <v>TELEPHONE &amp; FAX</v>
          </cell>
          <cell r="C554">
            <v>3</v>
          </cell>
          <cell r="D554" t="str">
            <v>PREMIUM LIASON</v>
          </cell>
          <cell r="E554">
            <v>7083</v>
          </cell>
          <cell r="F554">
            <v>14166</v>
          </cell>
          <cell r="G554">
            <v>21249</v>
          </cell>
          <cell r="H554">
            <v>28332</v>
          </cell>
          <cell r="I554">
            <v>35415</v>
          </cell>
          <cell r="J554">
            <v>42498</v>
          </cell>
          <cell r="K554">
            <v>49581</v>
          </cell>
          <cell r="L554">
            <v>56664</v>
          </cell>
          <cell r="M554">
            <v>63747</v>
          </cell>
          <cell r="N554">
            <v>70830</v>
          </cell>
          <cell r="O554">
            <v>77913</v>
          </cell>
          <cell r="P554">
            <v>85000</v>
          </cell>
          <cell r="Q554">
            <v>85000</v>
          </cell>
        </row>
        <row r="555">
          <cell r="A555" t="str">
            <v>155-10-041</v>
          </cell>
          <cell r="B555" t="str">
            <v>TELEPHONE &amp; FAX</v>
          </cell>
          <cell r="C555">
            <v>4</v>
          </cell>
          <cell r="D555" t="str">
            <v>CUSTOMER SERVIC</v>
          </cell>
          <cell r="E555">
            <v>10416</v>
          </cell>
          <cell r="F555">
            <v>20832</v>
          </cell>
          <cell r="G555">
            <v>31248</v>
          </cell>
          <cell r="H555">
            <v>41664</v>
          </cell>
          <cell r="I555">
            <v>52080</v>
          </cell>
          <cell r="J555">
            <v>62496</v>
          </cell>
          <cell r="K555">
            <v>72912</v>
          </cell>
          <cell r="L555">
            <v>83328</v>
          </cell>
          <cell r="M555">
            <v>93744</v>
          </cell>
          <cell r="N555">
            <v>104160</v>
          </cell>
          <cell r="O555">
            <v>114576</v>
          </cell>
          <cell r="P555">
            <v>125000</v>
          </cell>
          <cell r="Q555">
            <v>125000</v>
          </cell>
        </row>
        <row r="556">
          <cell r="A556" t="str">
            <v>155-10-041</v>
          </cell>
          <cell r="B556" t="str">
            <v>TELEPHONE &amp; FAX</v>
          </cell>
          <cell r="C556">
            <v>5</v>
          </cell>
          <cell r="D556" t="str">
            <v>PREMIUM ADMINST</v>
          </cell>
          <cell r="E556">
            <v>6251</v>
          </cell>
          <cell r="F556">
            <v>12502</v>
          </cell>
          <cell r="G556">
            <v>18753</v>
          </cell>
          <cell r="H556">
            <v>25004</v>
          </cell>
          <cell r="I556">
            <v>31255</v>
          </cell>
          <cell r="J556">
            <v>37506</v>
          </cell>
          <cell r="K556">
            <v>43757</v>
          </cell>
          <cell r="L556">
            <v>50008</v>
          </cell>
          <cell r="M556">
            <v>56259</v>
          </cell>
          <cell r="N556">
            <v>62510</v>
          </cell>
          <cell r="O556">
            <v>68761</v>
          </cell>
          <cell r="P556">
            <v>75012</v>
          </cell>
          <cell r="Q556">
            <v>75012</v>
          </cell>
        </row>
        <row r="557">
          <cell r="A557" t="str">
            <v>155-10-041</v>
          </cell>
          <cell r="B557" t="str">
            <v>TELEPHONE &amp; FAX</v>
          </cell>
          <cell r="C557">
            <v>6</v>
          </cell>
          <cell r="D557" t="str">
            <v>BENFITS PAYMENT</v>
          </cell>
          <cell r="E557">
            <v>14916</v>
          </cell>
          <cell r="F557">
            <v>29832</v>
          </cell>
          <cell r="G557">
            <v>44748</v>
          </cell>
          <cell r="H557">
            <v>59664</v>
          </cell>
          <cell r="I557">
            <v>74580</v>
          </cell>
          <cell r="J557">
            <v>89496</v>
          </cell>
          <cell r="K557">
            <v>104412</v>
          </cell>
          <cell r="L557">
            <v>119328</v>
          </cell>
          <cell r="M557">
            <v>134244</v>
          </cell>
          <cell r="N557">
            <v>149160</v>
          </cell>
          <cell r="O557">
            <v>164076</v>
          </cell>
          <cell r="P557">
            <v>179000</v>
          </cell>
          <cell r="Q557">
            <v>179000</v>
          </cell>
        </row>
        <row r="558">
          <cell r="A558" t="str">
            <v>155-10-041</v>
          </cell>
          <cell r="B558" t="str">
            <v>TELEPHONE &amp; FAX</v>
          </cell>
          <cell r="C558">
            <v>7</v>
          </cell>
          <cell r="D558" t="str">
            <v>NEW BUSINESS</v>
          </cell>
          <cell r="E558">
            <v>10416</v>
          </cell>
          <cell r="F558">
            <v>20832</v>
          </cell>
          <cell r="G558">
            <v>31248</v>
          </cell>
          <cell r="H558">
            <v>41664</v>
          </cell>
          <cell r="I558">
            <v>52080</v>
          </cell>
          <cell r="J558">
            <v>62496</v>
          </cell>
          <cell r="K558">
            <v>72912</v>
          </cell>
          <cell r="L558">
            <v>83328</v>
          </cell>
          <cell r="M558">
            <v>93744</v>
          </cell>
          <cell r="N558">
            <v>104160</v>
          </cell>
          <cell r="O558">
            <v>114576</v>
          </cell>
          <cell r="P558">
            <v>125000</v>
          </cell>
          <cell r="Q558">
            <v>125000</v>
          </cell>
        </row>
        <row r="559">
          <cell r="A559" t="str">
            <v>155-10-041</v>
          </cell>
          <cell r="B559" t="str">
            <v>TELEPHONE &amp; FAX</v>
          </cell>
          <cell r="C559">
            <v>8</v>
          </cell>
          <cell r="D559" t="str">
            <v>FINANCE</v>
          </cell>
          <cell r="E559">
            <v>10416</v>
          </cell>
          <cell r="F559">
            <v>20832</v>
          </cell>
          <cell r="G559">
            <v>31248</v>
          </cell>
          <cell r="H559">
            <v>41664</v>
          </cell>
          <cell r="I559">
            <v>52080</v>
          </cell>
          <cell r="J559">
            <v>62496</v>
          </cell>
          <cell r="K559">
            <v>72912</v>
          </cell>
          <cell r="L559">
            <v>83328</v>
          </cell>
          <cell r="M559">
            <v>93744</v>
          </cell>
          <cell r="N559">
            <v>104160</v>
          </cell>
          <cell r="O559">
            <v>114576</v>
          </cell>
          <cell r="P559">
            <v>125000</v>
          </cell>
          <cell r="Q559">
            <v>125000</v>
          </cell>
        </row>
        <row r="560">
          <cell r="A560" t="str">
            <v>155-10-041</v>
          </cell>
          <cell r="B560" t="str">
            <v>TELEPHONE &amp; FAX</v>
          </cell>
          <cell r="C560">
            <v>9</v>
          </cell>
          <cell r="D560" t="str">
            <v>INFORMATION TEC</v>
          </cell>
          <cell r="E560">
            <v>8333</v>
          </cell>
          <cell r="F560">
            <v>16666</v>
          </cell>
          <cell r="G560">
            <v>24999</v>
          </cell>
          <cell r="H560">
            <v>33332</v>
          </cell>
          <cell r="I560">
            <v>41665</v>
          </cell>
          <cell r="J560">
            <v>49998</v>
          </cell>
          <cell r="K560">
            <v>58331</v>
          </cell>
          <cell r="L560">
            <v>66664</v>
          </cell>
          <cell r="M560">
            <v>74997</v>
          </cell>
          <cell r="N560">
            <v>83330</v>
          </cell>
          <cell r="O560">
            <v>91663</v>
          </cell>
          <cell r="P560">
            <v>100000</v>
          </cell>
          <cell r="Q560">
            <v>100000</v>
          </cell>
        </row>
        <row r="561">
          <cell r="A561" t="str">
            <v>155-10-041</v>
          </cell>
          <cell r="B561" t="str">
            <v>TELEPHONE &amp; FAX</v>
          </cell>
          <cell r="C561">
            <v>10</v>
          </cell>
          <cell r="D561" t="str">
            <v>HUMAN RESOURCES</v>
          </cell>
          <cell r="E561">
            <v>4165</v>
          </cell>
          <cell r="F561">
            <v>8330</v>
          </cell>
          <cell r="G561">
            <v>12495</v>
          </cell>
          <cell r="H561">
            <v>16660</v>
          </cell>
          <cell r="I561">
            <v>20825</v>
          </cell>
          <cell r="J561">
            <v>24990</v>
          </cell>
          <cell r="K561">
            <v>29155</v>
          </cell>
          <cell r="L561">
            <v>33320</v>
          </cell>
          <cell r="M561">
            <v>37485</v>
          </cell>
          <cell r="N561">
            <v>41650</v>
          </cell>
          <cell r="O561">
            <v>45815</v>
          </cell>
          <cell r="P561">
            <v>49980</v>
          </cell>
          <cell r="Q561">
            <v>49980</v>
          </cell>
        </row>
        <row r="562">
          <cell r="A562" t="str">
            <v>155-10-044</v>
          </cell>
          <cell r="B562" t="str">
            <v>PROFESSIONAL TRAIN</v>
          </cell>
          <cell r="C562">
            <v>1</v>
          </cell>
          <cell r="D562" t="str">
            <v>EXECUTIVE</v>
          </cell>
          <cell r="E562">
            <v>2700</v>
          </cell>
          <cell r="F562">
            <v>5400</v>
          </cell>
          <cell r="G562">
            <v>8100</v>
          </cell>
          <cell r="H562">
            <v>10800</v>
          </cell>
          <cell r="I562">
            <v>13500</v>
          </cell>
          <cell r="J562">
            <v>16200</v>
          </cell>
          <cell r="K562">
            <v>18900</v>
          </cell>
          <cell r="L562">
            <v>21600</v>
          </cell>
          <cell r="M562">
            <v>24300</v>
          </cell>
          <cell r="N562">
            <v>27000</v>
          </cell>
          <cell r="O562">
            <v>29700</v>
          </cell>
          <cell r="P562">
            <v>32400</v>
          </cell>
          <cell r="Q562">
            <v>32400</v>
          </cell>
        </row>
        <row r="563">
          <cell r="A563" t="str">
            <v>155-10-044</v>
          </cell>
          <cell r="B563" t="str">
            <v>PROFESSIONAL TRAIN</v>
          </cell>
          <cell r="C563">
            <v>3</v>
          </cell>
          <cell r="D563" t="str">
            <v>PREMIUM LIASON</v>
          </cell>
          <cell r="E563">
            <v>4262</v>
          </cell>
          <cell r="F563">
            <v>8524</v>
          </cell>
          <cell r="G563">
            <v>12786</v>
          </cell>
          <cell r="H563">
            <v>17048</v>
          </cell>
          <cell r="I563">
            <v>21310</v>
          </cell>
          <cell r="J563">
            <v>25572</v>
          </cell>
          <cell r="K563">
            <v>29834</v>
          </cell>
          <cell r="L563">
            <v>34096</v>
          </cell>
          <cell r="M563">
            <v>38358</v>
          </cell>
          <cell r="N563">
            <v>42620</v>
          </cell>
          <cell r="O563">
            <v>46882</v>
          </cell>
          <cell r="P563">
            <v>51150</v>
          </cell>
          <cell r="Q563">
            <v>51150</v>
          </cell>
        </row>
        <row r="564">
          <cell r="A564" t="str">
            <v>155-10-044</v>
          </cell>
          <cell r="B564" t="str">
            <v>PROFESSIONAL TRAIN</v>
          </cell>
          <cell r="C564">
            <v>4</v>
          </cell>
          <cell r="D564" t="str">
            <v>CUSTOMER SERVIC</v>
          </cell>
          <cell r="E564">
            <v>12800</v>
          </cell>
          <cell r="F564">
            <v>25600</v>
          </cell>
          <cell r="G564">
            <v>38400</v>
          </cell>
          <cell r="H564">
            <v>51200</v>
          </cell>
          <cell r="I564">
            <v>64000</v>
          </cell>
          <cell r="J564">
            <v>76800</v>
          </cell>
          <cell r="K564">
            <v>89600</v>
          </cell>
          <cell r="L564">
            <v>102400</v>
          </cell>
          <cell r="M564">
            <v>115200</v>
          </cell>
          <cell r="N564">
            <v>128000</v>
          </cell>
          <cell r="O564">
            <v>140800</v>
          </cell>
          <cell r="P564">
            <v>153600</v>
          </cell>
          <cell r="Q564">
            <v>153600</v>
          </cell>
        </row>
        <row r="565">
          <cell r="A565" t="str">
            <v>155-10-044</v>
          </cell>
          <cell r="B565" t="str">
            <v>PROFESSIONAL TRAIN</v>
          </cell>
          <cell r="C565">
            <v>5</v>
          </cell>
          <cell r="D565" t="str">
            <v>PREMIUM ADMINST</v>
          </cell>
          <cell r="E565">
            <v>28393</v>
          </cell>
          <cell r="F565">
            <v>56786</v>
          </cell>
          <cell r="G565">
            <v>85179</v>
          </cell>
          <cell r="H565">
            <v>113572</v>
          </cell>
          <cell r="I565">
            <v>141965</v>
          </cell>
          <cell r="J565">
            <v>170358</v>
          </cell>
          <cell r="K565">
            <v>198751</v>
          </cell>
          <cell r="L565">
            <v>227144</v>
          </cell>
          <cell r="M565">
            <v>255537</v>
          </cell>
          <cell r="N565">
            <v>283930</v>
          </cell>
          <cell r="O565">
            <v>312323</v>
          </cell>
          <cell r="P565">
            <v>340720</v>
          </cell>
          <cell r="Q565">
            <v>340720</v>
          </cell>
        </row>
        <row r="566">
          <cell r="A566" t="str">
            <v>155-10-044</v>
          </cell>
          <cell r="B566" t="str">
            <v>PROFESSIONAL TRAIN</v>
          </cell>
          <cell r="C566">
            <v>6</v>
          </cell>
          <cell r="D566" t="str">
            <v>BENEFITS PAYMEN</v>
          </cell>
          <cell r="E566">
            <v>25983</v>
          </cell>
          <cell r="F566">
            <v>51966</v>
          </cell>
          <cell r="G566">
            <v>77949</v>
          </cell>
          <cell r="H566">
            <v>103932</v>
          </cell>
          <cell r="I566">
            <v>129915</v>
          </cell>
          <cell r="J566">
            <v>155898</v>
          </cell>
          <cell r="K566">
            <v>181881</v>
          </cell>
          <cell r="L566">
            <v>207864</v>
          </cell>
          <cell r="M566">
            <v>233847</v>
          </cell>
          <cell r="N566">
            <v>259830</v>
          </cell>
          <cell r="O566">
            <v>285813</v>
          </cell>
          <cell r="P566">
            <v>311800</v>
          </cell>
          <cell r="Q566">
            <v>311800</v>
          </cell>
        </row>
        <row r="567">
          <cell r="A567" t="str">
            <v>155-10-044</v>
          </cell>
          <cell r="B567" t="str">
            <v>PROFESSIONAL TRAIN</v>
          </cell>
          <cell r="C567">
            <v>7</v>
          </cell>
          <cell r="D567" t="str">
            <v>NEW BUSINESS</v>
          </cell>
          <cell r="E567">
            <v>16985</v>
          </cell>
          <cell r="F567">
            <v>33970</v>
          </cell>
          <cell r="G567">
            <v>50955</v>
          </cell>
          <cell r="H567">
            <v>67940</v>
          </cell>
          <cell r="I567">
            <v>84925</v>
          </cell>
          <cell r="J567">
            <v>101910</v>
          </cell>
          <cell r="K567">
            <v>118895</v>
          </cell>
          <cell r="L567">
            <v>135880</v>
          </cell>
          <cell r="M567">
            <v>152865</v>
          </cell>
          <cell r="N567">
            <v>169850</v>
          </cell>
          <cell r="O567">
            <v>186835</v>
          </cell>
          <cell r="P567">
            <v>203825</v>
          </cell>
          <cell r="Q567">
            <v>203825</v>
          </cell>
        </row>
        <row r="568">
          <cell r="A568" t="str">
            <v>155-10-044</v>
          </cell>
          <cell r="B568" t="str">
            <v>PROFESSIONAL TRAIN</v>
          </cell>
          <cell r="C568">
            <v>8</v>
          </cell>
          <cell r="D568" t="str">
            <v>FINANCE</v>
          </cell>
          <cell r="E568">
            <v>14029</v>
          </cell>
          <cell r="F568">
            <v>28058</v>
          </cell>
          <cell r="G568">
            <v>42087</v>
          </cell>
          <cell r="H568">
            <v>56116</v>
          </cell>
          <cell r="I568">
            <v>70145</v>
          </cell>
          <cell r="J568">
            <v>84174</v>
          </cell>
          <cell r="K568">
            <v>98203</v>
          </cell>
          <cell r="L568">
            <v>112232</v>
          </cell>
          <cell r="M568">
            <v>126261</v>
          </cell>
          <cell r="N568">
            <v>140290</v>
          </cell>
          <cell r="O568">
            <v>154319</v>
          </cell>
          <cell r="P568">
            <v>168350</v>
          </cell>
          <cell r="Q568">
            <v>168350</v>
          </cell>
        </row>
        <row r="569">
          <cell r="A569" t="str">
            <v>155-10-044</v>
          </cell>
          <cell r="B569" t="str">
            <v>PROFESSIONAL TRAIN</v>
          </cell>
          <cell r="C569">
            <v>9</v>
          </cell>
          <cell r="D569" t="str">
            <v>INFORMATION TEC</v>
          </cell>
          <cell r="E569">
            <v>35416</v>
          </cell>
          <cell r="F569">
            <v>70832</v>
          </cell>
          <cell r="G569">
            <v>106248</v>
          </cell>
          <cell r="H569">
            <v>141664</v>
          </cell>
          <cell r="I569">
            <v>177080</v>
          </cell>
          <cell r="J569">
            <v>212496</v>
          </cell>
          <cell r="K569">
            <v>247912</v>
          </cell>
          <cell r="L569">
            <v>283328</v>
          </cell>
          <cell r="M569">
            <v>318744</v>
          </cell>
          <cell r="N569">
            <v>354160</v>
          </cell>
          <cell r="O569">
            <v>389576</v>
          </cell>
          <cell r="P569">
            <v>425000</v>
          </cell>
          <cell r="Q569">
            <v>425000</v>
          </cell>
        </row>
        <row r="570">
          <cell r="A570" t="str">
            <v>155-10-044</v>
          </cell>
          <cell r="B570" t="str">
            <v>PROFESSIONAL TRAIN</v>
          </cell>
          <cell r="C570">
            <v>10</v>
          </cell>
          <cell r="D570" t="str">
            <v>HUMAN RESOURCES</v>
          </cell>
          <cell r="E570">
            <v>2083</v>
          </cell>
          <cell r="F570">
            <v>4166</v>
          </cell>
          <cell r="G570">
            <v>6249</v>
          </cell>
          <cell r="H570">
            <v>8332</v>
          </cell>
          <cell r="I570">
            <v>10415</v>
          </cell>
          <cell r="J570">
            <v>12498</v>
          </cell>
          <cell r="K570">
            <v>14581</v>
          </cell>
          <cell r="L570">
            <v>16664</v>
          </cell>
          <cell r="M570">
            <v>18747</v>
          </cell>
          <cell r="N570">
            <v>20830</v>
          </cell>
          <cell r="O570">
            <v>22913</v>
          </cell>
          <cell r="P570">
            <v>25000</v>
          </cell>
          <cell r="Q570">
            <v>25000</v>
          </cell>
        </row>
        <row r="571">
          <cell r="A571" t="str">
            <v>155-10-046</v>
          </cell>
          <cell r="B571" t="str">
            <v>CLUB MEMBERSHIP-AN</v>
          </cell>
          <cell r="C571">
            <v>1</v>
          </cell>
          <cell r="D571" t="str">
            <v>EXECUTIVE</v>
          </cell>
          <cell r="E571">
            <v>28333</v>
          </cell>
          <cell r="F571">
            <v>56666</v>
          </cell>
          <cell r="G571">
            <v>84999</v>
          </cell>
          <cell r="H571">
            <v>113332</v>
          </cell>
          <cell r="I571">
            <v>141665</v>
          </cell>
          <cell r="J571">
            <v>169998</v>
          </cell>
          <cell r="K571">
            <v>198331</v>
          </cell>
          <cell r="L571">
            <v>226664</v>
          </cell>
          <cell r="M571">
            <v>254997</v>
          </cell>
          <cell r="N571">
            <v>283330</v>
          </cell>
          <cell r="O571">
            <v>311663</v>
          </cell>
          <cell r="P571">
            <v>340000</v>
          </cell>
          <cell r="Q571">
            <v>340000</v>
          </cell>
        </row>
        <row r="572">
          <cell r="A572" t="str">
            <v>155-10-046</v>
          </cell>
          <cell r="B572" t="str">
            <v>CLUB MEMBERSHIP-AN</v>
          </cell>
          <cell r="C572">
            <v>2</v>
          </cell>
          <cell r="D572" t="str">
            <v>OPERATIONS</v>
          </cell>
          <cell r="E572">
            <v>1916</v>
          </cell>
          <cell r="F572">
            <v>3832</v>
          </cell>
          <cell r="G572">
            <v>5748</v>
          </cell>
          <cell r="H572">
            <v>7664</v>
          </cell>
          <cell r="I572">
            <v>9580</v>
          </cell>
          <cell r="J572">
            <v>11496</v>
          </cell>
          <cell r="K572">
            <v>13412</v>
          </cell>
          <cell r="L572">
            <v>15328</v>
          </cell>
          <cell r="M572">
            <v>17244</v>
          </cell>
          <cell r="N572">
            <v>19160</v>
          </cell>
          <cell r="O572">
            <v>21076</v>
          </cell>
          <cell r="P572">
            <v>23000</v>
          </cell>
          <cell r="Q572">
            <v>23000</v>
          </cell>
        </row>
        <row r="573">
          <cell r="A573" t="str">
            <v>155-10-046</v>
          </cell>
          <cell r="B573" t="str">
            <v>CLUB MEMBERSHIP-AN</v>
          </cell>
          <cell r="C573">
            <v>3</v>
          </cell>
          <cell r="D573" t="str">
            <v>PREMIUM LIASON</v>
          </cell>
          <cell r="E573">
            <v>6666</v>
          </cell>
          <cell r="F573">
            <v>13332</v>
          </cell>
          <cell r="G573">
            <v>19998</v>
          </cell>
          <cell r="H573">
            <v>26664</v>
          </cell>
          <cell r="I573">
            <v>33330</v>
          </cell>
          <cell r="J573">
            <v>39996</v>
          </cell>
          <cell r="K573">
            <v>46662</v>
          </cell>
          <cell r="L573">
            <v>53328</v>
          </cell>
          <cell r="M573">
            <v>59994</v>
          </cell>
          <cell r="N573">
            <v>66660</v>
          </cell>
          <cell r="O573">
            <v>73326</v>
          </cell>
          <cell r="P573">
            <v>80000</v>
          </cell>
          <cell r="Q573">
            <v>80000</v>
          </cell>
        </row>
        <row r="574">
          <cell r="A574" t="str">
            <v>155-10-046</v>
          </cell>
          <cell r="B574" t="str">
            <v>CLUB MEMBERSHIP-AN</v>
          </cell>
          <cell r="C574">
            <v>6</v>
          </cell>
          <cell r="D574" t="str">
            <v>BENEFITS PAYMEN</v>
          </cell>
          <cell r="E574">
            <v>6666</v>
          </cell>
          <cell r="F574">
            <v>13332</v>
          </cell>
          <cell r="G574">
            <v>19998</v>
          </cell>
          <cell r="H574">
            <v>26664</v>
          </cell>
          <cell r="I574">
            <v>33330</v>
          </cell>
          <cell r="J574">
            <v>39996</v>
          </cell>
          <cell r="K574">
            <v>46662</v>
          </cell>
          <cell r="L574">
            <v>53328</v>
          </cell>
          <cell r="M574">
            <v>59994</v>
          </cell>
          <cell r="N574">
            <v>66660</v>
          </cell>
          <cell r="O574">
            <v>73326</v>
          </cell>
          <cell r="P574">
            <v>80000</v>
          </cell>
          <cell r="Q574">
            <v>80000</v>
          </cell>
        </row>
        <row r="575">
          <cell r="A575" t="str">
            <v>155-10-046</v>
          </cell>
          <cell r="B575" t="str">
            <v>CLUB MEMBERSHIP-AN</v>
          </cell>
          <cell r="C575">
            <v>8</v>
          </cell>
          <cell r="D575" t="str">
            <v>FINANCE</v>
          </cell>
          <cell r="E575">
            <v>6916</v>
          </cell>
          <cell r="F575">
            <v>13832</v>
          </cell>
          <cell r="G575">
            <v>20748</v>
          </cell>
          <cell r="H575">
            <v>27664</v>
          </cell>
          <cell r="I575">
            <v>34580</v>
          </cell>
          <cell r="J575">
            <v>41496</v>
          </cell>
          <cell r="K575">
            <v>48412</v>
          </cell>
          <cell r="L575">
            <v>55328</v>
          </cell>
          <cell r="M575">
            <v>62244</v>
          </cell>
          <cell r="N575">
            <v>69160</v>
          </cell>
          <cell r="O575">
            <v>76076</v>
          </cell>
          <cell r="P575">
            <v>83000</v>
          </cell>
          <cell r="Q575">
            <v>83000</v>
          </cell>
        </row>
        <row r="576">
          <cell r="A576" t="str">
            <v>155-10-046</v>
          </cell>
          <cell r="B576" t="str">
            <v>CLUB MEMBERSHIP-AN</v>
          </cell>
          <cell r="C576">
            <v>9</v>
          </cell>
          <cell r="D576" t="str">
            <v>INFORMATION TEC</v>
          </cell>
          <cell r="E576">
            <v>10833</v>
          </cell>
          <cell r="F576">
            <v>21666</v>
          </cell>
          <cell r="G576">
            <v>32499</v>
          </cell>
          <cell r="H576">
            <v>43332</v>
          </cell>
          <cell r="I576">
            <v>54165</v>
          </cell>
          <cell r="J576">
            <v>64998</v>
          </cell>
          <cell r="K576">
            <v>75831</v>
          </cell>
          <cell r="L576">
            <v>86664</v>
          </cell>
          <cell r="M576">
            <v>97497</v>
          </cell>
          <cell r="N576">
            <v>108330</v>
          </cell>
          <cell r="O576">
            <v>119163</v>
          </cell>
          <cell r="P576">
            <v>130000</v>
          </cell>
          <cell r="Q576">
            <v>130000</v>
          </cell>
        </row>
        <row r="577">
          <cell r="A577" t="str">
            <v>155-10-054</v>
          </cell>
          <cell r="B577" t="str">
            <v>LEASED LINES-INTER</v>
          </cell>
          <cell r="C577">
            <v>1</v>
          </cell>
          <cell r="D577" t="str">
            <v>EXECUTIVE</v>
          </cell>
          <cell r="E577">
            <v>5060</v>
          </cell>
          <cell r="F577">
            <v>10120</v>
          </cell>
          <cell r="G577">
            <v>15180</v>
          </cell>
          <cell r="H577">
            <v>20240</v>
          </cell>
          <cell r="I577">
            <v>25300</v>
          </cell>
          <cell r="J577">
            <v>30360</v>
          </cell>
          <cell r="K577">
            <v>35420</v>
          </cell>
          <cell r="L577">
            <v>40480</v>
          </cell>
          <cell r="M577">
            <v>45540</v>
          </cell>
          <cell r="N577">
            <v>50600</v>
          </cell>
          <cell r="O577">
            <v>55660</v>
          </cell>
          <cell r="P577">
            <v>60720</v>
          </cell>
          <cell r="Q577">
            <v>60720</v>
          </cell>
        </row>
        <row r="578">
          <cell r="A578" t="str">
            <v>155-10-054</v>
          </cell>
          <cell r="B578" t="str">
            <v>LEASED LINES-INTER</v>
          </cell>
          <cell r="C578">
            <v>9</v>
          </cell>
          <cell r="D578" t="str">
            <v>INFORMATION TEC</v>
          </cell>
          <cell r="E578">
            <v>63916</v>
          </cell>
          <cell r="F578">
            <v>127832</v>
          </cell>
          <cell r="G578">
            <v>191748</v>
          </cell>
          <cell r="H578">
            <v>255664</v>
          </cell>
          <cell r="I578">
            <v>319580</v>
          </cell>
          <cell r="J578">
            <v>383496</v>
          </cell>
          <cell r="K578">
            <v>447412</v>
          </cell>
          <cell r="L578">
            <v>511328</v>
          </cell>
          <cell r="M578">
            <v>575244</v>
          </cell>
          <cell r="N578">
            <v>639160</v>
          </cell>
          <cell r="O578">
            <v>703076</v>
          </cell>
          <cell r="P578">
            <v>767000</v>
          </cell>
          <cell r="Q578">
            <v>767000</v>
          </cell>
        </row>
        <row r="579">
          <cell r="A579" t="str">
            <v>155-10-057</v>
          </cell>
          <cell r="B579" t="str">
            <v>SOFTWARE LICENCES</v>
          </cell>
          <cell r="C579">
            <v>9</v>
          </cell>
          <cell r="D579" t="str">
            <v>INFORMATION</v>
          </cell>
          <cell r="E579">
            <v>13333</v>
          </cell>
          <cell r="F579">
            <v>26666</v>
          </cell>
          <cell r="G579">
            <v>39999</v>
          </cell>
          <cell r="H579">
            <v>53332</v>
          </cell>
          <cell r="I579">
            <v>66665</v>
          </cell>
          <cell r="J579">
            <v>79998</v>
          </cell>
          <cell r="K579">
            <v>93331</v>
          </cell>
          <cell r="L579">
            <v>106664</v>
          </cell>
          <cell r="M579">
            <v>119997</v>
          </cell>
          <cell r="N579">
            <v>133330</v>
          </cell>
          <cell r="O579">
            <v>146663</v>
          </cell>
          <cell r="P579">
            <v>160000</v>
          </cell>
          <cell r="Q579">
            <v>160000</v>
          </cell>
        </row>
        <row r="580">
          <cell r="A580" t="str">
            <v>160-10-010</v>
          </cell>
          <cell r="B580" t="str">
            <v>PREMIUM COLLECTION</v>
          </cell>
          <cell r="C580">
            <v>3</v>
          </cell>
          <cell r="D580" t="str">
            <v>PREM LIASON</v>
          </cell>
          <cell r="E580">
            <v>3078778</v>
          </cell>
          <cell r="F580">
            <v>6157556</v>
          </cell>
          <cell r="G580">
            <v>9236334</v>
          </cell>
          <cell r="H580">
            <v>12315112</v>
          </cell>
          <cell r="I580">
            <v>15393890</v>
          </cell>
          <cell r="J580">
            <v>18472668</v>
          </cell>
          <cell r="K580">
            <v>21551446</v>
          </cell>
          <cell r="L580">
            <v>24630224</v>
          </cell>
          <cell r="M580">
            <v>27709002</v>
          </cell>
          <cell r="N580">
            <v>30787780</v>
          </cell>
          <cell r="O580">
            <v>33866558</v>
          </cell>
          <cell r="P580">
            <v>36945336</v>
          </cell>
          <cell r="Q580">
            <v>36945336</v>
          </cell>
        </row>
      </sheetData>
      <sheetData sheetId="26" refreshError="1"/>
      <sheetData sheetId="27" refreshError="1"/>
      <sheetData sheetId="28" refreshError="1">
        <row r="2">
          <cell r="B2" t="str">
            <v>ACCOUNT</v>
          </cell>
          <cell r="C2" t="str">
            <v>Particulars</v>
          </cell>
          <cell r="D2" t="str">
            <v>Unitcode</v>
          </cell>
          <cell r="E2" t="str">
            <v>Unit</v>
          </cell>
          <cell r="F2" t="str">
            <v>JAN</v>
          </cell>
          <cell r="G2" t="str">
            <v>FEB</v>
          </cell>
          <cell r="H2" t="str">
            <v>MAR</v>
          </cell>
          <cell r="I2" t="str">
            <v>APR</v>
          </cell>
          <cell r="J2" t="str">
            <v>MAY</v>
          </cell>
          <cell r="K2" t="str">
            <v>JUN</v>
          </cell>
          <cell r="L2" t="str">
            <v>JUL</v>
          </cell>
          <cell r="M2" t="str">
            <v>AUG</v>
          </cell>
          <cell r="N2" t="str">
            <v>SEP</v>
          </cell>
          <cell r="O2" t="str">
            <v>OCT</v>
          </cell>
          <cell r="P2" t="str">
            <v>NOV</v>
          </cell>
          <cell r="Q2" t="str">
            <v>DEC</v>
          </cell>
          <cell r="R2" t="str">
            <v>TOTAL</v>
          </cell>
        </row>
        <row r="3">
          <cell r="B3" t="str">
            <v>105-10*</v>
          </cell>
        </row>
        <row r="4">
          <cell r="B4" t="str">
            <v>105-20*</v>
          </cell>
        </row>
        <row r="5">
          <cell r="B5" t="str">
            <v>105-30*</v>
          </cell>
        </row>
        <row r="6">
          <cell r="B6" t="str">
            <v>ACCOUNT</v>
          </cell>
          <cell r="C6" t="str">
            <v>Particulars</v>
          </cell>
          <cell r="D6" t="str">
            <v>Unitcode</v>
          </cell>
          <cell r="E6" t="str">
            <v>Unit</v>
          </cell>
          <cell r="F6" t="str">
            <v>JAN</v>
          </cell>
          <cell r="G6" t="str">
            <v>FEB</v>
          </cell>
          <cell r="H6" t="str">
            <v>MAR</v>
          </cell>
          <cell r="I6" t="str">
            <v>APR</v>
          </cell>
          <cell r="J6" t="str">
            <v>MAY</v>
          </cell>
          <cell r="K6" t="str">
            <v>JUN</v>
          </cell>
          <cell r="L6" t="str">
            <v>JUL</v>
          </cell>
          <cell r="M6" t="str">
            <v>AUG</v>
          </cell>
          <cell r="N6" t="str">
            <v>SEP</v>
          </cell>
          <cell r="O6" t="str">
            <v>OCT</v>
          </cell>
          <cell r="P6" t="str">
            <v>NOV</v>
          </cell>
          <cell r="Q6" t="str">
            <v>DEC</v>
          </cell>
          <cell r="R6" t="str">
            <v>TOTAL</v>
          </cell>
        </row>
        <row r="7">
          <cell r="B7" t="str">
            <v>115-10-010</v>
          </cell>
        </row>
        <row r="8">
          <cell r="B8" t="str">
            <v>ACCOUNT</v>
          </cell>
          <cell r="C8" t="str">
            <v>Particulars</v>
          </cell>
          <cell r="D8" t="str">
            <v>Unitcode</v>
          </cell>
          <cell r="E8" t="str">
            <v>Unit</v>
          </cell>
          <cell r="F8" t="str">
            <v>JAN</v>
          </cell>
          <cell r="G8" t="str">
            <v>FEB</v>
          </cell>
          <cell r="H8" t="str">
            <v>MAR</v>
          </cell>
          <cell r="I8" t="str">
            <v>APR</v>
          </cell>
          <cell r="J8" t="str">
            <v>MAY</v>
          </cell>
          <cell r="K8" t="str">
            <v>JUN</v>
          </cell>
          <cell r="L8" t="str">
            <v>JUL</v>
          </cell>
          <cell r="M8" t="str">
            <v>AUG</v>
          </cell>
          <cell r="N8" t="str">
            <v>SEP</v>
          </cell>
          <cell r="O8" t="str">
            <v>OCT</v>
          </cell>
          <cell r="P8" t="str">
            <v>NOV</v>
          </cell>
          <cell r="Q8" t="str">
            <v>DEC</v>
          </cell>
          <cell r="R8" t="str">
            <v>TOTAL</v>
          </cell>
        </row>
        <row r="9">
          <cell r="B9" t="str">
            <v>115-10-020</v>
          </cell>
        </row>
        <row r="10">
          <cell r="B10" t="str">
            <v>ACCOUNT</v>
          </cell>
          <cell r="C10" t="str">
            <v>Particulars</v>
          </cell>
          <cell r="D10" t="str">
            <v>Unitcode</v>
          </cell>
          <cell r="E10" t="str">
            <v>Unit</v>
          </cell>
          <cell r="F10" t="str">
            <v>JAN</v>
          </cell>
          <cell r="G10" t="str">
            <v>FEB</v>
          </cell>
          <cell r="H10" t="str">
            <v>MAR</v>
          </cell>
          <cell r="I10" t="str">
            <v>APR</v>
          </cell>
          <cell r="J10" t="str">
            <v>MAY</v>
          </cell>
          <cell r="K10" t="str">
            <v>JUN</v>
          </cell>
          <cell r="L10" t="str">
            <v>JUL</v>
          </cell>
          <cell r="M10" t="str">
            <v>AUG</v>
          </cell>
          <cell r="N10" t="str">
            <v>SEP</v>
          </cell>
          <cell r="O10" t="str">
            <v>OCT</v>
          </cell>
          <cell r="P10" t="str">
            <v>NOV</v>
          </cell>
          <cell r="Q10" t="str">
            <v>DEC</v>
          </cell>
          <cell r="R10" t="str">
            <v>TOTAL</v>
          </cell>
        </row>
        <row r="11">
          <cell r="B11" t="str">
            <v>115-10-030</v>
          </cell>
        </row>
        <row r="12">
          <cell r="B12" t="str">
            <v>ACCOUNT</v>
          </cell>
          <cell r="C12" t="str">
            <v>Particulars</v>
          </cell>
          <cell r="D12" t="str">
            <v>Unitcode</v>
          </cell>
          <cell r="E12" t="str">
            <v>Unit</v>
          </cell>
          <cell r="F12" t="str">
            <v>JAN</v>
          </cell>
          <cell r="G12" t="str">
            <v>FEB</v>
          </cell>
          <cell r="H12" t="str">
            <v>MAR</v>
          </cell>
          <cell r="I12" t="str">
            <v>APR</v>
          </cell>
          <cell r="J12" t="str">
            <v>MAY</v>
          </cell>
          <cell r="K12" t="str">
            <v>JUN</v>
          </cell>
          <cell r="L12" t="str">
            <v>JUL</v>
          </cell>
          <cell r="M12" t="str">
            <v>AUG</v>
          </cell>
          <cell r="N12" t="str">
            <v>SEP</v>
          </cell>
          <cell r="O12" t="str">
            <v>OCT</v>
          </cell>
          <cell r="P12" t="str">
            <v>NOV</v>
          </cell>
          <cell r="Q12" t="str">
            <v>DEC</v>
          </cell>
          <cell r="R12" t="str">
            <v>TOTAL</v>
          </cell>
        </row>
        <row r="13">
          <cell r="B13" t="str">
            <v>115-10-040</v>
          </cell>
        </row>
        <row r="14">
          <cell r="B14" t="str">
            <v>ACCOUNT</v>
          </cell>
          <cell r="C14" t="str">
            <v>Particulars</v>
          </cell>
          <cell r="D14" t="str">
            <v>Unitcode</v>
          </cell>
          <cell r="E14" t="str">
            <v>Unit</v>
          </cell>
          <cell r="F14" t="str">
            <v>JAN</v>
          </cell>
          <cell r="G14" t="str">
            <v>FEB</v>
          </cell>
          <cell r="H14" t="str">
            <v>MAR</v>
          </cell>
          <cell r="I14" t="str">
            <v>APR</v>
          </cell>
          <cell r="J14" t="str">
            <v>MAY</v>
          </cell>
          <cell r="K14" t="str">
            <v>JUN</v>
          </cell>
          <cell r="L14" t="str">
            <v>JUL</v>
          </cell>
          <cell r="M14" t="str">
            <v>AUG</v>
          </cell>
          <cell r="N14" t="str">
            <v>SEP</v>
          </cell>
          <cell r="O14" t="str">
            <v>OCT</v>
          </cell>
          <cell r="P14" t="str">
            <v>NOV</v>
          </cell>
          <cell r="Q14" t="str">
            <v>DEC</v>
          </cell>
          <cell r="R14" t="str">
            <v>TOTAL</v>
          </cell>
        </row>
        <row r="15">
          <cell r="B15" t="str">
            <v>115-10-051</v>
          </cell>
        </row>
        <row r="16">
          <cell r="B16" t="str">
            <v>115-10-050</v>
          </cell>
        </row>
        <row r="17">
          <cell r="B17" t="str">
            <v>ACCOUNT</v>
          </cell>
          <cell r="C17" t="str">
            <v>Particulars</v>
          </cell>
          <cell r="D17" t="str">
            <v>Unitcode</v>
          </cell>
          <cell r="E17" t="str">
            <v>Unit</v>
          </cell>
          <cell r="F17" t="str">
            <v>JAN</v>
          </cell>
          <cell r="G17" t="str">
            <v>FEB</v>
          </cell>
          <cell r="H17" t="str">
            <v>MAR</v>
          </cell>
          <cell r="I17" t="str">
            <v>APR</v>
          </cell>
          <cell r="J17" t="str">
            <v>MAY</v>
          </cell>
          <cell r="K17" t="str">
            <v>JUN</v>
          </cell>
          <cell r="L17" t="str">
            <v>JUL</v>
          </cell>
          <cell r="M17" t="str">
            <v>AUG</v>
          </cell>
          <cell r="N17" t="str">
            <v>SEP</v>
          </cell>
          <cell r="O17" t="str">
            <v>OCT</v>
          </cell>
          <cell r="P17" t="str">
            <v>NOV</v>
          </cell>
          <cell r="Q17" t="str">
            <v>DEC</v>
          </cell>
          <cell r="R17" t="str">
            <v>TOTAL</v>
          </cell>
        </row>
        <row r="18">
          <cell r="B18" t="str">
            <v>115-10-060</v>
          </cell>
        </row>
        <row r="19">
          <cell r="B19" t="str">
            <v>ACCOUNT</v>
          </cell>
          <cell r="C19" t="str">
            <v>Particulars</v>
          </cell>
          <cell r="D19" t="str">
            <v>Unitcode</v>
          </cell>
          <cell r="E19" t="str">
            <v>Unit</v>
          </cell>
          <cell r="F19" t="str">
            <v>JAN</v>
          </cell>
          <cell r="G19" t="str">
            <v>FEB</v>
          </cell>
          <cell r="H19" t="str">
            <v>MAR</v>
          </cell>
          <cell r="I19" t="str">
            <v>APR</v>
          </cell>
          <cell r="J19" t="str">
            <v>MAY</v>
          </cell>
          <cell r="K19" t="str">
            <v>JUN</v>
          </cell>
          <cell r="L19" t="str">
            <v>JUL</v>
          </cell>
          <cell r="M19" t="str">
            <v>AUG</v>
          </cell>
          <cell r="N19" t="str">
            <v>SEP</v>
          </cell>
          <cell r="O19" t="str">
            <v>OCT</v>
          </cell>
          <cell r="P19" t="str">
            <v>NOV</v>
          </cell>
          <cell r="Q19" t="str">
            <v>DEC</v>
          </cell>
          <cell r="R19" t="str">
            <v>TOTAL</v>
          </cell>
        </row>
        <row r="20">
          <cell r="B20" t="str">
            <v>115-10-070</v>
          </cell>
        </row>
        <row r="21">
          <cell r="B21" t="str">
            <v>ACCOUNT</v>
          </cell>
          <cell r="C21" t="str">
            <v>Particulars</v>
          </cell>
          <cell r="D21" t="str">
            <v>Unitcode</v>
          </cell>
          <cell r="E21" t="str">
            <v>Unit</v>
          </cell>
          <cell r="F21" t="str">
            <v>JAN</v>
          </cell>
          <cell r="G21" t="str">
            <v>FEB</v>
          </cell>
          <cell r="H21" t="str">
            <v>MAR</v>
          </cell>
          <cell r="I21" t="str">
            <v>APR</v>
          </cell>
          <cell r="J21" t="str">
            <v>MAY</v>
          </cell>
          <cell r="K21" t="str">
            <v>JUN</v>
          </cell>
          <cell r="L21" t="str">
            <v>JUL</v>
          </cell>
          <cell r="M21" t="str">
            <v>AUG</v>
          </cell>
          <cell r="N21" t="str">
            <v>SEP</v>
          </cell>
          <cell r="O21" t="str">
            <v>OCT</v>
          </cell>
          <cell r="P21" t="str">
            <v>NOV</v>
          </cell>
          <cell r="Q21" t="str">
            <v>DEC</v>
          </cell>
          <cell r="R21" t="str">
            <v>TOTAL</v>
          </cell>
        </row>
        <row r="22">
          <cell r="B22" t="str">
            <v>115-10-080</v>
          </cell>
        </row>
        <row r="25">
          <cell r="B25" t="str">
            <v>ACCOUNT</v>
          </cell>
          <cell r="C25" t="str">
            <v>Particulars</v>
          </cell>
          <cell r="D25" t="str">
            <v>Unitcode</v>
          </cell>
          <cell r="E25" t="str">
            <v>Unit</v>
          </cell>
          <cell r="F25" t="str">
            <v>JAN</v>
          </cell>
          <cell r="G25" t="str">
            <v>FEB</v>
          </cell>
          <cell r="H25" t="str">
            <v>MAR</v>
          </cell>
          <cell r="I25" t="str">
            <v>APR</v>
          </cell>
          <cell r="J25" t="str">
            <v>MAY</v>
          </cell>
          <cell r="K25" t="str">
            <v>JUN</v>
          </cell>
          <cell r="L25" t="str">
            <v>JUL</v>
          </cell>
          <cell r="M25" t="str">
            <v>AUG</v>
          </cell>
          <cell r="N25" t="str">
            <v>SEP</v>
          </cell>
          <cell r="O25" t="str">
            <v>OCT</v>
          </cell>
          <cell r="P25" t="str">
            <v>NOV</v>
          </cell>
          <cell r="Q25" t="str">
            <v>DEC</v>
          </cell>
          <cell r="R25" t="str">
            <v>TOTAL</v>
          </cell>
        </row>
        <row r="26">
          <cell r="B26" t="str">
            <v>125-10-010</v>
          </cell>
        </row>
        <row r="27">
          <cell r="B27" t="str">
            <v>ACCOUNT</v>
          </cell>
          <cell r="C27" t="str">
            <v>Particulars</v>
          </cell>
          <cell r="D27" t="str">
            <v>Unitcode</v>
          </cell>
          <cell r="E27" t="str">
            <v>Unit</v>
          </cell>
          <cell r="F27" t="str">
            <v>JAN</v>
          </cell>
          <cell r="G27" t="str">
            <v>FEB</v>
          </cell>
          <cell r="H27" t="str">
            <v>MAR</v>
          </cell>
          <cell r="I27" t="str">
            <v>APR</v>
          </cell>
          <cell r="J27" t="str">
            <v>MAY</v>
          </cell>
          <cell r="K27" t="str">
            <v>JUN</v>
          </cell>
          <cell r="L27" t="str">
            <v>JUL</v>
          </cell>
          <cell r="M27" t="str">
            <v>AUG</v>
          </cell>
          <cell r="N27" t="str">
            <v>SEP</v>
          </cell>
          <cell r="O27" t="str">
            <v>OCT</v>
          </cell>
          <cell r="P27" t="str">
            <v>NOV</v>
          </cell>
          <cell r="Q27" t="str">
            <v>DEC</v>
          </cell>
          <cell r="R27" t="str">
            <v>TOTAL</v>
          </cell>
        </row>
        <row r="28">
          <cell r="B28" t="str">
            <v>125-10-020</v>
          </cell>
        </row>
        <row r="29">
          <cell r="B29" t="str">
            <v>ACCOUNT</v>
          </cell>
          <cell r="C29" t="str">
            <v>Particulars</v>
          </cell>
          <cell r="D29" t="str">
            <v>Unitcode</v>
          </cell>
          <cell r="E29" t="str">
            <v>Unit</v>
          </cell>
          <cell r="F29" t="str">
            <v>JAN</v>
          </cell>
          <cell r="G29" t="str">
            <v>FEB</v>
          </cell>
          <cell r="H29" t="str">
            <v>MAR</v>
          </cell>
          <cell r="I29" t="str">
            <v>APR</v>
          </cell>
          <cell r="J29" t="str">
            <v>MAY</v>
          </cell>
          <cell r="K29" t="str">
            <v>JUN</v>
          </cell>
          <cell r="L29" t="str">
            <v>JUL</v>
          </cell>
          <cell r="M29" t="str">
            <v>AUG</v>
          </cell>
          <cell r="N29" t="str">
            <v>SEP</v>
          </cell>
          <cell r="O29" t="str">
            <v>OCT</v>
          </cell>
          <cell r="P29" t="str">
            <v>NOV</v>
          </cell>
          <cell r="Q29" t="str">
            <v>DEC</v>
          </cell>
          <cell r="R29" t="str">
            <v>TOTAL</v>
          </cell>
        </row>
        <row r="30">
          <cell r="B30" t="str">
            <v>125-10-030</v>
          </cell>
        </row>
        <row r="47">
          <cell r="B47" t="str">
            <v>ACCOUNT</v>
          </cell>
          <cell r="C47" t="str">
            <v>Particulars</v>
          </cell>
          <cell r="D47" t="str">
            <v>Unitcode</v>
          </cell>
          <cell r="E47" t="str">
            <v>Unit</v>
          </cell>
          <cell r="F47" t="str">
            <v>JAN</v>
          </cell>
          <cell r="G47" t="str">
            <v>FEB</v>
          </cell>
          <cell r="H47" t="str">
            <v>MAR</v>
          </cell>
          <cell r="I47" t="str">
            <v>APR</v>
          </cell>
          <cell r="J47" t="str">
            <v>MAY</v>
          </cell>
          <cell r="K47" t="str">
            <v>JUN</v>
          </cell>
          <cell r="L47" t="str">
            <v>JUL</v>
          </cell>
          <cell r="M47" t="str">
            <v>AUG</v>
          </cell>
          <cell r="N47" t="str">
            <v>SEP</v>
          </cell>
          <cell r="O47" t="str">
            <v>OCT</v>
          </cell>
          <cell r="P47" t="str">
            <v>NOV</v>
          </cell>
          <cell r="Q47" t="str">
            <v>DEC</v>
          </cell>
          <cell r="R47" t="str">
            <v>TOTAL</v>
          </cell>
        </row>
        <row r="48">
          <cell r="B48" t="str">
            <v>145-10-010</v>
          </cell>
        </row>
        <row r="49">
          <cell r="B49" t="str">
            <v>ACCOUNT</v>
          </cell>
          <cell r="C49" t="str">
            <v>Particulars</v>
          </cell>
          <cell r="D49" t="str">
            <v>Unitcode</v>
          </cell>
          <cell r="E49" t="str">
            <v>Unit</v>
          </cell>
          <cell r="F49" t="str">
            <v>JAN</v>
          </cell>
          <cell r="G49" t="str">
            <v>FEB</v>
          </cell>
          <cell r="H49" t="str">
            <v>MAR</v>
          </cell>
          <cell r="I49" t="str">
            <v>APR</v>
          </cell>
          <cell r="J49" t="str">
            <v>MAY</v>
          </cell>
          <cell r="K49" t="str">
            <v>JUN</v>
          </cell>
          <cell r="L49" t="str">
            <v>JUL</v>
          </cell>
          <cell r="M49" t="str">
            <v>AUG</v>
          </cell>
          <cell r="N49" t="str">
            <v>SEP</v>
          </cell>
          <cell r="O49" t="str">
            <v>OCT</v>
          </cell>
          <cell r="P49" t="str">
            <v>NOV</v>
          </cell>
          <cell r="Q49" t="str">
            <v>DEC</v>
          </cell>
          <cell r="R49" t="str">
            <v>TOTAL</v>
          </cell>
        </row>
        <row r="50">
          <cell r="B50" t="str">
            <v>145-10-020</v>
          </cell>
        </row>
        <row r="51">
          <cell r="B51" t="str">
            <v>ACCOUNT</v>
          </cell>
          <cell r="C51" t="str">
            <v>Particulars</v>
          </cell>
          <cell r="D51" t="str">
            <v>Unitcode</v>
          </cell>
          <cell r="E51" t="str">
            <v>Unit</v>
          </cell>
          <cell r="F51" t="str">
            <v>JAN</v>
          </cell>
          <cell r="G51" t="str">
            <v>FEB</v>
          </cell>
          <cell r="H51" t="str">
            <v>MAR</v>
          </cell>
          <cell r="I51" t="str">
            <v>APR</v>
          </cell>
          <cell r="J51" t="str">
            <v>MAY</v>
          </cell>
          <cell r="K51" t="str">
            <v>JUN</v>
          </cell>
          <cell r="L51" t="str">
            <v>JUL</v>
          </cell>
          <cell r="M51" t="str">
            <v>AUG</v>
          </cell>
          <cell r="N51" t="str">
            <v>SEP</v>
          </cell>
          <cell r="O51" t="str">
            <v>OCT</v>
          </cell>
          <cell r="P51" t="str">
            <v>NOV</v>
          </cell>
          <cell r="Q51" t="str">
            <v>DEC</v>
          </cell>
          <cell r="R51" t="str">
            <v>TOTAL</v>
          </cell>
        </row>
        <row r="52">
          <cell r="B52" t="str">
            <v>145-10-030</v>
          </cell>
        </row>
        <row r="53">
          <cell r="B53" t="str">
            <v>ACCOUNT</v>
          </cell>
          <cell r="C53" t="str">
            <v>Particulars</v>
          </cell>
          <cell r="D53" t="str">
            <v>Unitcode</v>
          </cell>
          <cell r="E53" t="str">
            <v>Unit</v>
          </cell>
          <cell r="F53" t="str">
            <v>JAN</v>
          </cell>
          <cell r="G53" t="str">
            <v>FEB</v>
          </cell>
          <cell r="H53" t="str">
            <v>MAR</v>
          </cell>
          <cell r="I53" t="str">
            <v>APR</v>
          </cell>
          <cell r="J53" t="str">
            <v>MAY</v>
          </cell>
          <cell r="K53" t="str">
            <v>JUN</v>
          </cell>
          <cell r="L53" t="str">
            <v>JUL</v>
          </cell>
          <cell r="M53" t="str">
            <v>AUG</v>
          </cell>
          <cell r="N53" t="str">
            <v>SEP</v>
          </cell>
          <cell r="O53" t="str">
            <v>OCT</v>
          </cell>
          <cell r="P53" t="str">
            <v>NOV</v>
          </cell>
          <cell r="Q53" t="str">
            <v>DEC</v>
          </cell>
          <cell r="R53" t="str">
            <v>TOTAL</v>
          </cell>
        </row>
        <row r="54">
          <cell r="B54" t="str">
            <v>145-10-040</v>
          </cell>
        </row>
        <row r="55">
          <cell r="B55" t="str">
            <v>ACCOUNT</v>
          </cell>
          <cell r="C55" t="str">
            <v>Particulars</v>
          </cell>
          <cell r="D55" t="str">
            <v>Unitcode</v>
          </cell>
          <cell r="E55" t="str">
            <v>Unit</v>
          </cell>
          <cell r="F55" t="str">
            <v>JAN</v>
          </cell>
          <cell r="G55" t="str">
            <v>FEB</v>
          </cell>
          <cell r="H55" t="str">
            <v>MAR</v>
          </cell>
          <cell r="I55" t="str">
            <v>APR</v>
          </cell>
          <cell r="J55" t="str">
            <v>MAY</v>
          </cell>
          <cell r="K55" t="str">
            <v>JUN</v>
          </cell>
          <cell r="L55" t="str">
            <v>JUL</v>
          </cell>
          <cell r="M55" t="str">
            <v>AUG</v>
          </cell>
          <cell r="N55" t="str">
            <v>SEP</v>
          </cell>
          <cell r="O55" t="str">
            <v>OCT</v>
          </cell>
          <cell r="P55" t="str">
            <v>NOV</v>
          </cell>
          <cell r="Q55" t="str">
            <v>DEC</v>
          </cell>
          <cell r="R55" t="str">
            <v>TOTAL</v>
          </cell>
        </row>
        <row r="56">
          <cell r="B56" t="str">
            <v>145-10-050</v>
          </cell>
        </row>
        <row r="57">
          <cell r="B57" t="str">
            <v>ACCOUNT</v>
          </cell>
          <cell r="C57" t="str">
            <v>Particulars</v>
          </cell>
          <cell r="D57" t="str">
            <v>Unitcode</v>
          </cell>
          <cell r="E57" t="str">
            <v>Unit</v>
          </cell>
          <cell r="F57" t="str">
            <v>JAN</v>
          </cell>
          <cell r="G57" t="str">
            <v>FEB</v>
          </cell>
          <cell r="H57" t="str">
            <v>MAR</v>
          </cell>
          <cell r="I57" t="str">
            <v>APR</v>
          </cell>
          <cell r="J57" t="str">
            <v>MAY</v>
          </cell>
          <cell r="K57" t="str">
            <v>JUN</v>
          </cell>
          <cell r="L57" t="str">
            <v>JUL</v>
          </cell>
          <cell r="M57" t="str">
            <v>AUG</v>
          </cell>
          <cell r="N57" t="str">
            <v>SEP</v>
          </cell>
          <cell r="O57" t="str">
            <v>OCT</v>
          </cell>
          <cell r="P57" t="str">
            <v>NOV</v>
          </cell>
          <cell r="Q57" t="str">
            <v>DEC</v>
          </cell>
          <cell r="R57" t="str">
            <v>TOTAL</v>
          </cell>
        </row>
        <row r="58">
          <cell r="B58" t="str">
            <v>145-10-060</v>
          </cell>
        </row>
        <row r="63">
          <cell r="B63" t="str">
            <v>ACCOUNT</v>
          </cell>
          <cell r="C63" t="str">
            <v>Particulars</v>
          </cell>
          <cell r="D63" t="str">
            <v>Unitcode</v>
          </cell>
          <cell r="E63" t="str">
            <v>Unit</v>
          </cell>
          <cell r="F63" t="str">
            <v>JAN</v>
          </cell>
          <cell r="G63" t="str">
            <v>FEB</v>
          </cell>
          <cell r="H63" t="str">
            <v>MAR</v>
          </cell>
          <cell r="I63" t="str">
            <v>APR</v>
          </cell>
          <cell r="J63" t="str">
            <v>MAY</v>
          </cell>
          <cell r="K63" t="str">
            <v>JUN</v>
          </cell>
          <cell r="L63" t="str">
            <v>JUL</v>
          </cell>
          <cell r="M63" t="str">
            <v>AUG</v>
          </cell>
          <cell r="N63" t="str">
            <v>SEP</v>
          </cell>
          <cell r="O63" t="str">
            <v>OCT</v>
          </cell>
          <cell r="P63" t="str">
            <v>NOV</v>
          </cell>
          <cell r="Q63" t="str">
            <v>DEC</v>
          </cell>
          <cell r="R63" t="str">
            <v>TOTAL</v>
          </cell>
        </row>
        <row r="64">
          <cell r="B64" t="str">
            <v>145-10-110</v>
          </cell>
        </row>
        <row r="65">
          <cell r="B65" t="str">
            <v>ACCOUNT</v>
          </cell>
          <cell r="C65" t="str">
            <v>Particulars</v>
          </cell>
          <cell r="D65" t="str">
            <v>Unitcode</v>
          </cell>
          <cell r="E65" t="str">
            <v>Unit</v>
          </cell>
          <cell r="F65" t="str">
            <v>JAN</v>
          </cell>
          <cell r="G65" t="str">
            <v>FEB</v>
          </cell>
          <cell r="H65" t="str">
            <v>MAR</v>
          </cell>
          <cell r="I65" t="str">
            <v>APR</v>
          </cell>
          <cell r="J65" t="str">
            <v>MAY</v>
          </cell>
          <cell r="K65" t="str">
            <v>JUN</v>
          </cell>
          <cell r="L65" t="str">
            <v>JUL</v>
          </cell>
          <cell r="M65" t="str">
            <v>AUG</v>
          </cell>
          <cell r="N65" t="str">
            <v>SEP</v>
          </cell>
          <cell r="O65" t="str">
            <v>OCT</v>
          </cell>
          <cell r="P65" t="str">
            <v>NOV</v>
          </cell>
          <cell r="Q65" t="str">
            <v>DEC</v>
          </cell>
          <cell r="R65" t="str">
            <v>TOTAL</v>
          </cell>
        </row>
        <row r="66">
          <cell r="B66" t="str">
            <v>155-10-007</v>
          </cell>
        </row>
        <row r="67">
          <cell r="B67" t="str">
            <v>ACCOUNT</v>
          </cell>
          <cell r="C67" t="str">
            <v>Particulars</v>
          </cell>
          <cell r="D67" t="str">
            <v>Unitcode</v>
          </cell>
          <cell r="E67" t="str">
            <v>Unit</v>
          </cell>
          <cell r="F67" t="str">
            <v>JAN</v>
          </cell>
          <cell r="G67" t="str">
            <v>FEB</v>
          </cell>
          <cell r="H67" t="str">
            <v>MAR</v>
          </cell>
          <cell r="I67" t="str">
            <v>APR</v>
          </cell>
          <cell r="J67" t="str">
            <v>MAY</v>
          </cell>
          <cell r="K67" t="str">
            <v>JUN</v>
          </cell>
          <cell r="L67" t="str">
            <v>JUL</v>
          </cell>
          <cell r="M67" t="str">
            <v>AUG</v>
          </cell>
          <cell r="N67" t="str">
            <v>SEP</v>
          </cell>
          <cell r="O67" t="str">
            <v>OCT</v>
          </cell>
          <cell r="P67" t="str">
            <v>NOV</v>
          </cell>
          <cell r="Q67" t="str">
            <v>DEC</v>
          </cell>
          <cell r="R67" t="str">
            <v>TOTAL</v>
          </cell>
        </row>
        <row r="68">
          <cell r="B68" t="str">
            <v>155-10-008</v>
          </cell>
        </row>
        <row r="69">
          <cell r="B69" t="str">
            <v>ACCOUNT</v>
          </cell>
          <cell r="C69" t="str">
            <v>Particulars</v>
          </cell>
          <cell r="D69" t="str">
            <v>Unitcode</v>
          </cell>
          <cell r="E69" t="str">
            <v>Unit</v>
          </cell>
          <cell r="F69" t="str">
            <v>JAN</v>
          </cell>
          <cell r="G69" t="str">
            <v>FEB</v>
          </cell>
          <cell r="H69" t="str">
            <v>MAR</v>
          </cell>
          <cell r="I69" t="str">
            <v>APR</v>
          </cell>
          <cell r="J69" t="str">
            <v>MAY</v>
          </cell>
          <cell r="K69" t="str">
            <v>JUN</v>
          </cell>
          <cell r="L69" t="str">
            <v>JUL</v>
          </cell>
          <cell r="M69" t="str">
            <v>AUG</v>
          </cell>
          <cell r="N69" t="str">
            <v>SEP</v>
          </cell>
          <cell r="O69" t="str">
            <v>OCT</v>
          </cell>
          <cell r="P69" t="str">
            <v>NOV</v>
          </cell>
          <cell r="Q69" t="str">
            <v>DEC</v>
          </cell>
          <cell r="R69" t="str">
            <v>TOTAL</v>
          </cell>
        </row>
        <row r="70">
          <cell r="B70" t="str">
            <v>155-10-009</v>
          </cell>
        </row>
        <row r="71">
          <cell r="B71" t="str">
            <v>ACCOUNT</v>
          </cell>
          <cell r="C71" t="str">
            <v>Particulars</v>
          </cell>
          <cell r="D71" t="str">
            <v>Unitcode</v>
          </cell>
          <cell r="E71" t="str">
            <v>Unit</v>
          </cell>
          <cell r="F71" t="str">
            <v>JAN</v>
          </cell>
          <cell r="G71" t="str">
            <v>FEB</v>
          </cell>
          <cell r="H71" t="str">
            <v>MAR</v>
          </cell>
          <cell r="I71" t="str">
            <v>APR</v>
          </cell>
          <cell r="J71" t="str">
            <v>MAY</v>
          </cell>
          <cell r="K71" t="str">
            <v>JUN</v>
          </cell>
          <cell r="L71" t="str">
            <v>JUL</v>
          </cell>
          <cell r="M71" t="str">
            <v>AUG</v>
          </cell>
          <cell r="N71" t="str">
            <v>SEP</v>
          </cell>
          <cell r="O71" t="str">
            <v>OCT</v>
          </cell>
          <cell r="P71" t="str">
            <v>NOV</v>
          </cell>
          <cell r="Q71" t="str">
            <v>DEC</v>
          </cell>
          <cell r="R71" t="str">
            <v>TOTAL</v>
          </cell>
        </row>
        <row r="72">
          <cell r="B72" t="str">
            <v>155-10-010</v>
          </cell>
        </row>
        <row r="73">
          <cell r="B73" t="str">
            <v>ACCOUNT</v>
          </cell>
          <cell r="C73" t="str">
            <v>Particulars</v>
          </cell>
          <cell r="D73" t="str">
            <v>Unitcode</v>
          </cell>
          <cell r="E73" t="str">
            <v>Unit</v>
          </cell>
          <cell r="F73" t="str">
            <v>JAN</v>
          </cell>
          <cell r="G73" t="str">
            <v>FEB</v>
          </cell>
          <cell r="H73" t="str">
            <v>MAR</v>
          </cell>
          <cell r="I73" t="str">
            <v>APR</v>
          </cell>
          <cell r="J73" t="str">
            <v>MAY</v>
          </cell>
          <cell r="K73" t="str">
            <v>JUN</v>
          </cell>
          <cell r="L73" t="str">
            <v>JUL</v>
          </cell>
          <cell r="M73" t="str">
            <v>AUG</v>
          </cell>
          <cell r="N73" t="str">
            <v>SEP</v>
          </cell>
          <cell r="O73" t="str">
            <v>OCT</v>
          </cell>
          <cell r="P73" t="str">
            <v>NOV</v>
          </cell>
          <cell r="Q73" t="str">
            <v>DEC</v>
          </cell>
          <cell r="R73" t="str">
            <v>TOTAL</v>
          </cell>
        </row>
        <row r="74">
          <cell r="B74" t="str">
            <v>155-10-012</v>
          </cell>
        </row>
        <row r="75">
          <cell r="B75" t="str">
            <v>ACCOUNT</v>
          </cell>
          <cell r="C75" t="str">
            <v>Particulars</v>
          </cell>
          <cell r="D75" t="str">
            <v>Unitcode</v>
          </cell>
          <cell r="E75" t="str">
            <v>Unit</v>
          </cell>
          <cell r="F75" t="str">
            <v>JAN</v>
          </cell>
          <cell r="G75" t="str">
            <v>FEB</v>
          </cell>
          <cell r="H75" t="str">
            <v>MAR</v>
          </cell>
          <cell r="I75" t="str">
            <v>APR</v>
          </cell>
          <cell r="J75" t="str">
            <v>MAY</v>
          </cell>
          <cell r="K75" t="str">
            <v>JUN</v>
          </cell>
          <cell r="L75" t="str">
            <v>JUL</v>
          </cell>
          <cell r="M75" t="str">
            <v>AUG</v>
          </cell>
          <cell r="N75" t="str">
            <v>SEP</v>
          </cell>
          <cell r="O75" t="str">
            <v>OCT</v>
          </cell>
          <cell r="P75" t="str">
            <v>NOV</v>
          </cell>
          <cell r="Q75" t="str">
            <v>DEC</v>
          </cell>
          <cell r="R75" t="str">
            <v>TOTAL</v>
          </cell>
        </row>
        <row r="76">
          <cell r="B76" t="str">
            <v>155-10-013</v>
          </cell>
        </row>
        <row r="77">
          <cell r="B77" t="str">
            <v>ACCOUNT</v>
          </cell>
          <cell r="C77" t="str">
            <v>Particulars</v>
          </cell>
          <cell r="D77" t="str">
            <v>Unitcode</v>
          </cell>
          <cell r="E77" t="str">
            <v>Unit</v>
          </cell>
          <cell r="F77" t="str">
            <v>JAN</v>
          </cell>
          <cell r="G77" t="str">
            <v>FEB</v>
          </cell>
          <cell r="H77" t="str">
            <v>MAR</v>
          </cell>
          <cell r="I77" t="str">
            <v>APR</v>
          </cell>
          <cell r="J77" t="str">
            <v>MAY</v>
          </cell>
          <cell r="K77" t="str">
            <v>JUN</v>
          </cell>
          <cell r="L77" t="str">
            <v>JUL</v>
          </cell>
          <cell r="M77" t="str">
            <v>AUG</v>
          </cell>
          <cell r="N77" t="str">
            <v>SEP</v>
          </cell>
          <cell r="O77" t="str">
            <v>OCT</v>
          </cell>
          <cell r="P77" t="str">
            <v>NOV</v>
          </cell>
          <cell r="Q77" t="str">
            <v>DEC</v>
          </cell>
          <cell r="R77" t="str">
            <v>TOTAL</v>
          </cell>
        </row>
        <row r="78">
          <cell r="B78" t="str">
            <v>155-10-014</v>
          </cell>
        </row>
        <row r="79">
          <cell r="B79" t="str">
            <v>ACCOUNT</v>
          </cell>
          <cell r="C79" t="str">
            <v>Particulars</v>
          </cell>
          <cell r="D79" t="str">
            <v>Unitcode</v>
          </cell>
          <cell r="E79" t="str">
            <v>Unit</v>
          </cell>
          <cell r="F79" t="str">
            <v>JAN</v>
          </cell>
          <cell r="G79" t="str">
            <v>FEB</v>
          </cell>
          <cell r="H79" t="str">
            <v>MAR</v>
          </cell>
          <cell r="I79" t="str">
            <v>APR</v>
          </cell>
          <cell r="J79" t="str">
            <v>MAY</v>
          </cell>
          <cell r="K79" t="str">
            <v>JUN</v>
          </cell>
          <cell r="L79" t="str">
            <v>JUL</v>
          </cell>
          <cell r="M79" t="str">
            <v>AUG</v>
          </cell>
          <cell r="N79" t="str">
            <v>SEP</v>
          </cell>
          <cell r="O79" t="str">
            <v>OCT</v>
          </cell>
          <cell r="P79" t="str">
            <v>NOV</v>
          </cell>
          <cell r="Q79" t="str">
            <v>DEC</v>
          </cell>
          <cell r="R79" t="str">
            <v>TOTAL</v>
          </cell>
        </row>
        <row r="80">
          <cell r="B80" t="str">
            <v>155-10-015</v>
          </cell>
        </row>
        <row r="81">
          <cell r="B81" t="str">
            <v>ACCOUNT</v>
          </cell>
          <cell r="C81" t="str">
            <v>Particulars</v>
          </cell>
          <cell r="D81" t="str">
            <v>Unitcode</v>
          </cell>
          <cell r="E81" t="str">
            <v>Unit</v>
          </cell>
          <cell r="F81" t="str">
            <v>JAN</v>
          </cell>
          <cell r="G81" t="str">
            <v>FEB</v>
          </cell>
          <cell r="H81" t="str">
            <v>MAR</v>
          </cell>
          <cell r="I81" t="str">
            <v>APR</v>
          </cell>
          <cell r="J81" t="str">
            <v>MAY</v>
          </cell>
          <cell r="K81" t="str">
            <v>JUN</v>
          </cell>
          <cell r="L81" t="str">
            <v>JUL</v>
          </cell>
          <cell r="M81" t="str">
            <v>AUG</v>
          </cell>
          <cell r="N81" t="str">
            <v>SEP</v>
          </cell>
          <cell r="O81" t="str">
            <v>OCT</v>
          </cell>
          <cell r="P81" t="str">
            <v>NOV</v>
          </cell>
          <cell r="Q81" t="str">
            <v>DEC</v>
          </cell>
          <cell r="R81" t="str">
            <v>TOTAL</v>
          </cell>
        </row>
        <row r="82">
          <cell r="B82" t="str">
            <v>155-10-016</v>
          </cell>
        </row>
        <row r="83">
          <cell r="B83" t="str">
            <v>ACCOUNT</v>
          </cell>
          <cell r="C83" t="str">
            <v>Particulars</v>
          </cell>
          <cell r="D83" t="str">
            <v>Unitcode</v>
          </cell>
          <cell r="E83" t="str">
            <v>Unit</v>
          </cell>
          <cell r="F83" t="str">
            <v>JAN</v>
          </cell>
          <cell r="G83" t="str">
            <v>FEB</v>
          </cell>
          <cell r="H83" t="str">
            <v>MAR</v>
          </cell>
          <cell r="I83" t="str">
            <v>APR</v>
          </cell>
          <cell r="J83" t="str">
            <v>MAY</v>
          </cell>
          <cell r="K83" t="str">
            <v>JUN</v>
          </cell>
          <cell r="L83" t="str">
            <v>JUL</v>
          </cell>
          <cell r="M83" t="str">
            <v>AUG</v>
          </cell>
          <cell r="N83" t="str">
            <v>SEP</v>
          </cell>
          <cell r="O83" t="str">
            <v>OCT</v>
          </cell>
          <cell r="P83" t="str">
            <v>NOV</v>
          </cell>
          <cell r="Q83" t="str">
            <v>DEC</v>
          </cell>
          <cell r="R83" t="str">
            <v>TOTAL</v>
          </cell>
        </row>
        <row r="84">
          <cell r="B84" t="str">
            <v>155-10-017</v>
          </cell>
        </row>
        <row r="87">
          <cell r="B87" t="str">
            <v>ACCOUNT</v>
          </cell>
          <cell r="C87" t="str">
            <v>Particulars</v>
          </cell>
          <cell r="D87" t="str">
            <v>Unitcode</v>
          </cell>
          <cell r="E87" t="str">
            <v>Unit</v>
          </cell>
          <cell r="F87" t="str">
            <v>JAN</v>
          </cell>
          <cell r="G87" t="str">
            <v>FEB</v>
          </cell>
          <cell r="H87" t="str">
            <v>MAR</v>
          </cell>
          <cell r="I87" t="str">
            <v>APR</v>
          </cell>
          <cell r="J87" t="str">
            <v>MAY</v>
          </cell>
          <cell r="K87" t="str">
            <v>JUN</v>
          </cell>
          <cell r="L87" t="str">
            <v>JUL</v>
          </cell>
          <cell r="M87" t="str">
            <v>AUG</v>
          </cell>
          <cell r="N87" t="str">
            <v>SEP</v>
          </cell>
          <cell r="O87" t="str">
            <v>OCT</v>
          </cell>
          <cell r="P87" t="str">
            <v>NOV</v>
          </cell>
          <cell r="Q87" t="str">
            <v>DEC</v>
          </cell>
          <cell r="R87" t="str">
            <v>TOTAL</v>
          </cell>
        </row>
        <row r="88">
          <cell r="B88" t="str">
            <v>155-10-020</v>
          </cell>
        </row>
        <row r="89">
          <cell r="B89" t="str">
            <v>ACCOUNT</v>
          </cell>
          <cell r="C89" t="str">
            <v>Particulars</v>
          </cell>
          <cell r="D89" t="str">
            <v>Unitcode</v>
          </cell>
          <cell r="E89" t="str">
            <v>Unit</v>
          </cell>
          <cell r="F89" t="str">
            <v>JAN</v>
          </cell>
          <cell r="G89" t="str">
            <v>FEB</v>
          </cell>
          <cell r="H89" t="str">
            <v>MAR</v>
          </cell>
          <cell r="I89" t="str">
            <v>APR</v>
          </cell>
          <cell r="J89" t="str">
            <v>MAY</v>
          </cell>
          <cell r="K89" t="str">
            <v>JUN</v>
          </cell>
          <cell r="L89" t="str">
            <v>JUL</v>
          </cell>
          <cell r="M89" t="str">
            <v>AUG</v>
          </cell>
          <cell r="N89" t="str">
            <v>SEP</v>
          </cell>
          <cell r="O89" t="str">
            <v>OCT</v>
          </cell>
          <cell r="P89" t="str">
            <v>NOV</v>
          </cell>
          <cell r="Q89" t="str">
            <v>DEC</v>
          </cell>
          <cell r="R89" t="str">
            <v>TOTAL</v>
          </cell>
        </row>
        <row r="90">
          <cell r="B90" t="str">
            <v>155-10-022</v>
          </cell>
        </row>
        <row r="91">
          <cell r="B91" t="str">
            <v>ACCOUNT</v>
          </cell>
          <cell r="C91" t="str">
            <v>Particulars</v>
          </cell>
          <cell r="D91" t="str">
            <v>Unitcode</v>
          </cell>
          <cell r="E91" t="str">
            <v>Unit</v>
          </cell>
          <cell r="F91" t="str">
            <v>JAN</v>
          </cell>
          <cell r="G91" t="str">
            <v>FEB</v>
          </cell>
          <cell r="H91" t="str">
            <v>MAR</v>
          </cell>
          <cell r="I91" t="str">
            <v>APR</v>
          </cell>
          <cell r="J91" t="str">
            <v>MAY</v>
          </cell>
          <cell r="K91" t="str">
            <v>JUN</v>
          </cell>
          <cell r="L91" t="str">
            <v>JUL</v>
          </cell>
          <cell r="M91" t="str">
            <v>AUG</v>
          </cell>
          <cell r="N91" t="str">
            <v>SEP</v>
          </cell>
          <cell r="O91" t="str">
            <v>OCT</v>
          </cell>
          <cell r="P91" t="str">
            <v>NOV</v>
          </cell>
          <cell r="Q91" t="str">
            <v>DEC</v>
          </cell>
          <cell r="R91" t="str">
            <v>TOTAL</v>
          </cell>
        </row>
        <row r="92">
          <cell r="B92" t="str">
            <v>155-10-027</v>
          </cell>
        </row>
        <row r="93">
          <cell r="B93" t="str">
            <v>ACCOUNT</v>
          </cell>
          <cell r="C93" t="str">
            <v>Particulars</v>
          </cell>
          <cell r="D93" t="str">
            <v>Unitcode</v>
          </cell>
          <cell r="E93" t="str">
            <v>Unit</v>
          </cell>
          <cell r="F93" t="str">
            <v>JAN</v>
          </cell>
          <cell r="G93" t="str">
            <v>FEB</v>
          </cell>
          <cell r="H93" t="str">
            <v>MAR</v>
          </cell>
          <cell r="I93" t="str">
            <v>APR</v>
          </cell>
          <cell r="J93" t="str">
            <v>MAY</v>
          </cell>
          <cell r="K93" t="str">
            <v>JUN</v>
          </cell>
          <cell r="L93" t="str">
            <v>JUL</v>
          </cell>
          <cell r="M93" t="str">
            <v>AUG</v>
          </cell>
          <cell r="N93" t="str">
            <v>SEP</v>
          </cell>
          <cell r="O93" t="str">
            <v>OCT</v>
          </cell>
          <cell r="P93" t="str">
            <v>NOV</v>
          </cell>
          <cell r="Q93" t="str">
            <v>DEC</v>
          </cell>
          <cell r="R93" t="str">
            <v>TOTAL</v>
          </cell>
        </row>
        <row r="94">
          <cell r="B94" t="str">
            <v>155-10-028</v>
          </cell>
        </row>
        <row r="95">
          <cell r="B95" t="str">
            <v>ACCOUNT</v>
          </cell>
          <cell r="C95" t="str">
            <v>Particulars</v>
          </cell>
          <cell r="D95" t="str">
            <v>Unitcode</v>
          </cell>
          <cell r="E95" t="str">
            <v>Unit</v>
          </cell>
          <cell r="F95" t="str">
            <v>JAN</v>
          </cell>
          <cell r="G95" t="str">
            <v>FEB</v>
          </cell>
          <cell r="H95" t="str">
            <v>MAR</v>
          </cell>
          <cell r="I95" t="str">
            <v>APR</v>
          </cell>
          <cell r="J95" t="str">
            <v>MAY</v>
          </cell>
          <cell r="K95" t="str">
            <v>JUN</v>
          </cell>
          <cell r="L95" t="str">
            <v>JUL</v>
          </cell>
          <cell r="M95" t="str">
            <v>AUG</v>
          </cell>
          <cell r="N95" t="str">
            <v>SEP</v>
          </cell>
          <cell r="O95" t="str">
            <v>OCT</v>
          </cell>
          <cell r="P95" t="str">
            <v>NOV</v>
          </cell>
          <cell r="Q95" t="str">
            <v>DEC</v>
          </cell>
          <cell r="R95" t="str">
            <v>TOTAL</v>
          </cell>
        </row>
        <row r="96">
          <cell r="B96" t="str">
            <v>155-10-030</v>
          </cell>
        </row>
        <row r="97">
          <cell r="B97" t="str">
            <v>ACCOUNT</v>
          </cell>
          <cell r="C97" t="str">
            <v>Particulars</v>
          </cell>
          <cell r="D97" t="str">
            <v>Unitcode</v>
          </cell>
          <cell r="E97" t="str">
            <v>Unit</v>
          </cell>
          <cell r="F97" t="str">
            <v>JAN</v>
          </cell>
          <cell r="G97" t="str">
            <v>FEB</v>
          </cell>
          <cell r="H97" t="str">
            <v>MAR</v>
          </cell>
          <cell r="I97" t="str">
            <v>APR</v>
          </cell>
          <cell r="J97" t="str">
            <v>MAY</v>
          </cell>
          <cell r="K97" t="str">
            <v>JUN</v>
          </cell>
          <cell r="L97" t="str">
            <v>JUL</v>
          </cell>
          <cell r="M97" t="str">
            <v>AUG</v>
          </cell>
          <cell r="N97" t="str">
            <v>SEP</v>
          </cell>
          <cell r="O97" t="str">
            <v>OCT</v>
          </cell>
          <cell r="P97" t="str">
            <v>NOV</v>
          </cell>
          <cell r="Q97" t="str">
            <v>DEC</v>
          </cell>
          <cell r="R97" t="str">
            <v>TOTAL</v>
          </cell>
        </row>
        <row r="98">
          <cell r="B98" t="str">
            <v>155-10-032</v>
          </cell>
        </row>
        <row r="99">
          <cell r="B99" t="str">
            <v>ACCOUNT</v>
          </cell>
          <cell r="C99" t="str">
            <v>Particulars</v>
          </cell>
          <cell r="D99" t="str">
            <v>Unitcode</v>
          </cell>
          <cell r="E99" t="str">
            <v>Unit</v>
          </cell>
          <cell r="F99" t="str">
            <v>JAN</v>
          </cell>
          <cell r="G99" t="str">
            <v>FEB</v>
          </cell>
          <cell r="H99" t="str">
            <v>MAR</v>
          </cell>
          <cell r="I99" t="str">
            <v>APR</v>
          </cell>
          <cell r="J99" t="str">
            <v>MAY</v>
          </cell>
          <cell r="K99" t="str">
            <v>JUN</v>
          </cell>
          <cell r="L99" t="str">
            <v>JUL</v>
          </cell>
          <cell r="M99" t="str">
            <v>AUG</v>
          </cell>
          <cell r="N99" t="str">
            <v>SEP</v>
          </cell>
          <cell r="O99" t="str">
            <v>OCT</v>
          </cell>
          <cell r="P99" t="str">
            <v>NOV</v>
          </cell>
          <cell r="Q99" t="str">
            <v>DEC</v>
          </cell>
          <cell r="R99" t="str">
            <v>TOTAL</v>
          </cell>
        </row>
        <row r="100">
          <cell r="B100" t="str">
            <v>155-10-040</v>
          </cell>
        </row>
        <row r="101">
          <cell r="B101" t="str">
            <v>ACCOUNT</v>
          </cell>
          <cell r="C101" t="str">
            <v>Particulars</v>
          </cell>
          <cell r="D101" t="str">
            <v>Unitcode</v>
          </cell>
          <cell r="E101" t="str">
            <v>Unit</v>
          </cell>
          <cell r="F101" t="str">
            <v>JAN</v>
          </cell>
          <cell r="G101" t="str">
            <v>FEB</v>
          </cell>
          <cell r="H101" t="str">
            <v>MAR</v>
          </cell>
          <cell r="I101" t="str">
            <v>APR</v>
          </cell>
          <cell r="J101" t="str">
            <v>MAY</v>
          </cell>
          <cell r="K101" t="str">
            <v>JUN</v>
          </cell>
          <cell r="L101" t="str">
            <v>JUL</v>
          </cell>
          <cell r="M101" t="str">
            <v>AUG</v>
          </cell>
          <cell r="N101" t="str">
            <v>SEP</v>
          </cell>
          <cell r="O101" t="str">
            <v>OCT</v>
          </cell>
          <cell r="P101" t="str">
            <v>NOV</v>
          </cell>
          <cell r="Q101" t="str">
            <v>DEC</v>
          </cell>
          <cell r="R101" t="str">
            <v>TOTAL</v>
          </cell>
        </row>
        <row r="102">
          <cell r="B102" t="str">
            <v>155-10-041</v>
          </cell>
        </row>
        <row r="103">
          <cell r="B103" t="str">
            <v>ACCOUNT</v>
          </cell>
          <cell r="C103" t="str">
            <v>Particulars</v>
          </cell>
          <cell r="D103" t="str">
            <v>Unitcode</v>
          </cell>
          <cell r="E103" t="str">
            <v>Unit</v>
          </cell>
          <cell r="F103" t="str">
            <v>JAN</v>
          </cell>
          <cell r="G103" t="str">
            <v>FEB</v>
          </cell>
          <cell r="H103" t="str">
            <v>MAR</v>
          </cell>
          <cell r="I103" t="str">
            <v>APR</v>
          </cell>
          <cell r="J103" t="str">
            <v>MAY</v>
          </cell>
          <cell r="K103" t="str">
            <v>JUN</v>
          </cell>
          <cell r="L103" t="str">
            <v>JUL</v>
          </cell>
          <cell r="M103" t="str">
            <v>AUG</v>
          </cell>
          <cell r="N103" t="str">
            <v>SEP</v>
          </cell>
          <cell r="O103" t="str">
            <v>OCT</v>
          </cell>
          <cell r="P103" t="str">
            <v>NOV</v>
          </cell>
          <cell r="Q103" t="str">
            <v>DEC</v>
          </cell>
          <cell r="R103" t="str">
            <v>TOTAL</v>
          </cell>
        </row>
        <row r="104">
          <cell r="B104" t="str">
            <v>155-10-044</v>
          </cell>
        </row>
        <row r="105">
          <cell r="B105" t="str">
            <v>ACCOUNT</v>
          </cell>
          <cell r="C105" t="str">
            <v>Particulars</v>
          </cell>
          <cell r="D105" t="str">
            <v>Unitcode</v>
          </cell>
          <cell r="E105" t="str">
            <v>Unit</v>
          </cell>
          <cell r="F105" t="str">
            <v>JAN</v>
          </cell>
          <cell r="G105" t="str">
            <v>FEB</v>
          </cell>
          <cell r="H105" t="str">
            <v>MAR</v>
          </cell>
          <cell r="I105" t="str">
            <v>APR</v>
          </cell>
          <cell r="J105" t="str">
            <v>MAY</v>
          </cell>
          <cell r="K105" t="str">
            <v>JUN</v>
          </cell>
          <cell r="L105" t="str">
            <v>JUL</v>
          </cell>
          <cell r="M105" t="str">
            <v>AUG</v>
          </cell>
          <cell r="N105" t="str">
            <v>SEP</v>
          </cell>
          <cell r="O105" t="str">
            <v>OCT</v>
          </cell>
          <cell r="P105" t="str">
            <v>NOV</v>
          </cell>
          <cell r="Q105" t="str">
            <v>DEC</v>
          </cell>
          <cell r="R105" t="str">
            <v>TOTAL</v>
          </cell>
        </row>
        <row r="106">
          <cell r="B106" t="str">
            <v>155-10-046</v>
          </cell>
        </row>
        <row r="107">
          <cell r="B107" t="str">
            <v>ACCOUNT</v>
          </cell>
          <cell r="C107" t="str">
            <v>Particulars</v>
          </cell>
          <cell r="D107" t="str">
            <v>Unitcode</v>
          </cell>
          <cell r="E107" t="str">
            <v>Unit</v>
          </cell>
          <cell r="F107" t="str">
            <v>JAN</v>
          </cell>
          <cell r="G107" t="str">
            <v>FEB</v>
          </cell>
          <cell r="H107" t="str">
            <v>MAR</v>
          </cell>
          <cell r="I107" t="str">
            <v>APR</v>
          </cell>
          <cell r="J107" t="str">
            <v>MAY</v>
          </cell>
          <cell r="K107" t="str">
            <v>JUN</v>
          </cell>
          <cell r="L107" t="str">
            <v>JUL</v>
          </cell>
          <cell r="M107" t="str">
            <v>AUG</v>
          </cell>
          <cell r="N107" t="str">
            <v>SEP</v>
          </cell>
          <cell r="O107" t="str">
            <v>OCT</v>
          </cell>
          <cell r="P107" t="str">
            <v>NOV</v>
          </cell>
          <cell r="Q107" t="str">
            <v>DEC</v>
          </cell>
          <cell r="R107" t="str">
            <v>TOTAL</v>
          </cell>
        </row>
        <row r="108">
          <cell r="B108" t="str">
            <v>155-10-054</v>
          </cell>
        </row>
        <row r="109">
          <cell r="B109" t="str">
            <v>ACCOUNT</v>
          </cell>
          <cell r="C109" t="str">
            <v>Particulars</v>
          </cell>
          <cell r="D109" t="str">
            <v>Unitcode</v>
          </cell>
          <cell r="E109" t="str">
            <v>Unit</v>
          </cell>
          <cell r="F109" t="str">
            <v>JAN</v>
          </cell>
          <cell r="G109" t="str">
            <v>FEB</v>
          </cell>
          <cell r="H109" t="str">
            <v>MAR</v>
          </cell>
          <cell r="I109" t="str">
            <v>APR</v>
          </cell>
          <cell r="J109" t="str">
            <v>MAY</v>
          </cell>
          <cell r="K109" t="str">
            <v>JUN</v>
          </cell>
          <cell r="L109" t="str">
            <v>JUL</v>
          </cell>
          <cell r="M109" t="str">
            <v>AUG</v>
          </cell>
          <cell r="N109" t="str">
            <v>SEP</v>
          </cell>
          <cell r="O109" t="str">
            <v>OCT</v>
          </cell>
          <cell r="P109" t="str">
            <v>NOV</v>
          </cell>
          <cell r="Q109" t="str">
            <v>DEC</v>
          </cell>
          <cell r="R109" t="str">
            <v>TOTAL</v>
          </cell>
        </row>
        <row r="110">
          <cell r="B110" t="str">
            <v>155-10-057</v>
          </cell>
        </row>
        <row r="113">
          <cell r="B113" t="str">
            <v>ACCOUNT</v>
          </cell>
          <cell r="C113" t="str">
            <v>Particulars</v>
          </cell>
          <cell r="D113" t="str">
            <v>Unitcode</v>
          </cell>
          <cell r="E113" t="str">
            <v>Unit</v>
          </cell>
          <cell r="F113" t="str">
            <v>JAN</v>
          </cell>
          <cell r="G113" t="str">
            <v>FEB</v>
          </cell>
          <cell r="H113" t="str">
            <v>MAR</v>
          </cell>
          <cell r="I113" t="str">
            <v>APR</v>
          </cell>
          <cell r="J113" t="str">
            <v>MAY</v>
          </cell>
          <cell r="K113" t="str">
            <v>JUN</v>
          </cell>
          <cell r="L113" t="str">
            <v>JUL</v>
          </cell>
          <cell r="M113" t="str">
            <v>AUG</v>
          </cell>
          <cell r="N113" t="str">
            <v>SEP</v>
          </cell>
          <cell r="O113" t="str">
            <v>OCT</v>
          </cell>
          <cell r="P113" t="str">
            <v>NOV</v>
          </cell>
          <cell r="Q113" t="str">
            <v>DEC</v>
          </cell>
          <cell r="R113" t="str">
            <v>TOTAL</v>
          </cell>
        </row>
        <row r="114">
          <cell r="B114" t="str">
            <v>155-10-059</v>
          </cell>
        </row>
        <row r="115">
          <cell r="B115" t="str">
            <v>ACCOUNT</v>
          </cell>
          <cell r="C115" t="str">
            <v>Particulars</v>
          </cell>
          <cell r="D115" t="str">
            <v>Unitcode</v>
          </cell>
          <cell r="E115" t="str">
            <v>Unit</v>
          </cell>
          <cell r="F115" t="str">
            <v>JAN</v>
          </cell>
          <cell r="G115" t="str">
            <v>FEB</v>
          </cell>
          <cell r="H115" t="str">
            <v>MAR</v>
          </cell>
          <cell r="I115" t="str">
            <v>APR</v>
          </cell>
          <cell r="J115" t="str">
            <v>MAY</v>
          </cell>
          <cell r="K115" t="str">
            <v>JUN</v>
          </cell>
          <cell r="L115" t="str">
            <v>JUL</v>
          </cell>
          <cell r="M115" t="str">
            <v>AUG</v>
          </cell>
          <cell r="N115" t="str">
            <v>SEP</v>
          </cell>
          <cell r="O115" t="str">
            <v>OCT</v>
          </cell>
          <cell r="P115" t="str">
            <v>NOV</v>
          </cell>
          <cell r="Q115" t="str">
            <v>DEC</v>
          </cell>
          <cell r="R115" t="str">
            <v>TOTAL</v>
          </cell>
        </row>
        <row r="116">
          <cell r="B116" t="str">
            <v>155-10-060</v>
          </cell>
        </row>
        <row r="121">
          <cell r="B121" t="str">
            <v>ACCOUNT</v>
          </cell>
          <cell r="C121" t="str">
            <v>Particulars</v>
          </cell>
          <cell r="D121" t="str">
            <v>Unitcode</v>
          </cell>
          <cell r="E121" t="str">
            <v>Unit</v>
          </cell>
          <cell r="F121" t="str">
            <v>JAN</v>
          </cell>
          <cell r="G121" t="str">
            <v>FEB</v>
          </cell>
          <cell r="H121" t="str">
            <v>MAR</v>
          </cell>
          <cell r="I121" t="str">
            <v>APR</v>
          </cell>
          <cell r="J121" t="str">
            <v>MAY</v>
          </cell>
          <cell r="K121" t="str">
            <v>JUN</v>
          </cell>
          <cell r="L121" t="str">
            <v>JUL</v>
          </cell>
          <cell r="M121" t="str">
            <v>AUG</v>
          </cell>
          <cell r="N121" t="str">
            <v>SEP</v>
          </cell>
          <cell r="O121" t="str">
            <v>OCT</v>
          </cell>
          <cell r="P121" t="str">
            <v>NOV</v>
          </cell>
          <cell r="Q121" t="str">
            <v>DEC</v>
          </cell>
          <cell r="R121" t="str">
            <v>TOTAL</v>
          </cell>
        </row>
        <row r="122">
          <cell r="B122" t="str">
            <v>160-10-010</v>
          </cell>
        </row>
      </sheetData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>
        <row r="1">
          <cell r="A1" t="str">
            <v>Account</v>
          </cell>
          <cell r="B1" t="str">
            <v>Particulars</v>
          </cell>
          <cell r="C1" t="str">
            <v>Open</v>
          </cell>
          <cell r="D1" t="str">
            <v>Month</v>
          </cell>
          <cell r="E1" t="str">
            <v>Year</v>
          </cell>
          <cell r="F1" t="str">
            <v>Aims Tb</v>
          </cell>
          <cell r="G1" t="str">
            <v>Adjustment</v>
          </cell>
          <cell r="H1" t="str">
            <v>Closing</v>
          </cell>
        </row>
        <row r="2">
          <cell r="A2" t="str">
            <v>__________</v>
          </cell>
          <cell r="B2" t="str">
            <v>_________________________________________</v>
          </cell>
          <cell r="C2" t="str">
            <v>______________________</v>
          </cell>
          <cell r="D2" t="e">
            <v>#VALUE!</v>
          </cell>
          <cell r="E2" t="e">
            <v>#VALUE!</v>
          </cell>
          <cell r="F2" t="str">
            <v>_____________</v>
          </cell>
          <cell r="G2">
            <v>0</v>
          </cell>
        </row>
        <row r="3">
          <cell r="A3" t="str">
            <v>__________</v>
          </cell>
          <cell r="B3" t="str">
            <v>_________________________________________</v>
          </cell>
          <cell r="C3" t="str">
            <v>______________________</v>
          </cell>
          <cell r="D3" t="e">
            <v>#VALUE!</v>
          </cell>
          <cell r="E3" t="e">
            <v>#VALUE!</v>
          </cell>
          <cell r="F3" t="str">
            <v>_____________</v>
          </cell>
          <cell r="G3">
            <v>0</v>
          </cell>
        </row>
        <row r="4">
          <cell r="A4" t="str">
            <v>__________</v>
          </cell>
          <cell r="B4" t="str">
            <v>_________________________________________</v>
          </cell>
          <cell r="C4" t="str">
            <v>______________________</v>
          </cell>
          <cell r="D4" t="e">
            <v>#VALUE!</v>
          </cell>
          <cell r="E4" t="e">
            <v>#VALUE!</v>
          </cell>
          <cell r="F4" t="str">
            <v>_____________</v>
          </cell>
          <cell r="G4">
            <v>0</v>
          </cell>
        </row>
        <row r="5">
          <cell r="A5" t="str">
            <v>__________</v>
          </cell>
          <cell r="B5" t="str">
            <v>_________________________________________</v>
          </cell>
          <cell r="C5" t="str">
            <v>______________________</v>
          </cell>
          <cell r="D5" t="e">
            <v>#VALUE!</v>
          </cell>
          <cell r="E5" t="e">
            <v>#VALUE!</v>
          </cell>
          <cell r="F5" t="str">
            <v>_____________</v>
          </cell>
          <cell r="G5">
            <v>0</v>
          </cell>
        </row>
        <row r="6">
          <cell r="A6" t="str">
            <v>010-10-001</v>
          </cell>
          <cell r="B6" t="str">
            <v>SHARE CAPITAL</v>
          </cell>
          <cell r="C6">
            <v>0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</row>
        <row r="7">
          <cell r="A7" t="str">
            <v>010-20-003</v>
          </cell>
          <cell r="B7" t="str">
            <v>INDIVIDUAL LIFE FUND</v>
          </cell>
          <cell r="C7">
            <v>0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</row>
        <row r="8">
          <cell r="A8" t="str">
            <v>010-20-004</v>
          </cell>
          <cell r="B8" t="str">
            <v>GROUP LIFE FUNDS</v>
          </cell>
          <cell r="C8">
            <v>0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</row>
        <row r="9">
          <cell r="A9" t="str">
            <v>010-20-005</v>
          </cell>
          <cell r="B9" t="str">
            <v>GENERAL FUND</v>
          </cell>
          <cell r="C9">
            <v>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</row>
        <row r="10">
          <cell r="A10" t="str">
            <v>010-20-006</v>
          </cell>
          <cell r="B10" t="str">
            <v>DEPOSIT ADMINISTRATION</v>
          </cell>
          <cell r="C10">
            <v>0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</row>
        <row r="11">
          <cell r="A11" t="str">
            <v>010-20-007</v>
          </cell>
          <cell r="B11" t="str">
            <v>RELEASE OF O/S CLAIMS</v>
          </cell>
          <cell r="C11">
            <v>0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</row>
        <row r="12">
          <cell r="A12" t="str">
            <v>010-20-008</v>
          </cell>
          <cell r="B12" t="str">
            <v>UNIT LINK FUNDS</v>
          </cell>
          <cell r="C12">
            <v>0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</row>
        <row r="13">
          <cell r="A13" t="str">
            <v>010-25-010</v>
          </cell>
          <cell r="B13" t="str">
            <v>LAND-WRITE OFF</v>
          </cell>
          <cell r="C13">
            <v>0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</row>
        <row r="14">
          <cell r="A14" t="str">
            <v>010-25-020</v>
          </cell>
          <cell r="B14" t="str">
            <v>DEFFERED TAX</v>
          </cell>
          <cell r="C14">
            <v>0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</row>
        <row r="15">
          <cell r="A15" t="str">
            <v>010-30-001</v>
          </cell>
          <cell r="B15" t="str">
            <v>ASSIGNED SHARE CAPITAL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</row>
        <row r="16">
          <cell r="A16" t="str">
            <v>020-00-010</v>
          </cell>
          <cell r="B16" t="str">
            <v>PAN AFRICA HOUSE NAIROBI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</row>
        <row r="17">
          <cell r="A17" t="str">
            <v>020-00-020</v>
          </cell>
          <cell r="B17" t="str">
            <v>RESIDENTIAL HOUSE -LORESHO</v>
          </cell>
          <cell r="C17">
            <v>0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</row>
        <row r="18">
          <cell r="A18" t="str">
            <v>020-00-030</v>
          </cell>
          <cell r="B18" t="str">
            <v>RESIDENTIAL HOUSE -RETREAT VILLAS</v>
          </cell>
          <cell r="C18">
            <v>0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</row>
        <row r="19">
          <cell r="A19" t="str">
            <v>020-05-010</v>
          </cell>
          <cell r="B19" t="str">
            <v>MOTOR VEHICLES HEAD OFFICE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</row>
        <row r="20">
          <cell r="A20" t="str">
            <v>020-05-020</v>
          </cell>
          <cell r="B20" t="str">
            <v>MOTOR VEHICLES LIFE MARKETING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</row>
        <row r="21">
          <cell r="A21" t="str">
            <v>020-06-010</v>
          </cell>
          <cell r="B21" t="str">
            <v>PAN AFRICA HOUSE NAIROBI</v>
          </cell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</row>
        <row r="22">
          <cell r="A22" t="str">
            <v>020-06-020</v>
          </cell>
          <cell r="B22" t="str">
            <v>RESIDENTIAL HOUSE -LORESHO</v>
          </cell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</row>
        <row r="23">
          <cell r="A23" t="str">
            <v>020-06-030</v>
          </cell>
          <cell r="B23" t="str">
            <v>RESIDENTIAL HOUSE-RETREAT VILLAS</v>
          </cell>
          <cell r="C23">
            <v>0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</row>
        <row r="24">
          <cell r="A24" t="str">
            <v>020-10-010</v>
          </cell>
          <cell r="B24" t="str">
            <v>COMPUTER EQUIPMENT-CITY CENTRE</v>
          </cell>
          <cell r="C24">
            <v>0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</row>
        <row r="25">
          <cell r="A25" t="str">
            <v>020-10-020</v>
          </cell>
          <cell r="B25" t="str">
            <v>COMPUTER EQUIPMENT-HURLINGHAM</v>
          </cell>
          <cell r="C25">
            <v>103840</v>
          </cell>
          <cell r="D25">
            <v>0</v>
          </cell>
          <cell r="E25">
            <v>103840</v>
          </cell>
          <cell r="F25">
            <v>103840</v>
          </cell>
          <cell r="G25">
            <v>0</v>
          </cell>
          <cell r="H25">
            <v>103840</v>
          </cell>
        </row>
        <row r="26">
          <cell r="A26" t="str">
            <v>020-10-030</v>
          </cell>
          <cell r="B26" t="str">
            <v>COMPUTER EQUIPMENT-MOMBASA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</row>
        <row r="27">
          <cell r="A27" t="str">
            <v>020-10-040</v>
          </cell>
          <cell r="B27" t="str">
            <v>COMPUTER EQUPIMENT-NYERI</v>
          </cell>
          <cell r="C27">
            <v>0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</row>
        <row r="28">
          <cell r="A28" t="str">
            <v>020-10-050</v>
          </cell>
          <cell r="B28" t="str">
            <v>COMPUTER EQUIPMENT-KISUMU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</row>
        <row r="29">
          <cell r="A29" t="str">
            <v>020-10-060</v>
          </cell>
          <cell r="B29" t="str">
            <v>COMPUTER EQUIPMENT MACHAKOS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</row>
        <row r="30">
          <cell r="A30" t="str">
            <v>020-10-070</v>
          </cell>
          <cell r="B30" t="str">
            <v>COMPUTER EQUIPMENT THIKA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</row>
        <row r="31">
          <cell r="A31" t="str">
            <v>020-10-080</v>
          </cell>
          <cell r="B31" t="str">
            <v>COMPUTER EQUIPMENT KISII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</row>
        <row r="32">
          <cell r="A32" t="str">
            <v>020-10-090</v>
          </cell>
          <cell r="B32" t="str">
            <v>COMPUTER EQUIPMENT LIFE MARKETING</v>
          </cell>
          <cell r="C32">
            <v>65000</v>
          </cell>
          <cell r="D32">
            <v>0</v>
          </cell>
          <cell r="E32">
            <v>65000</v>
          </cell>
          <cell r="F32">
            <v>65000</v>
          </cell>
          <cell r="G32">
            <v>0</v>
          </cell>
          <cell r="H32">
            <v>65000</v>
          </cell>
        </row>
        <row r="33">
          <cell r="A33" t="str">
            <v>020-10-100</v>
          </cell>
          <cell r="B33" t="str">
            <v>COMPUTER EQUIPMENT HEADOFFICE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</row>
        <row r="34">
          <cell r="A34" t="str">
            <v>020-10-110</v>
          </cell>
          <cell r="B34" t="str">
            <v>COMPUTER EQUIPMENT ELDORET</v>
          </cell>
          <cell r="C34">
            <v>0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</row>
        <row r="35">
          <cell r="A35" t="str">
            <v>020-10-120</v>
          </cell>
          <cell r="B35" t="str">
            <v>COMPUTER EQUIPMENT EMBU</v>
          </cell>
          <cell r="C35">
            <v>0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</row>
        <row r="36">
          <cell r="A36" t="str">
            <v>020-10-130</v>
          </cell>
          <cell r="B36" t="str">
            <v>COMPUTER EQUIPMENT NAKURU</v>
          </cell>
          <cell r="C36">
            <v>0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</row>
        <row r="37">
          <cell r="A37" t="str">
            <v>020-10-140</v>
          </cell>
          <cell r="B37" t="str">
            <v>COMPUTER EQUIPMENT-MERU</v>
          </cell>
          <cell r="C37">
            <v>103840</v>
          </cell>
          <cell r="D37">
            <v>0</v>
          </cell>
          <cell r="E37">
            <v>103840</v>
          </cell>
          <cell r="F37">
            <v>103840</v>
          </cell>
          <cell r="G37">
            <v>0</v>
          </cell>
          <cell r="H37">
            <v>103840</v>
          </cell>
        </row>
        <row r="38">
          <cell r="A38" t="str">
            <v>020-15-010</v>
          </cell>
          <cell r="B38" t="str">
            <v>FIXTURES &amp; FITTINGS-HURLINGHAM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</row>
        <row r="39">
          <cell r="A39" t="str">
            <v>020-15-020</v>
          </cell>
          <cell r="B39" t="str">
            <v>FIXTURES ,FURNITURE &amp; FITTINGS -MOMBASA</v>
          </cell>
          <cell r="C39">
            <v>0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</row>
        <row r="40">
          <cell r="A40" t="str">
            <v>020-15-030</v>
          </cell>
          <cell r="B40" t="str">
            <v>FURNITURE,FIXTURES &amp; FITTINGS-MERU</v>
          </cell>
          <cell r="C40">
            <v>0</v>
          </cell>
          <cell r="D40">
            <v>-225418.3</v>
          </cell>
          <cell r="E40">
            <v>-225418.3</v>
          </cell>
          <cell r="F40">
            <v>-225418.3</v>
          </cell>
          <cell r="G40">
            <v>0</v>
          </cell>
          <cell r="H40">
            <v>-225418.3</v>
          </cell>
        </row>
        <row r="41">
          <cell r="A41" t="str">
            <v>020-15-040</v>
          </cell>
          <cell r="B41" t="str">
            <v>FURNITURES ,FIXTURES &amp; FITTINGS-NYERI</v>
          </cell>
          <cell r="C41">
            <v>0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</row>
        <row r="42">
          <cell r="A42" t="str">
            <v>020-15-050</v>
          </cell>
          <cell r="B42" t="str">
            <v>FURNITURE,FIXTURES &amp; FITTINGS -KISUMU</v>
          </cell>
          <cell r="C42">
            <v>0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</row>
        <row r="43">
          <cell r="A43" t="str">
            <v>020-15-060</v>
          </cell>
          <cell r="B43" t="str">
            <v>FURNITURE,FIXTURES &amp; FITTINGS KISII</v>
          </cell>
          <cell r="C43">
            <v>0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</row>
        <row r="44">
          <cell r="A44" t="str">
            <v>020-15-070</v>
          </cell>
          <cell r="B44" t="str">
            <v>F&amp;F HEAD OFFICE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</row>
        <row r="45">
          <cell r="A45" t="str">
            <v>020-15-080</v>
          </cell>
          <cell r="B45" t="str">
            <v>F&amp;F CENTRAL AIR CONDITIONING UNIT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</row>
        <row r="46">
          <cell r="A46" t="str">
            <v>020-15-090</v>
          </cell>
          <cell r="B46" t="str">
            <v>ELECTRIC GENERATING SETS</v>
          </cell>
          <cell r="C46">
            <v>0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</row>
        <row r="47">
          <cell r="A47" t="str">
            <v>020-15-100</v>
          </cell>
          <cell r="B47" t="str">
            <v>BOREHOLE EQUIPMENT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</row>
        <row r="48">
          <cell r="A48" t="str">
            <v>020-15-110</v>
          </cell>
          <cell r="B48" t="str">
            <v>AIR CONDITIONING &amp; ELECTRICAL REHABILATI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</row>
        <row r="49">
          <cell r="A49" t="str">
            <v>020-15-120</v>
          </cell>
          <cell r="B49" t="str">
            <v>F&amp;F ELDORET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</row>
        <row r="50">
          <cell r="A50" t="str">
            <v>020-15-130</v>
          </cell>
          <cell r="B50" t="str">
            <v>F&amp;F LORESHO HOUSE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</row>
        <row r="51">
          <cell r="A51" t="str">
            <v>020-15-140</v>
          </cell>
          <cell r="B51" t="str">
            <v>F&amp;F AMBALAL HOUSE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</row>
        <row r="52">
          <cell r="A52" t="str">
            <v>020-15-150</v>
          </cell>
          <cell r="B52" t="str">
            <v>F&amp;F RETREAT VILLAS</v>
          </cell>
          <cell r="C52">
            <v>0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</row>
        <row r="53">
          <cell r="A53" t="str">
            <v>020-15-160</v>
          </cell>
          <cell r="B53" t="str">
            <v>F&amp;F THIKA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</row>
        <row r="54">
          <cell r="A54" t="str">
            <v>020-15-170</v>
          </cell>
          <cell r="B54" t="str">
            <v>F&amp;F MACHAKOS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</row>
        <row r="55">
          <cell r="A55" t="str">
            <v>020-15-180</v>
          </cell>
          <cell r="B55" t="str">
            <v>FIXTURES &amp; FITTINGS LIFE MRKT</v>
          </cell>
          <cell r="C55">
            <v>408484</v>
          </cell>
          <cell r="D55">
            <v>115000</v>
          </cell>
          <cell r="E55">
            <v>523484</v>
          </cell>
          <cell r="F55">
            <v>523484</v>
          </cell>
          <cell r="G55">
            <v>0</v>
          </cell>
          <cell r="H55">
            <v>523484</v>
          </cell>
        </row>
        <row r="56">
          <cell r="A56" t="str">
            <v>020-16-010</v>
          </cell>
          <cell r="B56" t="str">
            <v>PAN AFRICA HOUSE NAIROBI</v>
          </cell>
          <cell r="C56">
            <v>0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</row>
        <row r="57">
          <cell r="A57" t="str">
            <v>020-16-020</v>
          </cell>
          <cell r="B57" t="str">
            <v>RESIDENTIAL HOUSE LORESHO</v>
          </cell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</row>
        <row r="58">
          <cell r="A58" t="str">
            <v>020-16-030</v>
          </cell>
          <cell r="B58" t="str">
            <v>RESIDENTIAL HOUSE RETREAT</v>
          </cell>
          <cell r="C58">
            <v>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</row>
        <row r="59">
          <cell r="A59" t="str">
            <v>020-17-010</v>
          </cell>
          <cell r="B59" t="str">
            <v>PAN AFRICA HOUSE NAIROBI</v>
          </cell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</row>
        <row r="60">
          <cell r="A60" t="str">
            <v>020-17-020</v>
          </cell>
          <cell r="B60" t="str">
            <v>RESIDENTIAL HOUSE -LORESHO</v>
          </cell>
          <cell r="C60">
            <v>0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</row>
        <row r="61">
          <cell r="A61" t="str">
            <v>020-17-030</v>
          </cell>
          <cell r="B61" t="str">
            <v>RESIDENTIAL HOUSE -RETREAT VILLAS</v>
          </cell>
          <cell r="C61">
            <v>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</row>
        <row r="62">
          <cell r="A62" t="str">
            <v>020-20-010</v>
          </cell>
          <cell r="B62" t="str">
            <v>ACC.DEPRECIATION F&amp;F MOMBASA</v>
          </cell>
          <cell r="C62">
            <v>-110718.88</v>
          </cell>
          <cell r="D62">
            <v>-14957.05</v>
          </cell>
          <cell r="E62">
            <v>-125675.93</v>
          </cell>
          <cell r="F62">
            <v>-125675.93</v>
          </cell>
          <cell r="G62">
            <v>0</v>
          </cell>
          <cell r="H62">
            <v>-125675.93</v>
          </cell>
        </row>
        <row r="63">
          <cell r="A63" t="str">
            <v>020-20-020</v>
          </cell>
          <cell r="B63" t="str">
            <v>ACC. DEPRECIATION -HURLINGHAM F&amp;F</v>
          </cell>
          <cell r="C63">
            <v>-89355.6</v>
          </cell>
          <cell r="D63">
            <v>-11169.45</v>
          </cell>
          <cell r="E63">
            <v>-100525.05</v>
          </cell>
          <cell r="F63">
            <v>-100525.05</v>
          </cell>
          <cell r="G63">
            <v>0</v>
          </cell>
          <cell r="H63">
            <v>-100525.05</v>
          </cell>
        </row>
        <row r="64">
          <cell r="A64" t="str">
            <v>020-20-030</v>
          </cell>
          <cell r="B64" t="str">
            <v>ACC.DEPRECIATION F &amp; F MERU</v>
          </cell>
          <cell r="C64">
            <v>-44839.02</v>
          </cell>
          <cell r="D64">
            <v>145547.46</v>
          </cell>
          <cell r="E64">
            <v>100708.44</v>
          </cell>
          <cell r="F64">
            <v>100708.44</v>
          </cell>
          <cell r="G64">
            <v>0</v>
          </cell>
          <cell r="H64">
            <v>100708.44</v>
          </cell>
        </row>
        <row r="65">
          <cell r="A65" t="str">
            <v>020-20-040</v>
          </cell>
          <cell r="B65" t="str">
            <v>ACC.DEPRECIATION F&amp;F NYERI</v>
          </cell>
          <cell r="C65">
            <v>-133322.28</v>
          </cell>
          <cell r="D65">
            <v>-16665.28</v>
          </cell>
          <cell r="E65">
            <v>-149987.56</v>
          </cell>
          <cell r="F65">
            <v>-149987.56</v>
          </cell>
          <cell r="G65">
            <v>0</v>
          </cell>
          <cell r="H65">
            <v>-149987.56</v>
          </cell>
        </row>
        <row r="66">
          <cell r="A66" t="str">
            <v>020-20-050</v>
          </cell>
          <cell r="B66" t="str">
            <v>ACC.DEPRECIATION F &amp;F KISUMU</v>
          </cell>
          <cell r="C66">
            <v>-357609.28</v>
          </cell>
          <cell r="D66">
            <v>-44701.16</v>
          </cell>
          <cell r="E66">
            <v>-402310.44</v>
          </cell>
          <cell r="F66">
            <v>-402310.44</v>
          </cell>
          <cell r="G66">
            <v>0</v>
          </cell>
          <cell r="H66">
            <v>-402310.44</v>
          </cell>
        </row>
        <row r="67">
          <cell r="A67" t="str">
            <v>020-20-060</v>
          </cell>
          <cell r="B67" t="str">
            <v>ACC.DEPRECIATION F &amp; F KISII</v>
          </cell>
          <cell r="C67">
            <v>-29517.98</v>
          </cell>
          <cell r="D67">
            <v>-3689.74</v>
          </cell>
          <cell r="E67">
            <v>-33207.72</v>
          </cell>
          <cell r="F67">
            <v>-33207.72</v>
          </cell>
          <cell r="G67">
            <v>0</v>
          </cell>
          <cell r="H67">
            <v>-33207.72</v>
          </cell>
        </row>
        <row r="68">
          <cell r="A68" t="str">
            <v>020-20-070</v>
          </cell>
          <cell r="B68" t="str">
            <v>ACC.DEPRECIATION F &amp; F HEAD OFFICE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</row>
        <row r="69">
          <cell r="A69" t="str">
            <v>020-20-080</v>
          </cell>
          <cell r="B69" t="str">
            <v>ACC DEPRECIATION F &amp; F ELDORET AGENCY</v>
          </cell>
          <cell r="C69">
            <v>-55692.25</v>
          </cell>
          <cell r="D69">
            <v>-4388.88</v>
          </cell>
          <cell r="E69">
            <v>-60081.13</v>
          </cell>
          <cell r="F69">
            <v>-60081.13</v>
          </cell>
          <cell r="G69">
            <v>0</v>
          </cell>
          <cell r="H69">
            <v>-60081.13</v>
          </cell>
        </row>
        <row r="70">
          <cell r="A70" t="str">
            <v>020-20-090</v>
          </cell>
          <cell r="B70" t="str">
            <v>ACC.DEPRECIATION AMBALAL HSE-PARTITION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</row>
        <row r="71">
          <cell r="A71" t="str">
            <v>020-20-100</v>
          </cell>
          <cell r="B71" t="str">
            <v>ACC.DEPRECIATION F &amp; F LORESHO HSE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</row>
        <row r="72">
          <cell r="A72" t="str">
            <v>020-20-110</v>
          </cell>
          <cell r="B72" t="str">
            <v>ACC.DEPRECIATION F &amp; F AMBALAL</v>
          </cell>
          <cell r="C72">
            <v>-3587.5</v>
          </cell>
          <cell r="D72">
            <v>-448.44</v>
          </cell>
          <cell r="E72">
            <v>-4035.94</v>
          </cell>
          <cell r="F72">
            <v>-4035.94</v>
          </cell>
          <cell r="G72">
            <v>0</v>
          </cell>
          <cell r="H72">
            <v>-4035.94</v>
          </cell>
        </row>
        <row r="73">
          <cell r="A73" t="str">
            <v>020-20-120</v>
          </cell>
          <cell r="B73" t="str">
            <v>ACC.DEPRECIATION F &amp; F RETREAT VILLAS</v>
          </cell>
          <cell r="C73">
            <v>118503.78</v>
          </cell>
          <cell r="D73">
            <v>-13050.52</v>
          </cell>
          <cell r="E73">
            <v>105453.26</v>
          </cell>
          <cell r="F73">
            <v>105453.26</v>
          </cell>
          <cell r="G73">
            <v>0</v>
          </cell>
          <cell r="H73">
            <v>105453.26</v>
          </cell>
        </row>
        <row r="74">
          <cell r="A74" t="str">
            <v>020-20-130</v>
          </cell>
          <cell r="B74" t="str">
            <v>ACC.DEPRECIATION F &amp; F THIKA</v>
          </cell>
          <cell r="C74">
            <v>-71386.080000000002</v>
          </cell>
          <cell r="D74">
            <v>-8923.26</v>
          </cell>
          <cell r="E74">
            <v>-80309.34</v>
          </cell>
          <cell r="F74">
            <v>-80309.34</v>
          </cell>
          <cell r="G74">
            <v>0</v>
          </cell>
          <cell r="H74">
            <v>-80309.34</v>
          </cell>
        </row>
        <row r="75">
          <cell r="A75" t="str">
            <v>020-20-140</v>
          </cell>
          <cell r="B75" t="str">
            <v>ACC.DEPRECIATION F &amp; F MACHAKOS</v>
          </cell>
          <cell r="C75">
            <v>-59333.33</v>
          </cell>
          <cell r="D75">
            <v>-7416.67</v>
          </cell>
          <cell r="E75">
            <v>-66750</v>
          </cell>
          <cell r="F75">
            <v>-66750</v>
          </cell>
          <cell r="G75">
            <v>0</v>
          </cell>
          <cell r="H75">
            <v>-66750</v>
          </cell>
        </row>
        <row r="76">
          <cell r="A76" t="str">
            <v>020-20-150</v>
          </cell>
          <cell r="B76" t="str">
            <v>ACC. DEPRECIATION BOREHOLE EQUIP</v>
          </cell>
          <cell r="C76">
            <v>-38081.03</v>
          </cell>
          <cell r="D76">
            <v>0</v>
          </cell>
          <cell r="E76">
            <v>-38081.03</v>
          </cell>
          <cell r="F76">
            <v>-38081.03</v>
          </cell>
          <cell r="G76">
            <v>0</v>
          </cell>
          <cell r="H76">
            <v>-38081.03</v>
          </cell>
        </row>
        <row r="77">
          <cell r="A77" t="str">
            <v>020-20-160</v>
          </cell>
          <cell r="B77" t="str">
            <v>ACC.DEP. CENTRAL AIR CONDITIONING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</row>
        <row r="78">
          <cell r="A78" t="str">
            <v>020-20-170</v>
          </cell>
          <cell r="B78" t="str">
            <v>ACC.DEP. ELETRIC GENERATING SETS</v>
          </cell>
          <cell r="C78">
            <v>0</v>
          </cell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</row>
        <row r="79">
          <cell r="A79" t="str">
            <v>020-20-180</v>
          </cell>
          <cell r="B79" t="str">
            <v>ACC.DEP AIR CONDITIONING &amp; ELECTRICAL</v>
          </cell>
          <cell r="C79">
            <v>0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</row>
        <row r="80">
          <cell r="A80" t="str">
            <v>020-20-190</v>
          </cell>
          <cell r="B80" t="str">
            <v>ACCUMULATED DEP F&amp; F LIFE MRKT</v>
          </cell>
          <cell r="C80">
            <v>-39063.21</v>
          </cell>
          <cell r="D80">
            <v>-11142.12</v>
          </cell>
          <cell r="E80">
            <v>-50205.33</v>
          </cell>
          <cell r="F80">
            <v>-50205.33</v>
          </cell>
          <cell r="G80">
            <v>0</v>
          </cell>
          <cell r="H80">
            <v>-50205.33</v>
          </cell>
        </row>
        <row r="81">
          <cell r="A81" t="str">
            <v>020-25-010</v>
          </cell>
          <cell r="B81" t="str">
            <v>ACC.DEPRECIATION CITY CENTRE COMPUTERS</v>
          </cell>
          <cell r="C81">
            <v>-35203.33</v>
          </cell>
          <cell r="D81">
            <v>-4400.42</v>
          </cell>
          <cell r="E81">
            <v>-39603.75</v>
          </cell>
          <cell r="F81">
            <v>-39603.75</v>
          </cell>
          <cell r="G81">
            <v>0</v>
          </cell>
          <cell r="H81">
            <v>-39603.75</v>
          </cell>
        </row>
        <row r="82">
          <cell r="A82" t="str">
            <v>020-25-020</v>
          </cell>
          <cell r="B82" t="str">
            <v>ACC.DEPRECIATION COMPUTERS-HURLINGHAM</v>
          </cell>
          <cell r="C82">
            <v>-36991.47</v>
          </cell>
          <cell r="D82">
            <v>-4623.96</v>
          </cell>
          <cell r="E82">
            <v>-41615.43</v>
          </cell>
          <cell r="F82">
            <v>-41615.43</v>
          </cell>
          <cell r="G82">
            <v>0</v>
          </cell>
          <cell r="H82">
            <v>-41615.43</v>
          </cell>
        </row>
        <row r="83">
          <cell r="A83" t="str">
            <v>020-25-030</v>
          </cell>
          <cell r="B83" t="str">
            <v>ACC.DEPRECIATION -COMPUTERS -MACHAKOS</v>
          </cell>
          <cell r="C83">
            <v>-23501.87</v>
          </cell>
          <cell r="D83">
            <v>-2937.51</v>
          </cell>
          <cell r="E83">
            <v>-26439.38</v>
          </cell>
          <cell r="F83">
            <v>-26439.38</v>
          </cell>
          <cell r="G83">
            <v>0</v>
          </cell>
          <cell r="H83">
            <v>-26439.38</v>
          </cell>
        </row>
        <row r="84">
          <cell r="A84" t="str">
            <v>020-25-040</v>
          </cell>
          <cell r="B84" t="str">
            <v>ACC.DEPRECIATION COMPUTERS MOMBASA</v>
          </cell>
          <cell r="C84">
            <v>-53016.69</v>
          </cell>
          <cell r="D84">
            <v>-6220.84</v>
          </cell>
          <cell r="E84">
            <v>-59237.53</v>
          </cell>
          <cell r="F84">
            <v>-59237.53</v>
          </cell>
          <cell r="G84">
            <v>0</v>
          </cell>
          <cell r="H84">
            <v>-59237.53</v>
          </cell>
        </row>
        <row r="85">
          <cell r="A85" t="str">
            <v>020-25-050</v>
          </cell>
          <cell r="B85" t="str">
            <v>ACC.DEPRECIATION COMPUTER-THIKA</v>
          </cell>
          <cell r="C85">
            <v>-23501.87</v>
          </cell>
          <cell r="D85">
            <v>-2937.71</v>
          </cell>
          <cell r="E85">
            <v>-26439.58</v>
          </cell>
          <cell r="F85">
            <v>-26439.58</v>
          </cell>
          <cell r="G85">
            <v>0</v>
          </cell>
          <cell r="H85">
            <v>-26439.58</v>
          </cell>
        </row>
        <row r="86">
          <cell r="A86" t="str">
            <v>020-25-060</v>
          </cell>
          <cell r="B86" t="str">
            <v>ACC.DEPRECIATION -COMPUTERS NYERI</v>
          </cell>
          <cell r="C86">
            <v>-29350</v>
          </cell>
          <cell r="D86">
            <v>-3668.75</v>
          </cell>
          <cell r="E86">
            <v>-33018.75</v>
          </cell>
          <cell r="F86">
            <v>-33018.75</v>
          </cell>
          <cell r="G86">
            <v>0</v>
          </cell>
          <cell r="H86">
            <v>-33018.75</v>
          </cell>
        </row>
        <row r="87">
          <cell r="A87" t="str">
            <v>020-25-070</v>
          </cell>
          <cell r="B87" t="str">
            <v>ACC.DEPRECIATION COMPUTERS-KISUMU</v>
          </cell>
          <cell r="C87">
            <v>-29350</v>
          </cell>
          <cell r="D87">
            <v>-3668.75</v>
          </cell>
          <cell r="E87">
            <v>-33018.75</v>
          </cell>
          <cell r="F87">
            <v>-33018.75</v>
          </cell>
          <cell r="G87">
            <v>0</v>
          </cell>
          <cell r="H87">
            <v>-33018.75</v>
          </cell>
        </row>
        <row r="88">
          <cell r="A88" t="str">
            <v>020-25-080</v>
          </cell>
          <cell r="B88" t="str">
            <v>ACC.DEPRECIATION COMPUTERS KISII</v>
          </cell>
          <cell r="C88">
            <v>-20500</v>
          </cell>
          <cell r="D88">
            <v>-2562.5</v>
          </cell>
          <cell r="E88">
            <v>-23062.5</v>
          </cell>
          <cell r="F88">
            <v>-23062.5</v>
          </cell>
          <cell r="G88">
            <v>0</v>
          </cell>
          <cell r="H88">
            <v>-23062.5</v>
          </cell>
        </row>
        <row r="89">
          <cell r="A89" t="str">
            <v>020-25-090</v>
          </cell>
          <cell r="B89" t="str">
            <v>ACC.DEPRECIATION COMPUTER-LIFE MARKETING</v>
          </cell>
          <cell r="C89">
            <v>-134585.39000000001</v>
          </cell>
          <cell r="D89">
            <v>-18569.63</v>
          </cell>
          <cell r="E89">
            <v>-153155.01999999999</v>
          </cell>
          <cell r="F89">
            <v>-153155.01999999999</v>
          </cell>
          <cell r="G89">
            <v>0</v>
          </cell>
          <cell r="H89">
            <v>-153155.01999999999</v>
          </cell>
        </row>
        <row r="90">
          <cell r="A90" t="str">
            <v>020-25-100</v>
          </cell>
          <cell r="B90" t="str">
            <v>ACC.DEPRECIATION COMPUTERSB H/OFFICE</v>
          </cell>
          <cell r="C90">
            <v>0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</row>
        <row r="91">
          <cell r="A91" t="str">
            <v>020-25-110</v>
          </cell>
          <cell r="B91" t="str">
            <v>ACC.DEPRECIATION COMPUTERS ELDORET</v>
          </cell>
          <cell r="C91">
            <v>-26451.67</v>
          </cell>
          <cell r="D91">
            <v>-3306.46</v>
          </cell>
          <cell r="E91">
            <v>-29758.13</v>
          </cell>
          <cell r="F91">
            <v>-29758.13</v>
          </cell>
          <cell r="G91">
            <v>0</v>
          </cell>
          <cell r="H91">
            <v>-29758.13</v>
          </cell>
        </row>
        <row r="92">
          <cell r="A92" t="str">
            <v>020-25-120</v>
          </cell>
          <cell r="B92" t="str">
            <v>ACC DEPRECIATION COMPUTERS EMBU</v>
          </cell>
          <cell r="C92">
            <v>-26451.67</v>
          </cell>
          <cell r="D92">
            <v>-3306.46</v>
          </cell>
          <cell r="E92">
            <v>-29758.13</v>
          </cell>
          <cell r="F92">
            <v>-29758.13</v>
          </cell>
          <cell r="G92">
            <v>0</v>
          </cell>
          <cell r="H92">
            <v>-29758.13</v>
          </cell>
        </row>
        <row r="93">
          <cell r="A93" t="str">
            <v>020-25-130</v>
          </cell>
          <cell r="B93" t="str">
            <v>ACC DEPRECIATION COMPS. NAKURU</v>
          </cell>
          <cell r="C93">
            <v>-26884.34</v>
          </cell>
          <cell r="D93">
            <v>-3360.55</v>
          </cell>
          <cell r="E93">
            <v>-30244.89</v>
          </cell>
          <cell r="F93">
            <v>-30244.89</v>
          </cell>
          <cell r="G93">
            <v>0</v>
          </cell>
          <cell r="H93">
            <v>-30244.89</v>
          </cell>
        </row>
        <row r="94">
          <cell r="A94" t="str">
            <v>020-25-140</v>
          </cell>
          <cell r="B94" t="str">
            <v>ACC. DEPRECIATION COMPUTERS MERU</v>
          </cell>
          <cell r="C94">
            <v>-12980</v>
          </cell>
          <cell r="D94">
            <v>-2163.33</v>
          </cell>
          <cell r="E94">
            <v>-15143.33</v>
          </cell>
          <cell r="F94">
            <v>-15143.33</v>
          </cell>
          <cell r="G94">
            <v>0</v>
          </cell>
          <cell r="H94">
            <v>-15143.33</v>
          </cell>
        </row>
        <row r="95">
          <cell r="A95" t="str">
            <v>020-28-010</v>
          </cell>
          <cell r="B95" t="str">
            <v>M/VEHICLES DEPRECIATION-H/OFFICE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</row>
        <row r="96">
          <cell r="A96" t="str">
            <v>020-28-020</v>
          </cell>
          <cell r="B96" t="str">
            <v>M/VEHICLES DEPRECIATION LIFE MARKETING</v>
          </cell>
          <cell r="C96">
            <v>-493701.65</v>
          </cell>
          <cell r="D96">
            <v>-61712.71</v>
          </cell>
          <cell r="E96">
            <v>-555414.36</v>
          </cell>
          <cell r="F96">
            <v>-555414.36</v>
          </cell>
          <cell r="G96">
            <v>0</v>
          </cell>
          <cell r="H96">
            <v>-555414.36</v>
          </cell>
        </row>
        <row r="97">
          <cell r="A97" t="str">
            <v>020-30-010</v>
          </cell>
          <cell r="B97" t="str">
            <v>AMBALAL HOUSE PHASE 1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</row>
        <row r="98">
          <cell r="A98" t="str">
            <v>020-30-020</v>
          </cell>
          <cell r="B98" t="str">
            <v>AMBALAL HOUSE PHASE 2</v>
          </cell>
          <cell r="C98">
            <v>0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</row>
        <row r="99">
          <cell r="A99" t="str">
            <v>020-30-030</v>
          </cell>
          <cell r="B99" t="str">
            <v>RUNDA PLOT</v>
          </cell>
          <cell r="C99">
            <v>0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</row>
        <row r="100">
          <cell r="A100" t="str">
            <v>020-30-040</v>
          </cell>
          <cell r="B100" t="str">
            <v>PAN AFRICA HOUSE NAIROBI</v>
          </cell>
          <cell r="C100">
            <v>0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</row>
        <row r="101">
          <cell r="A101" t="str">
            <v>020-30-050</v>
          </cell>
          <cell r="B101" t="str">
            <v>PAN AFRICA INS.ARCADE PETROL STATION</v>
          </cell>
          <cell r="C101">
            <v>0</v>
          </cell>
          <cell r="D101">
            <v>0</v>
          </cell>
          <cell r="E101">
            <v>0</v>
          </cell>
          <cell r="F101">
            <v>0</v>
          </cell>
          <cell r="H101">
            <v>0</v>
          </cell>
        </row>
        <row r="102">
          <cell r="A102" t="str">
            <v>020-30-060</v>
          </cell>
          <cell r="B102" t="str">
            <v>RESIDENTIAL HOUSE (LORESHO)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</row>
        <row r="103">
          <cell r="A103" t="str">
            <v>020-30-070</v>
          </cell>
          <cell r="B103" t="str">
            <v>RESIDENTIAL HOUSE (RETREAT VILLAS)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</row>
        <row r="104">
          <cell r="A104" t="str">
            <v>020-40-010</v>
          </cell>
          <cell r="B104" t="str">
            <v>TREASURY BILLS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</row>
        <row r="105">
          <cell r="A105" t="str">
            <v>020-40-040</v>
          </cell>
          <cell r="B105" t="str">
            <v>TREASURY BONDS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</row>
        <row r="106">
          <cell r="A106" t="str">
            <v>020-45-010</v>
          </cell>
          <cell r="B106" t="str">
            <v>TREASURY BILLS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</row>
        <row r="107">
          <cell r="A107" t="str">
            <v>020-45-015</v>
          </cell>
          <cell r="B107" t="str">
            <v>TREASURY BOND</v>
          </cell>
          <cell r="C107">
            <v>0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</row>
        <row r="108">
          <cell r="A108" t="str">
            <v>020-50-010</v>
          </cell>
          <cell r="B108" t="str">
            <v>BROOKE BOND LEIGBIG</v>
          </cell>
          <cell r="C108">
            <v>0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</row>
        <row r="109">
          <cell r="A109" t="str">
            <v>020-50-020</v>
          </cell>
          <cell r="B109" t="str">
            <v>CREDIT FINANCE CORPORATION</v>
          </cell>
          <cell r="C109">
            <v>0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</row>
        <row r="110">
          <cell r="A110" t="str">
            <v>020-50-030</v>
          </cell>
          <cell r="B110" t="str">
            <v>LIMURU TEA CO.LTD.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</row>
        <row r="111">
          <cell r="A111" t="str">
            <v>020-50-040</v>
          </cell>
          <cell r="B111" t="str">
            <v>SASINI TEA &amp; COFFEE LTD.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</row>
        <row r="112">
          <cell r="A112" t="str">
            <v>020-50-050</v>
          </cell>
          <cell r="B112" t="str">
            <v>E.A. BREWERIES</v>
          </cell>
          <cell r="C112">
            <v>0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</row>
        <row r="113">
          <cell r="A113" t="str">
            <v>020-50-060</v>
          </cell>
          <cell r="B113" t="str">
            <v>UNGA GROUP LTD</v>
          </cell>
          <cell r="C113">
            <v>0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</row>
        <row r="114">
          <cell r="A114" t="str">
            <v>020-50-070</v>
          </cell>
          <cell r="B114" t="str">
            <v>NATIONAL IND. CREDIT BANK</v>
          </cell>
          <cell r="C114">
            <v>0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</row>
        <row r="115">
          <cell r="A115" t="str">
            <v>020-50-080</v>
          </cell>
          <cell r="B115" t="str">
            <v>BRITISH AMERICAN TOBACCO</v>
          </cell>
          <cell r="C115">
            <v>0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</row>
        <row r="116">
          <cell r="A116" t="str">
            <v>020-50-090</v>
          </cell>
          <cell r="B116" t="str">
            <v>UCHUMI SUPERMARKETS</v>
          </cell>
          <cell r="C116">
            <v>0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</row>
        <row r="117">
          <cell r="A117" t="str">
            <v>020-50-095</v>
          </cell>
          <cell r="B117" t="str">
            <v>KENYA OIL COMPANY LTD</v>
          </cell>
          <cell r="C117">
            <v>0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</row>
        <row r="118">
          <cell r="A118" t="str">
            <v>020-50-100</v>
          </cell>
          <cell r="B118" t="str">
            <v>FIRESTONE EAST AFRICA</v>
          </cell>
          <cell r="C118">
            <v>0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</row>
        <row r="119">
          <cell r="A119" t="str">
            <v>020-50-120</v>
          </cell>
          <cell r="B119" t="str">
            <v>BARCLAYS BANK KENYA LTD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</row>
        <row r="120">
          <cell r="A120" t="str">
            <v>020-50-125</v>
          </cell>
          <cell r="B120" t="str">
            <v>EAST AFRICA PORTLAND CEMENT</v>
          </cell>
          <cell r="C120">
            <v>0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</row>
        <row r="121">
          <cell r="A121" t="str">
            <v>020-50-130</v>
          </cell>
          <cell r="B121" t="str">
            <v>NATION MEDIA GROUP LTD</v>
          </cell>
          <cell r="C121">
            <v>0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</row>
        <row r="122">
          <cell r="A122" t="str">
            <v>020-50-135</v>
          </cell>
          <cell r="B122" t="str">
            <v>ICDC INVESTMENTS SHARES LTD</v>
          </cell>
          <cell r="C122">
            <v>0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</row>
        <row r="123">
          <cell r="A123" t="str">
            <v>020-50-140</v>
          </cell>
          <cell r="B123" t="str">
            <v>KENYA COMMERCIAL BANK LTD</v>
          </cell>
          <cell r="C123">
            <v>0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</row>
        <row r="124">
          <cell r="A124" t="str">
            <v>020-55-010</v>
          </cell>
          <cell r="B124" t="str">
            <v>NATION MEDIA GROUP LTD</v>
          </cell>
          <cell r="C124">
            <v>0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</row>
        <row r="125">
          <cell r="A125" t="str">
            <v>020-55-015</v>
          </cell>
          <cell r="B125" t="str">
            <v>ICDC INVESTMENTS LTD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</row>
        <row r="126">
          <cell r="A126" t="str">
            <v>020-55-020</v>
          </cell>
          <cell r="B126" t="str">
            <v>E.A. PORTLAND CEMENT LTD</v>
          </cell>
          <cell r="C126">
            <v>0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</row>
        <row r="127">
          <cell r="A127" t="str">
            <v>020-55-025</v>
          </cell>
          <cell r="B127" t="str">
            <v>BAT (K) LTD</v>
          </cell>
          <cell r="C127">
            <v>0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</row>
        <row r="128">
          <cell r="A128" t="str">
            <v>020-55-030</v>
          </cell>
          <cell r="B128" t="str">
            <v>BARCLAYS BANK OF KENYA LTD</v>
          </cell>
          <cell r="C128">
            <v>0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</row>
        <row r="129">
          <cell r="A129" t="str">
            <v>020-55-035</v>
          </cell>
          <cell r="B129" t="str">
            <v>FIRESTONE EA LTD</v>
          </cell>
          <cell r="C129">
            <v>0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</row>
        <row r="130">
          <cell r="A130" t="str">
            <v>020-55-040</v>
          </cell>
          <cell r="B130" t="str">
            <v>KENYA COMMERCIAL BANK LTD</v>
          </cell>
          <cell r="C130">
            <v>0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</row>
        <row r="131">
          <cell r="A131" t="str">
            <v>020-55-045</v>
          </cell>
          <cell r="B131" t="str">
            <v>KENYA AIRWAYS</v>
          </cell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</row>
        <row r="132">
          <cell r="A132" t="str">
            <v>020-60-010</v>
          </cell>
          <cell r="B132" t="str">
            <v>LOAN ON MORTGAGE THIRD PARTY</v>
          </cell>
          <cell r="C132">
            <v>-30306.2</v>
          </cell>
          <cell r="D132">
            <v>0</v>
          </cell>
          <cell r="E132">
            <v>-30306.2</v>
          </cell>
          <cell r="F132">
            <v>-30306.2</v>
          </cell>
          <cell r="G132">
            <v>0</v>
          </cell>
          <cell r="H132">
            <v>-30306.2</v>
          </cell>
        </row>
        <row r="133">
          <cell r="A133" t="str">
            <v>020-60-020</v>
          </cell>
          <cell r="B133" t="str">
            <v>LOAN ON MORTGAGE SHAREHOLDERS</v>
          </cell>
          <cell r="C133">
            <v>0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</row>
        <row r="134">
          <cell r="A134" t="str">
            <v>020-60-030</v>
          </cell>
          <cell r="B134" t="str">
            <v>LOAN ON MORTGAGE STAFF</v>
          </cell>
          <cell r="C134">
            <v>2532273.4700000002</v>
          </cell>
          <cell r="D134">
            <v>-44744.9</v>
          </cell>
          <cell r="E134">
            <v>2487528.5699999998</v>
          </cell>
          <cell r="F134">
            <v>2487528.5699999998</v>
          </cell>
          <cell r="G134">
            <v>0</v>
          </cell>
          <cell r="H134">
            <v>2487528.5699999998</v>
          </cell>
        </row>
        <row r="135">
          <cell r="A135" t="str">
            <v>020-70-010</v>
          </cell>
          <cell r="B135" t="str">
            <v>LOAN ON POLICY W/S/V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</row>
        <row r="136">
          <cell r="A136" t="str">
            <v>020-70-020</v>
          </cell>
          <cell r="B136" t="str">
            <v>LOAN ON POLICY -TANZANIA</v>
          </cell>
          <cell r="C136">
            <v>0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</row>
        <row r="137">
          <cell r="A137" t="str">
            <v>020-70-030</v>
          </cell>
          <cell r="B137" t="str">
            <v>LOAN ON POLICY REPAYMENT</v>
          </cell>
          <cell r="C137">
            <v>-118600</v>
          </cell>
          <cell r="D137">
            <v>-12200</v>
          </cell>
          <cell r="E137">
            <v>-130800</v>
          </cell>
          <cell r="F137">
            <v>-130800</v>
          </cell>
          <cell r="G137">
            <v>0</v>
          </cell>
          <cell r="H137">
            <v>-130800</v>
          </cell>
        </row>
        <row r="138">
          <cell r="A138" t="str">
            <v>020-70-040</v>
          </cell>
          <cell r="B138" t="str">
            <v>O/S INTEREST ON LOAN ON POLICY</v>
          </cell>
          <cell r="C138">
            <v>0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</row>
        <row r="139">
          <cell r="A139" t="str">
            <v>020-70-050</v>
          </cell>
          <cell r="B139" t="str">
            <v>PROVISION FOR DOUBTFUL LOAN BALANCES</v>
          </cell>
          <cell r="C139">
            <v>0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</row>
        <row r="140">
          <cell r="A140" t="str">
            <v>030-10-010</v>
          </cell>
          <cell r="B140" t="str">
            <v>BANK OF BARODA</v>
          </cell>
          <cell r="C140">
            <v>13899.05</v>
          </cell>
          <cell r="D140">
            <v>0</v>
          </cell>
          <cell r="E140">
            <v>13899.05</v>
          </cell>
          <cell r="F140">
            <v>13899.05</v>
          </cell>
          <cell r="G140">
            <v>0</v>
          </cell>
          <cell r="H140">
            <v>13899.05</v>
          </cell>
        </row>
        <row r="141">
          <cell r="A141" t="str">
            <v>030-10-020</v>
          </cell>
          <cell r="B141" t="str">
            <v>CREDIT AGRICOLE INDOSUEZ</v>
          </cell>
          <cell r="C141">
            <v>0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</row>
        <row r="142">
          <cell r="A142" t="str">
            <v>030-10-030</v>
          </cell>
          <cell r="B142" t="str">
            <v>CBA WABERA STREET</v>
          </cell>
          <cell r="C142">
            <v>-15124986.02</v>
          </cell>
          <cell r="D142">
            <v>-1574435.55</v>
          </cell>
          <cell r="E142">
            <v>-16699421.57</v>
          </cell>
          <cell r="F142">
            <v>-16699421.57</v>
          </cell>
          <cell r="G142">
            <v>0</v>
          </cell>
          <cell r="H142">
            <v>-16699421.57</v>
          </cell>
        </row>
        <row r="143">
          <cell r="A143" t="str">
            <v>030-10-040</v>
          </cell>
          <cell r="B143" t="str">
            <v>BBK-MSA (16-1396-834</v>
          </cell>
          <cell r="C143">
            <v>2411569.65</v>
          </cell>
          <cell r="D143">
            <v>0</v>
          </cell>
          <cell r="E143">
            <v>2411569.65</v>
          </cell>
          <cell r="F143">
            <v>2411569.65</v>
          </cell>
          <cell r="G143">
            <v>0</v>
          </cell>
          <cell r="H143">
            <v>2411569.65</v>
          </cell>
        </row>
        <row r="144">
          <cell r="A144" t="str">
            <v>030-10-050</v>
          </cell>
          <cell r="B144" t="str">
            <v>SCB COLLECTION A/C (0104021198701)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</row>
        <row r="145">
          <cell r="A145" t="str">
            <v>030-10-060</v>
          </cell>
          <cell r="B145" t="str">
            <v>CO-OP UKULIMA BRANCH</v>
          </cell>
          <cell r="C145">
            <v>3586740</v>
          </cell>
          <cell r="D145">
            <v>0</v>
          </cell>
          <cell r="E145">
            <v>3586740</v>
          </cell>
          <cell r="F145">
            <v>3586740</v>
          </cell>
          <cell r="G145">
            <v>0</v>
          </cell>
          <cell r="H145">
            <v>3586740</v>
          </cell>
        </row>
        <row r="146">
          <cell r="A146" t="str">
            <v>030-10-080</v>
          </cell>
          <cell r="B146" t="str">
            <v>BBK MERU</v>
          </cell>
          <cell r="C146">
            <v>-674704.5</v>
          </cell>
          <cell r="D146">
            <v>38520.1</v>
          </cell>
          <cell r="E146">
            <v>-636184.4</v>
          </cell>
          <cell r="F146">
            <v>-636184.4</v>
          </cell>
          <cell r="G146">
            <v>0</v>
          </cell>
          <cell r="H146">
            <v>-636184.4</v>
          </cell>
        </row>
        <row r="147">
          <cell r="A147" t="str">
            <v>030-10-090</v>
          </cell>
          <cell r="B147" t="str">
            <v>BBK NYERI</v>
          </cell>
          <cell r="C147">
            <v>-47760.34</v>
          </cell>
          <cell r="D147">
            <v>11419.25</v>
          </cell>
          <cell r="E147">
            <v>-36341.089999999997</v>
          </cell>
          <cell r="F147">
            <v>-36341.089999999997</v>
          </cell>
          <cell r="G147">
            <v>0</v>
          </cell>
          <cell r="H147">
            <v>-36341.089999999997</v>
          </cell>
        </row>
        <row r="148">
          <cell r="A148" t="str">
            <v>030-10-100</v>
          </cell>
          <cell r="B148" t="str">
            <v>BBK NBI (5776890)</v>
          </cell>
          <cell r="C148">
            <v>8787861.0999999996</v>
          </cell>
          <cell r="D148">
            <v>1312957.3</v>
          </cell>
          <cell r="E148">
            <v>10100818.4</v>
          </cell>
          <cell r="F148">
            <v>10100818.4</v>
          </cell>
          <cell r="G148">
            <v>0</v>
          </cell>
          <cell r="H148">
            <v>10100818.4</v>
          </cell>
        </row>
        <row r="149">
          <cell r="A149" t="str">
            <v>030-10-110</v>
          </cell>
          <cell r="B149" t="str">
            <v>BBK KAKAMEGA</v>
          </cell>
          <cell r="C149">
            <v>0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</row>
        <row r="150">
          <cell r="A150" t="str">
            <v>030-10-120</v>
          </cell>
          <cell r="B150" t="str">
            <v>BBK NBI (5776688)</v>
          </cell>
          <cell r="C150">
            <v>-52253346.68</v>
          </cell>
          <cell r="D150">
            <v>-9938270.8200000003</v>
          </cell>
          <cell r="E150">
            <v>-62191617.5</v>
          </cell>
          <cell r="F150">
            <v>-62191617.5</v>
          </cell>
          <cell r="G150">
            <v>0</v>
          </cell>
          <cell r="H150">
            <v>-62191617.5</v>
          </cell>
        </row>
        <row r="151">
          <cell r="A151" t="str">
            <v>030-10-140</v>
          </cell>
          <cell r="B151" t="str">
            <v>BBK KISII</v>
          </cell>
          <cell r="C151">
            <v>-187307.05</v>
          </cell>
          <cell r="D151">
            <v>26464.05</v>
          </cell>
          <cell r="E151">
            <v>-160843</v>
          </cell>
          <cell r="F151">
            <v>-160843</v>
          </cell>
          <cell r="G151">
            <v>0</v>
          </cell>
          <cell r="H151">
            <v>-160843</v>
          </cell>
        </row>
        <row r="152">
          <cell r="A152" t="str">
            <v>030-10-150</v>
          </cell>
          <cell r="B152" t="str">
            <v>BBK KISUMU</v>
          </cell>
          <cell r="C152">
            <v>-488523.75</v>
          </cell>
          <cell r="D152">
            <v>19153.099999999999</v>
          </cell>
          <cell r="E152">
            <v>-469370.65</v>
          </cell>
          <cell r="F152">
            <v>-469370.65</v>
          </cell>
          <cell r="G152">
            <v>0</v>
          </cell>
          <cell r="H152">
            <v>-469370.65</v>
          </cell>
        </row>
        <row r="153">
          <cell r="A153" t="str">
            <v>030-10-160</v>
          </cell>
          <cell r="B153" t="str">
            <v>BBK NAKURU</v>
          </cell>
          <cell r="C153">
            <v>53966.35</v>
          </cell>
          <cell r="D153">
            <v>70224.2</v>
          </cell>
          <cell r="E153">
            <v>124190.55</v>
          </cell>
          <cell r="F153">
            <v>124190.55</v>
          </cell>
          <cell r="G153">
            <v>0</v>
          </cell>
          <cell r="H153">
            <v>124190.55</v>
          </cell>
        </row>
        <row r="154">
          <cell r="A154" t="str">
            <v>030-10-170</v>
          </cell>
          <cell r="B154" t="str">
            <v>BBK ELDORET</v>
          </cell>
          <cell r="C154">
            <v>-1136467.05</v>
          </cell>
          <cell r="D154">
            <v>-63926.8</v>
          </cell>
          <cell r="E154">
            <v>-1200393.8500000001</v>
          </cell>
          <cell r="F154">
            <v>-1200393.8500000001</v>
          </cell>
          <cell r="G154">
            <v>0</v>
          </cell>
          <cell r="H154">
            <v>-1200393.8500000001</v>
          </cell>
        </row>
        <row r="155">
          <cell r="A155" t="str">
            <v>030-10-180</v>
          </cell>
          <cell r="B155" t="str">
            <v>BBK CHUKA</v>
          </cell>
          <cell r="C155">
            <v>0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</row>
        <row r="156">
          <cell r="A156" t="str">
            <v>030-10-190</v>
          </cell>
          <cell r="B156" t="str">
            <v>BBK EMBU</v>
          </cell>
          <cell r="C156">
            <v>-205769.15</v>
          </cell>
          <cell r="D156">
            <v>44771.45</v>
          </cell>
          <cell r="E156">
            <v>-160997.70000000001</v>
          </cell>
          <cell r="F156">
            <v>-160997.70000000001</v>
          </cell>
          <cell r="G156">
            <v>0</v>
          </cell>
          <cell r="H156">
            <v>-160997.70000000001</v>
          </cell>
        </row>
        <row r="157">
          <cell r="A157" t="str">
            <v>030-10-200</v>
          </cell>
          <cell r="B157" t="str">
            <v>CO-OP CHUKA</v>
          </cell>
          <cell r="C157">
            <v>3092</v>
          </cell>
          <cell r="D157">
            <v>0</v>
          </cell>
          <cell r="E157">
            <v>3092</v>
          </cell>
          <cell r="F157">
            <v>3092</v>
          </cell>
          <cell r="G157">
            <v>0</v>
          </cell>
          <cell r="H157">
            <v>3092</v>
          </cell>
        </row>
        <row r="158">
          <cell r="A158" t="str">
            <v>030-10-210</v>
          </cell>
          <cell r="B158" t="str">
            <v>STANBIC NBI</v>
          </cell>
          <cell r="C158">
            <v>0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</row>
        <row r="159">
          <cell r="A159" t="str">
            <v>030-10-220</v>
          </cell>
          <cell r="B159" t="str">
            <v>HOLDCO</v>
          </cell>
          <cell r="C159">
            <v>0</v>
          </cell>
          <cell r="D159">
            <v>0</v>
          </cell>
          <cell r="E159">
            <v>0</v>
          </cell>
          <cell r="F159">
            <v>0</v>
          </cell>
          <cell r="G159">
            <v>0</v>
          </cell>
          <cell r="H159">
            <v>0</v>
          </cell>
        </row>
        <row r="160">
          <cell r="A160" t="str">
            <v>030-10-230</v>
          </cell>
          <cell r="B160" t="str">
            <v>GRATUITY US DOLLAR (101930505)</v>
          </cell>
          <cell r="C160">
            <v>0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</row>
        <row r="161">
          <cell r="A161" t="str">
            <v>030-10-240</v>
          </cell>
          <cell r="B161" t="str">
            <v>BARCLAYS BANK THIKA</v>
          </cell>
          <cell r="C161">
            <v>-166009.20000000001</v>
          </cell>
          <cell r="D161">
            <v>79022.2</v>
          </cell>
          <cell r="E161">
            <v>-86987</v>
          </cell>
          <cell r="F161">
            <v>-86987</v>
          </cell>
          <cell r="G161">
            <v>0</v>
          </cell>
          <cell r="H161">
            <v>-86987</v>
          </cell>
        </row>
        <row r="162">
          <cell r="A162" t="str">
            <v>030-10-250</v>
          </cell>
          <cell r="B162" t="str">
            <v>CBA USD ACCOUNT</v>
          </cell>
          <cell r="C162">
            <v>0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</row>
        <row r="163">
          <cell r="A163" t="str">
            <v>030-10-260</v>
          </cell>
          <cell r="B163" t="str">
            <v>BARCLAYS BANK B-A/C 5039027</v>
          </cell>
          <cell r="C163">
            <v>0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</row>
        <row r="164">
          <cell r="A164" t="str">
            <v>030-10-270</v>
          </cell>
          <cell r="B164" t="str">
            <v>BARCLAYS BANK COLLECTIONS 5039051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</row>
        <row r="165">
          <cell r="A165" t="str">
            <v>030-10-280</v>
          </cell>
          <cell r="B165" t="str">
            <v>BARCLAYS BANK EXPENSES 5039035</v>
          </cell>
          <cell r="C165">
            <v>0</v>
          </cell>
          <cell r="D165">
            <v>0</v>
          </cell>
          <cell r="E165">
            <v>0</v>
          </cell>
          <cell r="F165">
            <v>0</v>
          </cell>
          <cell r="G165">
            <v>0</v>
          </cell>
          <cell r="H165">
            <v>0</v>
          </cell>
        </row>
        <row r="166">
          <cell r="A166" t="str">
            <v>030-20-010</v>
          </cell>
          <cell r="B166" t="str">
            <v>PETTY CASH HEADOFFICE</v>
          </cell>
          <cell r="C166">
            <v>0</v>
          </cell>
          <cell r="D166">
            <v>0</v>
          </cell>
          <cell r="E166">
            <v>0</v>
          </cell>
          <cell r="F166">
            <v>0</v>
          </cell>
          <cell r="H166">
            <v>0</v>
          </cell>
        </row>
        <row r="167">
          <cell r="A167" t="str">
            <v>030-20-020</v>
          </cell>
          <cell r="B167" t="str">
            <v>PETTY CASH MOMBASA</v>
          </cell>
          <cell r="C167">
            <v>0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</row>
        <row r="168">
          <cell r="A168" t="str">
            <v>030-20-030</v>
          </cell>
          <cell r="B168" t="str">
            <v>PETTY CASH MERU</v>
          </cell>
          <cell r="C168">
            <v>0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</row>
        <row r="169">
          <cell r="A169" t="str">
            <v>030-20-040</v>
          </cell>
          <cell r="B169" t="str">
            <v>PETTY CASH NYERI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</row>
        <row r="170">
          <cell r="A170" t="str">
            <v>030-20-050</v>
          </cell>
          <cell r="B170" t="str">
            <v>PETTY CASH KISUMU</v>
          </cell>
          <cell r="C170">
            <v>0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</row>
        <row r="171">
          <cell r="A171" t="str">
            <v>030-20-060</v>
          </cell>
          <cell r="B171" t="str">
            <v>PETTY CASH HURLINGHAM</v>
          </cell>
          <cell r="C171">
            <v>0</v>
          </cell>
          <cell r="D171">
            <v>-9385</v>
          </cell>
          <cell r="E171">
            <v>-9385</v>
          </cell>
          <cell r="F171">
            <v>-9385</v>
          </cell>
          <cell r="G171">
            <v>0</v>
          </cell>
          <cell r="H171">
            <v>-9385</v>
          </cell>
        </row>
        <row r="172">
          <cell r="A172" t="str">
            <v>030-20-070</v>
          </cell>
          <cell r="B172" t="str">
            <v>PETTY CASH ELDORET</v>
          </cell>
          <cell r="C172">
            <v>0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</row>
        <row r="173">
          <cell r="A173" t="str">
            <v>030-20-080</v>
          </cell>
          <cell r="B173" t="str">
            <v>PETTY CASH KISII</v>
          </cell>
          <cell r="C173">
            <v>0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</row>
        <row r="174">
          <cell r="A174" t="str">
            <v>030-20-090</v>
          </cell>
          <cell r="B174" t="str">
            <v>PETTY CASH CHUKA</v>
          </cell>
          <cell r="C174">
            <v>0</v>
          </cell>
          <cell r="D174">
            <v>0</v>
          </cell>
          <cell r="E174">
            <v>0</v>
          </cell>
          <cell r="F174">
            <v>0</v>
          </cell>
          <cell r="G174">
            <v>0</v>
          </cell>
          <cell r="H174">
            <v>0</v>
          </cell>
        </row>
        <row r="175">
          <cell r="A175" t="str">
            <v>030-20-100</v>
          </cell>
          <cell r="B175" t="str">
            <v>PETTY CASH EMBU</v>
          </cell>
          <cell r="C175">
            <v>0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</row>
        <row r="176">
          <cell r="A176" t="str">
            <v>030-20-110</v>
          </cell>
          <cell r="B176" t="str">
            <v>PETTY CASH NAKURU</v>
          </cell>
          <cell r="C176">
            <v>0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</row>
        <row r="177">
          <cell r="A177" t="str">
            <v>030-20-120</v>
          </cell>
          <cell r="B177" t="str">
            <v>PETTY CASH THIKA</v>
          </cell>
          <cell r="C177">
            <v>0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</row>
        <row r="178">
          <cell r="A178" t="str">
            <v>030-20-130</v>
          </cell>
          <cell r="B178" t="str">
            <v>PETTY CASH CITY CENTRE</v>
          </cell>
          <cell r="C178">
            <v>0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</row>
        <row r="179">
          <cell r="A179" t="str">
            <v>030-20-140</v>
          </cell>
          <cell r="B179" t="str">
            <v>PETTY CASH MACHAKOS</v>
          </cell>
          <cell r="C179">
            <v>0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</row>
        <row r="180">
          <cell r="A180" t="str">
            <v>030-20-150</v>
          </cell>
          <cell r="B180" t="str">
            <v>CASH FLOAT -LIFE MARKETING</v>
          </cell>
          <cell r="C180">
            <v>0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</row>
        <row r="181">
          <cell r="A181" t="str">
            <v>030-30-010</v>
          </cell>
          <cell r="B181" t="str">
            <v>FIXED DEPOSIT -CBA (RIGHTS ISSUE)</v>
          </cell>
          <cell r="C181">
            <v>0</v>
          </cell>
          <cell r="D181">
            <v>0</v>
          </cell>
          <cell r="E181">
            <v>0</v>
          </cell>
          <cell r="F181">
            <v>0</v>
          </cell>
          <cell r="G181">
            <v>0</v>
          </cell>
          <cell r="H181">
            <v>0</v>
          </cell>
        </row>
        <row r="182">
          <cell r="A182" t="str">
            <v>030-30-030</v>
          </cell>
          <cell r="B182" t="str">
            <v>OTHERS FIXED DEPOSITS</v>
          </cell>
          <cell r="C182">
            <v>0</v>
          </cell>
          <cell r="D182">
            <v>0</v>
          </cell>
          <cell r="E182">
            <v>0</v>
          </cell>
          <cell r="F182">
            <v>0</v>
          </cell>
          <cell r="H182">
            <v>0</v>
          </cell>
        </row>
        <row r="183">
          <cell r="A183" t="str">
            <v>030-30-040</v>
          </cell>
          <cell r="B183" t="str">
            <v>FIXED DEPOSIT -DELPHIS</v>
          </cell>
          <cell r="C183">
            <v>0</v>
          </cell>
          <cell r="D183">
            <v>0</v>
          </cell>
          <cell r="E183">
            <v>0</v>
          </cell>
          <cell r="F183">
            <v>0</v>
          </cell>
          <cell r="H183">
            <v>0</v>
          </cell>
        </row>
        <row r="184">
          <cell r="A184" t="str">
            <v>030-30-050</v>
          </cell>
          <cell r="B184" t="str">
            <v>FIXED DEPOSIT -STANBIC BANK</v>
          </cell>
          <cell r="C184">
            <v>0</v>
          </cell>
          <cell r="D184">
            <v>0</v>
          </cell>
          <cell r="E184">
            <v>0</v>
          </cell>
          <cell r="F184">
            <v>0</v>
          </cell>
          <cell r="H184">
            <v>0</v>
          </cell>
        </row>
        <row r="185">
          <cell r="A185" t="str">
            <v>030-30-060</v>
          </cell>
          <cell r="B185" t="str">
            <v>FIXED DEPOSIT -BARCLAYS RIGHTS</v>
          </cell>
          <cell r="C185">
            <v>0</v>
          </cell>
          <cell r="D185">
            <v>0</v>
          </cell>
          <cell r="E185">
            <v>0</v>
          </cell>
          <cell r="F185">
            <v>0</v>
          </cell>
          <cell r="H185">
            <v>0</v>
          </cell>
        </row>
        <row r="186">
          <cell r="A186" t="str">
            <v>030-30-070</v>
          </cell>
          <cell r="B186" t="str">
            <v>FIXED DEPOSIT -TANZANIA</v>
          </cell>
          <cell r="C186">
            <v>0</v>
          </cell>
          <cell r="D186">
            <v>0</v>
          </cell>
          <cell r="E186">
            <v>0</v>
          </cell>
          <cell r="F186">
            <v>0</v>
          </cell>
          <cell r="H186">
            <v>0</v>
          </cell>
        </row>
        <row r="187">
          <cell r="A187" t="str">
            <v>030-30-080</v>
          </cell>
          <cell r="B187" t="str">
            <v>DELPHIS BANK-PROVISION</v>
          </cell>
          <cell r="C187">
            <v>0</v>
          </cell>
          <cell r="D187">
            <v>0</v>
          </cell>
          <cell r="E187">
            <v>0</v>
          </cell>
          <cell r="F187">
            <v>0</v>
          </cell>
          <cell r="H187">
            <v>0</v>
          </cell>
        </row>
        <row r="188">
          <cell r="A188" t="str">
            <v>030-30-090</v>
          </cell>
          <cell r="B188" t="str">
            <v>STANBIC CUSTODIAN SERVICES</v>
          </cell>
          <cell r="C188">
            <v>0</v>
          </cell>
          <cell r="D188">
            <v>0</v>
          </cell>
          <cell r="E188">
            <v>0</v>
          </cell>
          <cell r="F188">
            <v>0</v>
          </cell>
          <cell r="H188">
            <v>0</v>
          </cell>
        </row>
        <row r="189">
          <cell r="A189" t="str">
            <v>030-31-010</v>
          </cell>
          <cell r="B189" t="str">
            <v>STANBIC CUSTODIAN SERVICES</v>
          </cell>
          <cell r="C189">
            <v>0</v>
          </cell>
          <cell r="D189">
            <v>0</v>
          </cell>
          <cell r="E189">
            <v>0</v>
          </cell>
          <cell r="F189">
            <v>0</v>
          </cell>
          <cell r="H189">
            <v>0</v>
          </cell>
        </row>
        <row r="190">
          <cell r="A190" t="str">
            <v>030-31-020</v>
          </cell>
          <cell r="B190" t="str">
            <v>OTHER FIXED DEPOSITS</v>
          </cell>
          <cell r="C190">
            <v>0</v>
          </cell>
          <cell r="D190">
            <v>0</v>
          </cell>
          <cell r="E190">
            <v>0</v>
          </cell>
          <cell r="F190">
            <v>0</v>
          </cell>
          <cell r="H190">
            <v>0</v>
          </cell>
        </row>
        <row r="191">
          <cell r="A191" t="str">
            <v>030-33-010</v>
          </cell>
          <cell r="B191" t="str">
            <v>OUSTANDING PREMIUM - API</v>
          </cell>
          <cell r="C191">
            <v>0</v>
          </cell>
          <cell r="D191">
            <v>0</v>
          </cell>
          <cell r="E191">
            <v>0</v>
          </cell>
          <cell r="F191">
            <v>0</v>
          </cell>
          <cell r="H191">
            <v>0</v>
          </cell>
        </row>
        <row r="192">
          <cell r="A192" t="str">
            <v>030-35-010</v>
          </cell>
          <cell r="B192" t="str">
            <v>CONTRA BSO</v>
          </cell>
          <cell r="C192">
            <v>0</v>
          </cell>
          <cell r="D192">
            <v>0</v>
          </cell>
          <cell r="E192">
            <v>0</v>
          </cell>
          <cell r="F192">
            <v>0</v>
          </cell>
          <cell r="H192">
            <v>0</v>
          </cell>
        </row>
        <row r="193">
          <cell r="A193" t="str">
            <v>030-35-020</v>
          </cell>
          <cell r="B193" t="str">
            <v>CONTRA GSO</v>
          </cell>
          <cell r="C193">
            <v>0</v>
          </cell>
          <cell r="D193">
            <v>0</v>
          </cell>
          <cell r="E193">
            <v>0</v>
          </cell>
          <cell r="F193">
            <v>0</v>
          </cell>
          <cell r="H193">
            <v>0</v>
          </cell>
        </row>
        <row r="194">
          <cell r="A194" t="str">
            <v>030-35-030</v>
          </cell>
          <cell r="B194" t="str">
            <v>CONTRA CASH</v>
          </cell>
          <cell r="C194">
            <v>0</v>
          </cell>
          <cell r="D194">
            <v>0</v>
          </cell>
          <cell r="E194">
            <v>0</v>
          </cell>
          <cell r="F194">
            <v>0</v>
          </cell>
          <cell r="H194">
            <v>0</v>
          </cell>
        </row>
        <row r="195">
          <cell r="A195" t="str">
            <v>030-35-040</v>
          </cell>
          <cell r="B195" t="str">
            <v>CONTRA DD</v>
          </cell>
          <cell r="C195">
            <v>0</v>
          </cell>
          <cell r="D195">
            <v>0</v>
          </cell>
          <cell r="E195">
            <v>0</v>
          </cell>
          <cell r="F195">
            <v>0</v>
          </cell>
          <cell r="H195">
            <v>0</v>
          </cell>
        </row>
        <row r="196">
          <cell r="A196" t="str">
            <v>030-35-050</v>
          </cell>
          <cell r="B196" t="str">
            <v>PREMIUMS IN ARREARS</v>
          </cell>
          <cell r="C196">
            <v>0</v>
          </cell>
          <cell r="D196">
            <v>0</v>
          </cell>
          <cell r="E196">
            <v>0</v>
          </cell>
          <cell r="F196">
            <v>0</v>
          </cell>
          <cell r="H196">
            <v>0</v>
          </cell>
        </row>
        <row r="197">
          <cell r="A197" t="str">
            <v>030-40-010</v>
          </cell>
          <cell r="B197" t="str">
            <v>SAFARICOM</v>
          </cell>
          <cell r="C197">
            <v>0</v>
          </cell>
          <cell r="D197">
            <v>0</v>
          </cell>
          <cell r="E197">
            <v>0</v>
          </cell>
          <cell r="F197">
            <v>0</v>
          </cell>
          <cell r="H197">
            <v>0</v>
          </cell>
        </row>
        <row r="198">
          <cell r="A198" t="str">
            <v>030-40-015</v>
          </cell>
          <cell r="B198" t="str">
            <v>KENYA OIL CO. LTD</v>
          </cell>
          <cell r="C198">
            <v>0</v>
          </cell>
          <cell r="D198">
            <v>0</v>
          </cell>
          <cell r="E198">
            <v>0</v>
          </cell>
          <cell r="F198">
            <v>0</v>
          </cell>
          <cell r="H198">
            <v>0</v>
          </cell>
        </row>
        <row r="199">
          <cell r="A199" t="str">
            <v>030-45-010</v>
          </cell>
          <cell r="B199" t="str">
            <v>O/S INTEREST ON COMMERCIAL PAPER</v>
          </cell>
          <cell r="C199">
            <v>0</v>
          </cell>
          <cell r="D199">
            <v>0</v>
          </cell>
          <cell r="E199">
            <v>0</v>
          </cell>
          <cell r="F199">
            <v>0</v>
          </cell>
          <cell r="H199">
            <v>0</v>
          </cell>
        </row>
        <row r="200">
          <cell r="A200" t="str">
            <v>030-45-020</v>
          </cell>
          <cell r="B200" t="str">
            <v>O/S INTEREST ON FIXED DEPOSIT</v>
          </cell>
          <cell r="C200">
            <v>0</v>
          </cell>
          <cell r="D200">
            <v>0</v>
          </cell>
          <cell r="E200">
            <v>0</v>
          </cell>
          <cell r="F200">
            <v>0</v>
          </cell>
          <cell r="H200">
            <v>0</v>
          </cell>
        </row>
        <row r="201">
          <cell r="A201" t="str">
            <v>030-45-030</v>
          </cell>
          <cell r="B201" t="str">
            <v>O/S INTEREST ON TB'S</v>
          </cell>
          <cell r="C201">
            <v>0</v>
          </cell>
          <cell r="D201">
            <v>0</v>
          </cell>
          <cell r="E201">
            <v>0</v>
          </cell>
          <cell r="F201">
            <v>0</v>
          </cell>
          <cell r="H201">
            <v>0</v>
          </cell>
        </row>
        <row r="202">
          <cell r="A202" t="str">
            <v>030-46-010</v>
          </cell>
          <cell r="B202" t="str">
            <v>O/S INTEREST FD</v>
          </cell>
          <cell r="C202">
            <v>0</v>
          </cell>
          <cell r="D202">
            <v>0</v>
          </cell>
          <cell r="E202">
            <v>0</v>
          </cell>
          <cell r="F202">
            <v>0</v>
          </cell>
          <cell r="H202">
            <v>0</v>
          </cell>
        </row>
        <row r="203">
          <cell r="A203" t="str">
            <v>030-46-020</v>
          </cell>
          <cell r="B203" t="str">
            <v>O/S INTEREST TB</v>
          </cell>
          <cell r="C203">
            <v>0</v>
          </cell>
          <cell r="D203">
            <v>0</v>
          </cell>
          <cell r="E203">
            <v>0</v>
          </cell>
          <cell r="F203">
            <v>0</v>
          </cell>
          <cell r="H203">
            <v>0</v>
          </cell>
        </row>
        <row r="204">
          <cell r="A204" t="str">
            <v>030-46-030</v>
          </cell>
          <cell r="B204" t="str">
            <v>O/S INTEREST C/P</v>
          </cell>
          <cell r="C204">
            <v>0</v>
          </cell>
          <cell r="D204">
            <v>0</v>
          </cell>
          <cell r="E204">
            <v>0</v>
          </cell>
          <cell r="F204">
            <v>0</v>
          </cell>
          <cell r="H204">
            <v>0</v>
          </cell>
        </row>
        <row r="205">
          <cell r="A205" t="str">
            <v>030-50-010</v>
          </cell>
          <cell r="B205" t="str">
            <v>AGENTS LOANS</v>
          </cell>
          <cell r="C205">
            <v>4457131.01</v>
          </cell>
          <cell r="D205">
            <v>-288286.2</v>
          </cell>
          <cell r="E205">
            <v>4168844.81</v>
          </cell>
          <cell r="F205">
            <v>4168844.81</v>
          </cell>
          <cell r="H205">
            <v>4168844.81</v>
          </cell>
        </row>
        <row r="206">
          <cell r="A206" t="str">
            <v>030-50-020</v>
          </cell>
          <cell r="B206" t="str">
            <v>AGENTS COMMISSION CONTROL ACCOUNT</v>
          </cell>
          <cell r="C206">
            <v>-8175481.0700000003</v>
          </cell>
          <cell r="D206">
            <v>251129.14</v>
          </cell>
          <cell r="E206">
            <v>-7924351.9299999997</v>
          </cell>
          <cell r="F206">
            <v>-7924351.9299999997</v>
          </cell>
          <cell r="H206">
            <v>-7924351.9299999997</v>
          </cell>
        </row>
        <row r="207">
          <cell r="A207" t="str">
            <v>030-50-030</v>
          </cell>
          <cell r="B207" t="str">
            <v>STAFF ADVANCES</v>
          </cell>
          <cell r="C207">
            <v>27279.95</v>
          </cell>
          <cell r="D207">
            <v>-21416.65</v>
          </cell>
          <cell r="E207">
            <v>5863.3</v>
          </cell>
          <cell r="F207">
            <v>5863.3</v>
          </cell>
          <cell r="H207">
            <v>5863.3</v>
          </cell>
        </row>
        <row r="208">
          <cell r="A208" t="str">
            <v>030-50-040</v>
          </cell>
          <cell r="B208" t="str">
            <v>STAFF CAR LOANS</v>
          </cell>
          <cell r="C208">
            <v>-607158</v>
          </cell>
          <cell r="D208">
            <v>-72586.100000000006</v>
          </cell>
          <cell r="E208">
            <v>-679744.1</v>
          </cell>
          <cell r="F208">
            <v>-679744.1</v>
          </cell>
          <cell r="H208">
            <v>-679744.1</v>
          </cell>
        </row>
        <row r="209">
          <cell r="A209" t="str">
            <v>030-50-050</v>
          </cell>
          <cell r="B209" t="str">
            <v>STAFF DEBTORS MEDICALS</v>
          </cell>
          <cell r="C209">
            <v>-129296.17</v>
          </cell>
          <cell r="D209">
            <v>-1538.9</v>
          </cell>
          <cell r="E209">
            <v>-130835.07</v>
          </cell>
          <cell r="F209">
            <v>-130835.07</v>
          </cell>
          <cell r="H209">
            <v>-130835.07</v>
          </cell>
        </row>
        <row r="210">
          <cell r="A210" t="str">
            <v>030-50-060</v>
          </cell>
          <cell r="B210" t="str">
            <v>AGENTS CAR LOANS</v>
          </cell>
          <cell r="C210">
            <v>-227235.52</v>
          </cell>
          <cell r="D210">
            <v>2585582.5499999998</v>
          </cell>
          <cell r="E210">
            <v>2358347.0299999998</v>
          </cell>
          <cell r="F210">
            <v>2358347.0299999998</v>
          </cell>
          <cell r="H210">
            <v>2358347.0299999998</v>
          </cell>
        </row>
        <row r="211">
          <cell r="A211" t="str">
            <v>030-50-070</v>
          </cell>
          <cell r="B211" t="str">
            <v>STAFF DEBTORS(INSURANCE)</v>
          </cell>
          <cell r="C211">
            <v>35006.65</v>
          </cell>
          <cell r="D211">
            <v>-86184.15</v>
          </cell>
          <cell r="E211">
            <v>-51177.5</v>
          </cell>
          <cell r="F211">
            <v>-51177.5</v>
          </cell>
          <cell r="H211">
            <v>-51177.5</v>
          </cell>
        </row>
        <row r="212">
          <cell r="A212" t="str">
            <v>030-55-010</v>
          </cell>
          <cell r="B212" t="str">
            <v>DUE FROM GROUP SCHEMES</v>
          </cell>
          <cell r="C212">
            <v>0</v>
          </cell>
          <cell r="D212">
            <v>0</v>
          </cell>
          <cell r="E212">
            <v>0</v>
          </cell>
          <cell r="F212">
            <v>0</v>
          </cell>
          <cell r="H212">
            <v>0</v>
          </cell>
        </row>
        <row r="213">
          <cell r="A213" t="str">
            <v>030-55-020</v>
          </cell>
          <cell r="B213" t="str">
            <v>W/TAX RECOVERABLE</v>
          </cell>
          <cell r="C213">
            <v>0</v>
          </cell>
          <cell r="D213">
            <v>0</v>
          </cell>
          <cell r="E213">
            <v>0</v>
          </cell>
          <cell r="F213">
            <v>0</v>
          </cell>
          <cell r="H213">
            <v>0</v>
          </cell>
        </row>
        <row r="214">
          <cell r="A214" t="str">
            <v>030-55-030</v>
          </cell>
          <cell r="B214" t="str">
            <v>SUNDRY DEBTORS</v>
          </cell>
          <cell r="C214">
            <v>0</v>
          </cell>
          <cell r="D214">
            <v>0</v>
          </cell>
          <cell r="E214">
            <v>0</v>
          </cell>
          <cell r="F214">
            <v>0</v>
          </cell>
          <cell r="H214">
            <v>0</v>
          </cell>
        </row>
        <row r="215">
          <cell r="A215" t="str">
            <v>030-55-040</v>
          </cell>
          <cell r="B215" t="str">
            <v>PAN AFRICA GENERAL(DUE TO LIFE)</v>
          </cell>
          <cell r="C215">
            <v>24321.200000000001</v>
          </cell>
          <cell r="D215">
            <v>0</v>
          </cell>
          <cell r="E215">
            <v>24321.200000000001</v>
          </cell>
          <cell r="F215">
            <v>24321.200000000001</v>
          </cell>
          <cell r="H215">
            <v>24321.200000000001</v>
          </cell>
        </row>
        <row r="216">
          <cell r="A216" t="str">
            <v>030-55-050</v>
          </cell>
          <cell r="B216" t="str">
            <v>CORPORATION TAX -TANZANIA</v>
          </cell>
          <cell r="C216">
            <v>0</v>
          </cell>
          <cell r="D216">
            <v>0</v>
          </cell>
          <cell r="E216">
            <v>0</v>
          </cell>
          <cell r="F216">
            <v>0</v>
          </cell>
          <cell r="H216">
            <v>0</v>
          </cell>
        </row>
        <row r="217">
          <cell r="A217" t="str">
            <v>030-70-010</v>
          </cell>
          <cell r="B217" t="str">
            <v>RENT DEPOSITS</v>
          </cell>
          <cell r="C217">
            <v>0</v>
          </cell>
          <cell r="D217">
            <v>0</v>
          </cell>
          <cell r="E217">
            <v>0</v>
          </cell>
          <cell r="F217">
            <v>0</v>
          </cell>
          <cell r="H217">
            <v>0</v>
          </cell>
        </row>
        <row r="218">
          <cell r="A218" t="str">
            <v>030-70-020</v>
          </cell>
          <cell r="B218" t="str">
            <v>INPUT VAT</v>
          </cell>
          <cell r="C218">
            <v>0</v>
          </cell>
          <cell r="D218">
            <v>0</v>
          </cell>
          <cell r="E218">
            <v>0</v>
          </cell>
          <cell r="F218">
            <v>0</v>
          </cell>
          <cell r="H218">
            <v>0</v>
          </cell>
        </row>
        <row r="219">
          <cell r="A219" t="str">
            <v>030-70-030</v>
          </cell>
          <cell r="B219" t="str">
            <v>RENT LEASE FEES RECOVERABLE</v>
          </cell>
          <cell r="C219">
            <v>0</v>
          </cell>
          <cell r="D219">
            <v>0</v>
          </cell>
          <cell r="E219">
            <v>0</v>
          </cell>
          <cell r="F219">
            <v>0</v>
          </cell>
          <cell r="H219">
            <v>0</v>
          </cell>
        </row>
        <row r="220">
          <cell r="A220" t="str">
            <v>030-70-040</v>
          </cell>
          <cell r="B220" t="str">
            <v>DEFFERAL SERVICE CHARGE&amp; RENT</v>
          </cell>
          <cell r="C220">
            <v>0</v>
          </cell>
          <cell r="D220">
            <v>0</v>
          </cell>
          <cell r="E220">
            <v>0</v>
          </cell>
          <cell r="F220">
            <v>0</v>
          </cell>
          <cell r="H220">
            <v>0</v>
          </cell>
        </row>
        <row r="221">
          <cell r="A221" t="str">
            <v>030-70-050</v>
          </cell>
          <cell r="B221" t="str">
            <v>O/S SERVICE CHARGE (AMBALAL )</v>
          </cell>
          <cell r="C221">
            <v>0</v>
          </cell>
          <cell r="D221">
            <v>0</v>
          </cell>
          <cell r="E221">
            <v>0</v>
          </cell>
          <cell r="F221">
            <v>0</v>
          </cell>
          <cell r="H221">
            <v>0</v>
          </cell>
        </row>
        <row r="222">
          <cell r="A222" t="str">
            <v>030-70-060</v>
          </cell>
          <cell r="B222" t="str">
            <v>O/S SERVICE CHARGE (MOMBASA)</v>
          </cell>
          <cell r="C222">
            <v>0</v>
          </cell>
          <cell r="D222">
            <v>0</v>
          </cell>
          <cell r="E222">
            <v>0</v>
          </cell>
          <cell r="F222">
            <v>0</v>
          </cell>
          <cell r="H222">
            <v>0</v>
          </cell>
        </row>
        <row r="223">
          <cell r="A223" t="str">
            <v>030-70-070</v>
          </cell>
          <cell r="B223" t="str">
            <v>O/S SERVICE CHARGE PAN HSE NBI</v>
          </cell>
          <cell r="C223">
            <v>0</v>
          </cell>
          <cell r="D223">
            <v>0</v>
          </cell>
          <cell r="E223">
            <v>0</v>
          </cell>
          <cell r="F223">
            <v>0</v>
          </cell>
          <cell r="H223">
            <v>0</v>
          </cell>
        </row>
        <row r="224">
          <cell r="A224" t="str">
            <v>030-70-080</v>
          </cell>
          <cell r="B224" t="str">
            <v>O/S INTEREST ON O/O INTEREST</v>
          </cell>
          <cell r="C224">
            <v>0</v>
          </cell>
          <cell r="D224">
            <v>0</v>
          </cell>
          <cell r="E224">
            <v>0</v>
          </cell>
          <cell r="F224">
            <v>0</v>
          </cell>
          <cell r="H224">
            <v>0</v>
          </cell>
        </row>
        <row r="225">
          <cell r="A225" t="str">
            <v>030-70-090</v>
          </cell>
          <cell r="B225" t="str">
            <v>O/S VAT</v>
          </cell>
          <cell r="C225">
            <v>0</v>
          </cell>
          <cell r="D225">
            <v>0</v>
          </cell>
          <cell r="E225">
            <v>0</v>
          </cell>
          <cell r="F225">
            <v>0</v>
          </cell>
          <cell r="H225">
            <v>0</v>
          </cell>
        </row>
        <row r="226">
          <cell r="A226" t="str">
            <v>030-70-100</v>
          </cell>
          <cell r="B226" t="str">
            <v>O/S EXCESS SERVICE CHARGE</v>
          </cell>
          <cell r="C226">
            <v>0</v>
          </cell>
          <cell r="D226">
            <v>0</v>
          </cell>
          <cell r="E226">
            <v>0</v>
          </cell>
          <cell r="F226">
            <v>0</v>
          </cell>
          <cell r="H226">
            <v>0</v>
          </cell>
        </row>
        <row r="227">
          <cell r="A227" t="str">
            <v>030-70-110</v>
          </cell>
          <cell r="B227" t="str">
            <v>BAD DEBTS PROVISION</v>
          </cell>
          <cell r="C227">
            <v>0</v>
          </cell>
          <cell r="D227">
            <v>0</v>
          </cell>
          <cell r="E227">
            <v>0</v>
          </cell>
          <cell r="F227">
            <v>0</v>
          </cell>
          <cell r="H227">
            <v>0</v>
          </cell>
        </row>
        <row r="228">
          <cell r="A228" t="str">
            <v>030-70-120</v>
          </cell>
          <cell r="B228" t="str">
            <v>DEPOSITS RECEIVED -SHREHOLDERS</v>
          </cell>
          <cell r="C228">
            <v>0</v>
          </cell>
          <cell r="D228">
            <v>0</v>
          </cell>
          <cell r="E228">
            <v>0</v>
          </cell>
          <cell r="F228">
            <v>0</v>
          </cell>
          <cell r="H228">
            <v>0</v>
          </cell>
        </row>
        <row r="229">
          <cell r="A229" t="str">
            <v>030-70-130</v>
          </cell>
          <cell r="B229" t="str">
            <v>KNIGHT FRANK</v>
          </cell>
          <cell r="C229">
            <v>-80000</v>
          </cell>
          <cell r="D229">
            <v>0</v>
          </cell>
          <cell r="E229">
            <v>-80000</v>
          </cell>
          <cell r="F229">
            <v>-80000</v>
          </cell>
          <cell r="H229">
            <v>-80000</v>
          </cell>
        </row>
        <row r="230">
          <cell r="A230" t="str">
            <v>030-70-135</v>
          </cell>
          <cell r="B230" t="str">
            <v>PAN AFRICA HOUSE NAIROBI</v>
          </cell>
          <cell r="C230">
            <v>0</v>
          </cell>
          <cell r="D230">
            <v>0</v>
          </cell>
          <cell r="E230">
            <v>0</v>
          </cell>
          <cell r="F230">
            <v>0</v>
          </cell>
          <cell r="H230">
            <v>0</v>
          </cell>
        </row>
        <row r="231">
          <cell r="A231" t="str">
            <v>030-70-140</v>
          </cell>
          <cell r="B231" t="str">
            <v>PAN AFRICA HOUSE MOMBASA</v>
          </cell>
          <cell r="C231">
            <v>0</v>
          </cell>
          <cell r="D231">
            <v>0</v>
          </cell>
          <cell r="E231">
            <v>0</v>
          </cell>
          <cell r="F231">
            <v>0</v>
          </cell>
          <cell r="H231">
            <v>0</v>
          </cell>
        </row>
        <row r="232">
          <cell r="A232" t="str">
            <v>030-70-145</v>
          </cell>
          <cell r="B232" t="str">
            <v>AMBALAL HOUSE MOMBASA</v>
          </cell>
          <cell r="C232">
            <v>0</v>
          </cell>
          <cell r="D232">
            <v>0</v>
          </cell>
          <cell r="E232">
            <v>0</v>
          </cell>
          <cell r="F232">
            <v>0</v>
          </cell>
          <cell r="H232">
            <v>0</v>
          </cell>
        </row>
        <row r="233">
          <cell r="A233" t="str">
            <v>030-75-010</v>
          </cell>
          <cell r="B233" t="str">
            <v>O/S INTEREST ON STAFF MORTAGES</v>
          </cell>
          <cell r="C233">
            <v>0</v>
          </cell>
          <cell r="D233">
            <v>0</v>
          </cell>
          <cell r="E233">
            <v>0</v>
          </cell>
          <cell r="F233">
            <v>0</v>
          </cell>
          <cell r="H233">
            <v>0</v>
          </cell>
        </row>
        <row r="234">
          <cell r="A234" t="str">
            <v>030-75-020</v>
          </cell>
          <cell r="B234" t="str">
            <v>O/S INTEREST ON MORTGAGE (THIRD PARTY)</v>
          </cell>
          <cell r="C234">
            <v>91491.75</v>
          </cell>
          <cell r="D234">
            <v>0</v>
          </cell>
          <cell r="E234">
            <v>91491.75</v>
          </cell>
          <cell r="F234">
            <v>91491.75</v>
          </cell>
          <cell r="H234">
            <v>91491.75</v>
          </cell>
        </row>
        <row r="235">
          <cell r="A235" t="str">
            <v>030-75-030</v>
          </cell>
          <cell r="B235" t="str">
            <v>PROVISION FOR DOUBTFUL MORTGAGE BALS</v>
          </cell>
          <cell r="C235">
            <v>0</v>
          </cell>
          <cell r="D235">
            <v>0</v>
          </cell>
          <cell r="E235">
            <v>0</v>
          </cell>
          <cell r="F235">
            <v>0</v>
          </cell>
          <cell r="H235">
            <v>0</v>
          </cell>
        </row>
        <row r="236">
          <cell r="A236" t="str">
            <v>030-85-010</v>
          </cell>
          <cell r="B236" t="str">
            <v>DEPOSITS ACCOUNTS</v>
          </cell>
          <cell r="C236">
            <v>0</v>
          </cell>
          <cell r="D236">
            <v>0</v>
          </cell>
          <cell r="E236">
            <v>0</v>
          </cell>
          <cell r="F236">
            <v>0</v>
          </cell>
          <cell r="H236">
            <v>0</v>
          </cell>
        </row>
        <row r="237">
          <cell r="A237" t="str">
            <v>030-85-020</v>
          </cell>
          <cell r="B237" t="str">
            <v>HMS (DEPOSITS)</v>
          </cell>
          <cell r="C237">
            <v>0</v>
          </cell>
          <cell r="D237">
            <v>0</v>
          </cell>
          <cell r="E237">
            <v>0</v>
          </cell>
          <cell r="F237">
            <v>0</v>
          </cell>
          <cell r="H237">
            <v>0</v>
          </cell>
        </row>
        <row r="238">
          <cell r="A238" t="str">
            <v>030-85-030</v>
          </cell>
          <cell r="B238" t="str">
            <v>LEGAL FEE PAID</v>
          </cell>
          <cell r="C238">
            <v>0</v>
          </cell>
          <cell r="D238">
            <v>0</v>
          </cell>
          <cell r="E238">
            <v>0</v>
          </cell>
          <cell r="F238">
            <v>0</v>
          </cell>
          <cell r="H238">
            <v>0</v>
          </cell>
        </row>
        <row r="239">
          <cell r="A239" t="str">
            <v>030-85-040</v>
          </cell>
          <cell r="B239" t="str">
            <v>PREPAYMENTS (EXPENSES)</v>
          </cell>
          <cell r="C239">
            <v>-602344.75</v>
          </cell>
          <cell r="D239">
            <v>-232578.27</v>
          </cell>
          <cell r="E239">
            <v>-834923.02</v>
          </cell>
          <cell r="F239">
            <v>-834923.02</v>
          </cell>
          <cell r="H239">
            <v>-834923.02</v>
          </cell>
        </row>
        <row r="240">
          <cell r="A240" t="str">
            <v>030-90-010</v>
          </cell>
          <cell r="B240" t="str">
            <v>LEGAL FEE PAID</v>
          </cell>
          <cell r="C240">
            <v>0</v>
          </cell>
          <cell r="D240">
            <v>0</v>
          </cell>
          <cell r="E240">
            <v>0</v>
          </cell>
          <cell r="F240">
            <v>0</v>
          </cell>
          <cell r="H240">
            <v>0</v>
          </cell>
        </row>
        <row r="241">
          <cell r="A241" t="str">
            <v>030-90-020</v>
          </cell>
          <cell r="B241" t="str">
            <v>PREPAYMENTS (EXPENSES)</v>
          </cell>
          <cell r="C241">
            <v>0</v>
          </cell>
          <cell r="D241">
            <v>0</v>
          </cell>
          <cell r="E241">
            <v>0</v>
          </cell>
          <cell r="F241">
            <v>0</v>
          </cell>
          <cell r="H241">
            <v>0</v>
          </cell>
        </row>
        <row r="242">
          <cell r="A242" t="str">
            <v>040-10-010</v>
          </cell>
          <cell r="B242" t="str">
            <v>SHELTER AFRIQUE</v>
          </cell>
          <cell r="C242">
            <v>0</v>
          </cell>
          <cell r="D242">
            <v>0</v>
          </cell>
          <cell r="E242">
            <v>0</v>
          </cell>
          <cell r="F242">
            <v>0</v>
          </cell>
          <cell r="H242">
            <v>0</v>
          </cell>
        </row>
        <row r="243">
          <cell r="A243" t="str">
            <v>040-10-020</v>
          </cell>
          <cell r="B243" t="str">
            <v>E.A.DEVELOPMENT BAK</v>
          </cell>
          <cell r="C243">
            <v>0</v>
          </cell>
          <cell r="D243">
            <v>0</v>
          </cell>
          <cell r="E243">
            <v>0</v>
          </cell>
          <cell r="F243">
            <v>0</v>
          </cell>
          <cell r="H243">
            <v>0</v>
          </cell>
        </row>
        <row r="244">
          <cell r="A244" t="str">
            <v>040-10-030</v>
          </cell>
          <cell r="B244" t="str">
            <v>SAFARICOM</v>
          </cell>
          <cell r="C244">
            <v>0</v>
          </cell>
          <cell r="D244">
            <v>0</v>
          </cell>
          <cell r="E244">
            <v>0</v>
          </cell>
          <cell r="F244">
            <v>0</v>
          </cell>
          <cell r="H244">
            <v>0</v>
          </cell>
        </row>
        <row r="245">
          <cell r="A245" t="str">
            <v>040-10-040</v>
          </cell>
          <cell r="B245" t="str">
            <v>KENYA OIL LTD</v>
          </cell>
          <cell r="C245">
            <v>0</v>
          </cell>
          <cell r="D245">
            <v>0</v>
          </cell>
          <cell r="E245">
            <v>0</v>
          </cell>
          <cell r="F245">
            <v>0</v>
          </cell>
          <cell r="H245">
            <v>0</v>
          </cell>
        </row>
        <row r="246">
          <cell r="A246" t="str">
            <v>040-10-050</v>
          </cell>
          <cell r="B246" t="str">
            <v>MABATI ROLLING MILLS</v>
          </cell>
          <cell r="C246">
            <v>0</v>
          </cell>
          <cell r="D246">
            <v>0</v>
          </cell>
          <cell r="E246">
            <v>0</v>
          </cell>
          <cell r="F246">
            <v>0</v>
          </cell>
          <cell r="H246">
            <v>0</v>
          </cell>
        </row>
        <row r="247">
          <cell r="A247" t="str">
            <v>040-15-010</v>
          </cell>
          <cell r="B247" t="str">
            <v>KENOL</v>
          </cell>
          <cell r="C247">
            <v>0</v>
          </cell>
          <cell r="D247">
            <v>0</v>
          </cell>
          <cell r="E247">
            <v>0</v>
          </cell>
          <cell r="F247">
            <v>0</v>
          </cell>
          <cell r="H247">
            <v>0</v>
          </cell>
        </row>
        <row r="248">
          <cell r="A248" t="str">
            <v>050-10-010</v>
          </cell>
          <cell r="B248" t="str">
            <v>TRADE CREDITORS CONTROL ACCOUNT</v>
          </cell>
          <cell r="C248">
            <v>-948045.95</v>
          </cell>
          <cell r="D248">
            <v>89458.68</v>
          </cell>
          <cell r="E248">
            <v>-858587.27</v>
          </cell>
          <cell r="F248">
            <v>-858587.27</v>
          </cell>
          <cell r="H248">
            <v>-858587.27</v>
          </cell>
        </row>
        <row r="249">
          <cell r="A249" t="str">
            <v>050-10-020</v>
          </cell>
          <cell r="B249" t="str">
            <v>STALE CHEQUES BBK NAIROBI</v>
          </cell>
          <cell r="C249">
            <v>59939</v>
          </cell>
          <cell r="D249">
            <v>0</v>
          </cell>
          <cell r="E249">
            <v>59939</v>
          </cell>
          <cell r="F249">
            <v>59939</v>
          </cell>
          <cell r="H249">
            <v>59939</v>
          </cell>
        </row>
        <row r="250">
          <cell r="A250" t="str">
            <v>050-10-030</v>
          </cell>
          <cell r="B250" t="str">
            <v>STALE CHEQUES BBK MOMBASA</v>
          </cell>
          <cell r="C250">
            <v>-10092.6</v>
          </cell>
          <cell r="D250">
            <v>0</v>
          </cell>
          <cell r="E250">
            <v>-10092.6</v>
          </cell>
          <cell r="F250">
            <v>-10092.6</v>
          </cell>
          <cell r="H250">
            <v>-10092.6</v>
          </cell>
        </row>
        <row r="251">
          <cell r="A251" t="str">
            <v>050-10-040</v>
          </cell>
          <cell r="B251" t="str">
            <v>STALE CHEQUES CBA</v>
          </cell>
          <cell r="C251">
            <v>0</v>
          </cell>
          <cell r="D251">
            <v>0</v>
          </cell>
          <cell r="E251">
            <v>0</v>
          </cell>
          <cell r="F251">
            <v>0</v>
          </cell>
          <cell r="H251">
            <v>0</v>
          </cell>
        </row>
        <row r="252">
          <cell r="A252" t="str">
            <v>050-10-050</v>
          </cell>
          <cell r="B252" t="str">
            <v>STALE CHEQUES BANK INDOSUEZ</v>
          </cell>
          <cell r="C252">
            <v>0</v>
          </cell>
          <cell r="D252">
            <v>0</v>
          </cell>
          <cell r="E252">
            <v>0</v>
          </cell>
          <cell r="F252">
            <v>0</v>
          </cell>
          <cell r="H252">
            <v>0</v>
          </cell>
        </row>
        <row r="253">
          <cell r="A253" t="str">
            <v>050-10-060</v>
          </cell>
          <cell r="B253" t="str">
            <v>STALE CHEQUES 5776793</v>
          </cell>
          <cell r="C253">
            <v>0</v>
          </cell>
          <cell r="D253">
            <v>0</v>
          </cell>
          <cell r="E253">
            <v>0</v>
          </cell>
          <cell r="F253">
            <v>0</v>
          </cell>
          <cell r="H253">
            <v>0</v>
          </cell>
        </row>
        <row r="254">
          <cell r="A254" t="str">
            <v>050-20-010</v>
          </cell>
          <cell r="B254" t="str">
            <v>REINSURANCE PREMIUM TAX</v>
          </cell>
          <cell r="C254">
            <v>0</v>
          </cell>
          <cell r="D254">
            <v>0</v>
          </cell>
          <cell r="E254">
            <v>0</v>
          </cell>
          <cell r="F254">
            <v>0</v>
          </cell>
          <cell r="H254">
            <v>0</v>
          </cell>
        </row>
        <row r="255">
          <cell r="A255" t="str">
            <v>050-20-020</v>
          </cell>
          <cell r="B255" t="str">
            <v>REINSURANCE CREDITORS(GROUP LIFE)</v>
          </cell>
          <cell r="C255">
            <v>0</v>
          </cell>
          <cell r="D255">
            <v>0</v>
          </cell>
          <cell r="E255">
            <v>0</v>
          </cell>
          <cell r="F255">
            <v>0</v>
          </cell>
          <cell r="H255">
            <v>0</v>
          </cell>
        </row>
        <row r="256">
          <cell r="A256" t="str">
            <v>050-20-030</v>
          </cell>
          <cell r="B256" t="str">
            <v>REINSURANCE DEBTORS (GROUP LIFE)</v>
          </cell>
          <cell r="C256">
            <v>0</v>
          </cell>
          <cell r="D256">
            <v>0</v>
          </cell>
          <cell r="E256">
            <v>0</v>
          </cell>
          <cell r="F256">
            <v>0</v>
          </cell>
          <cell r="H256">
            <v>0</v>
          </cell>
        </row>
        <row r="257">
          <cell r="A257" t="str">
            <v>050-20-040</v>
          </cell>
          <cell r="B257" t="str">
            <v>REINSURANCE CREDITORS(INDIVIDUAL LIFE)</v>
          </cell>
          <cell r="C257">
            <v>0</v>
          </cell>
          <cell r="D257">
            <v>0</v>
          </cell>
          <cell r="E257">
            <v>0</v>
          </cell>
          <cell r="F257">
            <v>0</v>
          </cell>
          <cell r="H257">
            <v>0</v>
          </cell>
        </row>
        <row r="258">
          <cell r="A258" t="str">
            <v>050-20-050</v>
          </cell>
          <cell r="B258" t="str">
            <v>REINSURANCE DEBTORS (INDIVIDUAL LIFE)</v>
          </cell>
          <cell r="C258">
            <v>0</v>
          </cell>
          <cell r="D258">
            <v>0</v>
          </cell>
          <cell r="E258">
            <v>0</v>
          </cell>
          <cell r="F258">
            <v>0</v>
          </cell>
          <cell r="H258">
            <v>0</v>
          </cell>
        </row>
        <row r="259">
          <cell r="A259" t="str">
            <v>050-30-010</v>
          </cell>
          <cell r="B259" t="str">
            <v>O/S MATURITY CLAIMS (FULL MATURITY)</v>
          </cell>
          <cell r="C259">
            <v>0</v>
          </cell>
          <cell r="D259">
            <v>0</v>
          </cell>
          <cell r="E259">
            <v>0</v>
          </cell>
          <cell r="F259">
            <v>0</v>
          </cell>
          <cell r="H259">
            <v>0</v>
          </cell>
        </row>
        <row r="260">
          <cell r="A260" t="str">
            <v>050-30-020</v>
          </cell>
          <cell r="B260" t="str">
            <v>O/S MATURITY CLAIMS ENDOWNMENT</v>
          </cell>
          <cell r="C260">
            <v>0</v>
          </cell>
          <cell r="D260">
            <v>0</v>
          </cell>
          <cell r="E260">
            <v>0</v>
          </cell>
          <cell r="F260">
            <v>0</v>
          </cell>
          <cell r="H260">
            <v>0</v>
          </cell>
        </row>
        <row r="261">
          <cell r="A261" t="str">
            <v>050-30-030</v>
          </cell>
          <cell r="B261" t="str">
            <v>O/S DEATH CLAIMS -ORDINARY LIFE</v>
          </cell>
          <cell r="C261">
            <v>0</v>
          </cell>
          <cell r="D261">
            <v>0</v>
          </cell>
          <cell r="E261">
            <v>0</v>
          </cell>
          <cell r="F261">
            <v>0</v>
          </cell>
          <cell r="H261">
            <v>0</v>
          </cell>
        </row>
        <row r="262">
          <cell r="A262" t="str">
            <v>050-30-040</v>
          </cell>
          <cell r="B262" t="str">
            <v>O/S CASH SURRENDER VALUE</v>
          </cell>
          <cell r="C262">
            <v>0</v>
          </cell>
          <cell r="D262">
            <v>0</v>
          </cell>
          <cell r="E262">
            <v>0</v>
          </cell>
          <cell r="F262">
            <v>0</v>
          </cell>
          <cell r="H262">
            <v>0</v>
          </cell>
        </row>
        <row r="263">
          <cell r="A263" t="str">
            <v>050-30-050</v>
          </cell>
          <cell r="B263" t="str">
            <v>O/S ANNUITY CLAIMS</v>
          </cell>
          <cell r="C263">
            <v>0</v>
          </cell>
          <cell r="D263">
            <v>0</v>
          </cell>
          <cell r="E263">
            <v>0</v>
          </cell>
          <cell r="F263">
            <v>0</v>
          </cell>
          <cell r="H263">
            <v>0</v>
          </cell>
        </row>
        <row r="264">
          <cell r="A264" t="str">
            <v>050-30-060</v>
          </cell>
          <cell r="B264" t="str">
            <v>O/S DEATH -TANZANIA</v>
          </cell>
          <cell r="C264">
            <v>0</v>
          </cell>
          <cell r="D264">
            <v>0</v>
          </cell>
          <cell r="E264">
            <v>0</v>
          </cell>
          <cell r="F264">
            <v>0</v>
          </cell>
          <cell r="H264">
            <v>0</v>
          </cell>
        </row>
        <row r="265">
          <cell r="A265" t="str">
            <v>050-30-070</v>
          </cell>
          <cell r="B265" t="str">
            <v>O/S MATIRITY CLAIMS-TANZANIA</v>
          </cell>
          <cell r="C265">
            <v>0</v>
          </cell>
          <cell r="D265">
            <v>0</v>
          </cell>
          <cell r="E265">
            <v>0</v>
          </cell>
          <cell r="F265">
            <v>0</v>
          </cell>
          <cell r="H265">
            <v>0</v>
          </cell>
        </row>
        <row r="266">
          <cell r="A266" t="str">
            <v>050-30-080</v>
          </cell>
          <cell r="B266" t="str">
            <v>O/S FFFP DEATH CLAIMS</v>
          </cell>
          <cell r="C266">
            <v>0</v>
          </cell>
          <cell r="D266">
            <v>0</v>
          </cell>
          <cell r="E266">
            <v>0</v>
          </cell>
          <cell r="F266">
            <v>0</v>
          </cell>
          <cell r="H266">
            <v>0</v>
          </cell>
        </row>
        <row r="267">
          <cell r="A267" t="str">
            <v>050-30-090</v>
          </cell>
          <cell r="B267" t="str">
            <v>O/S WP CLAIMS</v>
          </cell>
          <cell r="C267">
            <v>0</v>
          </cell>
          <cell r="D267">
            <v>0</v>
          </cell>
          <cell r="E267">
            <v>0</v>
          </cell>
          <cell r="F267">
            <v>0</v>
          </cell>
          <cell r="H267">
            <v>0</v>
          </cell>
        </row>
        <row r="268">
          <cell r="A268" t="str">
            <v>050-40-010</v>
          </cell>
          <cell r="B268" t="str">
            <v>PAYROLL CREDITORS</v>
          </cell>
          <cell r="C268">
            <v>-175852.6</v>
          </cell>
          <cell r="D268">
            <v>-38511.35</v>
          </cell>
          <cell r="E268">
            <v>-214363.95</v>
          </cell>
          <cell r="F268">
            <v>-214363.95</v>
          </cell>
          <cell r="H268">
            <v>-214363.95</v>
          </cell>
        </row>
        <row r="269">
          <cell r="A269" t="str">
            <v>050-40-020</v>
          </cell>
          <cell r="B269" t="str">
            <v>NET PAY</v>
          </cell>
          <cell r="C269">
            <v>-5990083.4000000004</v>
          </cell>
          <cell r="D269">
            <v>-647568.26</v>
          </cell>
          <cell r="E269">
            <v>-6637651.6600000001</v>
          </cell>
          <cell r="F269">
            <v>-6637651.6600000001</v>
          </cell>
          <cell r="H269">
            <v>-6637651.6600000001</v>
          </cell>
        </row>
        <row r="270">
          <cell r="A270" t="str">
            <v>050-40-030</v>
          </cell>
          <cell r="B270" t="str">
            <v>NSSF &amp; NHIF</v>
          </cell>
          <cell r="C270">
            <v>-92160</v>
          </cell>
          <cell r="D270">
            <v>-11520</v>
          </cell>
          <cell r="E270">
            <v>-103680</v>
          </cell>
          <cell r="F270">
            <v>-103680</v>
          </cell>
          <cell r="H270">
            <v>-103680</v>
          </cell>
        </row>
        <row r="271">
          <cell r="A271" t="str">
            <v>050-40-040</v>
          </cell>
          <cell r="B271" t="str">
            <v>PAYE</v>
          </cell>
          <cell r="C271">
            <v>-3227216</v>
          </cell>
          <cell r="D271">
            <v>-259100</v>
          </cell>
          <cell r="E271">
            <v>-3486316</v>
          </cell>
          <cell r="F271">
            <v>-3486316</v>
          </cell>
          <cell r="H271">
            <v>-3486316</v>
          </cell>
        </row>
        <row r="272">
          <cell r="A272" t="str">
            <v>050-40-050</v>
          </cell>
          <cell r="B272" t="str">
            <v>PENSION FUND</v>
          </cell>
          <cell r="C272">
            <v>-882707.5</v>
          </cell>
          <cell r="D272">
            <v>-117302.5</v>
          </cell>
          <cell r="E272">
            <v>-1000010</v>
          </cell>
          <cell r="F272">
            <v>-1000010</v>
          </cell>
          <cell r="H272">
            <v>-1000010</v>
          </cell>
        </row>
        <row r="273">
          <cell r="A273" t="str">
            <v>050-40-060</v>
          </cell>
          <cell r="B273" t="str">
            <v>STAFF CO-OPERATIVES</v>
          </cell>
          <cell r="C273">
            <v>-680407.7</v>
          </cell>
          <cell r="D273">
            <v>-92783.3</v>
          </cell>
          <cell r="E273">
            <v>-773191</v>
          </cell>
          <cell r="F273">
            <v>-773191</v>
          </cell>
          <cell r="H273">
            <v>-773191</v>
          </cell>
        </row>
        <row r="274">
          <cell r="A274" t="str">
            <v>050-40-070</v>
          </cell>
          <cell r="B274" t="str">
            <v>GRATUITY</v>
          </cell>
          <cell r="C274">
            <v>-1432045.2</v>
          </cell>
          <cell r="D274">
            <v>-179005.65</v>
          </cell>
          <cell r="E274">
            <v>-1611050.85</v>
          </cell>
          <cell r="F274">
            <v>-1611050.85</v>
          </cell>
          <cell r="H274">
            <v>-1611050.85</v>
          </cell>
        </row>
        <row r="275">
          <cell r="A275" t="str">
            <v>050-40-080</v>
          </cell>
          <cell r="B275" t="str">
            <v>AGENTS PAYROLL CREDITORS</v>
          </cell>
          <cell r="C275">
            <v>-154646.85</v>
          </cell>
          <cell r="D275">
            <v>-59470</v>
          </cell>
          <cell r="E275">
            <v>-214116.85</v>
          </cell>
          <cell r="F275">
            <v>-214116.85</v>
          </cell>
          <cell r="H275">
            <v>-214116.85</v>
          </cell>
        </row>
        <row r="276">
          <cell r="A276" t="str">
            <v>050-40-090</v>
          </cell>
          <cell r="B276" t="str">
            <v>AGENTS SACCO CONTRIBUTIONS</v>
          </cell>
          <cell r="C276">
            <v>-1206826.3500000001</v>
          </cell>
          <cell r="D276">
            <v>-683613.9</v>
          </cell>
          <cell r="E276">
            <v>-1890440.25</v>
          </cell>
          <cell r="F276">
            <v>-1890440.25</v>
          </cell>
          <cell r="H276">
            <v>-1890440.25</v>
          </cell>
        </row>
        <row r="277">
          <cell r="A277" t="str">
            <v>050-40-100</v>
          </cell>
          <cell r="B277" t="str">
            <v>AGENTS PENSION FUND</v>
          </cell>
          <cell r="C277">
            <v>-248246.64</v>
          </cell>
          <cell r="D277">
            <v>-428425.3</v>
          </cell>
          <cell r="E277">
            <v>-676671.94</v>
          </cell>
          <cell r="F277">
            <v>-676671.94</v>
          </cell>
          <cell r="H277">
            <v>-676671.94</v>
          </cell>
        </row>
        <row r="278">
          <cell r="A278" t="str">
            <v>050-40-110</v>
          </cell>
          <cell r="B278" t="str">
            <v>KNIGHT FRANK</v>
          </cell>
          <cell r="C278">
            <v>-560000</v>
          </cell>
          <cell r="D278">
            <v>-80000</v>
          </cell>
          <cell r="E278">
            <v>-640000</v>
          </cell>
          <cell r="F278">
            <v>-640000</v>
          </cell>
          <cell r="H278">
            <v>-640000</v>
          </cell>
        </row>
        <row r="279">
          <cell r="A279" t="str">
            <v>050-50-010</v>
          </cell>
          <cell r="B279" t="str">
            <v>LEASE LEGAL FEE</v>
          </cell>
          <cell r="C279">
            <v>0</v>
          </cell>
          <cell r="D279">
            <v>0</v>
          </cell>
          <cell r="E279">
            <v>0</v>
          </cell>
          <cell r="F279">
            <v>0</v>
          </cell>
          <cell r="H279">
            <v>0</v>
          </cell>
        </row>
        <row r="280">
          <cell r="A280" t="str">
            <v>050-50-020</v>
          </cell>
          <cell r="B280" t="str">
            <v>OUTPUT VAT</v>
          </cell>
          <cell r="C280">
            <v>0</v>
          </cell>
          <cell r="D280">
            <v>0</v>
          </cell>
          <cell r="E280">
            <v>0</v>
          </cell>
          <cell r="F280">
            <v>0</v>
          </cell>
          <cell r="H280">
            <v>0</v>
          </cell>
        </row>
        <row r="281">
          <cell r="A281" t="str">
            <v>050-50-030</v>
          </cell>
          <cell r="B281" t="str">
            <v>DEPOSITS RECEIVED (BUILDINGS)</v>
          </cell>
          <cell r="C281">
            <v>0</v>
          </cell>
          <cell r="D281">
            <v>0</v>
          </cell>
          <cell r="E281">
            <v>0</v>
          </cell>
          <cell r="F281">
            <v>0</v>
          </cell>
          <cell r="H281">
            <v>0</v>
          </cell>
        </row>
        <row r="282">
          <cell r="A282" t="str">
            <v>050-50-040</v>
          </cell>
          <cell r="B282" t="str">
            <v>RENT RECIVED IN ADVANCE -ANNUITY</v>
          </cell>
          <cell r="C282">
            <v>0</v>
          </cell>
          <cell r="D282">
            <v>0</v>
          </cell>
          <cell r="E282">
            <v>0</v>
          </cell>
          <cell r="F282">
            <v>0</v>
          </cell>
          <cell r="H282">
            <v>0</v>
          </cell>
        </row>
        <row r="283">
          <cell r="A283" t="str">
            <v>050-60-010</v>
          </cell>
          <cell r="B283" t="str">
            <v>AUDIT FEES</v>
          </cell>
          <cell r="C283">
            <v>0</v>
          </cell>
          <cell r="D283">
            <v>0</v>
          </cell>
          <cell r="E283">
            <v>0</v>
          </cell>
          <cell r="F283">
            <v>0</v>
          </cell>
          <cell r="H283">
            <v>0</v>
          </cell>
        </row>
        <row r="284">
          <cell r="A284" t="str">
            <v>050-60-020</v>
          </cell>
          <cell r="B284" t="str">
            <v>ACTUARIAL FEES</v>
          </cell>
          <cell r="C284">
            <v>0</v>
          </cell>
          <cell r="D284">
            <v>0</v>
          </cell>
          <cell r="E284">
            <v>0</v>
          </cell>
          <cell r="F284">
            <v>0</v>
          </cell>
          <cell r="H284">
            <v>0</v>
          </cell>
        </row>
        <row r="285">
          <cell r="A285" t="str">
            <v>050-60-030</v>
          </cell>
          <cell r="B285" t="str">
            <v>CASH IN LIEU OF LEAVE</v>
          </cell>
          <cell r="C285">
            <v>16211.89</v>
          </cell>
          <cell r="D285">
            <v>0</v>
          </cell>
          <cell r="E285">
            <v>16211.89</v>
          </cell>
          <cell r="F285">
            <v>16211.89</v>
          </cell>
          <cell r="H285">
            <v>16211.89</v>
          </cell>
        </row>
        <row r="286">
          <cell r="A286" t="str">
            <v>050-60-040</v>
          </cell>
          <cell r="B286" t="str">
            <v>RETRECHMENT COSTS</v>
          </cell>
          <cell r="C286">
            <v>0</v>
          </cell>
          <cell r="D286">
            <v>0</v>
          </cell>
          <cell r="E286">
            <v>0</v>
          </cell>
          <cell r="F286">
            <v>0</v>
          </cell>
          <cell r="H286">
            <v>0</v>
          </cell>
        </row>
        <row r="287">
          <cell r="A287" t="str">
            <v>050-60-050</v>
          </cell>
          <cell r="B287" t="str">
            <v>OTHERS ACCRUALS</v>
          </cell>
          <cell r="C287">
            <v>0</v>
          </cell>
          <cell r="D287">
            <v>0</v>
          </cell>
          <cell r="E287">
            <v>0</v>
          </cell>
          <cell r="F287">
            <v>0</v>
          </cell>
          <cell r="H287">
            <v>0</v>
          </cell>
        </row>
        <row r="288">
          <cell r="A288" t="str">
            <v>050-60-060</v>
          </cell>
          <cell r="B288" t="str">
            <v>AIG MANAGEMENT FEES</v>
          </cell>
          <cell r="C288">
            <v>0</v>
          </cell>
          <cell r="D288">
            <v>0</v>
          </cell>
          <cell r="E288">
            <v>0</v>
          </cell>
          <cell r="F288">
            <v>0</v>
          </cell>
          <cell r="H288">
            <v>0</v>
          </cell>
        </row>
        <row r="289">
          <cell r="A289" t="str">
            <v>050-60-070</v>
          </cell>
          <cell r="B289" t="str">
            <v>AGENCY BALANCES (API)</v>
          </cell>
          <cell r="C289">
            <v>0</v>
          </cell>
          <cell r="D289">
            <v>0</v>
          </cell>
          <cell r="E289">
            <v>0</v>
          </cell>
          <cell r="F289">
            <v>0</v>
          </cell>
          <cell r="H289">
            <v>0</v>
          </cell>
        </row>
        <row r="290">
          <cell r="A290" t="str">
            <v>050-60-075</v>
          </cell>
          <cell r="B290" t="str">
            <v>UNEARNED INTEREST</v>
          </cell>
          <cell r="C290">
            <v>0</v>
          </cell>
          <cell r="D290">
            <v>0</v>
          </cell>
          <cell r="E290">
            <v>0</v>
          </cell>
          <cell r="F290">
            <v>0</v>
          </cell>
          <cell r="H290">
            <v>0</v>
          </cell>
        </row>
        <row r="291">
          <cell r="A291" t="str">
            <v>050-60-080</v>
          </cell>
          <cell r="B291" t="str">
            <v>STAFF BONUS</v>
          </cell>
          <cell r="C291">
            <v>1605391.44</v>
          </cell>
          <cell r="D291">
            <v>0</v>
          </cell>
          <cell r="E291">
            <v>1605391.44</v>
          </cell>
          <cell r="F291">
            <v>1605391.44</v>
          </cell>
          <cell r="H291">
            <v>1605391.44</v>
          </cell>
        </row>
        <row r="292">
          <cell r="A292" t="str">
            <v>050-60-085</v>
          </cell>
          <cell r="B292" t="str">
            <v>TAX</v>
          </cell>
          <cell r="C292">
            <v>0</v>
          </cell>
          <cell r="D292">
            <v>0</v>
          </cell>
          <cell r="E292">
            <v>0</v>
          </cell>
          <cell r="F292">
            <v>0</v>
          </cell>
          <cell r="H292">
            <v>0</v>
          </cell>
        </row>
        <row r="293">
          <cell r="A293" t="str">
            <v>050-70-010</v>
          </cell>
          <cell r="B293" t="str">
            <v>UNPROCESSED PREMIUM BSO</v>
          </cell>
          <cell r="C293">
            <v>-9142999.4000000004</v>
          </cell>
          <cell r="D293">
            <v>-537844.5</v>
          </cell>
          <cell r="E293">
            <v>-9680843.9000000004</v>
          </cell>
          <cell r="F293">
            <v>-9680843.9000000004</v>
          </cell>
          <cell r="H293">
            <v>-9680843.9000000004</v>
          </cell>
        </row>
        <row r="294">
          <cell r="A294" t="str">
            <v>050-70-020</v>
          </cell>
          <cell r="B294" t="str">
            <v>UNPROCESSED PREMIUM GSO</v>
          </cell>
          <cell r="C294">
            <v>-3546828.81</v>
          </cell>
          <cell r="D294">
            <v>-423443.09</v>
          </cell>
          <cell r="E294">
            <v>-3970271.9</v>
          </cell>
          <cell r="F294">
            <v>-3970271.9</v>
          </cell>
          <cell r="H294">
            <v>-3970271.9</v>
          </cell>
        </row>
        <row r="295">
          <cell r="A295" t="str">
            <v>050-70-030</v>
          </cell>
          <cell r="B295" t="str">
            <v>UNPROCESSED PREMIUM CASH</v>
          </cell>
          <cell r="C295">
            <v>-3786340.31</v>
          </cell>
          <cell r="D295">
            <v>-651773.65</v>
          </cell>
          <cell r="E295">
            <v>-4438113.96</v>
          </cell>
          <cell r="F295">
            <v>-4438113.96</v>
          </cell>
          <cell r="H295">
            <v>-4438113.96</v>
          </cell>
        </row>
        <row r="296">
          <cell r="A296" t="str">
            <v>050-70-040</v>
          </cell>
          <cell r="B296" t="str">
            <v>UNPROCESSED DD</v>
          </cell>
          <cell r="C296">
            <v>0</v>
          </cell>
          <cell r="D296">
            <v>0</v>
          </cell>
          <cell r="E296">
            <v>0</v>
          </cell>
          <cell r="F296">
            <v>0</v>
          </cell>
          <cell r="H296">
            <v>0</v>
          </cell>
        </row>
        <row r="297">
          <cell r="A297" t="str">
            <v>050-70-050</v>
          </cell>
          <cell r="B297" t="str">
            <v>UNALLOCATED PREMIUMS</v>
          </cell>
          <cell r="C297">
            <v>-15000</v>
          </cell>
          <cell r="D297">
            <v>0</v>
          </cell>
          <cell r="E297">
            <v>-15000</v>
          </cell>
          <cell r="F297">
            <v>-15000</v>
          </cell>
          <cell r="H297">
            <v>-15000</v>
          </cell>
        </row>
        <row r="298">
          <cell r="A298" t="str">
            <v>050-70-060</v>
          </cell>
          <cell r="B298" t="str">
            <v>POLICY SUSPENSE</v>
          </cell>
          <cell r="C298">
            <v>0</v>
          </cell>
          <cell r="D298">
            <v>0</v>
          </cell>
          <cell r="E298">
            <v>0</v>
          </cell>
          <cell r="F298">
            <v>0</v>
          </cell>
          <cell r="H298">
            <v>0</v>
          </cell>
        </row>
        <row r="299">
          <cell r="A299" t="str">
            <v>050-80-010</v>
          </cell>
          <cell r="B299" t="str">
            <v>AGENTS W/TAX</v>
          </cell>
          <cell r="C299">
            <v>-3142492</v>
          </cell>
          <cell r="D299">
            <v>-53276.55</v>
          </cell>
          <cell r="E299">
            <v>-3195768.55</v>
          </cell>
          <cell r="F299">
            <v>-3195768.55</v>
          </cell>
          <cell r="H299">
            <v>-3195768.55</v>
          </cell>
        </row>
        <row r="300">
          <cell r="A300" t="str">
            <v>050-80-020</v>
          </cell>
          <cell r="B300" t="str">
            <v>PROVISION FOR EXPENSES</v>
          </cell>
          <cell r="C300">
            <v>382798.78</v>
          </cell>
          <cell r="D300">
            <v>89697.05</v>
          </cell>
          <cell r="E300">
            <v>472495.83</v>
          </cell>
          <cell r="F300">
            <v>472495.83</v>
          </cell>
          <cell r="H300">
            <v>472495.83</v>
          </cell>
        </row>
        <row r="301">
          <cell r="A301" t="str">
            <v>050-80-030</v>
          </cell>
          <cell r="B301" t="str">
            <v>HOLDINGS  LOANS BALANCES</v>
          </cell>
          <cell r="C301">
            <v>0</v>
          </cell>
          <cell r="D301">
            <v>0</v>
          </cell>
          <cell r="E301">
            <v>0</v>
          </cell>
          <cell r="F301">
            <v>0</v>
          </cell>
          <cell r="H301">
            <v>0</v>
          </cell>
        </row>
        <row r="302">
          <cell r="A302" t="str">
            <v>050-90-010</v>
          </cell>
          <cell r="B302" t="str">
            <v>PAN AFRICA HOUSE</v>
          </cell>
          <cell r="C302">
            <v>0</v>
          </cell>
          <cell r="D302">
            <v>0</v>
          </cell>
          <cell r="E302">
            <v>0</v>
          </cell>
          <cell r="F302">
            <v>0</v>
          </cell>
          <cell r="H302">
            <v>0</v>
          </cell>
        </row>
        <row r="303">
          <cell r="A303" t="str">
            <v>050-90-020</v>
          </cell>
          <cell r="B303" t="str">
            <v>LORESHO RIDGE</v>
          </cell>
          <cell r="C303">
            <v>0</v>
          </cell>
          <cell r="D303">
            <v>0</v>
          </cell>
          <cell r="E303">
            <v>0</v>
          </cell>
          <cell r="F303">
            <v>0</v>
          </cell>
          <cell r="H303">
            <v>0</v>
          </cell>
        </row>
        <row r="304">
          <cell r="A304" t="str">
            <v>050-90-030</v>
          </cell>
          <cell r="B304" t="str">
            <v>RETREAT VILLAS</v>
          </cell>
          <cell r="C304">
            <v>0</v>
          </cell>
          <cell r="D304">
            <v>0</v>
          </cell>
          <cell r="E304">
            <v>0</v>
          </cell>
          <cell r="F304">
            <v>0</v>
          </cell>
          <cell r="H304">
            <v>0</v>
          </cell>
        </row>
        <row r="305">
          <cell r="A305" t="str">
            <v>050-90-040</v>
          </cell>
          <cell r="B305" t="str">
            <v>AMBALAL HOUSE</v>
          </cell>
          <cell r="C305">
            <v>0</v>
          </cell>
          <cell r="D305">
            <v>0</v>
          </cell>
          <cell r="E305">
            <v>0</v>
          </cell>
          <cell r="F305">
            <v>0</v>
          </cell>
          <cell r="H305">
            <v>0</v>
          </cell>
        </row>
        <row r="306">
          <cell r="A306" t="str">
            <v>060-10-010</v>
          </cell>
          <cell r="B306" t="str">
            <v>ALA -PAIC (DUE FROM)</v>
          </cell>
          <cell r="C306">
            <v>150070.70000000001</v>
          </cell>
          <cell r="D306">
            <v>0</v>
          </cell>
          <cell r="E306">
            <v>150070.70000000001</v>
          </cell>
          <cell r="F306">
            <v>150070.70000000001</v>
          </cell>
          <cell r="H306">
            <v>150070.70000000001</v>
          </cell>
        </row>
        <row r="307">
          <cell r="A307" t="str">
            <v>060-10-020</v>
          </cell>
          <cell r="B307" t="str">
            <v>ALA -PAIC (DUE TO)</v>
          </cell>
          <cell r="C307">
            <v>0</v>
          </cell>
          <cell r="D307">
            <v>0</v>
          </cell>
          <cell r="E307">
            <v>0</v>
          </cell>
          <cell r="F307">
            <v>0</v>
          </cell>
          <cell r="H307">
            <v>0</v>
          </cell>
        </row>
        <row r="308">
          <cell r="A308" t="str">
            <v>060-10-030</v>
          </cell>
          <cell r="B308" t="str">
            <v>PIAC GENERAL (ALA CHARGES)</v>
          </cell>
          <cell r="C308">
            <v>0</v>
          </cell>
          <cell r="D308">
            <v>0</v>
          </cell>
          <cell r="E308">
            <v>0</v>
          </cell>
          <cell r="F308">
            <v>0</v>
          </cell>
          <cell r="H308">
            <v>0</v>
          </cell>
        </row>
        <row r="309">
          <cell r="A309" t="str">
            <v>060-10-040</v>
          </cell>
          <cell r="B309" t="str">
            <v>PAIC GENERAL ACCOUNT</v>
          </cell>
          <cell r="C309">
            <v>133140.29999999999</v>
          </cell>
          <cell r="D309">
            <v>0</v>
          </cell>
          <cell r="E309">
            <v>133140.29999999999</v>
          </cell>
          <cell r="F309">
            <v>133140.29999999999</v>
          </cell>
          <cell r="H309">
            <v>133140.29999999999</v>
          </cell>
        </row>
        <row r="310">
          <cell r="A310" t="str">
            <v>060-10-050</v>
          </cell>
          <cell r="B310" t="str">
            <v>TANZANIA ACCOUNT</v>
          </cell>
          <cell r="C310">
            <v>0</v>
          </cell>
          <cell r="D310">
            <v>0</v>
          </cell>
          <cell r="E310">
            <v>0</v>
          </cell>
          <cell r="F310">
            <v>0</v>
          </cell>
          <cell r="H310">
            <v>0</v>
          </cell>
        </row>
        <row r="311">
          <cell r="A311" t="str">
            <v>060-10-060</v>
          </cell>
          <cell r="B311" t="str">
            <v>EXECUTIVE DIRECTOR ACCOUNT</v>
          </cell>
          <cell r="C311">
            <v>3016</v>
          </cell>
          <cell r="D311">
            <v>0</v>
          </cell>
          <cell r="E311">
            <v>3016</v>
          </cell>
          <cell r="F311">
            <v>3016</v>
          </cell>
          <cell r="H311">
            <v>3016</v>
          </cell>
        </row>
        <row r="312">
          <cell r="A312" t="str">
            <v>060-10-065</v>
          </cell>
          <cell r="B312" t="str">
            <v>STAFF CONTRA</v>
          </cell>
          <cell r="C312">
            <v>82000</v>
          </cell>
          <cell r="D312">
            <v>-50080</v>
          </cell>
          <cell r="E312">
            <v>31920</v>
          </cell>
          <cell r="F312">
            <v>31920</v>
          </cell>
          <cell r="H312">
            <v>31920</v>
          </cell>
        </row>
        <row r="313">
          <cell r="A313" t="str">
            <v>060-10-070</v>
          </cell>
          <cell r="B313" t="str">
            <v>HUBRIS HOLDINGS LTD</v>
          </cell>
          <cell r="C313">
            <v>0</v>
          </cell>
          <cell r="D313">
            <v>0</v>
          </cell>
          <cell r="E313">
            <v>0</v>
          </cell>
          <cell r="F313">
            <v>0</v>
          </cell>
          <cell r="H313">
            <v>0</v>
          </cell>
        </row>
        <row r="314">
          <cell r="A314" t="str">
            <v>060-10-075</v>
          </cell>
          <cell r="B314" t="str">
            <v>NAMIMBIA LIFE</v>
          </cell>
          <cell r="C314">
            <v>0</v>
          </cell>
          <cell r="D314">
            <v>0</v>
          </cell>
          <cell r="E314">
            <v>0</v>
          </cell>
          <cell r="F314">
            <v>0</v>
          </cell>
          <cell r="H314">
            <v>0</v>
          </cell>
        </row>
        <row r="315">
          <cell r="A315" t="str">
            <v>060-10-080</v>
          </cell>
          <cell r="B315" t="str">
            <v>HOLDINGS  DIVISION</v>
          </cell>
          <cell r="C315">
            <v>0</v>
          </cell>
          <cell r="D315">
            <v>0</v>
          </cell>
          <cell r="E315">
            <v>0</v>
          </cell>
          <cell r="F315">
            <v>0</v>
          </cell>
          <cell r="H315">
            <v>0</v>
          </cell>
        </row>
        <row r="316">
          <cell r="A316" t="str">
            <v>060-10-090</v>
          </cell>
          <cell r="B316" t="str">
            <v>MAE PROPERTIES</v>
          </cell>
          <cell r="C316">
            <v>0</v>
          </cell>
          <cell r="D316">
            <v>0</v>
          </cell>
          <cell r="E316">
            <v>0</v>
          </cell>
          <cell r="F316">
            <v>0</v>
          </cell>
          <cell r="H316">
            <v>0</v>
          </cell>
        </row>
        <row r="317">
          <cell r="A317" t="str">
            <v>070-10-010</v>
          </cell>
          <cell r="B317" t="str">
            <v>NEW BUSINESS PREMIUM-PAIC SERIES</v>
          </cell>
          <cell r="C317">
            <v>0</v>
          </cell>
          <cell r="D317">
            <v>0</v>
          </cell>
          <cell r="E317">
            <v>0</v>
          </cell>
          <cell r="F317">
            <v>0</v>
          </cell>
          <cell r="H317">
            <v>0</v>
          </cell>
        </row>
        <row r="318">
          <cell r="A318" t="str">
            <v>070-10-020</v>
          </cell>
          <cell r="B318" t="str">
            <v>N/BUSSINESS -FFFP</v>
          </cell>
          <cell r="C318">
            <v>0</v>
          </cell>
          <cell r="D318">
            <v>0</v>
          </cell>
          <cell r="E318">
            <v>0</v>
          </cell>
          <cell r="F318">
            <v>0</v>
          </cell>
          <cell r="H318">
            <v>0</v>
          </cell>
        </row>
        <row r="319">
          <cell r="A319" t="str">
            <v>070-10-030</v>
          </cell>
          <cell r="B319" t="str">
            <v>N/BUSINESS-W/P</v>
          </cell>
          <cell r="C319">
            <v>0</v>
          </cell>
          <cell r="D319">
            <v>0</v>
          </cell>
          <cell r="E319">
            <v>0</v>
          </cell>
          <cell r="F319">
            <v>0</v>
          </cell>
          <cell r="H319">
            <v>0</v>
          </cell>
        </row>
        <row r="320">
          <cell r="A320" t="str">
            <v>070-10-040</v>
          </cell>
          <cell r="C320">
            <v>0</v>
          </cell>
          <cell r="D320">
            <v>0</v>
          </cell>
          <cell r="E320">
            <v>0</v>
          </cell>
          <cell r="F320">
            <v>0</v>
          </cell>
          <cell r="H320">
            <v>0</v>
          </cell>
        </row>
        <row r="321">
          <cell r="A321" t="str">
            <v>070-10-045</v>
          </cell>
          <cell r="C321">
            <v>0</v>
          </cell>
          <cell r="D321">
            <v>0</v>
          </cell>
          <cell r="E321">
            <v>0</v>
          </cell>
          <cell r="F321">
            <v>0</v>
          </cell>
          <cell r="H321">
            <v>0</v>
          </cell>
        </row>
        <row r="322">
          <cell r="A322" t="str">
            <v>070-10-050</v>
          </cell>
          <cell r="B322" t="str">
            <v>API OPENING BALANCE VADJUSTMENTS</v>
          </cell>
          <cell r="C322">
            <v>-39436.800000000003</v>
          </cell>
          <cell r="D322">
            <v>0</v>
          </cell>
          <cell r="E322">
            <v>-39436.800000000003</v>
          </cell>
          <cell r="F322">
            <v>-39436.800000000003</v>
          </cell>
          <cell r="H322">
            <v>-39436.800000000003</v>
          </cell>
        </row>
        <row r="323">
          <cell r="A323" t="str">
            <v>070-15-010</v>
          </cell>
          <cell r="C323">
            <v>0</v>
          </cell>
          <cell r="D323">
            <v>0</v>
          </cell>
          <cell r="E323">
            <v>0</v>
          </cell>
          <cell r="F323">
            <v>0</v>
          </cell>
          <cell r="H323">
            <v>0</v>
          </cell>
        </row>
        <row r="324">
          <cell r="A324" t="str">
            <v>070-15-020</v>
          </cell>
          <cell r="C324">
            <v>0</v>
          </cell>
          <cell r="D324">
            <v>0</v>
          </cell>
          <cell r="E324">
            <v>0</v>
          </cell>
          <cell r="F324">
            <v>0</v>
          </cell>
          <cell r="H324">
            <v>0</v>
          </cell>
        </row>
        <row r="325">
          <cell r="A325" t="str">
            <v>070-15-030</v>
          </cell>
          <cell r="C325">
            <v>0</v>
          </cell>
          <cell r="D325">
            <v>0</v>
          </cell>
          <cell r="E325">
            <v>0</v>
          </cell>
          <cell r="F325">
            <v>0</v>
          </cell>
          <cell r="H325">
            <v>0</v>
          </cell>
        </row>
        <row r="326">
          <cell r="A326" t="str">
            <v>070-15-040</v>
          </cell>
          <cell r="C326">
            <v>0</v>
          </cell>
          <cell r="D326">
            <v>0</v>
          </cell>
          <cell r="E326">
            <v>0</v>
          </cell>
          <cell r="F326">
            <v>0</v>
          </cell>
          <cell r="H326">
            <v>0</v>
          </cell>
        </row>
        <row r="327">
          <cell r="A327" t="str">
            <v>070-16-010</v>
          </cell>
          <cell r="C327">
            <v>0</v>
          </cell>
          <cell r="D327">
            <v>0</v>
          </cell>
          <cell r="E327">
            <v>0</v>
          </cell>
          <cell r="F327">
            <v>0</v>
          </cell>
          <cell r="H327">
            <v>0</v>
          </cell>
        </row>
        <row r="328">
          <cell r="A328" t="str">
            <v>070-16-020</v>
          </cell>
          <cell r="B328" t="str">
            <v>NEW BUSINESS UPDATES</v>
          </cell>
          <cell r="C328">
            <v>0</v>
          </cell>
          <cell r="D328">
            <v>0</v>
          </cell>
          <cell r="E328">
            <v>0</v>
          </cell>
          <cell r="F328">
            <v>0</v>
          </cell>
          <cell r="H328">
            <v>0</v>
          </cell>
        </row>
        <row r="329">
          <cell r="A329" t="str">
            <v>070-16-030</v>
          </cell>
          <cell r="C329">
            <v>0</v>
          </cell>
          <cell r="D329">
            <v>0</v>
          </cell>
          <cell r="E329">
            <v>0</v>
          </cell>
          <cell r="F329">
            <v>0</v>
          </cell>
          <cell r="H329">
            <v>0</v>
          </cell>
        </row>
        <row r="330">
          <cell r="A330" t="str">
            <v>070-16-040</v>
          </cell>
          <cell r="C330">
            <v>0</v>
          </cell>
          <cell r="D330">
            <v>0</v>
          </cell>
          <cell r="E330">
            <v>0</v>
          </cell>
          <cell r="F330">
            <v>0</v>
          </cell>
          <cell r="H330">
            <v>0</v>
          </cell>
        </row>
        <row r="331">
          <cell r="A331" t="str">
            <v>070-20-010</v>
          </cell>
          <cell r="B331" t="str">
            <v>FFFP PREMIUM WAIVER</v>
          </cell>
          <cell r="C331">
            <v>0</v>
          </cell>
          <cell r="D331">
            <v>0</v>
          </cell>
          <cell r="E331">
            <v>0</v>
          </cell>
          <cell r="F331">
            <v>0</v>
          </cell>
          <cell r="H331">
            <v>0</v>
          </cell>
        </row>
        <row r="332">
          <cell r="A332" t="str">
            <v>070-20-020</v>
          </cell>
          <cell r="B332" t="str">
            <v>W/P PREMIUM WAIVER</v>
          </cell>
          <cell r="C332">
            <v>0</v>
          </cell>
          <cell r="D332">
            <v>0</v>
          </cell>
          <cell r="E332">
            <v>0</v>
          </cell>
          <cell r="F332">
            <v>0</v>
          </cell>
          <cell r="H332">
            <v>0</v>
          </cell>
        </row>
        <row r="333">
          <cell r="A333" t="str">
            <v>070-20-030</v>
          </cell>
          <cell r="B333" t="str">
            <v>PAIC SERIES PREMIUM WAIVER</v>
          </cell>
          <cell r="C333">
            <v>0</v>
          </cell>
          <cell r="D333">
            <v>0</v>
          </cell>
          <cell r="E333">
            <v>0</v>
          </cell>
          <cell r="F333">
            <v>0</v>
          </cell>
          <cell r="H333">
            <v>0</v>
          </cell>
        </row>
        <row r="334">
          <cell r="A334" t="str">
            <v>070-40-010</v>
          </cell>
          <cell r="B334" t="str">
            <v>RENEWAL PREMIUM PIAC SERIES</v>
          </cell>
          <cell r="C334">
            <v>0</v>
          </cell>
          <cell r="D334">
            <v>0</v>
          </cell>
          <cell r="E334">
            <v>0</v>
          </cell>
          <cell r="F334">
            <v>0</v>
          </cell>
          <cell r="H334">
            <v>0</v>
          </cell>
        </row>
        <row r="335">
          <cell r="A335" t="str">
            <v>070-40-020</v>
          </cell>
          <cell r="B335" t="str">
            <v>RENEWAL BUSINESS PREMIUM-FFFP</v>
          </cell>
          <cell r="C335">
            <v>0</v>
          </cell>
          <cell r="D335">
            <v>0</v>
          </cell>
          <cell r="E335">
            <v>0</v>
          </cell>
          <cell r="F335">
            <v>0</v>
          </cell>
          <cell r="H335">
            <v>0</v>
          </cell>
        </row>
        <row r="336">
          <cell r="A336" t="str">
            <v>070-40-030</v>
          </cell>
          <cell r="B336" t="str">
            <v>RENEWAL BUSINESS PREMIUM-W/P</v>
          </cell>
          <cell r="C336">
            <v>0</v>
          </cell>
          <cell r="D336">
            <v>0</v>
          </cell>
          <cell r="E336">
            <v>0</v>
          </cell>
          <cell r="F336">
            <v>0</v>
          </cell>
          <cell r="H336">
            <v>0</v>
          </cell>
        </row>
        <row r="337">
          <cell r="A337" t="str">
            <v>070-60-010</v>
          </cell>
          <cell r="B337" t="str">
            <v>SINGLE PREMIUM INCOME</v>
          </cell>
          <cell r="C337">
            <v>0</v>
          </cell>
          <cell r="D337">
            <v>0</v>
          </cell>
          <cell r="E337">
            <v>0</v>
          </cell>
          <cell r="F337">
            <v>0</v>
          </cell>
          <cell r="H337">
            <v>0</v>
          </cell>
        </row>
        <row r="338">
          <cell r="A338" t="str">
            <v>080-10-010</v>
          </cell>
          <cell r="B338" t="str">
            <v>LORESHO HOUSE</v>
          </cell>
          <cell r="C338">
            <v>0</v>
          </cell>
          <cell r="D338">
            <v>0</v>
          </cell>
          <cell r="E338">
            <v>0</v>
          </cell>
          <cell r="F338">
            <v>0</v>
          </cell>
          <cell r="H338">
            <v>0</v>
          </cell>
        </row>
        <row r="339">
          <cell r="A339" t="str">
            <v>080-10-015</v>
          </cell>
          <cell r="B339" t="str">
            <v>GAIN/LOSS FOREX</v>
          </cell>
          <cell r="C339">
            <v>0</v>
          </cell>
          <cell r="D339">
            <v>0</v>
          </cell>
          <cell r="E339">
            <v>0</v>
          </cell>
          <cell r="F339">
            <v>0</v>
          </cell>
          <cell r="H339">
            <v>0</v>
          </cell>
        </row>
        <row r="340">
          <cell r="A340" t="str">
            <v>080-10-020</v>
          </cell>
          <cell r="B340" t="str">
            <v>RETREAT VILLAS</v>
          </cell>
          <cell r="C340">
            <v>0</v>
          </cell>
          <cell r="D340">
            <v>0</v>
          </cell>
          <cell r="E340">
            <v>0</v>
          </cell>
          <cell r="F340">
            <v>0</v>
          </cell>
          <cell r="H340">
            <v>0</v>
          </cell>
        </row>
        <row r="341">
          <cell r="A341" t="str">
            <v>080-10-030</v>
          </cell>
          <cell r="B341" t="str">
            <v>ARCADE PETROL STATION</v>
          </cell>
          <cell r="C341">
            <v>0</v>
          </cell>
          <cell r="D341">
            <v>0</v>
          </cell>
          <cell r="E341">
            <v>0</v>
          </cell>
          <cell r="F341">
            <v>0</v>
          </cell>
          <cell r="H341">
            <v>0</v>
          </cell>
        </row>
        <row r="342">
          <cell r="A342" t="str">
            <v>080-10-040</v>
          </cell>
          <cell r="B342" t="str">
            <v>PAN AFRICA HOUSE MOMBASA</v>
          </cell>
          <cell r="C342">
            <v>0</v>
          </cell>
          <cell r="D342">
            <v>0</v>
          </cell>
          <cell r="E342">
            <v>0</v>
          </cell>
          <cell r="F342">
            <v>0</v>
          </cell>
          <cell r="H342">
            <v>0</v>
          </cell>
        </row>
        <row r="343">
          <cell r="A343" t="str">
            <v>080-10-050</v>
          </cell>
          <cell r="B343" t="str">
            <v>AMBALAL HOUSE</v>
          </cell>
          <cell r="C343">
            <v>0</v>
          </cell>
          <cell r="D343">
            <v>0</v>
          </cell>
          <cell r="E343">
            <v>0</v>
          </cell>
          <cell r="F343">
            <v>0</v>
          </cell>
          <cell r="H343">
            <v>0</v>
          </cell>
        </row>
        <row r="344">
          <cell r="A344" t="str">
            <v>080-10-060</v>
          </cell>
          <cell r="B344" t="str">
            <v>PAN AFRICA HOUSE NAIROBI</v>
          </cell>
          <cell r="C344">
            <v>0</v>
          </cell>
          <cell r="D344">
            <v>0</v>
          </cell>
          <cell r="E344">
            <v>0</v>
          </cell>
          <cell r="F344">
            <v>0</v>
          </cell>
          <cell r="H344">
            <v>0</v>
          </cell>
        </row>
        <row r="345">
          <cell r="A345" t="str">
            <v>080-10-070</v>
          </cell>
          <cell r="B345" t="str">
            <v>SERVICE CHARGE PAN AFRICA MSA</v>
          </cell>
          <cell r="C345">
            <v>0</v>
          </cell>
          <cell r="D345">
            <v>0</v>
          </cell>
          <cell r="E345">
            <v>0</v>
          </cell>
          <cell r="F345">
            <v>0</v>
          </cell>
          <cell r="H345">
            <v>0</v>
          </cell>
        </row>
        <row r="346">
          <cell r="A346" t="str">
            <v>080-10-080</v>
          </cell>
          <cell r="B346" t="str">
            <v>SERVICE CHARGE AMBALAL HOUSE</v>
          </cell>
          <cell r="C346">
            <v>0</v>
          </cell>
          <cell r="D346">
            <v>0</v>
          </cell>
          <cell r="E346">
            <v>0</v>
          </cell>
          <cell r="F346">
            <v>0</v>
          </cell>
          <cell r="H346">
            <v>0</v>
          </cell>
        </row>
        <row r="347">
          <cell r="A347" t="str">
            <v>080-10-090</v>
          </cell>
          <cell r="B347" t="str">
            <v>SERVICE CHARGE PAN AFRICA NAIROBI</v>
          </cell>
          <cell r="C347">
            <v>0</v>
          </cell>
          <cell r="D347">
            <v>0</v>
          </cell>
          <cell r="E347">
            <v>0</v>
          </cell>
          <cell r="F347">
            <v>0</v>
          </cell>
          <cell r="H347">
            <v>0</v>
          </cell>
        </row>
        <row r="348">
          <cell r="A348" t="str">
            <v>080-10-100</v>
          </cell>
          <cell r="B348" t="str">
            <v>INTEREST AMBALAL</v>
          </cell>
          <cell r="C348">
            <v>0</v>
          </cell>
          <cell r="D348">
            <v>0</v>
          </cell>
          <cell r="E348">
            <v>0</v>
          </cell>
          <cell r="F348">
            <v>0</v>
          </cell>
          <cell r="H348">
            <v>0</v>
          </cell>
        </row>
        <row r="349">
          <cell r="A349" t="str">
            <v>080-10-110</v>
          </cell>
          <cell r="B349" t="str">
            <v>AMORTIZATION OF LAND &amp; BUILDINGS</v>
          </cell>
          <cell r="C349">
            <v>0</v>
          </cell>
          <cell r="D349">
            <v>0</v>
          </cell>
          <cell r="E349">
            <v>0</v>
          </cell>
          <cell r="F349">
            <v>0</v>
          </cell>
          <cell r="H349">
            <v>0</v>
          </cell>
        </row>
        <row r="350">
          <cell r="A350" t="str">
            <v>080-20-010</v>
          </cell>
          <cell r="B350" t="str">
            <v>SERVICE CHARGE LOAN ON POLICY</v>
          </cell>
          <cell r="C350">
            <v>0</v>
          </cell>
          <cell r="D350">
            <v>0</v>
          </cell>
          <cell r="E350">
            <v>0</v>
          </cell>
          <cell r="F350">
            <v>0</v>
          </cell>
          <cell r="H350">
            <v>0</v>
          </cell>
        </row>
        <row r="351">
          <cell r="A351" t="str">
            <v>080-20-020</v>
          </cell>
          <cell r="B351" t="str">
            <v>INTEREST ON LOAN ON POLICY</v>
          </cell>
          <cell r="C351">
            <v>0</v>
          </cell>
          <cell r="D351">
            <v>0</v>
          </cell>
          <cell r="E351">
            <v>0</v>
          </cell>
          <cell r="F351">
            <v>0</v>
          </cell>
          <cell r="H351">
            <v>0</v>
          </cell>
        </row>
        <row r="352">
          <cell r="A352" t="str">
            <v>080-20-030</v>
          </cell>
          <cell r="B352" t="str">
            <v>DIVIDEND INCOME</v>
          </cell>
          <cell r="C352">
            <v>0</v>
          </cell>
          <cell r="D352">
            <v>0</v>
          </cell>
          <cell r="E352">
            <v>0</v>
          </cell>
          <cell r="F352">
            <v>0</v>
          </cell>
          <cell r="H352">
            <v>0</v>
          </cell>
        </row>
        <row r="353">
          <cell r="A353" t="str">
            <v>080-20-040</v>
          </cell>
          <cell r="B353" t="str">
            <v>BAD DEBTS-POLICY LOANS</v>
          </cell>
          <cell r="C353">
            <v>0</v>
          </cell>
          <cell r="D353">
            <v>0</v>
          </cell>
          <cell r="E353">
            <v>0</v>
          </cell>
          <cell r="F353">
            <v>0</v>
          </cell>
          <cell r="H353">
            <v>0</v>
          </cell>
        </row>
        <row r="354">
          <cell r="A354" t="str">
            <v>080-40-010</v>
          </cell>
          <cell r="B354" t="str">
            <v>INTEREST ON COMMERCIAL PAPER</v>
          </cell>
          <cell r="C354">
            <v>0</v>
          </cell>
          <cell r="D354">
            <v>0</v>
          </cell>
          <cell r="E354">
            <v>0</v>
          </cell>
          <cell r="F354">
            <v>0</v>
          </cell>
          <cell r="H354">
            <v>0</v>
          </cell>
        </row>
        <row r="355">
          <cell r="A355" t="str">
            <v>080-40-020</v>
          </cell>
          <cell r="B355" t="str">
            <v>INTEREST ON FD</v>
          </cell>
          <cell r="C355">
            <v>0</v>
          </cell>
          <cell r="D355">
            <v>0</v>
          </cell>
          <cell r="E355">
            <v>0</v>
          </cell>
          <cell r="F355">
            <v>0</v>
          </cell>
          <cell r="H355">
            <v>0</v>
          </cell>
        </row>
        <row r="356">
          <cell r="A356" t="str">
            <v>080-40-030</v>
          </cell>
          <cell r="B356" t="str">
            <v>INTREST ON TB</v>
          </cell>
          <cell r="C356">
            <v>0</v>
          </cell>
          <cell r="D356">
            <v>0</v>
          </cell>
          <cell r="E356">
            <v>0</v>
          </cell>
          <cell r="F356">
            <v>0</v>
          </cell>
          <cell r="H356">
            <v>0</v>
          </cell>
        </row>
        <row r="357">
          <cell r="A357" t="str">
            <v>080-40-035</v>
          </cell>
          <cell r="B357" t="str">
            <v>AIG MANAGEMENT FEES</v>
          </cell>
          <cell r="C357">
            <v>0</v>
          </cell>
          <cell r="D357">
            <v>0</v>
          </cell>
          <cell r="E357">
            <v>0</v>
          </cell>
          <cell r="F357">
            <v>0</v>
          </cell>
          <cell r="H357">
            <v>0</v>
          </cell>
        </row>
        <row r="358">
          <cell r="A358" t="str">
            <v>080-40-040</v>
          </cell>
          <cell r="B358" t="str">
            <v>CUSTODY FEES</v>
          </cell>
          <cell r="C358">
            <v>0</v>
          </cell>
          <cell r="D358">
            <v>0</v>
          </cell>
          <cell r="E358">
            <v>0</v>
          </cell>
          <cell r="F358">
            <v>0</v>
          </cell>
          <cell r="H358">
            <v>0</v>
          </cell>
        </row>
        <row r="359">
          <cell r="A359" t="str">
            <v>080-45-010</v>
          </cell>
          <cell r="B359" t="str">
            <v>INTEREST ON CP</v>
          </cell>
          <cell r="C359">
            <v>0</v>
          </cell>
          <cell r="D359">
            <v>0</v>
          </cell>
          <cell r="E359">
            <v>0</v>
          </cell>
          <cell r="F359">
            <v>0</v>
          </cell>
          <cell r="H359">
            <v>0</v>
          </cell>
        </row>
        <row r="360">
          <cell r="A360" t="str">
            <v>080-45-020</v>
          </cell>
          <cell r="B360" t="str">
            <v>INTEREST ON FD'S</v>
          </cell>
          <cell r="C360">
            <v>0</v>
          </cell>
          <cell r="D360">
            <v>0</v>
          </cell>
          <cell r="E360">
            <v>0</v>
          </cell>
          <cell r="F360">
            <v>0</v>
          </cell>
          <cell r="H360">
            <v>0</v>
          </cell>
        </row>
        <row r="361">
          <cell r="A361" t="str">
            <v>080-45-030</v>
          </cell>
          <cell r="B361" t="str">
            <v>INTEREST ON TB'S</v>
          </cell>
          <cell r="C361">
            <v>0</v>
          </cell>
          <cell r="D361">
            <v>0</v>
          </cell>
          <cell r="E361">
            <v>0</v>
          </cell>
          <cell r="F361">
            <v>0</v>
          </cell>
          <cell r="H361">
            <v>0</v>
          </cell>
        </row>
        <row r="362">
          <cell r="A362" t="str">
            <v>080-45-035</v>
          </cell>
          <cell r="B362" t="str">
            <v>UNIT PRICE ADVERTISEMENT</v>
          </cell>
          <cell r="C362">
            <v>0</v>
          </cell>
          <cell r="D362">
            <v>0</v>
          </cell>
          <cell r="E362">
            <v>0</v>
          </cell>
          <cell r="F362">
            <v>0</v>
          </cell>
          <cell r="H362">
            <v>0</v>
          </cell>
        </row>
        <row r="363">
          <cell r="A363" t="str">
            <v>080-45-040</v>
          </cell>
          <cell r="B363" t="str">
            <v>CUSTODY FEES &amp; BROKERAGE FEES</v>
          </cell>
          <cell r="C363">
            <v>0</v>
          </cell>
          <cell r="D363">
            <v>0</v>
          </cell>
          <cell r="E363">
            <v>0</v>
          </cell>
          <cell r="F363">
            <v>0</v>
          </cell>
          <cell r="H363">
            <v>0</v>
          </cell>
        </row>
        <row r="364">
          <cell r="A364" t="str">
            <v>080-45-050</v>
          </cell>
          <cell r="B364" t="str">
            <v>AIG MANAGEMENT FEES</v>
          </cell>
          <cell r="C364">
            <v>0</v>
          </cell>
          <cell r="D364">
            <v>0</v>
          </cell>
          <cell r="E364">
            <v>0</v>
          </cell>
          <cell r="F364">
            <v>0</v>
          </cell>
          <cell r="H364">
            <v>0</v>
          </cell>
        </row>
        <row r="365">
          <cell r="A365" t="str">
            <v>080-50-010</v>
          </cell>
          <cell r="B365" t="str">
            <v>MISC INCOMES</v>
          </cell>
          <cell r="C365">
            <v>-1304223.3700000001</v>
          </cell>
          <cell r="D365">
            <v>-161186.54999999999</v>
          </cell>
          <cell r="E365">
            <v>-1465409.92</v>
          </cell>
          <cell r="F365">
            <v>-1465409.92</v>
          </cell>
          <cell r="H365">
            <v>-1465409.92</v>
          </cell>
        </row>
        <row r="366">
          <cell r="A366" t="str">
            <v>080-50-015</v>
          </cell>
          <cell r="B366" t="str">
            <v>GAIN/LOSS ON FOREX</v>
          </cell>
          <cell r="C366">
            <v>0</v>
          </cell>
          <cell r="D366">
            <v>0</v>
          </cell>
          <cell r="E366">
            <v>0</v>
          </cell>
          <cell r="F366">
            <v>0</v>
          </cell>
          <cell r="H366">
            <v>0</v>
          </cell>
        </row>
        <row r="367">
          <cell r="A367" t="str">
            <v>080-50-020</v>
          </cell>
          <cell r="B367" t="str">
            <v>DISPOSAL OF ASSETS (PROCEEDS)</v>
          </cell>
          <cell r="C367">
            <v>0</v>
          </cell>
          <cell r="D367">
            <v>0</v>
          </cell>
          <cell r="E367">
            <v>0</v>
          </cell>
          <cell r="F367">
            <v>0</v>
          </cell>
          <cell r="H367">
            <v>0</v>
          </cell>
        </row>
        <row r="368">
          <cell r="A368" t="str">
            <v>080-50-021</v>
          </cell>
          <cell r="B368" t="str">
            <v>GAIN/LOSS ON SHARES VALUATION</v>
          </cell>
          <cell r="C368">
            <v>0</v>
          </cell>
          <cell r="D368">
            <v>0</v>
          </cell>
          <cell r="E368">
            <v>0</v>
          </cell>
          <cell r="F368">
            <v>0</v>
          </cell>
          <cell r="H368">
            <v>0</v>
          </cell>
        </row>
        <row r="369">
          <cell r="A369" t="str">
            <v>080-50-022</v>
          </cell>
          <cell r="B369" t="str">
            <v>GAIN/LOSS ON DISPOSAL OF FIXED ASSETS</v>
          </cell>
          <cell r="C369">
            <v>0</v>
          </cell>
          <cell r="D369">
            <v>95398.92</v>
          </cell>
          <cell r="E369">
            <v>95398.92</v>
          </cell>
          <cell r="F369">
            <v>95398.92</v>
          </cell>
          <cell r="H369">
            <v>95398.92</v>
          </cell>
        </row>
        <row r="370">
          <cell r="A370" t="str">
            <v>080-50-024</v>
          </cell>
          <cell r="B370" t="str">
            <v>GAIN/LOSS IN BUILDINGS VALUATION</v>
          </cell>
          <cell r="C370">
            <v>0</v>
          </cell>
          <cell r="D370">
            <v>0</v>
          </cell>
          <cell r="E370">
            <v>0</v>
          </cell>
          <cell r="F370">
            <v>0</v>
          </cell>
          <cell r="H370">
            <v>0</v>
          </cell>
        </row>
        <row r="371">
          <cell r="A371" t="str">
            <v>080-50-025</v>
          </cell>
          <cell r="B371" t="str">
            <v>GAIN/LOSS ON INVESTMENT PROPERTIES</v>
          </cell>
          <cell r="C371">
            <v>0</v>
          </cell>
          <cell r="D371">
            <v>0</v>
          </cell>
          <cell r="E371">
            <v>0</v>
          </cell>
          <cell r="F371">
            <v>0</v>
          </cell>
          <cell r="H371">
            <v>0</v>
          </cell>
        </row>
        <row r="372">
          <cell r="A372" t="str">
            <v>080-55-010</v>
          </cell>
          <cell r="B372" t="str">
            <v>GAIN/LOSS SHARES VALUATION</v>
          </cell>
          <cell r="C372">
            <v>0</v>
          </cell>
          <cell r="D372">
            <v>0</v>
          </cell>
          <cell r="E372">
            <v>0</v>
          </cell>
          <cell r="F372">
            <v>0</v>
          </cell>
          <cell r="H372">
            <v>0</v>
          </cell>
        </row>
        <row r="373">
          <cell r="A373" t="str">
            <v>080-55-020</v>
          </cell>
          <cell r="B373" t="str">
            <v>DIVIDEND INCOME</v>
          </cell>
          <cell r="C373">
            <v>0</v>
          </cell>
          <cell r="D373">
            <v>0</v>
          </cell>
          <cell r="E373">
            <v>0</v>
          </cell>
          <cell r="F373">
            <v>0</v>
          </cell>
          <cell r="H373">
            <v>0</v>
          </cell>
        </row>
        <row r="374">
          <cell r="A374" t="str">
            <v>080-60-010</v>
          </cell>
          <cell r="B374" t="str">
            <v>INTEREST ON MORTGAGE LOANS</v>
          </cell>
          <cell r="C374">
            <v>-487116.6</v>
          </cell>
          <cell r="D374">
            <v>-51866.6</v>
          </cell>
          <cell r="E374">
            <v>-538983.19999999995</v>
          </cell>
          <cell r="F374">
            <v>-538983.19999999995</v>
          </cell>
          <cell r="H374">
            <v>-538983.19999999995</v>
          </cell>
        </row>
        <row r="375">
          <cell r="A375" t="str">
            <v>080-60-020</v>
          </cell>
          <cell r="B375" t="str">
            <v>BAD DEBTS-MORTGAGE LOANS</v>
          </cell>
          <cell r="C375">
            <v>0</v>
          </cell>
          <cell r="D375">
            <v>0</v>
          </cell>
          <cell r="E375">
            <v>0</v>
          </cell>
          <cell r="F375">
            <v>0</v>
          </cell>
          <cell r="H375">
            <v>0</v>
          </cell>
        </row>
        <row r="376">
          <cell r="A376" t="str">
            <v>090-10-010</v>
          </cell>
          <cell r="B376" t="str">
            <v>MATURITY CLAIMS</v>
          </cell>
          <cell r="C376">
            <v>791</v>
          </cell>
          <cell r="D376">
            <v>0</v>
          </cell>
          <cell r="E376">
            <v>791</v>
          </cell>
          <cell r="F376">
            <v>791</v>
          </cell>
          <cell r="H376">
            <v>791</v>
          </cell>
        </row>
        <row r="377">
          <cell r="A377" t="str">
            <v>090-10-015</v>
          </cell>
          <cell r="B377" t="str">
            <v>MATURITY CLAIMS-ENDOWNMENT</v>
          </cell>
          <cell r="C377">
            <v>0</v>
          </cell>
          <cell r="D377">
            <v>0</v>
          </cell>
          <cell r="E377">
            <v>0</v>
          </cell>
          <cell r="F377">
            <v>0</v>
          </cell>
          <cell r="H377">
            <v>0</v>
          </cell>
        </row>
        <row r="378">
          <cell r="A378" t="str">
            <v>090-10-017</v>
          </cell>
          <cell r="B378" t="str">
            <v>CLAIMS EXPENSE</v>
          </cell>
          <cell r="C378">
            <v>12806.55</v>
          </cell>
          <cell r="D378">
            <v>0</v>
          </cell>
          <cell r="E378">
            <v>12806.55</v>
          </cell>
          <cell r="F378">
            <v>12806.55</v>
          </cell>
          <cell r="H378">
            <v>12806.55</v>
          </cell>
        </row>
        <row r="379">
          <cell r="A379" t="str">
            <v>090-10-020</v>
          </cell>
          <cell r="B379" t="str">
            <v>DEATH CLAIMS-ORDINARY</v>
          </cell>
          <cell r="C379">
            <v>0</v>
          </cell>
          <cell r="D379">
            <v>0</v>
          </cell>
          <cell r="E379">
            <v>0</v>
          </cell>
          <cell r="F379">
            <v>0</v>
          </cell>
          <cell r="H379">
            <v>0</v>
          </cell>
        </row>
        <row r="380">
          <cell r="A380" t="str">
            <v>090-10-025</v>
          </cell>
          <cell r="B380" t="str">
            <v>DEATH CLAIMS REC-INDIVIDUAL LIFE (REINS)</v>
          </cell>
          <cell r="C380">
            <v>0</v>
          </cell>
          <cell r="D380">
            <v>0</v>
          </cell>
          <cell r="E380">
            <v>0</v>
          </cell>
          <cell r="F380">
            <v>0</v>
          </cell>
          <cell r="H380">
            <v>0</v>
          </cell>
        </row>
        <row r="381">
          <cell r="A381" t="str">
            <v>090-10-030</v>
          </cell>
          <cell r="B381" t="str">
            <v>PERSONAL ACCIDENTS</v>
          </cell>
          <cell r="C381">
            <v>0</v>
          </cell>
          <cell r="D381">
            <v>0</v>
          </cell>
          <cell r="E381">
            <v>0</v>
          </cell>
          <cell r="F381">
            <v>0</v>
          </cell>
          <cell r="H381">
            <v>0</v>
          </cell>
        </row>
        <row r="382">
          <cell r="A382" t="str">
            <v>090-10-035</v>
          </cell>
          <cell r="B382" t="str">
            <v>ANNUITY CLAIMS</v>
          </cell>
          <cell r="C382">
            <v>0</v>
          </cell>
          <cell r="D382">
            <v>0</v>
          </cell>
          <cell r="E382">
            <v>0</v>
          </cell>
          <cell r="F382">
            <v>0</v>
          </cell>
          <cell r="H382">
            <v>0</v>
          </cell>
        </row>
        <row r="383">
          <cell r="A383" t="str">
            <v>090-10-040</v>
          </cell>
          <cell r="B383" t="str">
            <v>AUTOMATIC SURRENDERS VALUE</v>
          </cell>
          <cell r="C383">
            <v>0</v>
          </cell>
          <cell r="D383">
            <v>0</v>
          </cell>
          <cell r="E383">
            <v>0</v>
          </cell>
          <cell r="F383">
            <v>0</v>
          </cell>
          <cell r="H383">
            <v>0</v>
          </cell>
        </row>
        <row r="384">
          <cell r="A384" t="str">
            <v>090-10-045</v>
          </cell>
          <cell r="B384" t="str">
            <v>CASH SURRENDER VALUE</v>
          </cell>
          <cell r="C384">
            <v>717.55</v>
          </cell>
          <cell r="D384">
            <v>0</v>
          </cell>
          <cell r="E384">
            <v>717.55</v>
          </cell>
          <cell r="F384">
            <v>717.55</v>
          </cell>
          <cell r="H384">
            <v>717.55</v>
          </cell>
        </row>
        <row r="385">
          <cell r="A385" t="str">
            <v>090-10-050</v>
          </cell>
          <cell r="B385" t="str">
            <v>FFF DEATH CLAIMS</v>
          </cell>
          <cell r="C385">
            <v>0</v>
          </cell>
          <cell r="D385">
            <v>0</v>
          </cell>
          <cell r="E385">
            <v>0</v>
          </cell>
          <cell r="F385">
            <v>0</v>
          </cell>
          <cell r="H385">
            <v>0</v>
          </cell>
        </row>
        <row r="386">
          <cell r="A386" t="str">
            <v>090-10-060</v>
          </cell>
          <cell r="B386" t="str">
            <v>PREMIUMS REFUNDS</v>
          </cell>
          <cell r="C386">
            <v>-114428</v>
          </cell>
          <cell r="D386">
            <v>-93188.5</v>
          </cell>
          <cell r="E386">
            <v>-207616.5</v>
          </cell>
          <cell r="F386">
            <v>-207616.5</v>
          </cell>
          <cell r="H386">
            <v>-207616.5</v>
          </cell>
        </row>
        <row r="387">
          <cell r="A387" t="str">
            <v>090-10-065</v>
          </cell>
          <cell r="B387" t="str">
            <v>WAIVER OF PREMIUMS EXPENSES</v>
          </cell>
          <cell r="C387">
            <v>0</v>
          </cell>
          <cell r="D387">
            <v>0</v>
          </cell>
          <cell r="E387">
            <v>0</v>
          </cell>
          <cell r="F387">
            <v>0</v>
          </cell>
          <cell r="H387">
            <v>0</v>
          </cell>
        </row>
        <row r="388">
          <cell r="A388" t="str">
            <v>090-10-070</v>
          </cell>
          <cell r="B388" t="str">
            <v>CASH BONUS BENEFIT-FFFP</v>
          </cell>
          <cell r="C388">
            <v>0</v>
          </cell>
          <cell r="D388">
            <v>0</v>
          </cell>
          <cell r="E388">
            <v>0</v>
          </cell>
          <cell r="F388">
            <v>0</v>
          </cell>
          <cell r="H388">
            <v>0</v>
          </cell>
        </row>
        <row r="389">
          <cell r="A389" t="str">
            <v>090-10-075</v>
          </cell>
          <cell r="B389" t="str">
            <v>PENALTIES RECOVERIES-FFFP</v>
          </cell>
          <cell r="C389">
            <v>0</v>
          </cell>
          <cell r="D389">
            <v>0</v>
          </cell>
          <cell r="E389">
            <v>0</v>
          </cell>
          <cell r="F389">
            <v>0</v>
          </cell>
          <cell r="H389">
            <v>0</v>
          </cell>
        </row>
        <row r="390">
          <cell r="A390" t="str">
            <v>090-10-080</v>
          </cell>
          <cell r="B390" t="str">
            <v>UNITS ENCASHMENT/WP</v>
          </cell>
          <cell r="C390">
            <v>0</v>
          </cell>
          <cell r="D390">
            <v>0</v>
          </cell>
          <cell r="E390">
            <v>0</v>
          </cell>
          <cell r="F390">
            <v>0</v>
          </cell>
          <cell r="H390">
            <v>0</v>
          </cell>
        </row>
        <row r="391">
          <cell r="A391" t="str">
            <v>090-10-090</v>
          </cell>
          <cell r="B391" t="str">
            <v>WP CLAIMS</v>
          </cell>
          <cell r="C391">
            <v>0</v>
          </cell>
          <cell r="D391">
            <v>0</v>
          </cell>
          <cell r="E391">
            <v>0</v>
          </cell>
          <cell r="F391">
            <v>0</v>
          </cell>
          <cell r="H391">
            <v>0</v>
          </cell>
        </row>
        <row r="392">
          <cell r="A392" t="str">
            <v>090-20-010</v>
          </cell>
          <cell r="B392" t="str">
            <v>REASSURANCE PREMIUMS(ENDOWMENT POLICIES)</v>
          </cell>
          <cell r="C392">
            <v>0</v>
          </cell>
          <cell r="D392">
            <v>0</v>
          </cell>
          <cell r="E392">
            <v>0</v>
          </cell>
          <cell r="F392">
            <v>0</v>
          </cell>
          <cell r="H392">
            <v>0</v>
          </cell>
        </row>
        <row r="393">
          <cell r="A393" t="str">
            <v>090-20-020</v>
          </cell>
          <cell r="B393" t="str">
            <v>REASSURANCE PREMIUMS FFFP POLICIES</v>
          </cell>
          <cell r="C393">
            <v>0</v>
          </cell>
          <cell r="D393">
            <v>0</v>
          </cell>
          <cell r="E393">
            <v>0</v>
          </cell>
          <cell r="F393">
            <v>0</v>
          </cell>
          <cell r="H393">
            <v>0</v>
          </cell>
        </row>
        <row r="394">
          <cell r="A394" t="str">
            <v>090-20-030</v>
          </cell>
          <cell r="B394" t="str">
            <v>REASSURANCE PREMIUMS WP POLICIES</v>
          </cell>
          <cell r="C394">
            <v>0</v>
          </cell>
          <cell r="D394">
            <v>0</v>
          </cell>
          <cell r="E394">
            <v>0</v>
          </cell>
          <cell r="F394">
            <v>0</v>
          </cell>
          <cell r="H394">
            <v>0</v>
          </cell>
        </row>
        <row r="395">
          <cell r="A395" t="str">
            <v>090-30-040</v>
          </cell>
          <cell r="B395" t="str">
            <v>REASSURANCE COMM PAIC SERIES</v>
          </cell>
          <cell r="C395">
            <v>0</v>
          </cell>
          <cell r="D395">
            <v>0</v>
          </cell>
          <cell r="E395">
            <v>0</v>
          </cell>
          <cell r="F395">
            <v>0</v>
          </cell>
          <cell r="H395">
            <v>0</v>
          </cell>
        </row>
        <row r="396">
          <cell r="A396" t="str">
            <v>090-30-050</v>
          </cell>
          <cell r="B396" t="str">
            <v>REASSURANCE COMM WP</v>
          </cell>
          <cell r="C396">
            <v>0</v>
          </cell>
          <cell r="D396">
            <v>0</v>
          </cell>
          <cell r="E396">
            <v>0</v>
          </cell>
          <cell r="F396">
            <v>0</v>
          </cell>
          <cell r="H396">
            <v>0</v>
          </cell>
        </row>
        <row r="397">
          <cell r="A397" t="str">
            <v>090-30-060</v>
          </cell>
          <cell r="B397" t="str">
            <v>REASSURANCE COMM FFFP</v>
          </cell>
          <cell r="C397">
            <v>0</v>
          </cell>
          <cell r="D397">
            <v>0</v>
          </cell>
          <cell r="E397">
            <v>0</v>
          </cell>
          <cell r="F397">
            <v>0</v>
          </cell>
          <cell r="H397">
            <v>0</v>
          </cell>
        </row>
        <row r="398">
          <cell r="A398" t="str">
            <v>105-10-010</v>
          </cell>
          <cell r="B398" t="str">
            <v>BASIC SALARY</v>
          </cell>
          <cell r="C398">
            <v>9546719</v>
          </cell>
          <cell r="D398">
            <v>1152442</v>
          </cell>
          <cell r="E398">
            <v>10699161</v>
          </cell>
          <cell r="F398">
            <v>10699161</v>
          </cell>
          <cell r="H398">
            <v>10699161</v>
          </cell>
        </row>
        <row r="399">
          <cell r="A399" t="str">
            <v>105-10-011</v>
          </cell>
          <cell r="B399" t="str">
            <v>PROVISION FOR EDUCATION ALLOWANCE</v>
          </cell>
          <cell r="C399">
            <v>0</v>
          </cell>
          <cell r="D399">
            <v>0</v>
          </cell>
          <cell r="E399">
            <v>0</v>
          </cell>
          <cell r="F399">
            <v>0</v>
          </cell>
          <cell r="H399">
            <v>0</v>
          </cell>
        </row>
        <row r="400">
          <cell r="A400" t="str">
            <v>105-10-012</v>
          </cell>
          <cell r="B400" t="str">
            <v>PROVISION FOR MORT. RATE ADJUSTMENT</v>
          </cell>
          <cell r="C400">
            <v>122970</v>
          </cell>
          <cell r="D400">
            <v>20495</v>
          </cell>
          <cell r="E400">
            <v>143465</v>
          </cell>
          <cell r="F400">
            <v>143465</v>
          </cell>
          <cell r="H400">
            <v>143465</v>
          </cell>
        </row>
        <row r="401">
          <cell r="A401" t="str">
            <v>105-10-013</v>
          </cell>
          <cell r="B401" t="str">
            <v>PROVISION FOR CAR LOAN RATE ADJUST</v>
          </cell>
          <cell r="C401">
            <v>0</v>
          </cell>
          <cell r="D401">
            <v>0</v>
          </cell>
          <cell r="E401">
            <v>0</v>
          </cell>
          <cell r="F401">
            <v>0</v>
          </cell>
          <cell r="H401">
            <v>0</v>
          </cell>
        </row>
        <row r="402">
          <cell r="A402" t="str">
            <v>105-10-020</v>
          </cell>
          <cell r="B402" t="str">
            <v>HOUSE ALLOWANCE</v>
          </cell>
          <cell r="C402">
            <v>1443530</v>
          </cell>
          <cell r="D402">
            <v>174900</v>
          </cell>
          <cell r="E402">
            <v>1618430</v>
          </cell>
          <cell r="F402">
            <v>1618430</v>
          </cell>
          <cell r="H402">
            <v>1618430</v>
          </cell>
        </row>
        <row r="403">
          <cell r="A403" t="str">
            <v>105-10-030</v>
          </cell>
          <cell r="B403" t="str">
            <v>TELEPHONE ALLOWANCE</v>
          </cell>
          <cell r="C403">
            <v>20000</v>
          </cell>
          <cell r="D403">
            <v>2500</v>
          </cell>
          <cell r="E403">
            <v>22500</v>
          </cell>
          <cell r="F403">
            <v>22500</v>
          </cell>
          <cell r="H403">
            <v>22500</v>
          </cell>
        </row>
        <row r="404">
          <cell r="A404" t="str">
            <v>105-10-040</v>
          </cell>
          <cell r="B404" t="str">
            <v>SECURITY ALLOWANCE</v>
          </cell>
          <cell r="C404">
            <v>0</v>
          </cell>
          <cell r="D404">
            <v>0</v>
          </cell>
          <cell r="E404">
            <v>0</v>
          </cell>
          <cell r="F404">
            <v>0</v>
          </cell>
          <cell r="H404">
            <v>0</v>
          </cell>
        </row>
        <row r="405">
          <cell r="A405" t="str">
            <v>105-10-050</v>
          </cell>
          <cell r="B405" t="str">
            <v>EDUCATION ALLOWANCE</v>
          </cell>
          <cell r="C405">
            <v>591700</v>
          </cell>
          <cell r="D405">
            <v>171880</v>
          </cell>
          <cell r="E405">
            <v>763580</v>
          </cell>
          <cell r="F405">
            <v>763580</v>
          </cell>
          <cell r="H405">
            <v>763580</v>
          </cell>
        </row>
        <row r="406">
          <cell r="A406" t="str">
            <v>105-10-060</v>
          </cell>
          <cell r="B406" t="str">
            <v>TRAVEL ALLOWANCE</v>
          </cell>
          <cell r="C406">
            <v>151840</v>
          </cell>
          <cell r="D406">
            <v>12480</v>
          </cell>
          <cell r="E406">
            <v>164320</v>
          </cell>
          <cell r="F406">
            <v>164320</v>
          </cell>
          <cell r="H406">
            <v>164320</v>
          </cell>
        </row>
        <row r="407">
          <cell r="A407" t="str">
            <v>105-10-065</v>
          </cell>
          <cell r="B407" t="str">
            <v>PROVISION FOR 2002 SURPLUS DISTRIBUTION</v>
          </cell>
          <cell r="C407">
            <v>0</v>
          </cell>
          <cell r="D407">
            <v>0</v>
          </cell>
          <cell r="E407">
            <v>0</v>
          </cell>
          <cell r="F407">
            <v>0</v>
          </cell>
          <cell r="H407">
            <v>0</v>
          </cell>
        </row>
        <row r="408">
          <cell r="A408" t="str">
            <v>105-10-070</v>
          </cell>
          <cell r="B408" t="str">
            <v>STAFF BONUS</v>
          </cell>
          <cell r="C408">
            <v>-154000</v>
          </cell>
          <cell r="D408">
            <v>0</v>
          </cell>
          <cell r="E408">
            <v>-154000</v>
          </cell>
          <cell r="F408">
            <v>-154000</v>
          </cell>
          <cell r="H408">
            <v>-154000</v>
          </cell>
        </row>
        <row r="409">
          <cell r="A409" t="str">
            <v>105-20-010</v>
          </cell>
          <cell r="B409" t="str">
            <v>NSSF</v>
          </cell>
          <cell r="C409">
            <v>25600</v>
          </cell>
          <cell r="D409">
            <v>3200</v>
          </cell>
          <cell r="E409">
            <v>28800</v>
          </cell>
          <cell r="F409">
            <v>28800</v>
          </cell>
          <cell r="H409">
            <v>28800</v>
          </cell>
        </row>
        <row r="410">
          <cell r="A410" t="str">
            <v>105-20-020</v>
          </cell>
          <cell r="B410" t="str">
            <v>NHIF</v>
          </cell>
          <cell r="C410">
            <v>30720</v>
          </cell>
          <cell r="D410">
            <v>3840</v>
          </cell>
          <cell r="E410">
            <v>34560</v>
          </cell>
          <cell r="F410">
            <v>34560</v>
          </cell>
          <cell r="H410">
            <v>34560</v>
          </cell>
        </row>
        <row r="411">
          <cell r="A411" t="str">
            <v>105-30-010</v>
          </cell>
          <cell r="B411" t="str">
            <v>PENSION</v>
          </cell>
          <cell r="C411">
            <v>617212.5</v>
          </cell>
          <cell r="D411">
            <v>73287.5</v>
          </cell>
          <cell r="E411">
            <v>690500</v>
          </cell>
          <cell r="F411">
            <v>690500</v>
          </cell>
          <cell r="H411">
            <v>690500</v>
          </cell>
        </row>
        <row r="412">
          <cell r="A412" t="str">
            <v>105-30-020</v>
          </cell>
          <cell r="B412" t="str">
            <v>LAST EXPENSE</v>
          </cell>
          <cell r="C412">
            <v>12125</v>
          </cell>
          <cell r="D412">
            <v>0</v>
          </cell>
          <cell r="E412">
            <v>12125</v>
          </cell>
          <cell r="F412">
            <v>12125</v>
          </cell>
          <cell r="H412">
            <v>12125</v>
          </cell>
        </row>
        <row r="413">
          <cell r="A413" t="str">
            <v>105-30-030</v>
          </cell>
          <cell r="B413" t="str">
            <v>GROUP LIFE ASSURANCE</v>
          </cell>
          <cell r="C413">
            <v>190615</v>
          </cell>
          <cell r="D413">
            <v>0</v>
          </cell>
          <cell r="E413">
            <v>190615</v>
          </cell>
          <cell r="F413">
            <v>190615</v>
          </cell>
          <cell r="H413">
            <v>190615</v>
          </cell>
        </row>
        <row r="414">
          <cell r="A414" t="str">
            <v>105-30-040</v>
          </cell>
          <cell r="B414" t="str">
            <v>STAFF MEDICAL</v>
          </cell>
          <cell r="C414">
            <v>928257.66</v>
          </cell>
          <cell r="D414">
            <v>112133</v>
          </cell>
          <cell r="E414">
            <v>1040390.66</v>
          </cell>
          <cell r="F414">
            <v>1040390.66</v>
          </cell>
          <cell r="H414">
            <v>1040390.66</v>
          </cell>
        </row>
        <row r="415">
          <cell r="A415" t="str">
            <v>105-30-050</v>
          </cell>
          <cell r="B415" t="str">
            <v>CASH IN LIEU OF LEAVE</v>
          </cell>
          <cell r="C415">
            <v>83148.11</v>
          </cell>
          <cell r="D415">
            <v>0</v>
          </cell>
          <cell r="E415">
            <v>83148.11</v>
          </cell>
          <cell r="F415">
            <v>83148.11</v>
          </cell>
          <cell r="H415">
            <v>83148.11</v>
          </cell>
        </row>
        <row r="416">
          <cell r="A416" t="str">
            <v>105-30-060</v>
          </cell>
          <cell r="B416" t="str">
            <v>GRATUITY</v>
          </cell>
          <cell r="C416">
            <v>1432045.2</v>
          </cell>
          <cell r="D416">
            <v>179005.65</v>
          </cell>
          <cell r="E416">
            <v>1611050.85</v>
          </cell>
          <cell r="F416">
            <v>1611050.85</v>
          </cell>
          <cell r="H416">
            <v>1611050.85</v>
          </cell>
        </row>
        <row r="417">
          <cell r="A417" t="str">
            <v>105-30-070</v>
          </cell>
          <cell r="B417" t="str">
            <v>LONG SERVICE AWARDS</v>
          </cell>
          <cell r="C417">
            <v>0</v>
          </cell>
          <cell r="D417">
            <v>0</v>
          </cell>
          <cell r="E417">
            <v>0</v>
          </cell>
          <cell r="F417">
            <v>0</v>
          </cell>
          <cell r="H417">
            <v>0</v>
          </cell>
        </row>
        <row r="418">
          <cell r="A418" t="str">
            <v>105-30-080</v>
          </cell>
          <cell r="B418" t="str">
            <v>STAFF RECRUITMENT &amp; REMOVALS</v>
          </cell>
          <cell r="C418">
            <v>15965</v>
          </cell>
          <cell r="D418">
            <v>0</v>
          </cell>
          <cell r="E418">
            <v>15965</v>
          </cell>
          <cell r="F418">
            <v>15965</v>
          </cell>
          <cell r="H418">
            <v>15965</v>
          </cell>
        </row>
        <row r="419">
          <cell r="A419" t="str">
            <v>115-10-005</v>
          </cell>
          <cell r="B419" t="str">
            <v>AMORTIZATION ON LAND &amp; BUILDINGS</v>
          </cell>
          <cell r="C419">
            <v>0</v>
          </cell>
          <cell r="D419">
            <v>0</v>
          </cell>
          <cell r="E419">
            <v>0</v>
          </cell>
          <cell r="F419">
            <v>0</v>
          </cell>
          <cell r="H419">
            <v>0</v>
          </cell>
        </row>
        <row r="420">
          <cell r="A420" t="str">
            <v>115-10-010</v>
          </cell>
          <cell r="B420" t="str">
            <v>DEPRECIATION-FURNITURE &amp; FITTINGS</v>
          </cell>
          <cell r="C420">
            <v>1136910.56</v>
          </cell>
          <cell r="D420">
            <v>121024.49</v>
          </cell>
          <cell r="E420">
            <v>1257935.05</v>
          </cell>
          <cell r="F420">
            <v>1257935.05</v>
          </cell>
          <cell r="H420">
            <v>1257935.05</v>
          </cell>
        </row>
        <row r="421">
          <cell r="A421" t="str">
            <v>115-10-020</v>
          </cell>
          <cell r="B421" t="str">
            <v>DEPRECIATION-COMPUTER &amp; OTHER EQUIPMENT</v>
          </cell>
          <cell r="C421">
            <v>478768.3</v>
          </cell>
          <cell r="D421">
            <v>61726.87</v>
          </cell>
          <cell r="E421">
            <v>540495.17000000004</v>
          </cell>
          <cell r="F421">
            <v>540495.17000000004</v>
          </cell>
          <cell r="H421">
            <v>540495.17000000004</v>
          </cell>
        </row>
        <row r="422">
          <cell r="A422" t="str">
            <v>115-10-030</v>
          </cell>
          <cell r="B422" t="str">
            <v>DEPRECIATION-MOTOR VEHICLES</v>
          </cell>
          <cell r="C422">
            <v>493701.65</v>
          </cell>
          <cell r="D422">
            <v>61712.71</v>
          </cell>
          <cell r="E422">
            <v>555414.36</v>
          </cell>
          <cell r="F422">
            <v>555414.36</v>
          </cell>
          <cell r="H422">
            <v>555414.36</v>
          </cell>
        </row>
        <row r="423">
          <cell r="A423" t="str">
            <v>115-10-040</v>
          </cell>
          <cell r="B423" t="str">
            <v>OFFICE RENT</v>
          </cell>
          <cell r="C423">
            <v>3400843.15</v>
          </cell>
          <cell r="D423">
            <v>374600.12</v>
          </cell>
          <cell r="E423">
            <v>3775443.27</v>
          </cell>
          <cell r="F423">
            <v>3775443.27</v>
          </cell>
          <cell r="H423">
            <v>3775443.27</v>
          </cell>
        </row>
        <row r="424">
          <cell r="A424" t="str">
            <v>115-10-050</v>
          </cell>
          <cell r="B424" t="str">
            <v>OFFICE CATERING,CLEANING &amp; STAFF WELFARE</v>
          </cell>
          <cell r="C424">
            <v>417994.8</v>
          </cell>
          <cell r="D424">
            <v>159583.67000000001</v>
          </cell>
          <cell r="E424">
            <v>577578.47</v>
          </cell>
          <cell r="F424">
            <v>577578.47</v>
          </cell>
          <cell r="H424">
            <v>577578.47</v>
          </cell>
        </row>
        <row r="425">
          <cell r="A425" t="str">
            <v>115-10-051</v>
          </cell>
          <cell r="B425" t="str">
            <v>OFFICE CLEANING</v>
          </cell>
          <cell r="C425">
            <v>500</v>
          </cell>
          <cell r="D425">
            <v>0</v>
          </cell>
          <cell r="E425">
            <v>500</v>
          </cell>
          <cell r="F425">
            <v>500</v>
          </cell>
          <cell r="H425">
            <v>500</v>
          </cell>
        </row>
        <row r="426">
          <cell r="A426" t="str">
            <v>115-10-060</v>
          </cell>
          <cell r="B426" t="str">
            <v>OFFICE WATER</v>
          </cell>
          <cell r="C426">
            <v>7191.5</v>
          </cell>
          <cell r="D426">
            <v>563</v>
          </cell>
          <cell r="E426">
            <v>7754.5</v>
          </cell>
          <cell r="F426">
            <v>7754.5</v>
          </cell>
          <cell r="H426">
            <v>7754.5</v>
          </cell>
        </row>
        <row r="427">
          <cell r="A427" t="str">
            <v>115-10-070</v>
          </cell>
          <cell r="B427" t="str">
            <v>OFFICE ELECTRICITY</v>
          </cell>
          <cell r="C427">
            <v>34567.5</v>
          </cell>
          <cell r="D427">
            <v>4458</v>
          </cell>
          <cell r="E427">
            <v>39025.5</v>
          </cell>
          <cell r="F427">
            <v>39025.5</v>
          </cell>
          <cell r="H427">
            <v>39025.5</v>
          </cell>
        </row>
        <row r="428">
          <cell r="A428" t="str">
            <v>115-10-080</v>
          </cell>
          <cell r="B428" t="str">
            <v>OFFICE SECURITY</v>
          </cell>
          <cell r="C428">
            <v>50000</v>
          </cell>
          <cell r="D428">
            <v>10000</v>
          </cell>
          <cell r="E428">
            <v>60000</v>
          </cell>
          <cell r="F428">
            <v>60000</v>
          </cell>
          <cell r="H428">
            <v>60000</v>
          </cell>
        </row>
        <row r="429">
          <cell r="A429" t="str">
            <v>125-10-010</v>
          </cell>
          <cell r="B429" t="str">
            <v>BANK CHARGES</v>
          </cell>
          <cell r="C429">
            <v>145768.45000000001</v>
          </cell>
          <cell r="D429">
            <v>19492</v>
          </cell>
          <cell r="E429">
            <v>165260.45000000001</v>
          </cell>
          <cell r="F429">
            <v>165260.45000000001</v>
          </cell>
          <cell r="H429">
            <v>165260.45000000001</v>
          </cell>
        </row>
        <row r="430">
          <cell r="A430" t="str">
            <v>125-10-020</v>
          </cell>
          <cell r="B430" t="str">
            <v>BANK OVERDRAFT CHARGES</v>
          </cell>
          <cell r="C430">
            <v>0</v>
          </cell>
          <cell r="D430">
            <v>0</v>
          </cell>
          <cell r="E430">
            <v>0</v>
          </cell>
          <cell r="F430">
            <v>0</v>
          </cell>
          <cell r="H430">
            <v>0</v>
          </cell>
        </row>
        <row r="431">
          <cell r="A431" t="str">
            <v>125-10-030</v>
          </cell>
          <cell r="B431" t="str">
            <v>CUSTODY FEES (STANBIC)</v>
          </cell>
          <cell r="C431">
            <v>0</v>
          </cell>
          <cell r="D431">
            <v>0</v>
          </cell>
          <cell r="E431">
            <v>0</v>
          </cell>
          <cell r="F431">
            <v>0</v>
          </cell>
          <cell r="H431">
            <v>0</v>
          </cell>
        </row>
        <row r="432">
          <cell r="A432" t="str">
            <v>135-10-010</v>
          </cell>
          <cell r="B432" t="str">
            <v>STAMP DUTY-RECOVERIES</v>
          </cell>
          <cell r="C432">
            <v>0</v>
          </cell>
          <cell r="D432">
            <v>0</v>
          </cell>
          <cell r="E432">
            <v>0</v>
          </cell>
          <cell r="F432">
            <v>0</v>
          </cell>
          <cell r="H432">
            <v>0</v>
          </cell>
        </row>
        <row r="433">
          <cell r="A433" t="str">
            <v>135-10-015</v>
          </cell>
          <cell r="B433" t="str">
            <v>STAMP DUTY -PAID</v>
          </cell>
          <cell r="C433">
            <v>0</v>
          </cell>
          <cell r="D433">
            <v>0</v>
          </cell>
          <cell r="E433">
            <v>0</v>
          </cell>
          <cell r="F433">
            <v>0</v>
          </cell>
          <cell r="H433">
            <v>0</v>
          </cell>
        </row>
        <row r="434">
          <cell r="A434" t="str">
            <v>135-10-020</v>
          </cell>
          <cell r="B434" t="str">
            <v>MEDICAL FEE</v>
          </cell>
          <cell r="C434">
            <v>0</v>
          </cell>
          <cell r="D434">
            <v>-2700</v>
          </cell>
          <cell r="E434">
            <v>-2700</v>
          </cell>
          <cell r="F434">
            <v>-2700</v>
          </cell>
          <cell r="H434">
            <v>-2700</v>
          </cell>
        </row>
        <row r="435">
          <cell r="A435" t="str">
            <v>135-10-030</v>
          </cell>
          <cell r="B435" t="str">
            <v>ADVERTISING AND PUBLICITY</v>
          </cell>
          <cell r="C435">
            <v>0</v>
          </cell>
          <cell r="D435">
            <v>0</v>
          </cell>
          <cell r="E435">
            <v>0</v>
          </cell>
          <cell r="F435">
            <v>0</v>
          </cell>
          <cell r="H435">
            <v>0</v>
          </cell>
        </row>
        <row r="436">
          <cell r="A436" t="str">
            <v>135-10-035</v>
          </cell>
          <cell r="B436" t="str">
            <v>BRANCH CONNECTION-EMAIL LINK-UP</v>
          </cell>
          <cell r="C436">
            <v>0</v>
          </cell>
          <cell r="D436">
            <v>0</v>
          </cell>
          <cell r="E436">
            <v>0</v>
          </cell>
          <cell r="F436">
            <v>0</v>
          </cell>
          <cell r="H436">
            <v>0</v>
          </cell>
        </row>
        <row r="437">
          <cell r="A437" t="str">
            <v>135-20-010</v>
          </cell>
          <cell r="B437" t="str">
            <v>REINSURANCE PREMIUMS-ORDINARY LIFE</v>
          </cell>
          <cell r="C437">
            <v>0</v>
          </cell>
          <cell r="D437">
            <v>0</v>
          </cell>
          <cell r="E437">
            <v>0</v>
          </cell>
          <cell r="F437">
            <v>0</v>
          </cell>
          <cell r="H437">
            <v>0</v>
          </cell>
        </row>
        <row r="438">
          <cell r="A438" t="str">
            <v>135-30-010</v>
          </cell>
          <cell r="B438" t="str">
            <v>NEW BUSINESS COMMISSION</v>
          </cell>
          <cell r="C438">
            <v>33987437.979999997</v>
          </cell>
          <cell r="D438">
            <v>3752929.16</v>
          </cell>
          <cell r="E438">
            <v>37740367.140000001</v>
          </cell>
          <cell r="F438">
            <v>37740367.140000001</v>
          </cell>
          <cell r="H438">
            <v>37740367.140000001</v>
          </cell>
        </row>
        <row r="439">
          <cell r="A439" t="str">
            <v>135-30-020</v>
          </cell>
          <cell r="B439" t="str">
            <v>RENEWAL COMMISSION</v>
          </cell>
          <cell r="C439">
            <v>15307871.75</v>
          </cell>
          <cell r="D439">
            <v>2976421.64</v>
          </cell>
          <cell r="E439">
            <v>18284293.390000001</v>
          </cell>
          <cell r="F439">
            <v>18284293.390000001</v>
          </cell>
          <cell r="H439">
            <v>18284293.390000001</v>
          </cell>
        </row>
        <row r="440">
          <cell r="A440" t="str">
            <v>135-30-030</v>
          </cell>
          <cell r="B440" t="str">
            <v>OVERIDE COMMISSION</v>
          </cell>
          <cell r="C440">
            <v>12099183.210000001</v>
          </cell>
          <cell r="D440">
            <v>1570325.08</v>
          </cell>
          <cell r="E440">
            <v>13669508.289999999</v>
          </cell>
          <cell r="F440">
            <v>13669508.289999999</v>
          </cell>
          <cell r="H440">
            <v>13669508.289999999</v>
          </cell>
        </row>
        <row r="441">
          <cell r="A441" t="str">
            <v>135-30-035</v>
          </cell>
          <cell r="B441" t="str">
            <v>MARKETING RECOUPMENT</v>
          </cell>
          <cell r="C441">
            <v>0</v>
          </cell>
          <cell r="D441">
            <v>0</v>
          </cell>
          <cell r="E441">
            <v>0</v>
          </cell>
          <cell r="F441">
            <v>0</v>
          </cell>
          <cell r="H441">
            <v>0</v>
          </cell>
        </row>
        <row r="442">
          <cell r="A442" t="str">
            <v>135-34-010</v>
          </cell>
          <cell r="B442" t="str">
            <v>NEW BUSINESS COMMISSION</v>
          </cell>
          <cell r="C442">
            <v>0</v>
          </cell>
          <cell r="D442">
            <v>0</v>
          </cell>
          <cell r="E442">
            <v>0</v>
          </cell>
          <cell r="F442">
            <v>0</v>
          </cell>
          <cell r="H442">
            <v>0</v>
          </cell>
        </row>
        <row r="443">
          <cell r="A443" t="str">
            <v>135-34-020</v>
          </cell>
          <cell r="B443" t="str">
            <v>RENEWAL BUSINESS COMMISSION</v>
          </cell>
          <cell r="C443">
            <v>0</v>
          </cell>
          <cell r="D443">
            <v>0</v>
          </cell>
          <cell r="E443">
            <v>0</v>
          </cell>
          <cell r="F443">
            <v>0</v>
          </cell>
          <cell r="H443">
            <v>0</v>
          </cell>
        </row>
        <row r="444">
          <cell r="A444" t="str">
            <v>135-34-030</v>
          </cell>
          <cell r="B444" t="str">
            <v>OVERIDE COMMISSION</v>
          </cell>
          <cell r="C444">
            <v>0</v>
          </cell>
          <cell r="D444">
            <v>0</v>
          </cell>
          <cell r="E444">
            <v>0</v>
          </cell>
          <cell r="F444">
            <v>0</v>
          </cell>
          <cell r="H444">
            <v>0</v>
          </cell>
        </row>
        <row r="445">
          <cell r="A445" t="str">
            <v>135-38-010</v>
          </cell>
          <cell r="B445" t="str">
            <v>NEW BUSINESS COMMISSION</v>
          </cell>
          <cell r="C445">
            <v>0</v>
          </cell>
          <cell r="D445">
            <v>0</v>
          </cell>
          <cell r="E445">
            <v>0</v>
          </cell>
          <cell r="F445">
            <v>0</v>
          </cell>
          <cell r="H445">
            <v>0</v>
          </cell>
        </row>
        <row r="446">
          <cell r="A446" t="str">
            <v>135-38-020</v>
          </cell>
          <cell r="B446" t="str">
            <v>RENEWAL BUSINESS COMMISSION</v>
          </cell>
          <cell r="C446">
            <v>0</v>
          </cell>
          <cell r="D446">
            <v>0</v>
          </cell>
          <cell r="E446">
            <v>0</v>
          </cell>
          <cell r="F446">
            <v>0</v>
          </cell>
          <cell r="H446">
            <v>0</v>
          </cell>
        </row>
        <row r="447">
          <cell r="A447" t="str">
            <v>135-38-030</v>
          </cell>
          <cell r="B447" t="str">
            <v>OVERIDE COMMISSION</v>
          </cell>
          <cell r="C447">
            <v>0</v>
          </cell>
          <cell r="D447">
            <v>0</v>
          </cell>
          <cell r="E447">
            <v>0</v>
          </cell>
          <cell r="F447">
            <v>0</v>
          </cell>
          <cell r="H447">
            <v>0</v>
          </cell>
        </row>
        <row r="448">
          <cell r="A448" t="str">
            <v>135-40-010</v>
          </cell>
          <cell r="B448" t="str">
            <v>AGENCY SUBSIDY</v>
          </cell>
          <cell r="C448">
            <v>2006080.6</v>
          </cell>
          <cell r="D448">
            <v>0</v>
          </cell>
          <cell r="E448">
            <v>2006080.6</v>
          </cell>
          <cell r="F448">
            <v>2006080.6</v>
          </cell>
          <cell r="H448">
            <v>2006080.6</v>
          </cell>
        </row>
        <row r="449">
          <cell r="A449" t="str">
            <v>135-40-020</v>
          </cell>
          <cell r="B449" t="str">
            <v>UNIT SUBSIDY</v>
          </cell>
          <cell r="C449">
            <v>2114438</v>
          </cell>
          <cell r="D449">
            <v>343603</v>
          </cell>
          <cell r="E449">
            <v>2458041</v>
          </cell>
          <cell r="F449">
            <v>2458041</v>
          </cell>
          <cell r="H449">
            <v>2458041</v>
          </cell>
        </row>
        <row r="450">
          <cell r="A450" t="str">
            <v>135-50-010</v>
          </cell>
          <cell r="B450" t="str">
            <v>MEDICAL EXPENSES</v>
          </cell>
          <cell r="C450">
            <v>0</v>
          </cell>
          <cell r="D450">
            <v>0</v>
          </cell>
          <cell r="E450">
            <v>0</v>
          </cell>
          <cell r="F450">
            <v>0</v>
          </cell>
          <cell r="H450">
            <v>0</v>
          </cell>
        </row>
        <row r="451">
          <cell r="A451" t="str">
            <v>135-50-020</v>
          </cell>
          <cell r="B451" t="str">
            <v>AGENCY MANAGERS MEDICAL SCHEME</v>
          </cell>
          <cell r="C451">
            <v>0</v>
          </cell>
          <cell r="D451">
            <v>0</v>
          </cell>
          <cell r="E451">
            <v>0</v>
          </cell>
          <cell r="F451">
            <v>0</v>
          </cell>
          <cell r="H451">
            <v>0</v>
          </cell>
        </row>
        <row r="452">
          <cell r="A452" t="str">
            <v>135-60-010</v>
          </cell>
          <cell r="B452" t="str">
            <v>PROFFESSIONAL TRAINING</v>
          </cell>
          <cell r="C452">
            <v>0</v>
          </cell>
          <cell r="D452">
            <v>0</v>
          </cell>
          <cell r="E452">
            <v>0</v>
          </cell>
          <cell r="F452">
            <v>0</v>
          </cell>
          <cell r="H452">
            <v>0</v>
          </cell>
        </row>
        <row r="453">
          <cell r="A453" t="str">
            <v>135-60-020</v>
          </cell>
          <cell r="B453" t="str">
            <v>SEMINARS &amp; SHORT COURSES</v>
          </cell>
          <cell r="C453">
            <v>0</v>
          </cell>
          <cell r="D453">
            <v>0</v>
          </cell>
          <cell r="E453">
            <v>0</v>
          </cell>
          <cell r="F453">
            <v>0</v>
          </cell>
          <cell r="H453">
            <v>0</v>
          </cell>
        </row>
        <row r="454">
          <cell r="A454" t="str">
            <v>135-60-030</v>
          </cell>
          <cell r="B454" t="str">
            <v>SALES PROMOTIONS &amp; COMPETITION</v>
          </cell>
          <cell r="C454">
            <v>1090301.33</v>
          </cell>
          <cell r="D454">
            <v>88495</v>
          </cell>
          <cell r="E454">
            <v>1178796.33</v>
          </cell>
          <cell r="F454">
            <v>1178796.33</v>
          </cell>
          <cell r="H454">
            <v>1178796.33</v>
          </cell>
        </row>
        <row r="455">
          <cell r="A455" t="str">
            <v>135-70-010</v>
          </cell>
          <cell r="B455" t="str">
            <v>AGENCY PENSION</v>
          </cell>
          <cell r="C455">
            <v>54123.34</v>
          </cell>
          <cell r="D455">
            <v>395858.3</v>
          </cell>
          <cell r="E455">
            <v>449981.64</v>
          </cell>
          <cell r="F455">
            <v>449981.64</v>
          </cell>
          <cell r="H455">
            <v>449981.64</v>
          </cell>
        </row>
        <row r="456">
          <cell r="A456" t="str">
            <v>135-70-020</v>
          </cell>
          <cell r="B456" t="str">
            <v>AGENCY GLA</v>
          </cell>
          <cell r="C456">
            <v>241445</v>
          </cell>
          <cell r="D456">
            <v>0</v>
          </cell>
          <cell r="E456">
            <v>241445</v>
          </cell>
          <cell r="F456">
            <v>241445</v>
          </cell>
          <cell r="H456">
            <v>241445</v>
          </cell>
        </row>
        <row r="457">
          <cell r="A457" t="str">
            <v>135-70-030</v>
          </cell>
          <cell r="B457" t="str">
            <v>AGENCY LAST EXPENSE</v>
          </cell>
          <cell r="C457">
            <v>110300</v>
          </cell>
          <cell r="D457">
            <v>0</v>
          </cell>
          <cell r="E457">
            <v>110300</v>
          </cell>
          <cell r="F457">
            <v>110300</v>
          </cell>
          <cell r="H457">
            <v>110300</v>
          </cell>
        </row>
        <row r="458">
          <cell r="A458" t="str">
            <v>135-70-040</v>
          </cell>
          <cell r="B458" t="str">
            <v>AGENCY MEDICAL</v>
          </cell>
          <cell r="C458">
            <v>562000</v>
          </cell>
          <cell r="D458">
            <v>0</v>
          </cell>
          <cell r="E458">
            <v>562000</v>
          </cell>
          <cell r="F458">
            <v>562000</v>
          </cell>
          <cell r="H458">
            <v>562000</v>
          </cell>
        </row>
        <row r="459">
          <cell r="A459" t="str">
            <v>145-10-010</v>
          </cell>
          <cell r="B459" t="str">
            <v>ALA GROUP CHARGES</v>
          </cell>
          <cell r="C459">
            <v>0</v>
          </cell>
          <cell r="D459">
            <v>0</v>
          </cell>
          <cell r="E459">
            <v>0</v>
          </cell>
          <cell r="F459">
            <v>0</v>
          </cell>
          <cell r="H459">
            <v>0</v>
          </cell>
        </row>
        <row r="460">
          <cell r="A460" t="str">
            <v>145-10-020</v>
          </cell>
          <cell r="B460" t="str">
            <v>ACTUARIAL FEES</v>
          </cell>
          <cell r="C460">
            <v>0</v>
          </cell>
          <cell r="D460">
            <v>0</v>
          </cell>
          <cell r="E460">
            <v>0</v>
          </cell>
          <cell r="F460">
            <v>0</v>
          </cell>
          <cell r="H460">
            <v>0</v>
          </cell>
        </row>
        <row r="461">
          <cell r="A461" t="str">
            <v>145-10-030</v>
          </cell>
          <cell r="B461" t="str">
            <v>AUDIT FEES</v>
          </cell>
          <cell r="C461">
            <v>0</v>
          </cell>
          <cell r="D461">
            <v>0</v>
          </cell>
          <cell r="E461">
            <v>0</v>
          </cell>
          <cell r="F461">
            <v>0</v>
          </cell>
          <cell r="H461">
            <v>0</v>
          </cell>
        </row>
        <row r="462">
          <cell r="A462" t="str">
            <v>145-10-031</v>
          </cell>
          <cell r="B462" t="str">
            <v>TAX CONSULTANCY FEE</v>
          </cell>
          <cell r="C462">
            <v>0</v>
          </cell>
          <cell r="D462">
            <v>0</v>
          </cell>
          <cell r="E462">
            <v>0</v>
          </cell>
          <cell r="F462">
            <v>0</v>
          </cell>
          <cell r="H462">
            <v>0</v>
          </cell>
        </row>
        <row r="463">
          <cell r="A463" t="str">
            <v>145-10-040</v>
          </cell>
          <cell r="B463" t="str">
            <v>LEGAL FEES</v>
          </cell>
          <cell r="C463">
            <v>0</v>
          </cell>
          <cell r="D463">
            <v>0</v>
          </cell>
          <cell r="E463">
            <v>0</v>
          </cell>
          <cell r="F463">
            <v>0</v>
          </cell>
          <cell r="H463">
            <v>0</v>
          </cell>
        </row>
        <row r="464">
          <cell r="A464" t="str">
            <v>145-10-050</v>
          </cell>
          <cell r="B464" t="str">
            <v>CONSULTANCY FEES</v>
          </cell>
          <cell r="C464">
            <v>0</v>
          </cell>
          <cell r="D464">
            <v>0</v>
          </cell>
          <cell r="E464">
            <v>0</v>
          </cell>
          <cell r="F464">
            <v>0</v>
          </cell>
          <cell r="H464">
            <v>0</v>
          </cell>
        </row>
        <row r="465">
          <cell r="A465" t="str">
            <v>145-10-060</v>
          </cell>
          <cell r="B465" t="str">
            <v>INTRA COMPANY -INDIVIDUAL LIFE</v>
          </cell>
          <cell r="C465">
            <v>0</v>
          </cell>
          <cell r="D465">
            <v>0</v>
          </cell>
          <cell r="E465">
            <v>0</v>
          </cell>
          <cell r="F465">
            <v>0</v>
          </cell>
          <cell r="H465">
            <v>0</v>
          </cell>
        </row>
        <row r="466">
          <cell r="A466" t="str">
            <v>145-10-070</v>
          </cell>
          <cell r="B466" t="str">
            <v>10% RECHARGE FOR PROP DEPT.CORP.BUSINESS</v>
          </cell>
          <cell r="C466">
            <v>0</v>
          </cell>
          <cell r="D466">
            <v>0</v>
          </cell>
          <cell r="E466">
            <v>0</v>
          </cell>
          <cell r="F466">
            <v>0</v>
          </cell>
          <cell r="H466">
            <v>0</v>
          </cell>
        </row>
        <row r="467">
          <cell r="A467" t="str">
            <v>145-10-080</v>
          </cell>
          <cell r="B467" t="str">
            <v>10 % RECHARGETO CORP BUSS. FROM FINANCE</v>
          </cell>
          <cell r="C467">
            <v>0</v>
          </cell>
          <cell r="D467">
            <v>0</v>
          </cell>
          <cell r="E467">
            <v>0</v>
          </cell>
          <cell r="F467">
            <v>0</v>
          </cell>
          <cell r="H467">
            <v>0</v>
          </cell>
        </row>
        <row r="468">
          <cell r="A468" t="str">
            <v>145-10-090</v>
          </cell>
          <cell r="B468" t="str">
            <v>3.5% RECHARGE TO CORP. FROM EXECUTIVE</v>
          </cell>
          <cell r="C468">
            <v>0</v>
          </cell>
          <cell r="D468">
            <v>0</v>
          </cell>
          <cell r="E468">
            <v>0</v>
          </cell>
          <cell r="F468">
            <v>0</v>
          </cell>
          <cell r="H468">
            <v>0</v>
          </cell>
        </row>
        <row r="469">
          <cell r="A469" t="str">
            <v>145-10-100</v>
          </cell>
          <cell r="B469" t="str">
            <v>5% RECHARGE FOR HOLDINGS</v>
          </cell>
          <cell r="C469">
            <v>0</v>
          </cell>
          <cell r="D469">
            <v>0</v>
          </cell>
          <cell r="E469">
            <v>0</v>
          </cell>
          <cell r="F469">
            <v>0</v>
          </cell>
          <cell r="H469">
            <v>0</v>
          </cell>
        </row>
        <row r="470">
          <cell r="A470" t="str">
            <v>145-10-110</v>
          </cell>
          <cell r="B470" t="str">
            <v>PROFESSIONAL FEES</v>
          </cell>
          <cell r="C470">
            <v>0</v>
          </cell>
          <cell r="D470">
            <v>0</v>
          </cell>
          <cell r="E470">
            <v>0</v>
          </cell>
          <cell r="F470">
            <v>0</v>
          </cell>
          <cell r="H470">
            <v>0</v>
          </cell>
        </row>
        <row r="471">
          <cell r="A471" t="str">
            <v>155-10-007</v>
          </cell>
          <cell r="B471" t="str">
            <v>NEWSPAPERS &amp; JOURNAL</v>
          </cell>
          <cell r="C471">
            <v>105475</v>
          </cell>
          <cell r="D471">
            <v>5495</v>
          </cell>
          <cell r="E471">
            <v>110970</v>
          </cell>
          <cell r="F471">
            <v>110970</v>
          </cell>
          <cell r="H471">
            <v>110970</v>
          </cell>
        </row>
        <row r="472">
          <cell r="A472" t="str">
            <v>155-10-008</v>
          </cell>
          <cell r="B472" t="str">
            <v>ENTERTAINMENT &amp; DONATIONS</v>
          </cell>
          <cell r="C472">
            <v>105338</v>
          </cell>
          <cell r="D472">
            <v>38128</v>
          </cell>
          <cell r="E472">
            <v>143466</v>
          </cell>
          <cell r="F472">
            <v>143466</v>
          </cell>
          <cell r="H472">
            <v>143466</v>
          </cell>
        </row>
        <row r="473">
          <cell r="A473" t="str">
            <v>155-10-009</v>
          </cell>
          <cell r="B473" t="str">
            <v>COURIER &amp; FREIGHT CHARGES</v>
          </cell>
          <cell r="C473">
            <v>471617.8</v>
          </cell>
          <cell r="D473">
            <v>78631.149999999994</v>
          </cell>
          <cell r="E473">
            <v>550248.94999999995</v>
          </cell>
          <cell r="F473">
            <v>550248.94999999995</v>
          </cell>
          <cell r="H473">
            <v>550248.94999999995</v>
          </cell>
        </row>
        <row r="474">
          <cell r="A474" t="str">
            <v>155-10-010</v>
          </cell>
          <cell r="B474" t="str">
            <v>ADVERTISING &amp; PUBLICITY</v>
          </cell>
          <cell r="C474">
            <v>99726.399999999994</v>
          </cell>
          <cell r="D474">
            <v>16965</v>
          </cell>
          <cell r="E474">
            <v>116691.4</v>
          </cell>
          <cell r="F474">
            <v>116691.4</v>
          </cell>
          <cell r="H474">
            <v>116691.4</v>
          </cell>
        </row>
        <row r="475">
          <cell r="A475" t="str">
            <v>155-10-012</v>
          </cell>
          <cell r="B475" t="str">
            <v>TRADE LICENCES</v>
          </cell>
          <cell r="C475">
            <v>235880.5</v>
          </cell>
          <cell r="D475">
            <v>0</v>
          </cell>
          <cell r="E475">
            <v>235880.5</v>
          </cell>
          <cell r="F475">
            <v>235880.5</v>
          </cell>
          <cell r="H475">
            <v>235880.5</v>
          </cell>
        </row>
        <row r="476">
          <cell r="A476" t="str">
            <v>155-10-013</v>
          </cell>
          <cell r="B476" t="str">
            <v>INSURANCES</v>
          </cell>
          <cell r="C476">
            <v>0</v>
          </cell>
          <cell r="D476">
            <v>0</v>
          </cell>
          <cell r="E476">
            <v>0</v>
          </cell>
          <cell r="F476">
            <v>0</v>
          </cell>
          <cell r="H476">
            <v>0</v>
          </cell>
        </row>
        <row r="477">
          <cell r="A477" t="str">
            <v>155-10-014</v>
          </cell>
          <cell r="B477" t="str">
            <v>PHOTOCOPY</v>
          </cell>
          <cell r="C477">
            <v>28365.119999999999</v>
          </cell>
          <cell r="D477">
            <v>7012</v>
          </cell>
          <cell r="E477">
            <v>35377.120000000003</v>
          </cell>
          <cell r="F477">
            <v>35377.120000000003</v>
          </cell>
          <cell r="H477">
            <v>35377.120000000003</v>
          </cell>
        </row>
        <row r="478">
          <cell r="A478" t="str">
            <v>155-10-015</v>
          </cell>
          <cell r="B478" t="str">
            <v>COMPUTER MAINTENANCE</v>
          </cell>
          <cell r="C478">
            <v>18500</v>
          </cell>
          <cell r="D478">
            <v>0</v>
          </cell>
          <cell r="E478">
            <v>18500</v>
          </cell>
          <cell r="F478">
            <v>18500</v>
          </cell>
          <cell r="H478">
            <v>18500</v>
          </cell>
        </row>
        <row r="479">
          <cell r="A479" t="str">
            <v>155-10-016</v>
          </cell>
          <cell r="B479" t="str">
            <v>EQUIPMENT MAINTENANCE</v>
          </cell>
          <cell r="C479">
            <v>60002.58</v>
          </cell>
          <cell r="D479">
            <v>16571</v>
          </cell>
          <cell r="E479">
            <v>76573.58</v>
          </cell>
          <cell r="F479">
            <v>76573.58</v>
          </cell>
          <cell r="H479">
            <v>76573.58</v>
          </cell>
        </row>
        <row r="480">
          <cell r="A480" t="str">
            <v>155-10-017</v>
          </cell>
          <cell r="B480" t="str">
            <v>SEMINARS &amp; SHORT TERM COURSES</v>
          </cell>
          <cell r="C480">
            <v>38120</v>
          </cell>
          <cell r="D480">
            <v>1500</v>
          </cell>
          <cell r="E480">
            <v>39620</v>
          </cell>
          <cell r="F480">
            <v>39620</v>
          </cell>
          <cell r="H480">
            <v>39620</v>
          </cell>
        </row>
        <row r="481">
          <cell r="A481" t="str">
            <v>155-10-018</v>
          </cell>
          <cell r="B481" t="str">
            <v>SALES PROMOTIONS &amp; COMPETITIONS</v>
          </cell>
          <cell r="C481">
            <v>30000</v>
          </cell>
          <cell r="D481">
            <v>0</v>
          </cell>
          <cell r="E481">
            <v>30000</v>
          </cell>
          <cell r="F481">
            <v>30000</v>
          </cell>
          <cell r="H481">
            <v>30000</v>
          </cell>
        </row>
        <row r="482">
          <cell r="A482" t="str">
            <v>155-10-020</v>
          </cell>
          <cell r="B482" t="str">
            <v>COMPUTER CONSUMABLES</v>
          </cell>
          <cell r="C482">
            <v>215744.4</v>
          </cell>
          <cell r="D482">
            <v>16500</v>
          </cell>
          <cell r="E482">
            <v>232244.4</v>
          </cell>
          <cell r="F482">
            <v>232244.4</v>
          </cell>
          <cell r="H482">
            <v>232244.4</v>
          </cell>
        </row>
        <row r="483">
          <cell r="A483" t="str">
            <v>155-10-022</v>
          </cell>
          <cell r="B483" t="str">
            <v>PRINTING &amp; STATIONERY</v>
          </cell>
          <cell r="C483">
            <v>1546327</v>
          </cell>
          <cell r="D483">
            <v>46861</v>
          </cell>
          <cell r="E483">
            <v>1593188</v>
          </cell>
          <cell r="F483">
            <v>1593188</v>
          </cell>
          <cell r="H483">
            <v>1593188</v>
          </cell>
        </row>
        <row r="484">
          <cell r="A484" t="str">
            <v>155-10-025</v>
          </cell>
          <cell r="B484" t="str">
            <v>STRATEGIC PLANNING</v>
          </cell>
          <cell r="C484">
            <v>0</v>
          </cell>
          <cell r="D484">
            <v>0</v>
          </cell>
          <cell r="E484">
            <v>0</v>
          </cell>
          <cell r="F484">
            <v>0</v>
          </cell>
          <cell r="H484">
            <v>0</v>
          </cell>
        </row>
        <row r="485">
          <cell r="A485" t="str">
            <v>155-10-027</v>
          </cell>
          <cell r="B485" t="str">
            <v>PROFESSIONAL SUBSCRIPTIONS</v>
          </cell>
          <cell r="C485">
            <v>20591.54</v>
          </cell>
          <cell r="D485">
            <v>0</v>
          </cell>
          <cell r="E485">
            <v>20591.54</v>
          </cell>
          <cell r="F485">
            <v>20591.54</v>
          </cell>
          <cell r="H485">
            <v>20591.54</v>
          </cell>
        </row>
        <row r="486">
          <cell r="A486" t="str">
            <v>155-10-028</v>
          </cell>
          <cell r="B486" t="str">
            <v>SUBSCRIPTIONS-COMPANY</v>
          </cell>
          <cell r="C486">
            <v>2500</v>
          </cell>
          <cell r="D486">
            <v>0</v>
          </cell>
          <cell r="E486">
            <v>2500</v>
          </cell>
          <cell r="F486">
            <v>2500</v>
          </cell>
          <cell r="H486">
            <v>2500</v>
          </cell>
        </row>
        <row r="487">
          <cell r="A487" t="str">
            <v>155-10-030</v>
          </cell>
          <cell r="B487" t="str">
            <v>TRAVEL &amp; ACCOMODATION</v>
          </cell>
          <cell r="C487">
            <v>1073170.5</v>
          </cell>
          <cell r="D487">
            <v>213899</v>
          </cell>
          <cell r="E487">
            <v>1287069.5</v>
          </cell>
          <cell r="F487">
            <v>1287069.5</v>
          </cell>
          <cell r="H487">
            <v>1287069.5</v>
          </cell>
        </row>
        <row r="488">
          <cell r="A488" t="str">
            <v>155-10-032</v>
          </cell>
          <cell r="B488" t="str">
            <v>MOTOR VEHICLE EXPENSES</v>
          </cell>
          <cell r="C488">
            <v>85675.72</v>
          </cell>
          <cell r="D488">
            <v>15996.7</v>
          </cell>
          <cell r="E488">
            <v>101672.42</v>
          </cell>
          <cell r="F488">
            <v>101672.42</v>
          </cell>
          <cell r="H488">
            <v>101672.42</v>
          </cell>
        </row>
        <row r="489">
          <cell r="A489" t="str">
            <v>155-10-040</v>
          </cell>
          <cell r="B489" t="str">
            <v>POSTAGE</v>
          </cell>
          <cell r="C489">
            <v>47833</v>
          </cell>
          <cell r="D489">
            <v>52</v>
          </cell>
          <cell r="E489">
            <v>47885</v>
          </cell>
          <cell r="F489">
            <v>47885</v>
          </cell>
          <cell r="H489">
            <v>47885</v>
          </cell>
        </row>
        <row r="490">
          <cell r="A490" t="str">
            <v>155-10-041</v>
          </cell>
          <cell r="B490" t="str">
            <v>TELEPHONE &amp; FAX</v>
          </cell>
          <cell r="C490">
            <v>1446093.3</v>
          </cell>
          <cell r="D490">
            <v>160968.79999999999</v>
          </cell>
          <cell r="E490">
            <v>1607062.1</v>
          </cell>
          <cell r="F490">
            <v>1607062.1</v>
          </cell>
          <cell r="H490">
            <v>1607062.1</v>
          </cell>
        </row>
        <row r="491">
          <cell r="A491" t="str">
            <v>155-10-044</v>
          </cell>
          <cell r="B491" t="str">
            <v>PROFESSIONAL TRAINING</v>
          </cell>
          <cell r="C491">
            <v>83238.47</v>
          </cell>
          <cell r="D491">
            <v>42280</v>
          </cell>
          <cell r="E491">
            <v>125518.47</v>
          </cell>
          <cell r="F491">
            <v>125518.47</v>
          </cell>
          <cell r="H491">
            <v>125518.47</v>
          </cell>
        </row>
        <row r="492">
          <cell r="A492" t="str">
            <v>155-10-046</v>
          </cell>
          <cell r="B492" t="str">
            <v>CLUB MEMBERSHIP-ANNUAL</v>
          </cell>
          <cell r="C492">
            <v>173010.53</v>
          </cell>
          <cell r="D492">
            <v>1966</v>
          </cell>
          <cell r="E492">
            <v>174976.53</v>
          </cell>
          <cell r="F492">
            <v>174976.53</v>
          </cell>
          <cell r="H492">
            <v>174976.53</v>
          </cell>
        </row>
        <row r="493">
          <cell r="A493" t="str">
            <v>155-10-054</v>
          </cell>
          <cell r="B493" t="str">
            <v>LEASED LINES-INTERNET SERVICES</v>
          </cell>
          <cell r="C493">
            <v>0</v>
          </cell>
          <cell r="D493">
            <v>0</v>
          </cell>
          <cell r="E493">
            <v>0</v>
          </cell>
          <cell r="F493">
            <v>0</v>
          </cell>
          <cell r="H493">
            <v>0</v>
          </cell>
        </row>
        <row r="494">
          <cell r="A494" t="str">
            <v>155-10-057</v>
          </cell>
          <cell r="B494" t="str">
            <v>SOFTWARE LICENCES</v>
          </cell>
          <cell r="C494">
            <v>0</v>
          </cell>
          <cell r="D494">
            <v>0</v>
          </cell>
          <cell r="E494">
            <v>0</v>
          </cell>
          <cell r="F494">
            <v>0</v>
          </cell>
          <cell r="H494">
            <v>0</v>
          </cell>
        </row>
        <row r="495">
          <cell r="A495" t="str">
            <v>155-10-058</v>
          </cell>
          <cell r="B495" t="str">
            <v>BRANCH CONNECTIONS-E-MAIL LINK-UP</v>
          </cell>
          <cell r="C495">
            <v>199868.05</v>
          </cell>
          <cell r="D495">
            <v>0</v>
          </cell>
          <cell r="E495">
            <v>199868.05</v>
          </cell>
          <cell r="F495">
            <v>199868.05</v>
          </cell>
          <cell r="H495">
            <v>199868.05</v>
          </cell>
        </row>
        <row r="496">
          <cell r="A496" t="str">
            <v>155-10-059</v>
          </cell>
          <cell r="B496" t="str">
            <v>AMORTIZATION OF LAND</v>
          </cell>
          <cell r="C496">
            <v>0</v>
          </cell>
          <cell r="D496">
            <v>0</v>
          </cell>
          <cell r="E496">
            <v>0</v>
          </cell>
          <cell r="F496">
            <v>0</v>
          </cell>
          <cell r="H496">
            <v>0</v>
          </cell>
        </row>
        <row r="497">
          <cell r="A497" t="str">
            <v>155-10-060</v>
          </cell>
          <cell r="B497" t="str">
            <v>DEPRECIATION OF BUILDINGS</v>
          </cell>
          <cell r="C497">
            <v>0</v>
          </cell>
          <cell r="D497">
            <v>0</v>
          </cell>
          <cell r="E497">
            <v>0</v>
          </cell>
          <cell r="F497">
            <v>0</v>
          </cell>
          <cell r="H497">
            <v>0</v>
          </cell>
        </row>
        <row r="498">
          <cell r="A498" t="str">
            <v>155-10-061</v>
          </cell>
          <cell r="B498" t="str">
            <v>RE-STRUCTURING COSTS</v>
          </cell>
          <cell r="C498">
            <v>0</v>
          </cell>
          <cell r="D498">
            <v>0</v>
          </cell>
          <cell r="E498">
            <v>0</v>
          </cell>
          <cell r="F498">
            <v>0</v>
          </cell>
          <cell r="H498">
            <v>0</v>
          </cell>
        </row>
        <row r="499">
          <cell r="A499" t="str">
            <v>155-10-062</v>
          </cell>
          <cell r="B499" t="str">
            <v>EDUCATION EXPENSES</v>
          </cell>
          <cell r="C499">
            <v>0</v>
          </cell>
          <cell r="D499">
            <v>0</v>
          </cell>
          <cell r="E499">
            <v>0</v>
          </cell>
          <cell r="F499">
            <v>0</v>
          </cell>
          <cell r="H499">
            <v>0</v>
          </cell>
        </row>
        <row r="500">
          <cell r="A500" t="str">
            <v>155-20-010</v>
          </cell>
          <cell r="B500" t="str">
            <v>RE-STRUCTURING COSTS</v>
          </cell>
          <cell r="C500">
            <v>0</v>
          </cell>
          <cell r="D500">
            <v>0</v>
          </cell>
          <cell r="E500">
            <v>0</v>
          </cell>
          <cell r="F500">
            <v>0</v>
          </cell>
          <cell r="H500">
            <v>0</v>
          </cell>
        </row>
        <row r="501">
          <cell r="A501" t="str">
            <v>160-10-010</v>
          </cell>
          <cell r="B501" t="str">
            <v>PREMIUM COLLECTION CHARGES</v>
          </cell>
          <cell r="C501">
            <v>0</v>
          </cell>
          <cell r="D501">
            <v>0</v>
          </cell>
          <cell r="E501">
            <v>0</v>
          </cell>
          <cell r="F501">
            <v>0</v>
          </cell>
          <cell r="H501">
            <v>0</v>
          </cell>
        </row>
        <row r="502">
          <cell r="A502" t="str">
            <v>165-10-010</v>
          </cell>
          <cell r="B502" t="str">
            <v>STAMP DUTY</v>
          </cell>
          <cell r="C502">
            <v>0</v>
          </cell>
          <cell r="D502">
            <v>0</v>
          </cell>
          <cell r="E502">
            <v>0</v>
          </cell>
          <cell r="F502">
            <v>0</v>
          </cell>
          <cell r="H502">
            <v>0</v>
          </cell>
        </row>
        <row r="503">
          <cell r="A503" t="str">
            <v>165-10-020</v>
          </cell>
          <cell r="B503" t="str">
            <v>REVENUE STAMPS</v>
          </cell>
          <cell r="C503">
            <v>0</v>
          </cell>
          <cell r="D503">
            <v>0</v>
          </cell>
          <cell r="E503">
            <v>0</v>
          </cell>
          <cell r="F503">
            <v>0</v>
          </cell>
          <cell r="H503">
            <v>0</v>
          </cell>
        </row>
        <row r="504">
          <cell r="A504" t="str">
            <v>165-10-030</v>
          </cell>
          <cell r="B504" t="str">
            <v>PREMIUM TAX (INDIVIDUAL)</v>
          </cell>
          <cell r="C504">
            <v>0</v>
          </cell>
          <cell r="D504">
            <v>0</v>
          </cell>
          <cell r="E504">
            <v>0</v>
          </cell>
          <cell r="F504">
            <v>0</v>
          </cell>
          <cell r="H504">
            <v>0</v>
          </cell>
        </row>
        <row r="505">
          <cell r="A505" t="str">
            <v>165-10-040</v>
          </cell>
          <cell r="B505" t="str">
            <v>TAX PENALTY</v>
          </cell>
          <cell r="C505">
            <v>0</v>
          </cell>
          <cell r="D505">
            <v>0</v>
          </cell>
          <cell r="E505">
            <v>0</v>
          </cell>
          <cell r="F505">
            <v>0</v>
          </cell>
          <cell r="H505">
            <v>0</v>
          </cell>
        </row>
        <row r="506">
          <cell r="A506" t="str">
            <v>165-10-050</v>
          </cell>
          <cell r="B506" t="str">
            <v>OTHER TAXES</v>
          </cell>
          <cell r="C506">
            <v>0</v>
          </cell>
          <cell r="D506">
            <v>0</v>
          </cell>
          <cell r="E506">
            <v>0</v>
          </cell>
          <cell r="F506">
            <v>0</v>
          </cell>
          <cell r="H506">
            <v>0</v>
          </cell>
        </row>
        <row r="507">
          <cell r="A507" t="str">
            <v>165-10-060</v>
          </cell>
          <cell r="B507" t="str">
            <v>DEFERRED TAX CHARGE</v>
          </cell>
          <cell r="C507">
            <v>0</v>
          </cell>
          <cell r="D507">
            <v>0</v>
          </cell>
          <cell r="E507">
            <v>0</v>
          </cell>
          <cell r="F507">
            <v>0</v>
          </cell>
          <cell r="H507">
            <v>0</v>
          </cell>
        </row>
        <row r="508">
          <cell r="A508" t="str">
            <v>165-10-070</v>
          </cell>
          <cell r="B508" t="str">
            <v>STAFF BONUS</v>
          </cell>
          <cell r="C508">
            <v>0</v>
          </cell>
          <cell r="D508">
            <v>0</v>
          </cell>
          <cell r="E508">
            <v>0</v>
          </cell>
          <cell r="F508">
            <v>0</v>
          </cell>
          <cell r="H508">
            <v>0</v>
          </cell>
        </row>
        <row r="509">
          <cell r="A509" t="str">
            <v>175-10-010</v>
          </cell>
          <cell r="B509" t="str">
            <v>LORESHO RESIDENCE-RECOVERABLE</v>
          </cell>
          <cell r="C509">
            <v>0</v>
          </cell>
          <cell r="D509">
            <v>0</v>
          </cell>
          <cell r="E509">
            <v>0</v>
          </cell>
          <cell r="F509">
            <v>0</v>
          </cell>
          <cell r="H509">
            <v>0</v>
          </cell>
        </row>
        <row r="510">
          <cell r="A510" t="str">
            <v>175-10-015</v>
          </cell>
          <cell r="B510" t="str">
            <v>LORESHO -NON RECOVERABLE</v>
          </cell>
          <cell r="C510">
            <v>0</v>
          </cell>
          <cell r="D510">
            <v>0</v>
          </cell>
          <cell r="E510">
            <v>0</v>
          </cell>
          <cell r="F510">
            <v>0</v>
          </cell>
          <cell r="H510">
            <v>0</v>
          </cell>
        </row>
        <row r="511">
          <cell r="A511" t="str">
            <v>175-10-020</v>
          </cell>
          <cell r="B511" t="str">
            <v>RETREAT VILLAS-RECOVERABLE</v>
          </cell>
          <cell r="C511">
            <v>0</v>
          </cell>
          <cell r="D511">
            <v>0</v>
          </cell>
          <cell r="E511">
            <v>0</v>
          </cell>
          <cell r="F511">
            <v>0</v>
          </cell>
          <cell r="H511">
            <v>0</v>
          </cell>
        </row>
        <row r="512">
          <cell r="A512" t="str">
            <v>175-10-025</v>
          </cell>
          <cell r="B512" t="str">
            <v>RETREAT VILLA-NON RECOVERABLE</v>
          </cell>
          <cell r="C512">
            <v>0</v>
          </cell>
          <cell r="D512">
            <v>0</v>
          </cell>
          <cell r="E512">
            <v>0</v>
          </cell>
          <cell r="F512">
            <v>0</v>
          </cell>
          <cell r="H512">
            <v>0</v>
          </cell>
        </row>
        <row r="513">
          <cell r="A513" t="str">
            <v>175-10-030</v>
          </cell>
          <cell r="B513" t="str">
            <v>PAN AFRICA HOUSE MOMBASA</v>
          </cell>
          <cell r="C513">
            <v>0</v>
          </cell>
          <cell r="D513">
            <v>0</v>
          </cell>
          <cell r="E513">
            <v>0</v>
          </cell>
          <cell r="F513">
            <v>0</v>
          </cell>
          <cell r="H513">
            <v>0</v>
          </cell>
        </row>
        <row r="514">
          <cell r="A514" t="str">
            <v>175-10-035</v>
          </cell>
          <cell r="B514" t="str">
            <v>AMBALAL -NON R ECOVERABLE</v>
          </cell>
          <cell r="C514">
            <v>0</v>
          </cell>
          <cell r="D514">
            <v>0</v>
          </cell>
          <cell r="E514">
            <v>0</v>
          </cell>
          <cell r="F514">
            <v>0</v>
          </cell>
          <cell r="H514">
            <v>0</v>
          </cell>
        </row>
        <row r="515">
          <cell r="A515" t="str">
            <v>175-10-040</v>
          </cell>
          <cell r="B515" t="str">
            <v>AMBALAL HOUSE-RECOVERABLE</v>
          </cell>
          <cell r="C515">
            <v>0</v>
          </cell>
          <cell r="D515">
            <v>0</v>
          </cell>
          <cell r="E515">
            <v>0</v>
          </cell>
          <cell r="F515">
            <v>0</v>
          </cell>
          <cell r="H515">
            <v>0</v>
          </cell>
        </row>
        <row r="516">
          <cell r="A516" t="str">
            <v>175-10-050</v>
          </cell>
          <cell r="B516" t="str">
            <v>ARCADE PETROL STATION</v>
          </cell>
          <cell r="C516">
            <v>0</v>
          </cell>
          <cell r="D516">
            <v>0</v>
          </cell>
          <cell r="E516">
            <v>0</v>
          </cell>
          <cell r="F516">
            <v>0</v>
          </cell>
          <cell r="H516">
            <v>0</v>
          </cell>
        </row>
        <row r="517">
          <cell r="A517" t="str">
            <v>175-10-060</v>
          </cell>
          <cell r="B517" t="str">
            <v>PAN HOUSE NAIROBI-RECOVERABLE</v>
          </cell>
          <cell r="C517">
            <v>0</v>
          </cell>
          <cell r="D517">
            <v>0</v>
          </cell>
          <cell r="E517">
            <v>0</v>
          </cell>
          <cell r="F517">
            <v>0</v>
          </cell>
          <cell r="H517">
            <v>0</v>
          </cell>
        </row>
        <row r="518">
          <cell r="A518" t="str">
            <v>175-10-065</v>
          </cell>
          <cell r="B518" t="str">
            <v>PAN HOUSE NAIROBI-NON RECOVERABLE</v>
          </cell>
          <cell r="C518">
            <v>0</v>
          </cell>
          <cell r="D518">
            <v>0</v>
          </cell>
          <cell r="E518">
            <v>0</v>
          </cell>
          <cell r="F518">
            <v>0</v>
          </cell>
          <cell r="H518">
            <v>0</v>
          </cell>
        </row>
        <row r="519">
          <cell r="A519" t="str">
            <v>510-10-010</v>
          </cell>
          <cell r="B519" t="str">
            <v>KENYA COMMERCIAL BANK</v>
          </cell>
          <cell r="C519">
            <v>0</v>
          </cell>
          <cell r="D519">
            <v>0</v>
          </cell>
          <cell r="E519">
            <v>0</v>
          </cell>
          <cell r="F519">
            <v>0</v>
          </cell>
          <cell r="H519">
            <v>0</v>
          </cell>
        </row>
        <row r="520">
          <cell r="A520" t="str">
            <v>510-10-015</v>
          </cell>
          <cell r="B520" t="str">
            <v>STANDARD CHATERED</v>
          </cell>
          <cell r="C520">
            <v>0</v>
          </cell>
          <cell r="D520">
            <v>0</v>
          </cell>
          <cell r="E520">
            <v>0</v>
          </cell>
          <cell r="F520">
            <v>0</v>
          </cell>
          <cell r="H520">
            <v>0</v>
          </cell>
        </row>
        <row r="521">
          <cell r="A521" t="str">
            <v>510-10-020</v>
          </cell>
          <cell r="B521" t="str">
            <v>BARCLAYS BANK OF KENYA LTD</v>
          </cell>
          <cell r="C521">
            <v>0</v>
          </cell>
          <cell r="D521">
            <v>0</v>
          </cell>
          <cell r="E521">
            <v>0</v>
          </cell>
          <cell r="F521">
            <v>0</v>
          </cell>
          <cell r="H521">
            <v>0</v>
          </cell>
        </row>
        <row r="522">
          <cell r="A522" t="str">
            <v>510-10-025</v>
          </cell>
          <cell r="B522" t="str">
            <v>KENYA AIRWAYS LTD</v>
          </cell>
          <cell r="C522">
            <v>0</v>
          </cell>
          <cell r="D522">
            <v>0</v>
          </cell>
          <cell r="E522">
            <v>0</v>
          </cell>
          <cell r="F522">
            <v>0</v>
          </cell>
          <cell r="H522">
            <v>0</v>
          </cell>
        </row>
        <row r="523">
          <cell r="A523" t="str">
            <v>510-15-010</v>
          </cell>
          <cell r="B523" t="str">
            <v>KENYA OIL COMPANY LTD</v>
          </cell>
          <cell r="C523">
            <v>0</v>
          </cell>
          <cell r="D523">
            <v>0</v>
          </cell>
          <cell r="E523">
            <v>0</v>
          </cell>
          <cell r="F523">
            <v>0</v>
          </cell>
          <cell r="H523">
            <v>0</v>
          </cell>
        </row>
        <row r="524">
          <cell r="A524" t="str">
            <v>510-15-015</v>
          </cell>
          <cell r="B524" t="str">
            <v>FIRESTONE (EA) LIMITED</v>
          </cell>
          <cell r="C524">
            <v>0</v>
          </cell>
          <cell r="D524">
            <v>0</v>
          </cell>
          <cell r="E524">
            <v>0</v>
          </cell>
          <cell r="F524">
            <v>0</v>
          </cell>
          <cell r="H524">
            <v>0</v>
          </cell>
        </row>
        <row r="525">
          <cell r="A525" t="str">
            <v>510-15-020</v>
          </cell>
          <cell r="B525" t="str">
            <v>BARCLAYS BANK OF KENY LIMITED</v>
          </cell>
          <cell r="C525">
            <v>0</v>
          </cell>
          <cell r="D525">
            <v>0</v>
          </cell>
          <cell r="E525">
            <v>0</v>
          </cell>
          <cell r="F525">
            <v>0</v>
          </cell>
          <cell r="H525">
            <v>0</v>
          </cell>
        </row>
        <row r="526">
          <cell r="A526" t="str">
            <v>510-15-025</v>
          </cell>
          <cell r="B526" t="str">
            <v>EAST AFRICA PORTLAND CEMENT</v>
          </cell>
          <cell r="C526">
            <v>0</v>
          </cell>
          <cell r="D526">
            <v>0</v>
          </cell>
          <cell r="E526">
            <v>0</v>
          </cell>
          <cell r="F526">
            <v>0</v>
          </cell>
          <cell r="H526">
            <v>0</v>
          </cell>
        </row>
        <row r="527">
          <cell r="A527" t="str">
            <v>510-15-030</v>
          </cell>
          <cell r="B527" t="str">
            <v>NATION MEDIA GROUP LTD</v>
          </cell>
          <cell r="C527">
            <v>0</v>
          </cell>
          <cell r="D527">
            <v>0</v>
          </cell>
          <cell r="E527">
            <v>0</v>
          </cell>
          <cell r="F527">
            <v>0</v>
          </cell>
          <cell r="H527">
            <v>0</v>
          </cell>
        </row>
        <row r="528">
          <cell r="A528" t="str">
            <v>510-15-035</v>
          </cell>
          <cell r="B528" t="str">
            <v>ICDC INVESTMENTS LTD</v>
          </cell>
          <cell r="C528">
            <v>0</v>
          </cell>
          <cell r="D528">
            <v>0</v>
          </cell>
          <cell r="E528">
            <v>0</v>
          </cell>
          <cell r="F528">
            <v>0</v>
          </cell>
          <cell r="H528">
            <v>0</v>
          </cell>
        </row>
        <row r="529">
          <cell r="A529" t="str">
            <v>510-15-040</v>
          </cell>
          <cell r="B529" t="str">
            <v>BAT (K) LTD</v>
          </cell>
          <cell r="C529">
            <v>0</v>
          </cell>
          <cell r="D529">
            <v>0</v>
          </cell>
          <cell r="E529">
            <v>0</v>
          </cell>
          <cell r="F529">
            <v>0</v>
          </cell>
          <cell r="H529">
            <v>0</v>
          </cell>
        </row>
        <row r="530">
          <cell r="A530" t="str">
            <v>510-15-045</v>
          </cell>
          <cell r="B530" t="str">
            <v>KENYA COMMERCIAL BANK LTD</v>
          </cell>
          <cell r="C530">
            <v>0</v>
          </cell>
          <cell r="D530">
            <v>0</v>
          </cell>
          <cell r="E530">
            <v>0</v>
          </cell>
          <cell r="F530">
            <v>0</v>
          </cell>
          <cell r="H530">
            <v>0</v>
          </cell>
        </row>
        <row r="531">
          <cell r="A531" t="str">
            <v>510-15-050</v>
          </cell>
          <cell r="B531" t="str">
            <v>KENYA AIRWAYS LTD</v>
          </cell>
          <cell r="C531">
            <v>0</v>
          </cell>
          <cell r="D531">
            <v>0</v>
          </cell>
          <cell r="E531">
            <v>0</v>
          </cell>
          <cell r="F531">
            <v>0</v>
          </cell>
          <cell r="H531">
            <v>0</v>
          </cell>
        </row>
        <row r="532">
          <cell r="A532" t="str">
            <v>520-10-010</v>
          </cell>
          <cell r="B532" t="str">
            <v>TREASURY BONDS</v>
          </cell>
          <cell r="C532">
            <v>0</v>
          </cell>
          <cell r="D532">
            <v>0</v>
          </cell>
          <cell r="E532">
            <v>0</v>
          </cell>
          <cell r="F532">
            <v>0</v>
          </cell>
          <cell r="H532">
            <v>0</v>
          </cell>
        </row>
        <row r="533">
          <cell r="A533" t="str">
            <v>520-10-020</v>
          </cell>
          <cell r="B533" t="str">
            <v>SRBS TB'S</v>
          </cell>
          <cell r="C533">
            <v>0</v>
          </cell>
          <cell r="D533">
            <v>0</v>
          </cell>
          <cell r="E533">
            <v>0</v>
          </cell>
          <cell r="F533">
            <v>0</v>
          </cell>
          <cell r="H533">
            <v>0</v>
          </cell>
        </row>
        <row r="534">
          <cell r="A534" t="str">
            <v>520-10-030</v>
          </cell>
          <cell r="B534" t="str">
            <v>TB'S</v>
          </cell>
          <cell r="C534">
            <v>0</v>
          </cell>
          <cell r="D534">
            <v>0</v>
          </cell>
          <cell r="E534">
            <v>0</v>
          </cell>
          <cell r="F534">
            <v>0</v>
          </cell>
          <cell r="H534">
            <v>0</v>
          </cell>
        </row>
        <row r="535">
          <cell r="A535" t="str">
            <v>520-20-010</v>
          </cell>
          <cell r="B535" t="str">
            <v>TREASURY BONDS</v>
          </cell>
          <cell r="C535">
            <v>0</v>
          </cell>
          <cell r="D535">
            <v>0</v>
          </cell>
          <cell r="E535">
            <v>0</v>
          </cell>
          <cell r="F535">
            <v>0</v>
          </cell>
          <cell r="H535">
            <v>0</v>
          </cell>
        </row>
        <row r="536">
          <cell r="A536" t="str">
            <v>520-20-020</v>
          </cell>
          <cell r="B536" t="str">
            <v>TREASURY BILLS</v>
          </cell>
          <cell r="C536">
            <v>0</v>
          </cell>
          <cell r="D536">
            <v>0</v>
          </cell>
          <cell r="E536">
            <v>0</v>
          </cell>
          <cell r="F536">
            <v>0</v>
          </cell>
          <cell r="H536">
            <v>0</v>
          </cell>
        </row>
        <row r="537">
          <cell r="A537" t="str">
            <v>530-10-010</v>
          </cell>
          <cell r="B537" t="str">
            <v>SCB -(SRBS)</v>
          </cell>
          <cell r="C537">
            <v>0</v>
          </cell>
          <cell r="D537">
            <v>0</v>
          </cell>
          <cell r="E537">
            <v>0</v>
          </cell>
          <cell r="F537">
            <v>0</v>
          </cell>
          <cell r="H537">
            <v>0</v>
          </cell>
        </row>
        <row r="538">
          <cell r="A538" t="str">
            <v>530-10-020</v>
          </cell>
          <cell r="B538" t="str">
            <v>BBK NBI -(5776793)</v>
          </cell>
          <cell r="C538">
            <v>1494189.6</v>
          </cell>
          <cell r="D538">
            <v>0</v>
          </cell>
          <cell r="E538">
            <v>1494189.6</v>
          </cell>
          <cell r="F538">
            <v>1494189.6</v>
          </cell>
          <cell r="H538">
            <v>1494189.6</v>
          </cell>
        </row>
        <row r="539">
          <cell r="A539" t="str">
            <v>530-10-030</v>
          </cell>
          <cell r="B539" t="str">
            <v>N.I.C BANK</v>
          </cell>
          <cell r="C539">
            <v>0</v>
          </cell>
          <cell r="D539">
            <v>0</v>
          </cell>
          <cell r="E539">
            <v>0</v>
          </cell>
          <cell r="F539">
            <v>0</v>
          </cell>
          <cell r="H539">
            <v>0</v>
          </cell>
        </row>
        <row r="540">
          <cell r="A540" t="str">
            <v>530-20-010</v>
          </cell>
          <cell r="B540" t="str">
            <v>SCB-(SRBS)</v>
          </cell>
          <cell r="C540">
            <v>0</v>
          </cell>
          <cell r="D540">
            <v>0</v>
          </cell>
          <cell r="E540">
            <v>0</v>
          </cell>
          <cell r="F540">
            <v>0</v>
          </cell>
          <cell r="H540">
            <v>0</v>
          </cell>
        </row>
        <row r="541">
          <cell r="A541" t="str">
            <v>530-30-010</v>
          </cell>
          <cell r="B541" t="str">
            <v>H.F.C.K</v>
          </cell>
          <cell r="C541">
            <v>0</v>
          </cell>
          <cell r="D541">
            <v>0</v>
          </cell>
          <cell r="E541">
            <v>0</v>
          </cell>
          <cell r="F541">
            <v>0</v>
          </cell>
          <cell r="H541">
            <v>0</v>
          </cell>
        </row>
        <row r="542">
          <cell r="A542" t="str">
            <v>530-30-020</v>
          </cell>
          <cell r="B542" t="str">
            <v>OTHER FIXED DEPOSITS</v>
          </cell>
          <cell r="C542">
            <v>0</v>
          </cell>
          <cell r="D542">
            <v>0</v>
          </cell>
          <cell r="E542">
            <v>0</v>
          </cell>
          <cell r="F542">
            <v>0</v>
          </cell>
          <cell r="H542">
            <v>0</v>
          </cell>
        </row>
        <row r="543">
          <cell r="A543" t="str">
            <v>530-30-030</v>
          </cell>
          <cell r="B543" t="str">
            <v>STANBIC CUSTODIAN SERVICES</v>
          </cell>
          <cell r="C543">
            <v>0</v>
          </cell>
          <cell r="D543">
            <v>0</v>
          </cell>
          <cell r="E543">
            <v>0</v>
          </cell>
          <cell r="F543">
            <v>0</v>
          </cell>
          <cell r="H543">
            <v>0</v>
          </cell>
        </row>
        <row r="544">
          <cell r="A544" t="str">
            <v>530-35-010</v>
          </cell>
          <cell r="B544" t="str">
            <v>STANBIC CUSTODIAN SERVICES ACCOUNT</v>
          </cell>
          <cell r="C544">
            <v>0</v>
          </cell>
          <cell r="D544">
            <v>0</v>
          </cell>
          <cell r="E544">
            <v>0</v>
          </cell>
          <cell r="F544">
            <v>0</v>
          </cell>
          <cell r="H544">
            <v>0</v>
          </cell>
        </row>
        <row r="545">
          <cell r="A545" t="str">
            <v>530-35-020</v>
          </cell>
          <cell r="B545" t="str">
            <v>OTHER DEPOSITS</v>
          </cell>
          <cell r="C545">
            <v>0</v>
          </cell>
          <cell r="D545">
            <v>0</v>
          </cell>
          <cell r="E545">
            <v>0</v>
          </cell>
          <cell r="F545">
            <v>0</v>
          </cell>
          <cell r="H545">
            <v>0</v>
          </cell>
        </row>
        <row r="546">
          <cell r="A546" t="str">
            <v>530-35-030</v>
          </cell>
          <cell r="B546" t="str">
            <v>OTHER FIXED DEPOSITS</v>
          </cell>
          <cell r="C546">
            <v>0</v>
          </cell>
          <cell r="D546">
            <v>0</v>
          </cell>
          <cell r="E546">
            <v>0</v>
          </cell>
          <cell r="F546">
            <v>0</v>
          </cell>
          <cell r="H546">
            <v>0</v>
          </cell>
        </row>
        <row r="547">
          <cell r="A547" t="str">
            <v>530-40-010</v>
          </cell>
          <cell r="B547" t="str">
            <v>SAFARICOM</v>
          </cell>
          <cell r="C547">
            <v>0</v>
          </cell>
          <cell r="D547">
            <v>0</v>
          </cell>
          <cell r="E547">
            <v>0</v>
          </cell>
          <cell r="F547">
            <v>0</v>
          </cell>
          <cell r="H547">
            <v>0</v>
          </cell>
        </row>
        <row r="548">
          <cell r="A548" t="str">
            <v>530-45-010</v>
          </cell>
          <cell r="B548" t="str">
            <v>KENYA OIL COMPANY LTD</v>
          </cell>
          <cell r="C548">
            <v>0</v>
          </cell>
          <cell r="D548">
            <v>0</v>
          </cell>
          <cell r="E548">
            <v>0</v>
          </cell>
          <cell r="F548">
            <v>0</v>
          </cell>
          <cell r="H548">
            <v>0</v>
          </cell>
        </row>
        <row r="549">
          <cell r="A549" t="str">
            <v>530-45-020</v>
          </cell>
          <cell r="B549" t="str">
            <v>MABATI ROLLING MILLS LTD</v>
          </cell>
          <cell r="C549">
            <v>0</v>
          </cell>
          <cell r="D549">
            <v>0</v>
          </cell>
          <cell r="E549">
            <v>0</v>
          </cell>
          <cell r="F549">
            <v>0</v>
          </cell>
          <cell r="H549">
            <v>0</v>
          </cell>
        </row>
        <row r="550">
          <cell r="A550" t="str">
            <v>530-70-010</v>
          </cell>
          <cell r="B550" t="str">
            <v>O/S INTEREST ON CP</v>
          </cell>
          <cell r="C550">
            <v>0</v>
          </cell>
          <cell r="D550">
            <v>0</v>
          </cell>
          <cell r="E550">
            <v>0</v>
          </cell>
          <cell r="F550">
            <v>0</v>
          </cell>
          <cell r="H550">
            <v>0</v>
          </cell>
        </row>
        <row r="551">
          <cell r="A551" t="str">
            <v>530-70-020</v>
          </cell>
          <cell r="B551" t="str">
            <v>O/S INTEREST ON FD</v>
          </cell>
          <cell r="C551">
            <v>0</v>
          </cell>
          <cell r="D551">
            <v>0</v>
          </cell>
          <cell r="E551">
            <v>0</v>
          </cell>
          <cell r="F551">
            <v>0</v>
          </cell>
          <cell r="H551">
            <v>0</v>
          </cell>
        </row>
        <row r="552">
          <cell r="A552" t="str">
            <v>530-70-030</v>
          </cell>
          <cell r="B552" t="str">
            <v>O/S INTEREST TB'S</v>
          </cell>
          <cell r="C552">
            <v>0</v>
          </cell>
          <cell r="D552">
            <v>0</v>
          </cell>
          <cell r="E552">
            <v>0</v>
          </cell>
          <cell r="F552">
            <v>0</v>
          </cell>
          <cell r="H552">
            <v>0</v>
          </cell>
        </row>
        <row r="553">
          <cell r="A553" t="str">
            <v>530-75-010</v>
          </cell>
          <cell r="B553" t="str">
            <v>O/S INTEREST TB'S</v>
          </cell>
          <cell r="C553">
            <v>0</v>
          </cell>
          <cell r="D553">
            <v>0</v>
          </cell>
          <cell r="E553">
            <v>0</v>
          </cell>
          <cell r="F553">
            <v>0</v>
          </cell>
          <cell r="H553">
            <v>0</v>
          </cell>
        </row>
        <row r="554">
          <cell r="A554" t="str">
            <v>530-75-020</v>
          </cell>
          <cell r="B554" t="str">
            <v>O/S INTEREST ON FD</v>
          </cell>
          <cell r="C554">
            <v>0</v>
          </cell>
          <cell r="D554">
            <v>0</v>
          </cell>
          <cell r="E554">
            <v>0</v>
          </cell>
          <cell r="F554">
            <v>0</v>
          </cell>
          <cell r="H554">
            <v>0</v>
          </cell>
        </row>
        <row r="555">
          <cell r="A555" t="str">
            <v>530-75-030</v>
          </cell>
          <cell r="B555" t="str">
            <v>O/S INTEREST CP</v>
          </cell>
          <cell r="C555">
            <v>0</v>
          </cell>
          <cell r="D555">
            <v>0</v>
          </cell>
          <cell r="E555">
            <v>0</v>
          </cell>
          <cell r="F555">
            <v>0</v>
          </cell>
          <cell r="H555">
            <v>0</v>
          </cell>
        </row>
        <row r="556">
          <cell r="A556" t="str">
            <v>530-90-010</v>
          </cell>
          <cell r="B556" t="str">
            <v>GROUP LIFE PREMIUMS DEBTOR</v>
          </cell>
          <cell r="C556">
            <v>0</v>
          </cell>
          <cell r="D556">
            <v>0</v>
          </cell>
          <cell r="E556">
            <v>0</v>
          </cell>
          <cell r="F556">
            <v>0</v>
          </cell>
          <cell r="H556">
            <v>0</v>
          </cell>
        </row>
        <row r="557">
          <cell r="A557" t="str">
            <v>550-10-015</v>
          </cell>
          <cell r="B557" t="str">
            <v>BROKERAGE W/TAX</v>
          </cell>
          <cell r="C557">
            <v>-58211.4</v>
          </cell>
          <cell r="D557">
            <v>0</v>
          </cell>
          <cell r="E557">
            <v>-58211.4</v>
          </cell>
          <cell r="F557">
            <v>-58211.4</v>
          </cell>
          <cell r="H557">
            <v>-58211.4</v>
          </cell>
        </row>
        <row r="558">
          <cell r="A558" t="str">
            <v>550-25-010</v>
          </cell>
          <cell r="B558" t="str">
            <v>GROUP LIFE PREMIUMS</v>
          </cell>
          <cell r="C558">
            <v>0</v>
          </cell>
          <cell r="D558">
            <v>0</v>
          </cell>
          <cell r="E558">
            <v>0</v>
          </cell>
          <cell r="F558">
            <v>0</v>
          </cell>
          <cell r="H558">
            <v>0</v>
          </cell>
        </row>
        <row r="559">
          <cell r="A559" t="str">
            <v>550-30-010</v>
          </cell>
          <cell r="B559" t="str">
            <v>O/S LAST EXPENSE CLAIMS</v>
          </cell>
          <cell r="C559">
            <v>0</v>
          </cell>
          <cell r="D559">
            <v>0</v>
          </cell>
          <cell r="E559">
            <v>0</v>
          </cell>
          <cell r="F559">
            <v>0</v>
          </cell>
          <cell r="H559">
            <v>0</v>
          </cell>
        </row>
        <row r="560">
          <cell r="A560" t="str">
            <v>550-30-020</v>
          </cell>
          <cell r="B560" t="str">
            <v>O/S PENSION CLAIMS</v>
          </cell>
          <cell r="C560">
            <v>0</v>
          </cell>
          <cell r="D560">
            <v>0</v>
          </cell>
          <cell r="E560">
            <v>0</v>
          </cell>
          <cell r="F560">
            <v>0</v>
          </cell>
          <cell r="H560">
            <v>0</v>
          </cell>
        </row>
        <row r="561">
          <cell r="A561" t="str">
            <v>550-30-030</v>
          </cell>
          <cell r="B561" t="str">
            <v>O/S CLAIMS BY DEATH CLAIMS</v>
          </cell>
          <cell r="C561">
            <v>0</v>
          </cell>
          <cell r="D561">
            <v>0</v>
          </cell>
          <cell r="E561">
            <v>0</v>
          </cell>
          <cell r="F561">
            <v>0</v>
          </cell>
          <cell r="H561">
            <v>0</v>
          </cell>
        </row>
        <row r="562">
          <cell r="A562" t="str">
            <v>550-30-040</v>
          </cell>
          <cell r="B562" t="str">
            <v>O/S GROUP MATURITIES CLAIMS</v>
          </cell>
          <cell r="C562">
            <v>0</v>
          </cell>
          <cell r="D562">
            <v>0</v>
          </cell>
          <cell r="E562">
            <v>0</v>
          </cell>
          <cell r="F562">
            <v>0</v>
          </cell>
          <cell r="H562">
            <v>0</v>
          </cell>
        </row>
        <row r="563">
          <cell r="A563" t="str">
            <v>550-30-050</v>
          </cell>
          <cell r="B563" t="str">
            <v>O/S GROUP ANTICIPATED CLAIMS</v>
          </cell>
          <cell r="C563">
            <v>0</v>
          </cell>
          <cell r="D563">
            <v>0</v>
          </cell>
          <cell r="E563">
            <v>0</v>
          </cell>
          <cell r="F563">
            <v>0</v>
          </cell>
          <cell r="H563">
            <v>0</v>
          </cell>
        </row>
        <row r="564">
          <cell r="A564" t="str">
            <v>550-30-060</v>
          </cell>
          <cell r="B564" t="str">
            <v>O/S GROUP SURENDERS CLAIMS</v>
          </cell>
          <cell r="C564">
            <v>0</v>
          </cell>
          <cell r="D564">
            <v>0</v>
          </cell>
          <cell r="E564">
            <v>0</v>
          </cell>
          <cell r="F564">
            <v>0</v>
          </cell>
          <cell r="H564">
            <v>0</v>
          </cell>
        </row>
        <row r="565">
          <cell r="A565" t="str">
            <v>550-30-070</v>
          </cell>
          <cell r="B565" t="str">
            <v>O/S RETIREMENT ANNUITIE</v>
          </cell>
          <cell r="C565">
            <v>0</v>
          </cell>
          <cell r="D565">
            <v>0</v>
          </cell>
          <cell r="E565">
            <v>0</v>
          </cell>
          <cell r="F565">
            <v>0</v>
          </cell>
          <cell r="H565">
            <v>0</v>
          </cell>
        </row>
        <row r="566">
          <cell r="A566" t="str">
            <v>550-60-010</v>
          </cell>
          <cell r="B566" t="str">
            <v>UNEARNED INTEREST</v>
          </cell>
          <cell r="C566">
            <v>0</v>
          </cell>
          <cell r="D566">
            <v>0</v>
          </cell>
          <cell r="E566">
            <v>0</v>
          </cell>
          <cell r="F566">
            <v>0</v>
          </cell>
          <cell r="H566">
            <v>0</v>
          </cell>
        </row>
        <row r="567">
          <cell r="A567" t="str">
            <v>550-60-020</v>
          </cell>
          <cell r="B567" t="str">
            <v>AIG MANAGEMENT FEES</v>
          </cell>
          <cell r="C567">
            <v>0</v>
          </cell>
          <cell r="D567">
            <v>0</v>
          </cell>
          <cell r="E567">
            <v>0</v>
          </cell>
          <cell r="F567">
            <v>0</v>
          </cell>
          <cell r="H567">
            <v>0</v>
          </cell>
        </row>
        <row r="568">
          <cell r="A568" t="str">
            <v>570-10-010</v>
          </cell>
          <cell r="B568" t="str">
            <v>GROUP LIFE ASSURANCE SCHEMES</v>
          </cell>
          <cell r="C568">
            <v>-432060</v>
          </cell>
          <cell r="D568">
            <v>0</v>
          </cell>
          <cell r="E568">
            <v>-432060</v>
          </cell>
          <cell r="F568">
            <v>-432060</v>
          </cell>
          <cell r="H568">
            <v>-432060</v>
          </cell>
        </row>
        <row r="569">
          <cell r="A569" t="str">
            <v>570-10-020</v>
          </cell>
          <cell r="B569" t="str">
            <v>GROUP DISABILITY SCHEMES</v>
          </cell>
          <cell r="C569">
            <v>0</v>
          </cell>
          <cell r="D569">
            <v>0</v>
          </cell>
          <cell r="E569">
            <v>0</v>
          </cell>
          <cell r="F569">
            <v>0</v>
          </cell>
          <cell r="H569">
            <v>0</v>
          </cell>
        </row>
        <row r="570">
          <cell r="A570" t="str">
            <v>570-10-030</v>
          </cell>
          <cell r="B570" t="str">
            <v>GROUP CREDIT SCHEMES</v>
          </cell>
          <cell r="C570">
            <v>-4200.1000000000004</v>
          </cell>
          <cell r="D570">
            <v>-1458.8</v>
          </cell>
          <cell r="E570">
            <v>-5658.9</v>
          </cell>
          <cell r="F570">
            <v>-5658.9</v>
          </cell>
          <cell r="H570">
            <v>-5658.9</v>
          </cell>
        </row>
        <row r="571">
          <cell r="A571" t="str">
            <v>570-10-040</v>
          </cell>
          <cell r="B571" t="str">
            <v>GROUP FUNERAL-LAST EXPENSE</v>
          </cell>
          <cell r="C571">
            <v>-272407.65000000002</v>
          </cell>
          <cell r="D571">
            <v>0</v>
          </cell>
          <cell r="E571">
            <v>-272407.65000000002</v>
          </cell>
          <cell r="F571">
            <v>-272407.65000000002</v>
          </cell>
          <cell r="H571">
            <v>-272407.65000000002</v>
          </cell>
        </row>
        <row r="572">
          <cell r="A572" t="str">
            <v>570-10-050</v>
          </cell>
          <cell r="B572" t="str">
            <v>GROUP MORTGAGE SCHEMES</v>
          </cell>
          <cell r="C572">
            <v>0</v>
          </cell>
          <cell r="D572">
            <v>0</v>
          </cell>
          <cell r="E572">
            <v>0</v>
          </cell>
          <cell r="F572">
            <v>0</v>
          </cell>
          <cell r="H572">
            <v>0</v>
          </cell>
        </row>
        <row r="573">
          <cell r="A573" t="str">
            <v>570-10-060</v>
          </cell>
          <cell r="B573" t="str">
            <v>PENSION SCHEMES</v>
          </cell>
          <cell r="C573">
            <v>0</v>
          </cell>
          <cell r="D573">
            <v>0</v>
          </cell>
          <cell r="E573">
            <v>0</v>
          </cell>
          <cell r="F573">
            <v>0</v>
          </cell>
          <cell r="H573">
            <v>0</v>
          </cell>
        </row>
        <row r="574">
          <cell r="A574" t="str">
            <v>570-10-070</v>
          </cell>
          <cell r="B574" t="str">
            <v>GROUP PREMIUMS REFUNDS</v>
          </cell>
          <cell r="C574">
            <v>0</v>
          </cell>
          <cell r="D574">
            <v>0</v>
          </cell>
          <cell r="E574">
            <v>0</v>
          </cell>
          <cell r="F574">
            <v>0</v>
          </cell>
          <cell r="H574">
            <v>0</v>
          </cell>
        </row>
        <row r="575">
          <cell r="A575" t="str">
            <v>570-10-080</v>
          </cell>
          <cell r="B575" t="str">
            <v>HARAMBEE SCHEMES</v>
          </cell>
          <cell r="C575">
            <v>0</v>
          </cell>
          <cell r="D575">
            <v>0</v>
          </cell>
          <cell r="E575">
            <v>0</v>
          </cell>
          <cell r="F575">
            <v>0</v>
          </cell>
          <cell r="H575">
            <v>0</v>
          </cell>
        </row>
        <row r="576">
          <cell r="A576" t="str">
            <v>580-10-010</v>
          </cell>
          <cell r="B576" t="str">
            <v>INTEREST ON CP</v>
          </cell>
          <cell r="C576">
            <v>0</v>
          </cell>
          <cell r="D576">
            <v>0</v>
          </cell>
          <cell r="E576">
            <v>0</v>
          </cell>
          <cell r="F576">
            <v>0</v>
          </cell>
          <cell r="H576">
            <v>0</v>
          </cell>
        </row>
        <row r="577">
          <cell r="A577" t="str">
            <v>580-10-020</v>
          </cell>
          <cell r="B577" t="str">
            <v>INTEREST ON FD</v>
          </cell>
          <cell r="C577">
            <v>0</v>
          </cell>
          <cell r="D577">
            <v>0</v>
          </cell>
          <cell r="E577">
            <v>0</v>
          </cell>
          <cell r="F577">
            <v>0</v>
          </cell>
          <cell r="H577">
            <v>0</v>
          </cell>
        </row>
        <row r="578">
          <cell r="A578" t="str">
            <v>580-10-025</v>
          </cell>
          <cell r="B578" t="str">
            <v>AIG MANAGEMENT FEES</v>
          </cell>
          <cell r="C578">
            <v>0</v>
          </cell>
          <cell r="D578">
            <v>0</v>
          </cell>
          <cell r="E578">
            <v>0</v>
          </cell>
          <cell r="F578">
            <v>0</v>
          </cell>
          <cell r="H578">
            <v>0</v>
          </cell>
        </row>
        <row r="579">
          <cell r="A579" t="str">
            <v>580-10-030</v>
          </cell>
          <cell r="B579" t="str">
            <v>CUSTODY/BROKERAGE FEES</v>
          </cell>
          <cell r="C579">
            <v>0</v>
          </cell>
          <cell r="D579">
            <v>0</v>
          </cell>
          <cell r="E579">
            <v>0</v>
          </cell>
          <cell r="F579">
            <v>0</v>
          </cell>
          <cell r="H579">
            <v>0</v>
          </cell>
        </row>
        <row r="580">
          <cell r="A580" t="str">
            <v>580-10-040</v>
          </cell>
          <cell r="B580" t="str">
            <v>INTEREST ON TB'S</v>
          </cell>
          <cell r="C580">
            <v>0</v>
          </cell>
          <cell r="D580">
            <v>0</v>
          </cell>
          <cell r="E580">
            <v>0</v>
          </cell>
          <cell r="F580">
            <v>0</v>
          </cell>
          <cell r="H580">
            <v>0</v>
          </cell>
        </row>
        <row r="581">
          <cell r="A581" t="str">
            <v>580-10-050</v>
          </cell>
          <cell r="B581" t="str">
            <v>GAIN/LOSS ON SHARES VALUATION</v>
          </cell>
          <cell r="C581">
            <v>0</v>
          </cell>
          <cell r="D581">
            <v>0</v>
          </cell>
          <cell r="E581">
            <v>0</v>
          </cell>
          <cell r="F581">
            <v>0</v>
          </cell>
          <cell r="H581">
            <v>0</v>
          </cell>
        </row>
        <row r="582">
          <cell r="A582" t="str">
            <v>580-10-055</v>
          </cell>
          <cell r="B582" t="str">
            <v>DIVIDEND INCOME</v>
          </cell>
          <cell r="C582">
            <v>0</v>
          </cell>
          <cell r="D582">
            <v>0</v>
          </cell>
          <cell r="E582">
            <v>0</v>
          </cell>
          <cell r="F582">
            <v>0</v>
          </cell>
          <cell r="H582">
            <v>0</v>
          </cell>
        </row>
        <row r="583">
          <cell r="A583" t="str">
            <v>580-20-010</v>
          </cell>
          <cell r="B583" t="str">
            <v>INTEREST ON TB'S</v>
          </cell>
          <cell r="C583">
            <v>0</v>
          </cell>
          <cell r="D583">
            <v>0</v>
          </cell>
          <cell r="E583">
            <v>0</v>
          </cell>
          <cell r="F583">
            <v>0</v>
          </cell>
          <cell r="H583">
            <v>0</v>
          </cell>
        </row>
        <row r="584">
          <cell r="A584" t="str">
            <v>580-20-020</v>
          </cell>
          <cell r="B584" t="str">
            <v>INTEREST ON FIXED DEPOSITS</v>
          </cell>
          <cell r="C584">
            <v>0</v>
          </cell>
          <cell r="D584">
            <v>0</v>
          </cell>
          <cell r="E584">
            <v>0</v>
          </cell>
          <cell r="F584">
            <v>0</v>
          </cell>
          <cell r="H584">
            <v>0</v>
          </cell>
        </row>
        <row r="585">
          <cell r="A585" t="str">
            <v>580-20-025</v>
          </cell>
          <cell r="B585" t="str">
            <v>CUSTODY /BROKERAGE FEES</v>
          </cell>
          <cell r="C585">
            <v>0</v>
          </cell>
          <cell r="D585">
            <v>0</v>
          </cell>
          <cell r="E585">
            <v>0</v>
          </cell>
          <cell r="F585">
            <v>0</v>
          </cell>
          <cell r="H585">
            <v>0</v>
          </cell>
        </row>
        <row r="586">
          <cell r="A586" t="str">
            <v>580-20-030</v>
          </cell>
          <cell r="B586" t="str">
            <v>INTEREST ON C/P</v>
          </cell>
          <cell r="C586">
            <v>0</v>
          </cell>
          <cell r="D586">
            <v>0</v>
          </cell>
          <cell r="E586">
            <v>0</v>
          </cell>
          <cell r="F586">
            <v>0</v>
          </cell>
          <cell r="H586">
            <v>0</v>
          </cell>
        </row>
        <row r="587">
          <cell r="A587" t="str">
            <v>580-20-035</v>
          </cell>
          <cell r="B587" t="str">
            <v>AIG MANAGEMENT FEES</v>
          </cell>
          <cell r="C587">
            <v>0</v>
          </cell>
          <cell r="D587">
            <v>0</v>
          </cell>
          <cell r="E587">
            <v>0</v>
          </cell>
          <cell r="F587">
            <v>0</v>
          </cell>
          <cell r="H587">
            <v>0</v>
          </cell>
        </row>
        <row r="588">
          <cell r="A588" t="str">
            <v>580-20-040</v>
          </cell>
          <cell r="B588" t="str">
            <v>GAIN/LOSS ON SHARE VALUATION</v>
          </cell>
          <cell r="C588">
            <v>0</v>
          </cell>
          <cell r="D588">
            <v>0</v>
          </cell>
          <cell r="E588">
            <v>0</v>
          </cell>
          <cell r="F588">
            <v>0</v>
          </cell>
          <cell r="H588">
            <v>0</v>
          </cell>
        </row>
        <row r="589">
          <cell r="A589" t="str">
            <v>580-20-050</v>
          </cell>
          <cell r="B589" t="str">
            <v>DIVIDEND INCOME</v>
          </cell>
          <cell r="C589">
            <v>0</v>
          </cell>
          <cell r="D589">
            <v>0</v>
          </cell>
          <cell r="E589">
            <v>0</v>
          </cell>
          <cell r="F589">
            <v>0</v>
          </cell>
          <cell r="H589">
            <v>0</v>
          </cell>
        </row>
        <row r="590">
          <cell r="A590" t="str">
            <v>580-30-010</v>
          </cell>
          <cell r="B590" t="str">
            <v>PAN AFRICA HOUSE MOMBASA</v>
          </cell>
          <cell r="C590">
            <v>0</v>
          </cell>
          <cell r="D590">
            <v>0</v>
          </cell>
          <cell r="E590">
            <v>0</v>
          </cell>
          <cell r="F590">
            <v>0</v>
          </cell>
          <cell r="H590">
            <v>0</v>
          </cell>
        </row>
        <row r="591">
          <cell r="A591" t="str">
            <v>580-30-020</v>
          </cell>
          <cell r="B591" t="str">
            <v>SERVICE CHARGE PAN HOUSE MOMBASA</v>
          </cell>
          <cell r="C591">
            <v>0</v>
          </cell>
          <cell r="D591">
            <v>0</v>
          </cell>
          <cell r="E591">
            <v>0</v>
          </cell>
          <cell r="F591">
            <v>0</v>
          </cell>
          <cell r="H591">
            <v>0</v>
          </cell>
        </row>
        <row r="592">
          <cell r="A592" t="str">
            <v>590-10-010</v>
          </cell>
          <cell r="B592" t="str">
            <v>LAST EXPENSE CLAIM</v>
          </cell>
          <cell r="C592">
            <v>0</v>
          </cell>
          <cell r="D592">
            <v>0</v>
          </cell>
          <cell r="E592">
            <v>0</v>
          </cell>
          <cell r="F592">
            <v>0</v>
          </cell>
          <cell r="H592">
            <v>0</v>
          </cell>
        </row>
        <row r="593">
          <cell r="A593" t="str">
            <v>590-10-020</v>
          </cell>
          <cell r="B593" t="str">
            <v>PENSION SCHEME CLAIM</v>
          </cell>
          <cell r="C593">
            <v>136853</v>
          </cell>
          <cell r="D593">
            <v>0</v>
          </cell>
          <cell r="E593">
            <v>136853</v>
          </cell>
          <cell r="F593">
            <v>136853</v>
          </cell>
          <cell r="H593">
            <v>136853</v>
          </cell>
        </row>
        <row r="594">
          <cell r="A594" t="str">
            <v>590-10-030</v>
          </cell>
          <cell r="B594" t="str">
            <v>CLAIMS BY DEATH-GROUP</v>
          </cell>
          <cell r="C594">
            <v>0</v>
          </cell>
          <cell r="D594">
            <v>0</v>
          </cell>
          <cell r="E594">
            <v>0</v>
          </cell>
          <cell r="F594">
            <v>0</v>
          </cell>
          <cell r="H594">
            <v>0</v>
          </cell>
        </row>
        <row r="595">
          <cell r="A595" t="str">
            <v>590-10-040</v>
          </cell>
          <cell r="B595" t="str">
            <v>GROUP MATURITY CLAIMS</v>
          </cell>
          <cell r="C595">
            <v>0</v>
          </cell>
          <cell r="D595">
            <v>0</v>
          </cell>
          <cell r="E595">
            <v>0</v>
          </cell>
          <cell r="F595">
            <v>0</v>
          </cell>
          <cell r="H595">
            <v>0</v>
          </cell>
        </row>
        <row r="596">
          <cell r="A596" t="str">
            <v>590-10-050</v>
          </cell>
          <cell r="B596" t="str">
            <v>GROUP ANTICIPATED CLAIMS</v>
          </cell>
          <cell r="C596">
            <v>0</v>
          </cell>
          <cell r="D596">
            <v>0</v>
          </cell>
          <cell r="E596">
            <v>0</v>
          </cell>
          <cell r="F596">
            <v>0</v>
          </cell>
          <cell r="H596">
            <v>0</v>
          </cell>
        </row>
        <row r="597">
          <cell r="A597" t="str">
            <v>590-10-060</v>
          </cell>
          <cell r="B597" t="str">
            <v>GROUP CREDIT SCHEMES CLAIMS</v>
          </cell>
          <cell r="C597">
            <v>0</v>
          </cell>
          <cell r="D597">
            <v>0</v>
          </cell>
          <cell r="E597">
            <v>0</v>
          </cell>
          <cell r="F597">
            <v>0</v>
          </cell>
          <cell r="H597">
            <v>0</v>
          </cell>
        </row>
        <row r="598">
          <cell r="A598" t="str">
            <v>590-10-070</v>
          </cell>
          <cell r="B598" t="str">
            <v>GROUP RETIREMENT ANNUITIES CLAIMS</v>
          </cell>
          <cell r="C598">
            <v>0</v>
          </cell>
          <cell r="D598">
            <v>0</v>
          </cell>
          <cell r="E598">
            <v>0</v>
          </cell>
          <cell r="F598">
            <v>0</v>
          </cell>
          <cell r="H598">
            <v>0</v>
          </cell>
        </row>
        <row r="599">
          <cell r="A599" t="str">
            <v>590-10-075</v>
          </cell>
          <cell r="B599" t="str">
            <v>AUDIT FEES  (PENSIONS)</v>
          </cell>
          <cell r="C599">
            <v>0</v>
          </cell>
          <cell r="D599">
            <v>0</v>
          </cell>
          <cell r="E599">
            <v>0</v>
          </cell>
          <cell r="F599">
            <v>0</v>
          </cell>
          <cell r="H599">
            <v>0</v>
          </cell>
        </row>
        <row r="600">
          <cell r="A600" t="str">
            <v>590-10-076</v>
          </cell>
          <cell r="B600" t="str">
            <v>MANAGEMENT FEES (PENSION)</v>
          </cell>
          <cell r="C600">
            <v>0</v>
          </cell>
          <cell r="D600">
            <v>0</v>
          </cell>
          <cell r="E600">
            <v>0</v>
          </cell>
          <cell r="F600">
            <v>0</v>
          </cell>
          <cell r="H600">
            <v>0</v>
          </cell>
        </row>
        <row r="601">
          <cell r="A601" t="str">
            <v>590-10-077</v>
          </cell>
          <cell r="B601" t="str">
            <v>RBA LEVIES (PENSIONS)</v>
          </cell>
          <cell r="C601">
            <v>0</v>
          </cell>
          <cell r="D601">
            <v>0</v>
          </cell>
          <cell r="E601">
            <v>0</v>
          </cell>
          <cell r="F601">
            <v>0</v>
          </cell>
          <cell r="H601">
            <v>0</v>
          </cell>
        </row>
        <row r="602">
          <cell r="A602" t="str">
            <v>590-10-080</v>
          </cell>
          <cell r="B602" t="str">
            <v>CLAIMS RECOVERED-GROUP LIFE ASSURANCE</v>
          </cell>
          <cell r="C602">
            <v>0</v>
          </cell>
          <cell r="D602">
            <v>0</v>
          </cell>
          <cell r="E602">
            <v>0</v>
          </cell>
          <cell r="F602">
            <v>0</v>
          </cell>
          <cell r="H602">
            <v>0</v>
          </cell>
        </row>
        <row r="603">
          <cell r="A603" t="str">
            <v>590-10-090</v>
          </cell>
          <cell r="B603" t="str">
            <v>CLAIMS RECOVERED-GROUP MORTGAGE</v>
          </cell>
          <cell r="C603">
            <v>0</v>
          </cell>
          <cell r="D603">
            <v>0</v>
          </cell>
          <cell r="E603">
            <v>0</v>
          </cell>
          <cell r="F603">
            <v>0</v>
          </cell>
          <cell r="H603">
            <v>0</v>
          </cell>
        </row>
        <row r="604">
          <cell r="A604" t="str">
            <v>590-10-100</v>
          </cell>
          <cell r="B604" t="str">
            <v>CLAIMS RECOVERED-GROUP LAST EXPENSE</v>
          </cell>
          <cell r="C604">
            <v>0</v>
          </cell>
          <cell r="D604">
            <v>0</v>
          </cell>
          <cell r="E604">
            <v>0</v>
          </cell>
          <cell r="F604">
            <v>0</v>
          </cell>
          <cell r="H604">
            <v>0</v>
          </cell>
        </row>
        <row r="605">
          <cell r="A605" t="str">
            <v>590-20-010</v>
          </cell>
          <cell r="B605" t="str">
            <v>REASSURANCE PREMIUMS-GROUP LIFE</v>
          </cell>
          <cell r="C605">
            <v>0</v>
          </cell>
          <cell r="D605">
            <v>0</v>
          </cell>
          <cell r="E605">
            <v>0</v>
          </cell>
          <cell r="F605">
            <v>0</v>
          </cell>
          <cell r="H605">
            <v>0</v>
          </cell>
        </row>
        <row r="606">
          <cell r="A606" t="str">
            <v>590-20-020</v>
          </cell>
          <cell r="B606" t="str">
            <v>REASSURANCE PREMIUMS-GROUP MORTGAGE</v>
          </cell>
          <cell r="C606">
            <v>0</v>
          </cell>
          <cell r="D606">
            <v>0</v>
          </cell>
          <cell r="E606">
            <v>0</v>
          </cell>
          <cell r="F606">
            <v>0</v>
          </cell>
          <cell r="H606">
            <v>0</v>
          </cell>
        </row>
        <row r="607">
          <cell r="A607" t="str">
            <v>590-20-030</v>
          </cell>
          <cell r="B607" t="str">
            <v>REASSURANCE PREMIUMS-GROUP LAST EXPENS</v>
          </cell>
          <cell r="C607">
            <v>0</v>
          </cell>
          <cell r="D607">
            <v>0</v>
          </cell>
          <cell r="E607">
            <v>0</v>
          </cell>
          <cell r="F607">
            <v>0</v>
          </cell>
          <cell r="H607">
            <v>0</v>
          </cell>
        </row>
        <row r="608">
          <cell r="A608" t="str">
            <v>590-20-040</v>
          </cell>
          <cell r="B608" t="str">
            <v>REASSURANCE PREMIUMS-CREDIT SCHEMES</v>
          </cell>
          <cell r="C608">
            <v>0</v>
          </cell>
          <cell r="D608">
            <v>0</v>
          </cell>
          <cell r="E608">
            <v>0</v>
          </cell>
          <cell r="F608">
            <v>0</v>
          </cell>
          <cell r="H608">
            <v>0</v>
          </cell>
        </row>
        <row r="609">
          <cell r="A609" t="str">
            <v>590-20-050</v>
          </cell>
          <cell r="B609" t="str">
            <v>REASSURANCE COMMISSION-GROUP LIFE</v>
          </cell>
          <cell r="C609">
            <v>0</v>
          </cell>
          <cell r="D609">
            <v>0</v>
          </cell>
          <cell r="E609">
            <v>0</v>
          </cell>
          <cell r="F609">
            <v>0</v>
          </cell>
          <cell r="H609">
            <v>0</v>
          </cell>
        </row>
        <row r="610">
          <cell r="A610" t="str">
            <v>590-20-060</v>
          </cell>
          <cell r="B610" t="str">
            <v>REASSURANCE COMMISSION-GROUP MORTGAGE</v>
          </cell>
          <cell r="C610">
            <v>0</v>
          </cell>
          <cell r="D610">
            <v>0</v>
          </cell>
          <cell r="E610">
            <v>0</v>
          </cell>
          <cell r="F610">
            <v>0</v>
          </cell>
          <cell r="H610">
            <v>0</v>
          </cell>
        </row>
        <row r="611">
          <cell r="A611" t="str">
            <v>590-20-070</v>
          </cell>
          <cell r="B611" t="str">
            <v>REASSURANCE COMMISIION-GROUP LAST EXPENS</v>
          </cell>
          <cell r="C611">
            <v>0</v>
          </cell>
          <cell r="D611">
            <v>0</v>
          </cell>
          <cell r="E611">
            <v>0</v>
          </cell>
          <cell r="F611">
            <v>0</v>
          </cell>
          <cell r="H611">
            <v>0</v>
          </cell>
        </row>
        <row r="612">
          <cell r="A612" t="str">
            <v>590-20-080</v>
          </cell>
          <cell r="B612" t="str">
            <v>REASSURANCE COMMISSION -GROUP CREDIT</v>
          </cell>
          <cell r="C612">
            <v>0</v>
          </cell>
          <cell r="D612">
            <v>0</v>
          </cell>
          <cell r="E612">
            <v>0</v>
          </cell>
          <cell r="F612">
            <v>0</v>
          </cell>
          <cell r="H612">
            <v>0</v>
          </cell>
        </row>
        <row r="613">
          <cell r="A613" t="str">
            <v>590-20-090</v>
          </cell>
          <cell r="B613" t="str">
            <v>REASSURANCE PREMIUMS-GROUP DISABILITY</v>
          </cell>
          <cell r="C613">
            <v>0</v>
          </cell>
          <cell r="D613">
            <v>0</v>
          </cell>
          <cell r="E613">
            <v>0</v>
          </cell>
          <cell r="F613">
            <v>0</v>
          </cell>
          <cell r="H613">
            <v>0</v>
          </cell>
        </row>
        <row r="614">
          <cell r="A614" t="str">
            <v>590-20-100</v>
          </cell>
          <cell r="B614" t="str">
            <v>REASSURANCE COMMISSION-GROUP DISABILITY</v>
          </cell>
          <cell r="C614">
            <v>0</v>
          </cell>
          <cell r="D614">
            <v>0</v>
          </cell>
          <cell r="E614">
            <v>0</v>
          </cell>
          <cell r="F614">
            <v>0</v>
          </cell>
          <cell r="H614">
            <v>0</v>
          </cell>
        </row>
        <row r="615">
          <cell r="A615" t="str">
            <v>605-10-010</v>
          </cell>
          <cell r="B615" t="str">
            <v>BASIC SALARY</v>
          </cell>
          <cell r="C615">
            <v>0</v>
          </cell>
          <cell r="D615">
            <v>0</v>
          </cell>
          <cell r="E615">
            <v>0</v>
          </cell>
          <cell r="F615">
            <v>0</v>
          </cell>
          <cell r="H615">
            <v>0</v>
          </cell>
        </row>
        <row r="616">
          <cell r="A616" t="str">
            <v>605-10-020</v>
          </cell>
          <cell r="B616" t="str">
            <v>HOUSE ALLOWANCE</v>
          </cell>
          <cell r="C616">
            <v>0</v>
          </cell>
          <cell r="D616">
            <v>0</v>
          </cell>
          <cell r="E616">
            <v>0</v>
          </cell>
          <cell r="F616">
            <v>0</v>
          </cell>
          <cell r="H616">
            <v>0</v>
          </cell>
        </row>
        <row r="617">
          <cell r="A617" t="str">
            <v>605-10-030</v>
          </cell>
          <cell r="B617" t="str">
            <v>TELEPHONE ALLOWANCE</v>
          </cell>
          <cell r="C617">
            <v>0</v>
          </cell>
          <cell r="D617">
            <v>0</v>
          </cell>
          <cell r="E617">
            <v>0</v>
          </cell>
          <cell r="F617">
            <v>0</v>
          </cell>
          <cell r="H617">
            <v>0</v>
          </cell>
        </row>
        <row r="618">
          <cell r="A618" t="str">
            <v>605-10-040</v>
          </cell>
          <cell r="B618" t="str">
            <v>SECURITY ALLOWANCE</v>
          </cell>
          <cell r="C618">
            <v>0</v>
          </cell>
          <cell r="D618">
            <v>0</v>
          </cell>
          <cell r="E618">
            <v>0</v>
          </cell>
          <cell r="F618">
            <v>0</v>
          </cell>
          <cell r="H618">
            <v>0</v>
          </cell>
        </row>
        <row r="619">
          <cell r="A619" t="str">
            <v>605-10-050</v>
          </cell>
          <cell r="B619" t="str">
            <v>EDUCATION ALLOWANCE</v>
          </cell>
          <cell r="C619">
            <v>0</v>
          </cell>
          <cell r="D619">
            <v>0</v>
          </cell>
          <cell r="E619">
            <v>0</v>
          </cell>
          <cell r="F619">
            <v>0</v>
          </cell>
          <cell r="H619">
            <v>0</v>
          </cell>
        </row>
        <row r="620">
          <cell r="A620" t="str">
            <v>605-10-060</v>
          </cell>
          <cell r="B620" t="str">
            <v>TRAVEL ALLOWANCE</v>
          </cell>
          <cell r="C620">
            <v>0</v>
          </cell>
          <cell r="D620">
            <v>0</v>
          </cell>
          <cell r="E620">
            <v>0</v>
          </cell>
          <cell r="F620">
            <v>0</v>
          </cell>
          <cell r="H620">
            <v>0</v>
          </cell>
        </row>
        <row r="621">
          <cell r="A621" t="str">
            <v>605-10-065</v>
          </cell>
          <cell r="B621" t="str">
            <v>PROVISION FOR EDUCATION ALLOWANCE</v>
          </cell>
          <cell r="C621">
            <v>0</v>
          </cell>
          <cell r="D621">
            <v>0</v>
          </cell>
          <cell r="E621">
            <v>0</v>
          </cell>
          <cell r="F621">
            <v>0</v>
          </cell>
          <cell r="H621">
            <v>0</v>
          </cell>
        </row>
        <row r="622">
          <cell r="A622" t="str">
            <v>605-10-070</v>
          </cell>
          <cell r="B622" t="str">
            <v>PROVISION FOR MORT.RATE ADJUSTMENT</v>
          </cell>
          <cell r="C622">
            <v>0</v>
          </cell>
          <cell r="D622">
            <v>0</v>
          </cell>
          <cell r="E622">
            <v>0</v>
          </cell>
          <cell r="F622">
            <v>0</v>
          </cell>
          <cell r="H622">
            <v>0</v>
          </cell>
        </row>
        <row r="623">
          <cell r="A623" t="str">
            <v>605-10-075</v>
          </cell>
          <cell r="B623" t="str">
            <v>PROVISION FOR CAR LOAN RATE ADJUST</v>
          </cell>
          <cell r="C623">
            <v>0</v>
          </cell>
          <cell r="D623">
            <v>0</v>
          </cell>
          <cell r="E623">
            <v>0</v>
          </cell>
          <cell r="F623">
            <v>0</v>
          </cell>
          <cell r="H623">
            <v>0</v>
          </cell>
        </row>
        <row r="624">
          <cell r="A624" t="str">
            <v>605-10-080</v>
          </cell>
          <cell r="B624" t="str">
            <v>STAFF BONUS</v>
          </cell>
          <cell r="C624">
            <v>0</v>
          </cell>
          <cell r="D624">
            <v>0</v>
          </cell>
          <cell r="E624">
            <v>0</v>
          </cell>
          <cell r="F624">
            <v>0</v>
          </cell>
          <cell r="H624">
            <v>0</v>
          </cell>
        </row>
        <row r="625">
          <cell r="A625" t="str">
            <v>605-20-010</v>
          </cell>
          <cell r="B625" t="str">
            <v>N.S.S.F</v>
          </cell>
          <cell r="C625">
            <v>0</v>
          </cell>
          <cell r="D625">
            <v>0</v>
          </cell>
          <cell r="E625">
            <v>0</v>
          </cell>
          <cell r="F625">
            <v>0</v>
          </cell>
          <cell r="H625">
            <v>0</v>
          </cell>
        </row>
        <row r="626">
          <cell r="A626" t="str">
            <v>605-20-020</v>
          </cell>
          <cell r="B626" t="str">
            <v>N.H.I.F</v>
          </cell>
          <cell r="C626">
            <v>0</v>
          </cell>
          <cell r="D626">
            <v>0</v>
          </cell>
          <cell r="E626">
            <v>0</v>
          </cell>
          <cell r="F626">
            <v>0</v>
          </cell>
          <cell r="H626">
            <v>0</v>
          </cell>
        </row>
        <row r="627">
          <cell r="A627" t="str">
            <v>605-30-010</v>
          </cell>
          <cell r="B627" t="str">
            <v>PENSION</v>
          </cell>
          <cell r="C627">
            <v>0</v>
          </cell>
          <cell r="D627">
            <v>0</v>
          </cell>
          <cell r="E627">
            <v>0</v>
          </cell>
          <cell r="F627">
            <v>0</v>
          </cell>
          <cell r="H627">
            <v>0</v>
          </cell>
        </row>
        <row r="628">
          <cell r="A628" t="str">
            <v>605-30-020</v>
          </cell>
          <cell r="B628" t="str">
            <v>LAST EXPENSE</v>
          </cell>
          <cell r="C628">
            <v>0</v>
          </cell>
          <cell r="D628">
            <v>0</v>
          </cell>
          <cell r="E628">
            <v>0</v>
          </cell>
          <cell r="F628">
            <v>0</v>
          </cell>
          <cell r="H628">
            <v>0</v>
          </cell>
        </row>
        <row r="629">
          <cell r="A629" t="str">
            <v>605-30-030</v>
          </cell>
          <cell r="B629" t="str">
            <v>GROUP LIFE ASSURANCE</v>
          </cell>
          <cell r="C629">
            <v>0</v>
          </cell>
          <cell r="D629">
            <v>0</v>
          </cell>
          <cell r="E629">
            <v>0</v>
          </cell>
          <cell r="F629">
            <v>0</v>
          </cell>
          <cell r="H629">
            <v>0</v>
          </cell>
        </row>
        <row r="630">
          <cell r="A630" t="str">
            <v>605-30-040</v>
          </cell>
          <cell r="B630" t="str">
            <v>STAFF MEDICAL</v>
          </cell>
          <cell r="C630">
            <v>0</v>
          </cell>
          <cell r="D630">
            <v>0</v>
          </cell>
          <cell r="E630">
            <v>0</v>
          </cell>
          <cell r="F630">
            <v>0</v>
          </cell>
          <cell r="H630">
            <v>0</v>
          </cell>
        </row>
        <row r="631">
          <cell r="A631" t="str">
            <v>605-30-050</v>
          </cell>
          <cell r="B631" t="str">
            <v>LEAVE PAY</v>
          </cell>
          <cell r="C631">
            <v>0</v>
          </cell>
          <cell r="D631">
            <v>0</v>
          </cell>
          <cell r="E631">
            <v>0</v>
          </cell>
          <cell r="F631">
            <v>0</v>
          </cell>
          <cell r="H631">
            <v>0</v>
          </cell>
        </row>
        <row r="632">
          <cell r="A632" t="str">
            <v>605-30-060</v>
          </cell>
          <cell r="B632" t="str">
            <v>GRATUITY</v>
          </cell>
          <cell r="C632">
            <v>0</v>
          </cell>
          <cell r="D632">
            <v>0</v>
          </cell>
          <cell r="E632">
            <v>0</v>
          </cell>
          <cell r="F632">
            <v>0</v>
          </cell>
          <cell r="H632">
            <v>0</v>
          </cell>
        </row>
        <row r="633">
          <cell r="A633" t="str">
            <v>605-30-070</v>
          </cell>
          <cell r="B633" t="str">
            <v>LONG SERVICE AWARDS</v>
          </cell>
          <cell r="C633">
            <v>0</v>
          </cell>
          <cell r="D633">
            <v>0</v>
          </cell>
          <cell r="E633">
            <v>0</v>
          </cell>
          <cell r="F633">
            <v>0</v>
          </cell>
          <cell r="H633">
            <v>0</v>
          </cell>
        </row>
        <row r="634">
          <cell r="A634" t="str">
            <v>605-30-080</v>
          </cell>
          <cell r="B634" t="str">
            <v>STAFF RECRUITMENT &amp; REMOVALS</v>
          </cell>
          <cell r="C634">
            <v>0</v>
          </cell>
          <cell r="D634">
            <v>0</v>
          </cell>
          <cell r="E634">
            <v>0</v>
          </cell>
          <cell r="F634">
            <v>0</v>
          </cell>
          <cell r="H634">
            <v>0</v>
          </cell>
        </row>
        <row r="635">
          <cell r="A635" t="str">
            <v>615-10-010</v>
          </cell>
          <cell r="B635" t="str">
            <v>DEPRECIATION-FURNITURE &amp; FITTINGS</v>
          </cell>
          <cell r="C635">
            <v>0</v>
          </cell>
          <cell r="D635">
            <v>0</v>
          </cell>
          <cell r="E635">
            <v>0</v>
          </cell>
          <cell r="F635">
            <v>0</v>
          </cell>
          <cell r="H635">
            <v>0</v>
          </cell>
        </row>
        <row r="636">
          <cell r="A636" t="str">
            <v>615-10-020</v>
          </cell>
          <cell r="B636" t="str">
            <v>DEPRECIATION-COMPUTER &amp; OTHER EQUIPMENT</v>
          </cell>
          <cell r="C636">
            <v>0</v>
          </cell>
          <cell r="D636">
            <v>0</v>
          </cell>
          <cell r="E636">
            <v>0</v>
          </cell>
          <cell r="F636">
            <v>0</v>
          </cell>
          <cell r="H636">
            <v>0</v>
          </cell>
        </row>
        <row r="637">
          <cell r="A637" t="str">
            <v>615-10-030</v>
          </cell>
          <cell r="B637" t="str">
            <v>DEPRECIATION-MOTOR VEHICLES</v>
          </cell>
          <cell r="C637">
            <v>0</v>
          </cell>
          <cell r="D637">
            <v>0</v>
          </cell>
          <cell r="E637">
            <v>0</v>
          </cell>
          <cell r="F637">
            <v>0</v>
          </cell>
          <cell r="H637">
            <v>0</v>
          </cell>
        </row>
        <row r="638">
          <cell r="A638" t="str">
            <v>615-10-040</v>
          </cell>
          <cell r="B638" t="str">
            <v>OFFICE RENT</v>
          </cell>
          <cell r="C638">
            <v>0</v>
          </cell>
          <cell r="D638">
            <v>0</v>
          </cell>
          <cell r="E638">
            <v>0</v>
          </cell>
          <cell r="F638">
            <v>0</v>
          </cell>
          <cell r="H638">
            <v>0</v>
          </cell>
        </row>
        <row r="639">
          <cell r="A639" t="str">
            <v>615-10-050</v>
          </cell>
          <cell r="B639" t="str">
            <v>OFFICE CATERING &amp; STAFF WELFARE</v>
          </cell>
          <cell r="C639">
            <v>0</v>
          </cell>
          <cell r="D639">
            <v>0</v>
          </cell>
          <cell r="E639">
            <v>0</v>
          </cell>
          <cell r="F639">
            <v>0</v>
          </cell>
          <cell r="H639">
            <v>0</v>
          </cell>
        </row>
        <row r="640">
          <cell r="A640" t="str">
            <v>615-10-060</v>
          </cell>
          <cell r="B640" t="str">
            <v>OFFICE WATER</v>
          </cell>
          <cell r="C640">
            <v>0</v>
          </cell>
          <cell r="D640">
            <v>0</v>
          </cell>
          <cell r="E640">
            <v>0</v>
          </cell>
          <cell r="F640">
            <v>0</v>
          </cell>
          <cell r="H640">
            <v>0</v>
          </cell>
        </row>
        <row r="641">
          <cell r="A641" t="str">
            <v>615-10-070</v>
          </cell>
          <cell r="B641" t="str">
            <v>ELECTRICITY</v>
          </cell>
          <cell r="C641">
            <v>0</v>
          </cell>
          <cell r="D641">
            <v>0</v>
          </cell>
          <cell r="E641">
            <v>0</v>
          </cell>
          <cell r="F641">
            <v>0</v>
          </cell>
          <cell r="H641">
            <v>0</v>
          </cell>
        </row>
        <row r="642">
          <cell r="A642" t="str">
            <v>615-10-080</v>
          </cell>
          <cell r="B642" t="str">
            <v>SECURITY</v>
          </cell>
          <cell r="C642">
            <v>0</v>
          </cell>
          <cell r="D642">
            <v>0</v>
          </cell>
          <cell r="E642">
            <v>0</v>
          </cell>
          <cell r="F642">
            <v>0</v>
          </cell>
          <cell r="H642">
            <v>0</v>
          </cell>
        </row>
        <row r="643">
          <cell r="A643" t="str">
            <v>625-10-010</v>
          </cell>
          <cell r="B643" t="str">
            <v>BANK CHARGES</v>
          </cell>
          <cell r="C643">
            <v>0</v>
          </cell>
          <cell r="D643">
            <v>0</v>
          </cell>
          <cell r="E643">
            <v>0</v>
          </cell>
          <cell r="F643">
            <v>0</v>
          </cell>
          <cell r="H643">
            <v>0</v>
          </cell>
        </row>
        <row r="644">
          <cell r="A644" t="str">
            <v>625-10-020</v>
          </cell>
          <cell r="B644" t="str">
            <v>ACTUARIAL FEE</v>
          </cell>
          <cell r="C644">
            <v>0</v>
          </cell>
          <cell r="D644">
            <v>0</v>
          </cell>
          <cell r="E644">
            <v>0</v>
          </cell>
          <cell r="F644">
            <v>0</v>
          </cell>
          <cell r="H644">
            <v>0</v>
          </cell>
        </row>
        <row r="645">
          <cell r="A645" t="str">
            <v>625-10-030</v>
          </cell>
          <cell r="B645" t="str">
            <v>CUSTODY FEES (STANBIC)</v>
          </cell>
          <cell r="C645">
            <v>0</v>
          </cell>
          <cell r="D645">
            <v>0</v>
          </cell>
          <cell r="E645">
            <v>0</v>
          </cell>
          <cell r="F645">
            <v>0</v>
          </cell>
          <cell r="H645">
            <v>0</v>
          </cell>
        </row>
        <row r="646">
          <cell r="A646" t="str">
            <v>635-10-010</v>
          </cell>
          <cell r="B646" t="str">
            <v>BROKERS COMMISSION</v>
          </cell>
          <cell r="C646">
            <v>-1572831.2</v>
          </cell>
          <cell r="D646">
            <v>0</v>
          </cell>
          <cell r="E646">
            <v>-1572831.2</v>
          </cell>
          <cell r="F646">
            <v>-1572831.2</v>
          </cell>
          <cell r="H646">
            <v>-1572831.2</v>
          </cell>
        </row>
        <row r="647">
          <cell r="A647" t="str">
            <v>635-10-011</v>
          </cell>
          <cell r="B647" t="str">
            <v>SALES PROMOTION</v>
          </cell>
          <cell r="C647">
            <v>0</v>
          </cell>
          <cell r="D647">
            <v>0</v>
          </cell>
          <cell r="E647">
            <v>0</v>
          </cell>
          <cell r="F647">
            <v>0</v>
          </cell>
          <cell r="H647">
            <v>0</v>
          </cell>
        </row>
        <row r="648">
          <cell r="A648" t="str">
            <v>635-10-020</v>
          </cell>
          <cell r="B648" t="str">
            <v>MEDICAL COSTS</v>
          </cell>
          <cell r="C648">
            <v>0</v>
          </cell>
          <cell r="D648">
            <v>-29045</v>
          </cell>
          <cell r="E648">
            <v>-29045</v>
          </cell>
          <cell r="F648">
            <v>-29045</v>
          </cell>
          <cell r="H648">
            <v>-29045</v>
          </cell>
        </row>
        <row r="649">
          <cell r="A649" t="str">
            <v>635-10-030</v>
          </cell>
          <cell r="B649" t="str">
            <v>SELLING EXPENSES</v>
          </cell>
          <cell r="C649">
            <v>0</v>
          </cell>
          <cell r="D649">
            <v>0</v>
          </cell>
          <cell r="E649">
            <v>0</v>
          </cell>
          <cell r="F649">
            <v>0</v>
          </cell>
          <cell r="H649">
            <v>0</v>
          </cell>
        </row>
        <row r="650">
          <cell r="A650" t="str">
            <v>645-10-010</v>
          </cell>
          <cell r="B650" t="str">
            <v>ALA GROUP CHARGES - CORPORATE BUSINESS</v>
          </cell>
          <cell r="C650">
            <v>0</v>
          </cell>
          <cell r="D650">
            <v>0</v>
          </cell>
          <cell r="E650">
            <v>0</v>
          </cell>
          <cell r="F650">
            <v>0</v>
          </cell>
          <cell r="H650">
            <v>0</v>
          </cell>
        </row>
        <row r="651">
          <cell r="A651" t="str">
            <v>645-10-020</v>
          </cell>
          <cell r="B651" t="str">
            <v>INTRA COMPANY CHARGES-CENTRAL SERV.-GD</v>
          </cell>
          <cell r="C651">
            <v>0</v>
          </cell>
          <cell r="D651">
            <v>0</v>
          </cell>
          <cell r="E651">
            <v>0</v>
          </cell>
          <cell r="F651">
            <v>0</v>
          </cell>
          <cell r="H651">
            <v>0</v>
          </cell>
        </row>
        <row r="652">
          <cell r="A652" t="str">
            <v>645-10-030</v>
          </cell>
          <cell r="B652" t="str">
            <v>10% RECHARGE FOR PROPERTY DEPT. SERVICES</v>
          </cell>
          <cell r="C652">
            <v>0</v>
          </cell>
          <cell r="D652">
            <v>0</v>
          </cell>
          <cell r="E652">
            <v>0</v>
          </cell>
          <cell r="F652">
            <v>0</v>
          </cell>
          <cell r="H652">
            <v>0</v>
          </cell>
        </row>
        <row r="653">
          <cell r="A653" t="str">
            <v>645-10-040</v>
          </cell>
          <cell r="B653" t="str">
            <v>10% RECHARGE FROM FINANCE</v>
          </cell>
          <cell r="C653">
            <v>0</v>
          </cell>
          <cell r="D653">
            <v>0</v>
          </cell>
          <cell r="E653">
            <v>0</v>
          </cell>
          <cell r="F653">
            <v>0</v>
          </cell>
          <cell r="H653">
            <v>0</v>
          </cell>
        </row>
        <row r="654">
          <cell r="A654" t="str">
            <v>645-10-050</v>
          </cell>
          <cell r="B654" t="str">
            <v>3.5% RECHARGE FROM EXECUTIVE</v>
          </cell>
          <cell r="C654">
            <v>0</v>
          </cell>
          <cell r="D654">
            <v>0</v>
          </cell>
          <cell r="E654">
            <v>0</v>
          </cell>
          <cell r="F654">
            <v>0</v>
          </cell>
          <cell r="H654">
            <v>0</v>
          </cell>
        </row>
        <row r="655">
          <cell r="A655" t="str">
            <v>645-10-055</v>
          </cell>
          <cell r="B655" t="str">
            <v>LEGAL FEES</v>
          </cell>
          <cell r="C655">
            <v>0</v>
          </cell>
          <cell r="D655">
            <v>0</v>
          </cell>
          <cell r="E655">
            <v>0</v>
          </cell>
          <cell r="F655">
            <v>0</v>
          </cell>
          <cell r="H655">
            <v>0</v>
          </cell>
        </row>
        <row r="656">
          <cell r="A656" t="str">
            <v>645-10-060</v>
          </cell>
          <cell r="B656" t="str">
            <v>AUDIT FEES</v>
          </cell>
          <cell r="C656">
            <v>0</v>
          </cell>
          <cell r="D656">
            <v>0</v>
          </cell>
          <cell r="E656">
            <v>0</v>
          </cell>
          <cell r="F656">
            <v>0</v>
          </cell>
          <cell r="H656">
            <v>0</v>
          </cell>
        </row>
        <row r="657">
          <cell r="A657" t="str">
            <v>645-10-065</v>
          </cell>
          <cell r="B657" t="str">
            <v>ACTUARIAL FEES</v>
          </cell>
          <cell r="C657">
            <v>0</v>
          </cell>
          <cell r="D657">
            <v>0</v>
          </cell>
          <cell r="E657">
            <v>0</v>
          </cell>
          <cell r="F657">
            <v>0</v>
          </cell>
          <cell r="H657">
            <v>0</v>
          </cell>
        </row>
        <row r="658">
          <cell r="A658" t="str">
            <v>645-10-070</v>
          </cell>
          <cell r="B658" t="str">
            <v>PROFESSIONAL FEE</v>
          </cell>
          <cell r="C658">
            <v>0</v>
          </cell>
          <cell r="D658">
            <v>0</v>
          </cell>
          <cell r="E658">
            <v>0</v>
          </cell>
          <cell r="F658">
            <v>0</v>
          </cell>
          <cell r="H658">
            <v>0</v>
          </cell>
        </row>
        <row r="659">
          <cell r="A659" t="str">
            <v>645-10-080</v>
          </cell>
          <cell r="B659" t="str">
            <v>MANAGEMENT FEES(PENSIONS)</v>
          </cell>
          <cell r="C659">
            <v>0</v>
          </cell>
          <cell r="D659">
            <v>0</v>
          </cell>
          <cell r="E659">
            <v>0</v>
          </cell>
          <cell r="F659">
            <v>0</v>
          </cell>
          <cell r="H659">
            <v>0</v>
          </cell>
        </row>
        <row r="660">
          <cell r="A660" t="str">
            <v>655-10-007</v>
          </cell>
          <cell r="B660" t="str">
            <v>NEWSPAPERS &amp; JOURNALS</v>
          </cell>
          <cell r="C660">
            <v>0</v>
          </cell>
          <cell r="D660">
            <v>0</v>
          </cell>
          <cell r="E660">
            <v>0</v>
          </cell>
          <cell r="F660">
            <v>0</v>
          </cell>
          <cell r="H660">
            <v>0</v>
          </cell>
        </row>
        <row r="661">
          <cell r="A661" t="str">
            <v>655-10-008</v>
          </cell>
          <cell r="B661" t="str">
            <v>DONATIONS &amp; ENTERTAINMENT</v>
          </cell>
          <cell r="C661">
            <v>0</v>
          </cell>
          <cell r="D661">
            <v>0</v>
          </cell>
          <cell r="E661">
            <v>0</v>
          </cell>
          <cell r="F661">
            <v>0</v>
          </cell>
          <cell r="H661">
            <v>0</v>
          </cell>
        </row>
        <row r="662">
          <cell r="A662" t="str">
            <v>655-10-009</v>
          </cell>
          <cell r="B662" t="str">
            <v>COURIER &amp; FREIGHT CHARGES</v>
          </cell>
          <cell r="C662">
            <v>0</v>
          </cell>
          <cell r="D662">
            <v>0</v>
          </cell>
          <cell r="E662">
            <v>0</v>
          </cell>
          <cell r="F662">
            <v>0</v>
          </cell>
          <cell r="H662">
            <v>0</v>
          </cell>
        </row>
        <row r="663">
          <cell r="A663" t="str">
            <v>655-10-010</v>
          </cell>
          <cell r="B663" t="str">
            <v>ADVERTISING &amp; PUBLICITY</v>
          </cell>
          <cell r="C663">
            <v>0</v>
          </cell>
          <cell r="D663">
            <v>0</v>
          </cell>
          <cell r="E663">
            <v>0</v>
          </cell>
          <cell r="F663">
            <v>0</v>
          </cell>
          <cell r="H663">
            <v>0</v>
          </cell>
        </row>
        <row r="664">
          <cell r="A664" t="str">
            <v>655-10-011</v>
          </cell>
          <cell r="B664" t="str">
            <v>LEGAL FEES</v>
          </cell>
          <cell r="C664">
            <v>0</v>
          </cell>
          <cell r="D664">
            <v>0</v>
          </cell>
          <cell r="E664">
            <v>0</v>
          </cell>
          <cell r="F664">
            <v>0</v>
          </cell>
          <cell r="H664">
            <v>0</v>
          </cell>
        </row>
        <row r="665">
          <cell r="A665" t="str">
            <v>655-10-012</v>
          </cell>
          <cell r="B665" t="str">
            <v>TRADE LICENCES</v>
          </cell>
          <cell r="C665">
            <v>0</v>
          </cell>
          <cell r="D665">
            <v>0</v>
          </cell>
          <cell r="E665">
            <v>0</v>
          </cell>
          <cell r="F665">
            <v>0</v>
          </cell>
          <cell r="H665">
            <v>0</v>
          </cell>
        </row>
        <row r="666">
          <cell r="A666" t="str">
            <v>655-10-013</v>
          </cell>
          <cell r="B666" t="str">
            <v>INSURANCES</v>
          </cell>
          <cell r="C666">
            <v>0</v>
          </cell>
          <cell r="D666">
            <v>0</v>
          </cell>
          <cell r="E666">
            <v>0</v>
          </cell>
          <cell r="F666">
            <v>0</v>
          </cell>
          <cell r="H666">
            <v>0</v>
          </cell>
        </row>
        <row r="667">
          <cell r="A667" t="str">
            <v>655-10-014</v>
          </cell>
          <cell r="B667" t="str">
            <v>PHOTOCOPY</v>
          </cell>
          <cell r="C667">
            <v>0</v>
          </cell>
          <cell r="D667">
            <v>0</v>
          </cell>
          <cell r="E667">
            <v>0</v>
          </cell>
          <cell r="F667">
            <v>0</v>
          </cell>
          <cell r="H667">
            <v>0</v>
          </cell>
        </row>
        <row r="668">
          <cell r="A668" t="str">
            <v>655-10-015</v>
          </cell>
          <cell r="B668" t="str">
            <v>COMPUTER MAINTENANCE</v>
          </cell>
          <cell r="C668">
            <v>0</v>
          </cell>
          <cell r="D668">
            <v>0</v>
          </cell>
          <cell r="E668">
            <v>0</v>
          </cell>
          <cell r="F668">
            <v>0</v>
          </cell>
          <cell r="H668">
            <v>0</v>
          </cell>
        </row>
        <row r="669">
          <cell r="A669" t="str">
            <v>655-10-016</v>
          </cell>
          <cell r="B669" t="str">
            <v>EQUIPMENT MAINTENANCE</v>
          </cell>
          <cell r="C669">
            <v>0</v>
          </cell>
          <cell r="D669">
            <v>0</v>
          </cell>
          <cell r="E669">
            <v>0</v>
          </cell>
          <cell r="F669">
            <v>0</v>
          </cell>
          <cell r="H669">
            <v>0</v>
          </cell>
        </row>
        <row r="670">
          <cell r="A670" t="str">
            <v>655-10-017</v>
          </cell>
          <cell r="B670" t="str">
            <v>SEMINARS &amp; SHORT TERM COURSES</v>
          </cell>
          <cell r="C670">
            <v>0</v>
          </cell>
          <cell r="D670">
            <v>0</v>
          </cell>
          <cell r="E670">
            <v>0</v>
          </cell>
          <cell r="F670">
            <v>0</v>
          </cell>
          <cell r="H670">
            <v>0</v>
          </cell>
        </row>
        <row r="671">
          <cell r="A671" t="str">
            <v>655-10-020</v>
          </cell>
          <cell r="B671" t="str">
            <v>COMPUTER CONSUMABLES</v>
          </cell>
          <cell r="C671">
            <v>0</v>
          </cell>
          <cell r="D671">
            <v>0</v>
          </cell>
          <cell r="E671">
            <v>0</v>
          </cell>
          <cell r="F671">
            <v>0</v>
          </cell>
          <cell r="H671">
            <v>0</v>
          </cell>
        </row>
        <row r="672">
          <cell r="A672" t="str">
            <v>655-10-022</v>
          </cell>
          <cell r="B672" t="str">
            <v>PRINTING &amp; STATIONERY</v>
          </cell>
          <cell r="C672">
            <v>0</v>
          </cell>
          <cell r="D672">
            <v>0</v>
          </cell>
          <cell r="E672">
            <v>0</v>
          </cell>
          <cell r="F672">
            <v>0</v>
          </cell>
          <cell r="H672">
            <v>0</v>
          </cell>
        </row>
        <row r="673">
          <cell r="A673" t="str">
            <v>655-10-027</v>
          </cell>
          <cell r="B673" t="str">
            <v>PROFESSIONAL SUBSCRIPTIONS</v>
          </cell>
          <cell r="C673">
            <v>0</v>
          </cell>
          <cell r="D673">
            <v>0</v>
          </cell>
          <cell r="E673">
            <v>0</v>
          </cell>
          <cell r="F673">
            <v>0</v>
          </cell>
          <cell r="H673">
            <v>0</v>
          </cell>
        </row>
        <row r="674">
          <cell r="A674" t="str">
            <v>655-10-028</v>
          </cell>
          <cell r="B674" t="str">
            <v>SUBSCRIPTIONS-COMPANY MEMBERSHIP</v>
          </cell>
          <cell r="C674">
            <v>0</v>
          </cell>
          <cell r="D674">
            <v>0</v>
          </cell>
          <cell r="E674">
            <v>0</v>
          </cell>
          <cell r="F674">
            <v>0</v>
          </cell>
          <cell r="H674">
            <v>0</v>
          </cell>
        </row>
        <row r="675">
          <cell r="A675" t="str">
            <v>655-10-030</v>
          </cell>
          <cell r="B675" t="str">
            <v>TRAVELLING &amp; ACCOMODATION</v>
          </cell>
          <cell r="C675">
            <v>0</v>
          </cell>
          <cell r="D675">
            <v>0</v>
          </cell>
          <cell r="E675">
            <v>0</v>
          </cell>
          <cell r="F675">
            <v>0</v>
          </cell>
        </row>
        <row r="676">
          <cell r="A676" t="str">
            <v>655-10-032</v>
          </cell>
          <cell r="B676" t="str">
            <v>MOTOR CAR EXPENSES</v>
          </cell>
          <cell r="C676">
            <v>0</v>
          </cell>
          <cell r="D676">
            <v>0</v>
          </cell>
          <cell r="E676">
            <v>0</v>
          </cell>
          <cell r="F676">
            <v>0</v>
          </cell>
        </row>
        <row r="677">
          <cell r="A677" t="str">
            <v>655-10-035</v>
          </cell>
          <cell r="B677" t="str">
            <v>EDUCATION EXPENSES</v>
          </cell>
          <cell r="C677">
            <v>0</v>
          </cell>
          <cell r="D677">
            <v>0</v>
          </cell>
          <cell r="E677">
            <v>0</v>
          </cell>
          <cell r="F677">
            <v>0</v>
          </cell>
        </row>
        <row r="678">
          <cell r="A678" t="str">
            <v>655-10-040</v>
          </cell>
          <cell r="B678" t="str">
            <v>POSTAGE</v>
          </cell>
          <cell r="C678">
            <v>0</v>
          </cell>
          <cell r="D678">
            <v>0</v>
          </cell>
          <cell r="E678">
            <v>0</v>
          </cell>
          <cell r="F678">
            <v>0</v>
          </cell>
        </row>
        <row r="679">
          <cell r="A679" t="str">
            <v>655-10-041</v>
          </cell>
          <cell r="B679" t="str">
            <v>TELEPHONE &amp; FAX</v>
          </cell>
          <cell r="C679">
            <v>0</v>
          </cell>
          <cell r="D679">
            <v>0</v>
          </cell>
          <cell r="E679">
            <v>0</v>
          </cell>
          <cell r="F679">
            <v>0</v>
          </cell>
        </row>
        <row r="680">
          <cell r="A680" t="str">
            <v>655-10-044</v>
          </cell>
          <cell r="B680" t="str">
            <v>PROFESSIONAL TRAINING</v>
          </cell>
          <cell r="C680">
            <v>0</v>
          </cell>
          <cell r="D680">
            <v>0</v>
          </cell>
          <cell r="E680">
            <v>0</v>
          </cell>
          <cell r="F680">
            <v>0</v>
          </cell>
        </row>
        <row r="681">
          <cell r="A681" t="str">
            <v>655-10-046</v>
          </cell>
          <cell r="B681" t="str">
            <v>SUBSCRIPTIONS-STAFF CLUB MEMBERSHIPS</v>
          </cell>
          <cell r="C681">
            <v>0</v>
          </cell>
          <cell r="D681">
            <v>0</v>
          </cell>
          <cell r="E681">
            <v>0</v>
          </cell>
          <cell r="F681">
            <v>0</v>
          </cell>
        </row>
        <row r="682">
          <cell r="A682" t="str">
            <v>655-10-054</v>
          </cell>
          <cell r="B682" t="str">
            <v>LEASED LINES -INTERNET SERVICES</v>
          </cell>
          <cell r="C682">
            <v>0</v>
          </cell>
          <cell r="D682">
            <v>0</v>
          </cell>
          <cell r="E682">
            <v>0</v>
          </cell>
          <cell r="F682">
            <v>0</v>
          </cell>
        </row>
        <row r="683">
          <cell r="A683" t="str">
            <v>655-10-057</v>
          </cell>
          <cell r="B683" t="str">
            <v>SOFTWARE LICENCES</v>
          </cell>
          <cell r="C683">
            <v>0</v>
          </cell>
          <cell r="D683">
            <v>0</v>
          </cell>
          <cell r="E683">
            <v>0</v>
          </cell>
          <cell r="F683">
            <v>0</v>
          </cell>
        </row>
        <row r="684">
          <cell r="A684" t="str">
            <v>665-10-010</v>
          </cell>
          <cell r="B684" t="str">
            <v>STAMP DUTY</v>
          </cell>
          <cell r="C684">
            <v>0</v>
          </cell>
          <cell r="D684">
            <v>0</v>
          </cell>
          <cell r="E684">
            <v>0</v>
          </cell>
          <cell r="F684">
            <v>0</v>
          </cell>
        </row>
        <row r="685">
          <cell r="A685" t="str">
            <v>665-10-020</v>
          </cell>
          <cell r="B685" t="str">
            <v>PREMIUM TAX</v>
          </cell>
          <cell r="C685">
            <v>0</v>
          </cell>
          <cell r="D685">
            <v>0</v>
          </cell>
          <cell r="E685">
            <v>0</v>
          </cell>
          <cell r="F685">
            <v>0</v>
          </cell>
        </row>
        <row r="686">
          <cell r="A686" t="str">
            <v>665-10-030</v>
          </cell>
          <cell r="B686" t="str">
            <v>REINSURANCE PREMIUM TAX</v>
          </cell>
          <cell r="C686">
            <v>0</v>
          </cell>
          <cell r="D686">
            <v>0</v>
          </cell>
          <cell r="E686">
            <v>0</v>
          </cell>
          <cell r="F686">
            <v>0</v>
          </cell>
        </row>
        <row r="687">
          <cell r="A687" t="str">
            <v>665-10-040</v>
          </cell>
          <cell r="B687" t="str">
            <v>REVENUE STAMPS</v>
          </cell>
          <cell r="C687">
            <v>0</v>
          </cell>
          <cell r="D687">
            <v>0</v>
          </cell>
          <cell r="E687">
            <v>0</v>
          </cell>
          <cell r="F687">
            <v>0</v>
          </cell>
        </row>
        <row r="688">
          <cell r="A688" t="str">
            <v>665-10-050</v>
          </cell>
          <cell r="B688" t="str">
            <v>R B A LEVIES</v>
          </cell>
          <cell r="C688">
            <v>0</v>
          </cell>
          <cell r="D688">
            <v>0</v>
          </cell>
          <cell r="E688">
            <v>0</v>
          </cell>
          <cell r="F688">
            <v>0</v>
          </cell>
        </row>
        <row r="689">
          <cell r="A689" t="str">
            <v>665-10-060</v>
          </cell>
          <cell r="B689" t="str">
            <v>REINSURANCE PRM TAX PENALTY</v>
          </cell>
          <cell r="C689">
            <v>0</v>
          </cell>
          <cell r="D689">
            <v>0</v>
          </cell>
          <cell r="E689">
            <v>0</v>
          </cell>
          <cell r="F689">
            <v>0</v>
          </cell>
        </row>
        <row r="690">
          <cell r="A690" t="str">
            <v>670-10-010</v>
          </cell>
          <cell r="B690" t="str">
            <v>PAN AFRICA HOUSE MOMBASA</v>
          </cell>
          <cell r="C690">
            <v>0</v>
          </cell>
          <cell r="D690">
            <v>0</v>
          </cell>
          <cell r="E690">
            <v>0</v>
          </cell>
          <cell r="F690">
            <v>0</v>
          </cell>
        </row>
        <row r="691">
          <cell r="A691" t="str">
            <v>700-10-010</v>
          </cell>
          <cell r="B691" t="str">
            <v>BASIC SALARY</v>
          </cell>
          <cell r="C691">
            <v>0</v>
          </cell>
          <cell r="D691">
            <v>0</v>
          </cell>
          <cell r="E691">
            <v>0</v>
          </cell>
          <cell r="F691">
            <v>0</v>
          </cell>
        </row>
        <row r="692">
          <cell r="A692" t="str">
            <v>700-10-020</v>
          </cell>
          <cell r="B692" t="str">
            <v>HOUSE ALLOWANCE</v>
          </cell>
          <cell r="C692">
            <v>0</v>
          </cell>
          <cell r="D692">
            <v>0</v>
          </cell>
          <cell r="E692">
            <v>0</v>
          </cell>
          <cell r="F692">
            <v>0</v>
          </cell>
        </row>
        <row r="693">
          <cell r="A693" t="str">
            <v>700-10-030</v>
          </cell>
          <cell r="B693" t="str">
            <v>TELEPHONE ALLOWANCE</v>
          </cell>
          <cell r="C693">
            <v>0</v>
          </cell>
          <cell r="D693">
            <v>0</v>
          </cell>
          <cell r="E693">
            <v>0</v>
          </cell>
          <cell r="F693">
            <v>0</v>
          </cell>
        </row>
      </sheetData>
      <sheetData sheetId="35" refreshError="1"/>
      <sheetData sheetId="36" refreshError="1"/>
      <sheetData sheetId="37" refreshError="1"/>
      <sheetData sheetId="38" refreshError="1"/>
      <sheetData sheetId="39" refreshError="1">
        <row r="187">
          <cell r="B187" t="str">
            <v>Account</v>
          </cell>
          <cell r="C187" t="str">
            <v>Particulars</v>
          </cell>
          <cell r="D187" t="str">
            <v>Aims TB</v>
          </cell>
          <cell r="E187" t="str">
            <v>Closing</v>
          </cell>
        </row>
        <row r="188">
          <cell r="B188" t="str">
            <v>145-10-031</v>
          </cell>
        </row>
        <row r="558">
          <cell r="B558" t="str">
            <v>Account</v>
          </cell>
          <cell r="C558" t="str">
            <v>Particulars</v>
          </cell>
          <cell r="D558" t="str">
            <v>Aims TB</v>
          </cell>
          <cell r="E558" t="str">
            <v>Closing</v>
          </cell>
        </row>
        <row r="559">
          <cell r="B559" t="str">
            <v>105-10*</v>
          </cell>
        </row>
        <row r="560">
          <cell r="B560" t="str">
            <v>105-20*</v>
          </cell>
        </row>
        <row r="561">
          <cell r="B561" t="str">
            <v>105-30*</v>
          </cell>
        </row>
        <row r="562">
          <cell r="B562" t="str">
            <v>Account</v>
          </cell>
          <cell r="C562" t="str">
            <v>Particulars</v>
          </cell>
          <cell r="D562" t="str">
            <v>Aims TB</v>
          </cell>
          <cell r="E562" t="str">
            <v>Closing</v>
          </cell>
        </row>
        <row r="563">
          <cell r="B563" t="str">
            <v>115-10-010</v>
          </cell>
        </row>
        <row r="564">
          <cell r="B564" t="str">
            <v>Account</v>
          </cell>
          <cell r="C564" t="str">
            <v>Particulars</v>
          </cell>
          <cell r="D564" t="str">
            <v>Aims TB</v>
          </cell>
          <cell r="E564" t="str">
            <v>Closing</v>
          </cell>
        </row>
        <row r="565">
          <cell r="B565" t="str">
            <v>115-10-020</v>
          </cell>
        </row>
        <row r="566">
          <cell r="B566" t="str">
            <v>Account</v>
          </cell>
          <cell r="C566" t="str">
            <v>Particulars</v>
          </cell>
          <cell r="D566" t="str">
            <v>Aims TB</v>
          </cell>
          <cell r="E566" t="str">
            <v>Closing</v>
          </cell>
        </row>
        <row r="567">
          <cell r="B567" t="str">
            <v>115-10-030</v>
          </cell>
        </row>
        <row r="568">
          <cell r="B568" t="str">
            <v>Account</v>
          </cell>
          <cell r="C568" t="str">
            <v>Particulars</v>
          </cell>
          <cell r="D568" t="str">
            <v>Aims TB</v>
          </cell>
          <cell r="E568" t="str">
            <v>Closing</v>
          </cell>
        </row>
        <row r="569">
          <cell r="B569" t="str">
            <v>115-10-040</v>
          </cell>
        </row>
        <row r="570">
          <cell r="B570" t="str">
            <v>Account</v>
          </cell>
          <cell r="C570" t="str">
            <v>Particulars</v>
          </cell>
          <cell r="D570" t="str">
            <v>Aims TB</v>
          </cell>
          <cell r="E570" t="str">
            <v>Closing</v>
          </cell>
        </row>
        <row r="571">
          <cell r="B571" t="str">
            <v>115-10-050</v>
          </cell>
        </row>
        <row r="572">
          <cell r="B572" t="str">
            <v>Account</v>
          </cell>
          <cell r="C572" t="str">
            <v>Particulars</v>
          </cell>
          <cell r="D572" t="str">
            <v>Aims TB</v>
          </cell>
          <cell r="E572" t="str">
            <v>Closing</v>
          </cell>
        </row>
        <row r="573">
          <cell r="B573" t="str">
            <v>115-10-060</v>
          </cell>
        </row>
        <row r="574">
          <cell r="B574" t="str">
            <v>Account</v>
          </cell>
          <cell r="C574" t="str">
            <v>Particulars</v>
          </cell>
          <cell r="D574" t="str">
            <v>Aims TB</v>
          </cell>
          <cell r="E574" t="str">
            <v>Closing</v>
          </cell>
        </row>
        <row r="575">
          <cell r="B575" t="str">
            <v>115-10-070</v>
          </cell>
        </row>
        <row r="576">
          <cell r="B576" t="str">
            <v>Account</v>
          </cell>
          <cell r="C576" t="str">
            <v>Particulars</v>
          </cell>
          <cell r="D576" t="str">
            <v>Aims TB</v>
          </cell>
          <cell r="E576" t="str">
            <v>Closing</v>
          </cell>
        </row>
        <row r="577">
          <cell r="B577" t="str">
            <v>115-10-080</v>
          </cell>
        </row>
        <row r="580">
          <cell r="B580" t="str">
            <v>Account</v>
          </cell>
          <cell r="C580" t="str">
            <v>Particulars</v>
          </cell>
          <cell r="D580" t="str">
            <v>Aims TB</v>
          </cell>
          <cell r="E580" t="str">
            <v>Closing</v>
          </cell>
        </row>
        <row r="581">
          <cell r="B581" t="str">
            <v>125-10-010</v>
          </cell>
        </row>
        <row r="582">
          <cell r="B582" t="str">
            <v>Account</v>
          </cell>
          <cell r="C582" t="str">
            <v>Particulars</v>
          </cell>
          <cell r="D582" t="str">
            <v>Aims TB</v>
          </cell>
          <cell r="E582" t="str">
            <v>Closing</v>
          </cell>
        </row>
        <row r="583">
          <cell r="B583" t="str">
            <v>125-10-020</v>
          </cell>
        </row>
        <row r="584">
          <cell r="B584" t="str">
            <v>Account</v>
          </cell>
          <cell r="C584" t="str">
            <v>Particulars</v>
          </cell>
          <cell r="D584" t="str">
            <v>Aims TB</v>
          </cell>
          <cell r="E584" t="str">
            <v>Closing</v>
          </cell>
        </row>
        <row r="585">
          <cell r="B585" t="str">
            <v>125-10-030</v>
          </cell>
        </row>
        <row r="602">
          <cell r="B602" t="str">
            <v>Account</v>
          </cell>
          <cell r="C602" t="str">
            <v>Particulars</v>
          </cell>
          <cell r="D602" t="str">
            <v>Aims TB</v>
          </cell>
          <cell r="E602" t="str">
            <v>Closing</v>
          </cell>
        </row>
        <row r="603">
          <cell r="B603" t="str">
            <v>145-10-010</v>
          </cell>
        </row>
        <row r="604">
          <cell r="B604" t="str">
            <v>Account</v>
          </cell>
          <cell r="C604" t="str">
            <v>Particulars</v>
          </cell>
          <cell r="D604" t="str">
            <v>Aims TB</v>
          </cell>
          <cell r="E604" t="str">
            <v>Closing</v>
          </cell>
        </row>
        <row r="605">
          <cell r="B605" t="str">
            <v>145-10-020</v>
          </cell>
        </row>
        <row r="606">
          <cell r="B606" t="str">
            <v>Account</v>
          </cell>
          <cell r="C606" t="str">
            <v>Particulars</v>
          </cell>
          <cell r="D606" t="str">
            <v>Aims TB</v>
          </cell>
          <cell r="E606" t="str">
            <v>Closing</v>
          </cell>
        </row>
        <row r="607">
          <cell r="B607" t="str">
            <v>145-10-030</v>
          </cell>
        </row>
        <row r="608">
          <cell r="B608" t="str">
            <v>Account</v>
          </cell>
          <cell r="C608" t="str">
            <v>Particulars</v>
          </cell>
          <cell r="D608" t="str">
            <v>Aims TB</v>
          </cell>
          <cell r="E608" t="str">
            <v>Closing</v>
          </cell>
        </row>
        <row r="609">
          <cell r="B609" t="str">
            <v>145-10-040</v>
          </cell>
        </row>
        <row r="610">
          <cell r="B610" t="str">
            <v>Account</v>
          </cell>
          <cell r="C610" t="str">
            <v>Particulars</v>
          </cell>
          <cell r="D610" t="str">
            <v>Aims TB</v>
          </cell>
          <cell r="E610" t="str">
            <v>Closing</v>
          </cell>
        </row>
        <row r="611">
          <cell r="B611" t="str">
            <v>145-10-050</v>
          </cell>
        </row>
        <row r="612">
          <cell r="B612" t="str">
            <v>Account</v>
          </cell>
          <cell r="C612" t="str">
            <v>Particulars</v>
          </cell>
          <cell r="D612" t="str">
            <v>Aims TB</v>
          </cell>
          <cell r="E612" t="str">
            <v>Closing</v>
          </cell>
        </row>
        <row r="613">
          <cell r="B613" t="str">
            <v>145-10-060</v>
          </cell>
        </row>
        <row r="614">
          <cell r="B614" t="str">
            <v>Account</v>
          </cell>
          <cell r="C614" t="str">
            <v>Particulars</v>
          </cell>
          <cell r="D614" t="str">
            <v>Aims TB</v>
          </cell>
          <cell r="E614" t="str">
            <v>Closing</v>
          </cell>
        </row>
        <row r="615">
          <cell r="B615" t="str">
            <v>145-10-080</v>
          </cell>
        </row>
        <row r="616">
          <cell r="B616" t="str">
            <v>Account</v>
          </cell>
          <cell r="C616" t="str">
            <v>Particulars</v>
          </cell>
          <cell r="D616" t="str">
            <v>Aims TB</v>
          </cell>
          <cell r="E616" t="str">
            <v>Closing</v>
          </cell>
        </row>
        <row r="617">
          <cell r="B617" t="str">
            <v>145-10-090</v>
          </cell>
        </row>
        <row r="619">
          <cell r="B619" t="str">
            <v>Account</v>
          </cell>
          <cell r="C619" t="str">
            <v>Particulars</v>
          </cell>
          <cell r="D619" t="str">
            <v>Aims TB</v>
          </cell>
          <cell r="E619" t="str">
            <v>Closing</v>
          </cell>
        </row>
        <row r="620">
          <cell r="B620" t="str">
            <v>145-10-100</v>
          </cell>
        </row>
        <row r="621">
          <cell r="B621" t="str">
            <v>Account</v>
          </cell>
          <cell r="C621" t="str">
            <v>Particulars</v>
          </cell>
          <cell r="D621" t="str">
            <v>Aims TB</v>
          </cell>
          <cell r="E621" t="str">
            <v>Closing</v>
          </cell>
        </row>
        <row r="622">
          <cell r="B622" t="str">
            <v>155-10-025</v>
          </cell>
        </row>
        <row r="623">
          <cell r="B623" t="str">
            <v>Account</v>
          </cell>
          <cell r="C623" t="str">
            <v>Particulars</v>
          </cell>
          <cell r="D623" t="str">
            <v>Aims TB</v>
          </cell>
          <cell r="E623" t="str">
            <v>Closing</v>
          </cell>
        </row>
        <row r="624">
          <cell r="B624" t="str">
            <v>145-10-110</v>
          </cell>
        </row>
        <row r="625">
          <cell r="B625" t="str">
            <v>Account</v>
          </cell>
          <cell r="C625" t="str">
            <v>Particulars</v>
          </cell>
          <cell r="D625" t="str">
            <v>Aims TB</v>
          </cell>
          <cell r="E625" t="str">
            <v>Closing</v>
          </cell>
        </row>
        <row r="626">
          <cell r="B626" t="str">
            <v>155-10-007</v>
          </cell>
        </row>
        <row r="627">
          <cell r="B627" t="str">
            <v>Account</v>
          </cell>
          <cell r="C627" t="str">
            <v>Particulars</v>
          </cell>
          <cell r="D627" t="str">
            <v>Aims TB</v>
          </cell>
          <cell r="E627" t="str">
            <v>Closing</v>
          </cell>
        </row>
        <row r="628">
          <cell r="B628" t="str">
            <v>155-10-008</v>
          </cell>
        </row>
        <row r="629">
          <cell r="B629" t="str">
            <v>Account</v>
          </cell>
          <cell r="C629" t="str">
            <v>Particulars</v>
          </cell>
          <cell r="D629" t="str">
            <v>Aims TB</v>
          </cell>
          <cell r="E629" t="str">
            <v>Closing</v>
          </cell>
        </row>
        <row r="630">
          <cell r="B630" t="str">
            <v>155-10-009</v>
          </cell>
        </row>
        <row r="631">
          <cell r="B631" t="str">
            <v>Account</v>
          </cell>
          <cell r="C631" t="str">
            <v>Particulars</v>
          </cell>
          <cell r="D631" t="str">
            <v>Aims TB</v>
          </cell>
          <cell r="E631" t="str">
            <v>Closing</v>
          </cell>
        </row>
        <row r="632">
          <cell r="B632" t="str">
            <v>155-10-010</v>
          </cell>
        </row>
        <row r="633">
          <cell r="B633" t="str">
            <v>Account</v>
          </cell>
          <cell r="C633" t="str">
            <v>Particulars</v>
          </cell>
          <cell r="D633" t="str">
            <v>Aims TB</v>
          </cell>
          <cell r="E633" t="str">
            <v>Closing</v>
          </cell>
        </row>
        <row r="634">
          <cell r="B634" t="str">
            <v>155-10-012</v>
          </cell>
        </row>
        <row r="635">
          <cell r="B635" t="str">
            <v>Account</v>
          </cell>
          <cell r="C635" t="str">
            <v>Particulars</v>
          </cell>
          <cell r="D635" t="str">
            <v>Aims TB</v>
          </cell>
          <cell r="E635" t="str">
            <v>Closing</v>
          </cell>
        </row>
        <row r="636">
          <cell r="B636" t="str">
            <v>155-10-013</v>
          </cell>
        </row>
        <row r="637">
          <cell r="B637" t="str">
            <v>Account</v>
          </cell>
          <cell r="C637" t="str">
            <v>Particulars</v>
          </cell>
          <cell r="D637" t="str">
            <v>Aims TB</v>
          </cell>
          <cell r="E637" t="str">
            <v>Closing</v>
          </cell>
        </row>
        <row r="638">
          <cell r="B638" t="str">
            <v>155-10-014</v>
          </cell>
        </row>
        <row r="639">
          <cell r="B639" t="str">
            <v>Account</v>
          </cell>
          <cell r="C639" t="str">
            <v>Particulars</v>
          </cell>
          <cell r="D639" t="str">
            <v>Aims TB</v>
          </cell>
          <cell r="E639" t="str">
            <v>Closing</v>
          </cell>
        </row>
        <row r="640">
          <cell r="B640" t="str">
            <v>155-10-015</v>
          </cell>
        </row>
        <row r="641">
          <cell r="B641" t="str">
            <v>Account</v>
          </cell>
          <cell r="C641" t="str">
            <v>Particulars</v>
          </cell>
          <cell r="D641" t="str">
            <v>Aims TB</v>
          </cell>
          <cell r="E641" t="str">
            <v>Closing</v>
          </cell>
        </row>
        <row r="642">
          <cell r="B642" t="str">
            <v>155-10-016</v>
          </cell>
        </row>
        <row r="643">
          <cell r="B643" t="str">
            <v>Account</v>
          </cell>
          <cell r="C643" t="str">
            <v>Particulars</v>
          </cell>
          <cell r="D643" t="str">
            <v>Aims TB</v>
          </cell>
          <cell r="E643" t="str">
            <v>Closing</v>
          </cell>
        </row>
        <row r="644">
          <cell r="B644" t="str">
            <v>155-10-017</v>
          </cell>
        </row>
        <row r="647">
          <cell r="B647" t="str">
            <v>Account</v>
          </cell>
          <cell r="C647" t="str">
            <v>Particulars</v>
          </cell>
          <cell r="D647" t="str">
            <v>Aims TB</v>
          </cell>
          <cell r="E647" t="str">
            <v>Closing</v>
          </cell>
        </row>
        <row r="648">
          <cell r="B648" t="str">
            <v>155-10-020</v>
          </cell>
        </row>
        <row r="649">
          <cell r="B649" t="str">
            <v>Account</v>
          </cell>
          <cell r="C649" t="str">
            <v>Particulars</v>
          </cell>
          <cell r="D649" t="str">
            <v>Aims TB</v>
          </cell>
          <cell r="E649" t="str">
            <v>Closing</v>
          </cell>
        </row>
        <row r="650">
          <cell r="B650" t="str">
            <v>155-10-022</v>
          </cell>
        </row>
        <row r="651">
          <cell r="B651" t="str">
            <v>Account</v>
          </cell>
          <cell r="C651" t="str">
            <v>Particulars</v>
          </cell>
          <cell r="D651" t="str">
            <v>Aims TB</v>
          </cell>
          <cell r="E651" t="str">
            <v>Closing</v>
          </cell>
        </row>
        <row r="652">
          <cell r="B652" t="str">
            <v>155-10-027</v>
          </cell>
        </row>
        <row r="653">
          <cell r="B653" t="str">
            <v>Account</v>
          </cell>
          <cell r="C653" t="str">
            <v>Particulars</v>
          </cell>
          <cell r="D653" t="str">
            <v>Aims TB</v>
          </cell>
          <cell r="E653" t="str">
            <v>Closing</v>
          </cell>
        </row>
        <row r="654">
          <cell r="B654" t="str">
            <v>155-10-028</v>
          </cell>
        </row>
        <row r="655">
          <cell r="B655" t="str">
            <v>Account</v>
          </cell>
          <cell r="C655" t="str">
            <v>Particulars</v>
          </cell>
          <cell r="D655" t="str">
            <v>Aims TB</v>
          </cell>
          <cell r="E655" t="str">
            <v>Closing</v>
          </cell>
        </row>
        <row r="656">
          <cell r="B656" t="str">
            <v>155-10-030</v>
          </cell>
        </row>
        <row r="657">
          <cell r="B657" t="str">
            <v>Account</v>
          </cell>
          <cell r="C657" t="str">
            <v>Particulars</v>
          </cell>
          <cell r="D657" t="str">
            <v>Aims TB</v>
          </cell>
          <cell r="E657" t="str">
            <v>Closing</v>
          </cell>
        </row>
        <row r="658">
          <cell r="B658" t="str">
            <v>155-10-032</v>
          </cell>
        </row>
        <row r="659">
          <cell r="B659" t="str">
            <v>Account</v>
          </cell>
          <cell r="C659" t="str">
            <v>Particulars</v>
          </cell>
          <cell r="D659" t="str">
            <v>Aims TB</v>
          </cell>
          <cell r="E659" t="str">
            <v>Closing</v>
          </cell>
        </row>
        <row r="660">
          <cell r="B660" t="str">
            <v>155-10-040</v>
          </cell>
        </row>
        <row r="661">
          <cell r="B661" t="str">
            <v>Account</v>
          </cell>
          <cell r="C661" t="str">
            <v>Particulars</v>
          </cell>
          <cell r="D661" t="str">
            <v>Aims TB</v>
          </cell>
          <cell r="E661" t="str">
            <v>Closing</v>
          </cell>
        </row>
        <row r="662">
          <cell r="B662" t="str">
            <v>155-10-041</v>
          </cell>
        </row>
        <row r="663">
          <cell r="B663" t="str">
            <v>Account</v>
          </cell>
          <cell r="C663" t="str">
            <v>Particulars</v>
          </cell>
          <cell r="D663" t="str">
            <v>Aims TB</v>
          </cell>
          <cell r="E663" t="str">
            <v>Closing</v>
          </cell>
        </row>
        <row r="664">
          <cell r="B664" t="str">
            <v>155-10-044</v>
          </cell>
        </row>
        <row r="665">
          <cell r="B665" t="str">
            <v>Account</v>
          </cell>
          <cell r="C665" t="str">
            <v>Particulars</v>
          </cell>
          <cell r="D665" t="str">
            <v>Aims TB</v>
          </cell>
          <cell r="E665" t="str">
            <v>Closing</v>
          </cell>
        </row>
        <row r="666">
          <cell r="B666" t="str">
            <v>155-10-046</v>
          </cell>
        </row>
        <row r="667">
          <cell r="B667" t="str">
            <v>Account</v>
          </cell>
          <cell r="C667" t="str">
            <v>Particulars</v>
          </cell>
          <cell r="D667" t="str">
            <v>Aims TB</v>
          </cell>
          <cell r="E667" t="str">
            <v>Closing</v>
          </cell>
        </row>
        <row r="668">
          <cell r="B668" t="str">
            <v>155-10-054</v>
          </cell>
        </row>
        <row r="669">
          <cell r="B669" t="str">
            <v>Account</v>
          </cell>
          <cell r="C669" t="str">
            <v>Particulars</v>
          </cell>
          <cell r="D669" t="str">
            <v>Aims TB</v>
          </cell>
          <cell r="E669" t="str">
            <v>Closing</v>
          </cell>
        </row>
        <row r="670">
          <cell r="B670" t="str">
            <v>155-10-057</v>
          </cell>
        </row>
        <row r="673">
          <cell r="B673" t="str">
            <v>Account</v>
          </cell>
          <cell r="C673" t="str">
            <v>Particulars</v>
          </cell>
          <cell r="D673" t="str">
            <v>Aims TB</v>
          </cell>
          <cell r="E673" t="str">
            <v>Closing</v>
          </cell>
        </row>
        <row r="674">
          <cell r="B674" t="str">
            <v>155-10-059</v>
          </cell>
        </row>
        <row r="675">
          <cell r="B675" t="str">
            <v>Account</v>
          </cell>
          <cell r="C675" t="str">
            <v>Particulars</v>
          </cell>
          <cell r="D675" t="str">
            <v>Aims TB</v>
          </cell>
          <cell r="E675" t="str">
            <v>Closing</v>
          </cell>
        </row>
        <row r="676">
          <cell r="B676" t="str">
            <v>155-10-060</v>
          </cell>
        </row>
        <row r="681">
          <cell r="B681" t="str">
            <v>Account</v>
          </cell>
          <cell r="C681" t="str">
            <v>Particulars</v>
          </cell>
          <cell r="D681" t="str">
            <v>Aims TB</v>
          </cell>
          <cell r="E681" t="str">
            <v>Closing</v>
          </cell>
        </row>
        <row r="682">
          <cell r="B682" t="str">
            <v>160-10-010</v>
          </cell>
        </row>
      </sheetData>
      <sheetData sheetId="40" refreshError="1"/>
      <sheetData sheetId="41" refreshError="1"/>
      <sheetData sheetId="42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INDEX"/>
      <sheetName val="Revenue Account"/>
      <sheetName val="Balance Sheet"/>
      <sheetName val="CASHFLOW"/>
      <sheetName val="statement of changes in equity"/>
      <sheetName val="Note(1-3)"/>
      <sheetName val="note(4-6)"/>
      <sheetName val="Note(7-8)"/>
      <sheetName val="Note(9-10)"/>
      <sheetName val="Note(11-13)"/>
      <sheetName val="Note(14-15)"/>
      <sheetName val="Note(16-18)"/>
      <sheetName val="Note(19-23)"/>
      <sheetName val="Note 24"/>
      <sheetName val="Tax computation"/>
      <sheetName val="criteria"/>
      <sheetName val="tb"/>
      <sheetName val="previous year"/>
      <sheetName val="units analysis"/>
      <sheetName val="Notes(comm)"/>
      <sheetName val="Notes(exp)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>
        <row r="342">
          <cell r="B342" t="str">
            <v>Account</v>
          </cell>
          <cell r="C342" t="str">
            <v>Particulars</v>
          </cell>
          <cell r="D342" t="str">
            <v>Aims TB</v>
          </cell>
          <cell r="E342" t="str">
            <v>month</v>
          </cell>
          <cell r="F342" t="str">
            <v>adjustment</v>
          </cell>
          <cell r="G342" t="str">
            <v>Closing</v>
          </cell>
        </row>
        <row r="343">
          <cell r="B343" t="str">
            <v>060-10*</v>
          </cell>
          <cell r="G343" t="str">
            <v>&gt;0</v>
          </cell>
        </row>
        <row r="452">
          <cell r="B452" t="str">
            <v>Account</v>
          </cell>
          <cell r="C452" t="str">
            <v>Particulars</v>
          </cell>
          <cell r="D452" t="str">
            <v>Aims TB</v>
          </cell>
          <cell r="E452" t="str">
            <v>month</v>
          </cell>
          <cell r="F452" t="str">
            <v>adjustment</v>
          </cell>
          <cell r="G452" t="str">
            <v>Closing</v>
          </cell>
        </row>
        <row r="453">
          <cell r="B453" t="str">
            <v>010-25-020</v>
          </cell>
        </row>
        <row r="487">
          <cell r="B487" t="str">
            <v>Account</v>
          </cell>
          <cell r="C487" t="str">
            <v>Particulars</v>
          </cell>
          <cell r="D487" t="str">
            <v>Aims TB</v>
          </cell>
          <cell r="E487" t="str">
            <v>Closing</v>
          </cell>
        </row>
        <row r="488">
          <cell r="B488" t="str">
            <v>605-30-010</v>
          </cell>
        </row>
        <row r="532">
          <cell r="B532" t="str">
            <v>Account</v>
          </cell>
          <cell r="C532" t="str">
            <v>Particulars</v>
          </cell>
          <cell r="D532" t="str">
            <v>Aims TB</v>
          </cell>
          <cell r="E532" t="str">
            <v>month</v>
          </cell>
          <cell r="F532" t="str">
            <v>adjustment</v>
          </cell>
          <cell r="G532" t="str">
            <v>Closing</v>
          </cell>
        </row>
        <row r="533">
          <cell r="B533" t="str">
            <v>530-90-010</v>
          </cell>
        </row>
        <row r="539">
          <cell r="B539" t="str">
            <v>Account</v>
          </cell>
          <cell r="C539" t="str">
            <v>Particulars</v>
          </cell>
          <cell r="D539" t="str">
            <v>Aims TB</v>
          </cell>
          <cell r="E539" t="str">
            <v>month</v>
          </cell>
          <cell r="F539" t="str">
            <v>adjustment</v>
          </cell>
          <cell r="G539" t="str">
            <v>Closing</v>
          </cell>
        </row>
        <row r="540">
          <cell r="B540" t="str">
            <v>145-10-030</v>
          </cell>
        </row>
      </sheetData>
      <sheetData sheetId="17"/>
      <sheetData sheetId="18"/>
      <sheetData sheetId="19"/>
      <sheetData sheetId="20"/>
      <sheetData sheetId="2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contents"/>
      <sheetName val="Group P&amp;L"/>
      <sheetName val="Life Income Statement"/>
      <sheetName val="BS"/>
      <sheetName val="SOCE"/>
      <sheetName val="Cashflow"/>
      <sheetName val="Note1"/>
      <sheetName val="Notes(Cont'd)"/>
      <sheetName val="Restatement"/>
      <sheetName val="P&amp;L Consolidation workings"/>
      <sheetName val="Group BS Consolidation workings"/>
      <sheetName val="Criteria"/>
      <sheetName val="TB"/>
      <sheetName val="Index3"/>
      <sheetName val="Index2"/>
      <sheetName val="Sheet2"/>
      <sheetName val="Index"/>
      <sheetName val="Tasks"/>
      <sheetName val="prior yea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>
        <row r="23">
          <cell r="B23" t="str">
            <v>Account</v>
          </cell>
          <cell r="C23" t="str">
            <v>Particulars</v>
          </cell>
          <cell r="D23" t="str">
            <v>Aims TB</v>
          </cell>
          <cell r="E23" t="str">
            <v>Closing</v>
          </cell>
        </row>
        <row r="24">
          <cell r="B24" t="str">
            <v>100-10</v>
          </cell>
        </row>
        <row r="25">
          <cell r="B25" t="str">
            <v>100-14</v>
          </cell>
        </row>
        <row r="26">
          <cell r="B26" t="str">
            <v>100-20</v>
          </cell>
        </row>
        <row r="27">
          <cell r="B27" t="str">
            <v>100-25</v>
          </cell>
        </row>
        <row r="28">
          <cell r="B28" t="str">
            <v>100-15</v>
          </cell>
        </row>
        <row r="29">
          <cell r="B29" t="str">
            <v>Account</v>
          </cell>
          <cell r="C29" t="str">
            <v>Particulars</v>
          </cell>
          <cell r="D29" t="str">
            <v>Aims TB</v>
          </cell>
          <cell r="E29" t="str">
            <v>Closing</v>
          </cell>
        </row>
        <row r="30">
          <cell r="B30" t="str">
            <v>100-30</v>
          </cell>
        </row>
        <row r="31">
          <cell r="B31" t="str">
            <v>Account</v>
          </cell>
          <cell r="C31" t="str">
            <v>Particulars</v>
          </cell>
          <cell r="D31" t="str">
            <v>Aims TB</v>
          </cell>
          <cell r="E31" t="str">
            <v>Closing</v>
          </cell>
        </row>
        <row r="32">
          <cell r="B32" t="str">
            <v>100-30-060</v>
          </cell>
        </row>
        <row r="39">
          <cell r="B39" t="str">
            <v>Account</v>
          </cell>
          <cell r="C39" t="str">
            <v>Particulars</v>
          </cell>
          <cell r="D39" t="str">
            <v>Aims TB</v>
          </cell>
          <cell r="E39" t="str">
            <v>Closing</v>
          </cell>
        </row>
        <row r="40">
          <cell r="B40" t="str">
            <v>200-10</v>
          </cell>
        </row>
        <row r="41">
          <cell r="B41" t="str">
            <v>Account</v>
          </cell>
          <cell r="C41" t="str">
            <v>Particulars</v>
          </cell>
          <cell r="D41" t="str">
            <v>Aims TB</v>
          </cell>
          <cell r="E41" t="str">
            <v>Closing</v>
          </cell>
        </row>
        <row r="42">
          <cell r="B42" t="str">
            <v>200-15</v>
          </cell>
        </row>
        <row r="43">
          <cell r="B43" t="str">
            <v>Account</v>
          </cell>
          <cell r="C43" t="str">
            <v>Particulars</v>
          </cell>
          <cell r="D43" t="str">
            <v>Aims TB</v>
          </cell>
          <cell r="E43" t="str">
            <v>Closing</v>
          </cell>
        </row>
        <row r="44">
          <cell r="B44" t="str">
            <v>200-20</v>
          </cell>
        </row>
        <row r="45">
          <cell r="B45" t="str">
            <v>Account</v>
          </cell>
          <cell r="C45" t="str">
            <v>Particulars</v>
          </cell>
          <cell r="D45" t="str">
            <v>Aims TB</v>
          </cell>
          <cell r="E45" t="str">
            <v>Closing</v>
          </cell>
        </row>
        <row r="46">
          <cell r="B46" t="str">
            <v>200-30</v>
          </cell>
        </row>
        <row r="73">
          <cell r="B73" t="str">
            <v>Account</v>
          </cell>
          <cell r="C73" t="str">
            <v>Particulars</v>
          </cell>
          <cell r="D73" t="str">
            <v>Aims TB</v>
          </cell>
          <cell r="E73" t="str">
            <v>Closing</v>
          </cell>
        </row>
        <row r="74">
          <cell r="B74" t="str">
            <v>300-15</v>
          </cell>
        </row>
        <row r="85">
          <cell r="B85" t="str">
            <v>Account</v>
          </cell>
          <cell r="C85" t="str">
            <v>Particulars</v>
          </cell>
          <cell r="D85" t="str">
            <v>Aims TB</v>
          </cell>
          <cell r="E85" t="str">
            <v>Closing</v>
          </cell>
        </row>
        <row r="86">
          <cell r="B86" t="str">
            <v>300-</v>
          </cell>
        </row>
        <row r="88">
          <cell r="B88" t="str">
            <v>Account</v>
          </cell>
          <cell r="C88" t="str">
            <v>Particulars</v>
          </cell>
          <cell r="D88" t="str">
            <v>Aims TB</v>
          </cell>
          <cell r="E88" t="str">
            <v>Closing</v>
          </cell>
        </row>
        <row r="89">
          <cell r="B89" t="str">
            <v>400-</v>
          </cell>
        </row>
        <row r="90">
          <cell r="B90" t="str">
            <v>800-60</v>
          </cell>
        </row>
        <row r="91">
          <cell r="B91" t="str">
            <v>500-</v>
          </cell>
        </row>
        <row r="98">
          <cell r="B98" t="str">
            <v>Account</v>
          </cell>
          <cell r="C98" t="str">
            <v>Particulars</v>
          </cell>
          <cell r="D98" t="str">
            <v>Aims TB</v>
          </cell>
          <cell r="E98" t="str">
            <v>Closing</v>
          </cell>
        </row>
        <row r="99">
          <cell r="B99" t="str">
            <v>300-14</v>
          </cell>
        </row>
        <row r="115">
          <cell r="B115" t="str">
            <v>Account</v>
          </cell>
          <cell r="C115" t="str">
            <v>Particulars</v>
          </cell>
          <cell r="D115" t="str">
            <v>Aims TB</v>
          </cell>
          <cell r="E115" t="str">
            <v>Closing</v>
          </cell>
        </row>
        <row r="116">
          <cell r="B116" t="str">
            <v>600-15-020</v>
          </cell>
        </row>
        <row r="117">
          <cell r="B117" t="str">
            <v>600-15-075</v>
          </cell>
        </row>
        <row r="118">
          <cell r="B118" t="str">
            <v>600-15-080</v>
          </cell>
        </row>
        <row r="119">
          <cell r="B119" t="str">
            <v>600-15-085</v>
          </cell>
        </row>
        <row r="120">
          <cell r="B120" t="str">
            <v>600-15-090</v>
          </cell>
        </row>
        <row r="133">
          <cell r="B133" t="str">
            <v>Account</v>
          </cell>
          <cell r="C133" t="str">
            <v>Particulars</v>
          </cell>
          <cell r="D133" t="str">
            <v>Aims TB</v>
          </cell>
          <cell r="E133" t="str">
            <v>Closing</v>
          </cell>
        </row>
        <row r="134">
          <cell r="B134" t="str">
            <v>600-10-027</v>
          </cell>
        </row>
        <row r="135">
          <cell r="B135" t="str">
            <v>600-10-029</v>
          </cell>
        </row>
        <row r="136">
          <cell r="B136" t="str">
            <v>600-10-030</v>
          </cell>
        </row>
        <row r="137">
          <cell r="B137" t="str">
            <v>600-15-045</v>
          </cell>
        </row>
        <row r="138">
          <cell r="B138" t="str">
            <v>600-15-070</v>
          </cell>
        </row>
        <row r="139">
          <cell r="B139" t="str">
            <v>600-10-026</v>
          </cell>
        </row>
        <row r="140">
          <cell r="B140" t="str">
            <v>Account</v>
          </cell>
          <cell r="C140" t="str">
            <v>Particulars</v>
          </cell>
          <cell r="D140" t="str">
            <v>Aims TB</v>
          </cell>
          <cell r="E140" t="str">
            <v>Closing</v>
          </cell>
        </row>
        <row r="141">
          <cell r="B141" t="str">
            <v>600-10-039</v>
          </cell>
        </row>
        <row r="142">
          <cell r="B142" t="str">
            <v>600-10-023</v>
          </cell>
        </row>
        <row r="143">
          <cell r="B143" t="str">
            <v>600-10-040</v>
          </cell>
        </row>
        <row r="144">
          <cell r="B144" t="str">
            <v>600-10-050</v>
          </cell>
        </row>
        <row r="145">
          <cell r="B145" t="str">
            <v>Account</v>
          </cell>
          <cell r="C145" t="str">
            <v>Particulars</v>
          </cell>
          <cell r="D145" t="str">
            <v>Aims TB</v>
          </cell>
          <cell r="E145" t="str">
            <v>Closing</v>
          </cell>
        </row>
        <row r="146">
          <cell r="B146" t="str">
            <v>600-10-033</v>
          </cell>
        </row>
        <row r="147">
          <cell r="B147" t="str">
            <v>600-10-038</v>
          </cell>
        </row>
        <row r="207">
          <cell r="B207" t="str">
            <v>Account</v>
          </cell>
          <cell r="C207" t="str">
            <v>Particulars</v>
          </cell>
          <cell r="D207" t="str">
            <v>Aims TB</v>
          </cell>
          <cell r="E207" t="str">
            <v>Closing</v>
          </cell>
        </row>
        <row r="208">
          <cell r="B208" t="str">
            <v>800-10-020</v>
          </cell>
        </row>
      </sheetData>
      <sheetData sheetId="13" refreshError="1">
        <row r="1">
          <cell r="A1" t="str">
            <v>Account</v>
          </cell>
          <cell r="B1" t="str">
            <v>Particulars</v>
          </cell>
          <cell r="C1" t="str">
            <v>Opening</v>
          </cell>
          <cell r="D1" t="str">
            <v>Month</v>
          </cell>
          <cell r="E1" t="str">
            <v>year</v>
          </cell>
          <cell r="F1" t="str">
            <v>Aims TB</v>
          </cell>
          <cell r="G1" t="str">
            <v>Adjustment</v>
          </cell>
          <cell r="H1" t="str">
            <v>Closing</v>
          </cell>
          <cell r="I1" t="str">
            <v xml:space="preserve">Control </v>
          </cell>
          <cell r="J1" t="str">
            <v>Total</v>
          </cell>
          <cell r="K1" t="str">
            <v>Ind. Life</v>
          </cell>
          <cell r="L1" t="str">
            <v>Unit Linked</v>
          </cell>
          <cell r="M1" t="str">
            <v>Share Holders</v>
          </cell>
          <cell r="N1" t="str">
            <v>Group Life</v>
          </cell>
          <cell r="O1" t="str">
            <v>DA business</v>
          </cell>
        </row>
        <row r="2">
          <cell r="A2" t="str">
            <v>100-10-010</v>
          </cell>
          <cell r="B2" t="str">
            <v>NEW BUSINESS PREMIUM PAIC</v>
          </cell>
          <cell r="C2">
            <v>-23545</v>
          </cell>
          <cell r="D2">
            <v>48375</v>
          </cell>
          <cell r="E2">
            <v>24830</v>
          </cell>
          <cell r="F2">
            <v>24830</v>
          </cell>
          <cell r="G2">
            <v>0</v>
          </cell>
          <cell r="H2">
            <v>24830</v>
          </cell>
          <cell r="I2">
            <v>0</v>
          </cell>
          <cell r="J2">
            <v>24830</v>
          </cell>
          <cell r="K2">
            <v>24830</v>
          </cell>
          <cell r="L2">
            <v>0</v>
          </cell>
          <cell r="M2">
            <v>0</v>
          </cell>
          <cell r="N2">
            <v>0</v>
          </cell>
          <cell r="O2">
            <v>0</v>
          </cell>
        </row>
        <row r="3">
          <cell r="A3" t="str">
            <v>100-10-020</v>
          </cell>
          <cell r="B3" t="str">
            <v>NEW BUSINESS FFFP</v>
          </cell>
          <cell r="C3">
            <v>-17310981.84</v>
          </cell>
          <cell r="D3">
            <v>-2735530.65</v>
          </cell>
          <cell r="E3">
            <v>-20046512.489999998</v>
          </cell>
          <cell r="F3">
            <v>-20046512.489999998</v>
          </cell>
          <cell r="G3">
            <v>0</v>
          </cell>
          <cell r="H3">
            <v>-20046512.489999998</v>
          </cell>
          <cell r="I3">
            <v>0</v>
          </cell>
          <cell r="J3">
            <v>-20046512.489999998</v>
          </cell>
          <cell r="K3">
            <v>-20046512.489999998</v>
          </cell>
          <cell r="L3">
            <v>0</v>
          </cell>
          <cell r="M3">
            <v>0</v>
          </cell>
          <cell r="N3">
            <v>0</v>
          </cell>
          <cell r="O3">
            <v>0</v>
          </cell>
        </row>
        <row r="4">
          <cell r="A4" t="str">
            <v>100-10-030</v>
          </cell>
          <cell r="B4" t="str">
            <v>NEW BUSINESS W/P</v>
          </cell>
          <cell r="C4">
            <v>-105662205.65000001</v>
          </cell>
          <cell r="D4">
            <v>-19959360.199999999</v>
          </cell>
          <cell r="E4">
            <v>-125621565.84999999</v>
          </cell>
          <cell r="F4">
            <v>-125621565.84999999</v>
          </cell>
          <cell r="G4">
            <v>0</v>
          </cell>
          <cell r="H4">
            <v>-125621565.84999999</v>
          </cell>
          <cell r="I4">
            <v>0</v>
          </cell>
          <cell r="J4">
            <v>-125621565.84999999</v>
          </cell>
          <cell r="K4">
            <v>-125621565.84999999</v>
          </cell>
          <cell r="L4">
            <v>0</v>
          </cell>
          <cell r="M4">
            <v>0</v>
          </cell>
          <cell r="N4">
            <v>0</v>
          </cell>
          <cell r="O4">
            <v>0</v>
          </cell>
        </row>
        <row r="5">
          <cell r="A5" t="str">
            <v>100-14-010</v>
          </cell>
          <cell r="B5" t="str">
            <v>PREMIUM UPDATES -FFP</v>
          </cell>
          <cell r="C5">
            <v>-419995</v>
          </cell>
          <cell r="D5">
            <v>-11643</v>
          </cell>
          <cell r="E5">
            <v>-431638</v>
          </cell>
          <cell r="F5">
            <v>-431638</v>
          </cell>
          <cell r="G5">
            <v>0</v>
          </cell>
          <cell r="H5">
            <v>-431638</v>
          </cell>
          <cell r="I5">
            <v>0</v>
          </cell>
          <cell r="J5">
            <v>-431638</v>
          </cell>
          <cell r="K5">
            <v>-431638</v>
          </cell>
          <cell r="L5">
            <v>0</v>
          </cell>
          <cell r="M5">
            <v>0</v>
          </cell>
          <cell r="N5">
            <v>0</v>
          </cell>
          <cell r="O5">
            <v>0</v>
          </cell>
        </row>
        <row r="6">
          <cell r="A6" t="str">
            <v>100-14-020</v>
          </cell>
          <cell r="B6" t="str">
            <v>PREMIUM UPDATES-WP</v>
          </cell>
          <cell r="C6">
            <v>-2141990</v>
          </cell>
          <cell r="D6">
            <v>-137156</v>
          </cell>
          <cell r="E6">
            <v>-2279146</v>
          </cell>
          <cell r="F6">
            <v>-2279146</v>
          </cell>
          <cell r="G6">
            <v>0</v>
          </cell>
          <cell r="H6">
            <v>-2279146</v>
          </cell>
          <cell r="I6">
            <v>0</v>
          </cell>
          <cell r="J6">
            <v>-2279146</v>
          </cell>
          <cell r="K6">
            <v>-2279146</v>
          </cell>
          <cell r="L6">
            <v>0</v>
          </cell>
          <cell r="M6">
            <v>0</v>
          </cell>
          <cell r="N6">
            <v>0</v>
          </cell>
          <cell r="O6">
            <v>0</v>
          </cell>
        </row>
        <row r="7">
          <cell r="A7" t="str">
            <v>100-15-010</v>
          </cell>
          <cell r="B7" t="str">
            <v>RENEWAL PREMIUMS -PAIC</v>
          </cell>
          <cell r="C7">
            <v>-192941324.88999999</v>
          </cell>
          <cell r="D7">
            <v>-13387927.51</v>
          </cell>
          <cell r="E7">
            <v>-206329252.40000001</v>
          </cell>
          <cell r="F7">
            <v>-206329252.40000001</v>
          </cell>
          <cell r="G7">
            <v>0</v>
          </cell>
          <cell r="H7">
            <v>-206329252.40000001</v>
          </cell>
          <cell r="I7">
            <v>0</v>
          </cell>
          <cell r="J7">
            <v>-206329252.40000001</v>
          </cell>
          <cell r="K7">
            <v>-206329252.40000001</v>
          </cell>
          <cell r="L7">
            <v>0</v>
          </cell>
          <cell r="M7">
            <v>0</v>
          </cell>
          <cell r="N7">
            <v>0</v>
          </cell>
          <cell r="O7">
            <v>0</v>
          </cell>
        </row>
        <row r="8">
          <cell r="A8" t="str">
            <v>100-15-020</v>
          </cell>
          <cell r="B8" t="str">
            <v>RENEWAL PREMIUMS -FFP</v>
          </cell>
          <cell r="C8">
            <v>-103026494</v>
          </cell>
          <cell r="D8">
            <v>-8049989.2000000002</v>
          </cell>
          <cell r="E8">
            <v>-111076483.2</v>
          </cell>
          <cell r="F8">
            <v>-111076483.2</v>
          </cell>
          <cell r="G8">
            <v>0</v>
          </cell>
          <cell r="H8">
            <v>-111076483.2</v>
          </cell>
          <cell r="I8">
            <v>0</v>
          </cell>
          <cell r="J8">
            <v>-111076483.2</v>
          </cell>
          <cell r="K8">
            <v>-111076483.2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</row>
        <row r="9">
          <cell r="A9" t="str">
            <v>100-15-030</v>
          </cell>
          <cell r="B9" t="str">
            <v>RENEWAL PREMIUMS -WP</v>
          </cell>
          <cell r="C9">
            <v>-367887954</v>
          </cell>
          <cell r="D9">
            <v>-16968617</v>
          </cell>
          <cell r="E9">
            <v>-384856571</v>
          </cell>
          <cell r="F9">
            <v>-384856571</v>
          </cell>
          <cell r="G9">
            <v>0</v>
          </cell>
          <cell r="H9">
            <v>-384856571</v>
          </cell>
          <cell r="I9">
            <v>0</v>
          </cell>
          <cell r="J9">
            <v>-384856571</v>
          </cell>
          <cell r="K9">
            <v>-236701717</v>
          </cell>
          <cell r="L9">
            <v>-148154854</v>
          </cell>
          <cell r="M9">
            <v>0</v>
          </cell>
          <cell r="N9">
            <v>0</v>
          </cell>
          <cell r="O9">
            <v>0</v>
          </cell>
        </row>
        <row r="10">
          <cell r="A10" t="str">
            <v>100-20-010</v>
          </cell>
          <cell r="B10" t="str">
            <v>LAPSES</v>
          </cell>
          <cell r="C10">
            <v>18640372.140000001</v>
          </cell>
          <cell r="D10">
            <v>2293894.5</v>
          </cell>
          <cell r="E10">
            <v>20934266.640000001</v>
          </cell>
          <cell r="F10">
            <v>20934266.640000001</v>
          </cell>
          <cell r="G10">
            <v>0</v>
          </cell>
          <cell r="H10">
            <v>20934266.640000001</v>
          </cell>
          <cell r="I10">
            <v>0</v>
          </cell>
          <cell r="J10">
            <v>20934266.640000001</v>
          </cell>
          <cell r="K10">
            <v>20934266.640000001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</row>
        <row r="11">
          <cell r="A11" t="str">
            <v>100-20-020</v>
          </cell>
          <cell r="B11" t="str">
            <v>DIA WEALTH PROVIDER</v>
          </cell>
          <cell r="C11">
            <v>0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</row>
        <row r="12">
          <cell r="A12" t="str">
            <v>100-25-010</v>
          </cell>
          <cell r="B12" t="str">
            <v>SINGLE PREMIUMS</v>
          </cell>
          <cell r="C12">
            <v>-1608060.05</v>
          </cell>
          <cell r="D12">
            <v>0</v>
          </cell>
          <cell r="E12">
            <v>-1608060.05</v>
          </cell>
          <cell r="F12">
            <v>-1608060.05</v>
          </cell>
          <cell r="G12">
            <v>0</v>
          </cell>
          <cell r="H12">
            <v>-1608060.05</v>
          </cell>
          <cell r="I12">
            <v>0</v>
          </cell>
          <cell r="J12">
            <v>-1608060.05</v>
          </cell>
          <cell r="K12">
            <v>-1608060.05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</row>
        <row r="13">
          <cell r="A13" t="str">
            <v>100-25-020</v>
          </cell>
          <cell r="B13" t="str">
            <v>RENEWAL WP</v>
          </cell>
          <cell r="C13">
            <v>0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</row>
        <row r="14">
          <cell r="A14" t="str">
            <v>100-30-010</v>
          </cell>
          <cell r="B14" t="str">
            <v>GROUP LIFE SCHEME</v>
          </cell>
          <cell r="C14">
            <v>-157216808.21000001</v>
          </cell>
          <cell r="D14">
            <v>-27040325.390000001</v>
          </cell>
          <cell r="E14">
            <v>-184257133.59999999</v>
          </cell>
          <cell r="F14">
            <v>-184257133.59999999</v>
          </cell>
          <cell r="G14">
            <v>0</v>
          </cell>
          <cell r="H14">
            <v>-184257133.59999999</v>
          </cell>
          <cell r="I14">
            <v>0</v>
          </cell>
          <cell r="J14">
            <v>-184257133.59999999</v>
          </cell>
          <cell r="K14">
            <v>0</v>
          </cell>
          <cell r="L14">
            <v>0</v>
          </cell>
          <cell r="M14">
            <v>0</v>
          </cell>
          <cell r="N14">
            <v>-184257133.59999999</v>
          </cell>
          <cell r="O14">
            <v>0</v>
          </cell>
        </row>
        <row r="15">
          <cell r="A15" t="str">
            <v>100-30-020</v>
          </cell>
          <cell r="B15" t="str">
            <v>GROUP DISABILITY SCHEME</v>
          </cell>
          <cell r="C15">
            <v>-3228283</v>
          </cell>
          <cell r="D15">
            <v>0</v>
          </cell>
          <cell r="E15">
            <v>-3228283</v>
          </cell>
          <cell r="F15">
            <v>-3228283</v>
          </cell>
          <cell r="G15">
            <v>0</v>
          </cell>
          <cell r="H15">
            <v>-3228283</v>
          </cell>
          <cell r="I15">
            <v>0</v>
          </cell>
          <cell r="J15">
            <v>-3228283</v>
          </cell>
          <cell r="K15">
            <v>0</v>
          </cell>
          <cell r="L15">
            <v>0</v>
          </cell>
          <cell r="M15">
            <v>0</v>
          </cell>
          <cell r="N15">
            <v>-3228283</v>
          </cell>
          <cell r="O15">
            <v>0</v>
          </cell>
        </row>
        <row r="16">
          <cell r="A16" t="str">
            <v>100-30-030</v>
          </cell>
          <cell r="B16" t="str">
            <v>GROUP CREDIT SCHEME</v>
          </cell>
          <cell r="C16">
            <v>-114750506.69</v>
          </cell>
          <cell r="D16">
            <v>-14787539.199999999</v>
          </cell>
          <cell r="E16">
            <v>-129538045.89</v>
          </cell>
          <cell r="F16">
            <v>-129538045.89</v>
          </cell>
          <cell r="G16">
            <v>0</v>
          </cell>
          <cell r="H16">
            <v>-129538045.89</v>
          </cell>
          <cell r="I16">
            <v>0</v>
          </cell>
          <cell r="J16">
            <v>-129538045.89</v>
          </cell>
          <cell r="K16">
            <v>0</v>
          </cell>
          <cell r="L16">
            <v>0</v>
          </cell>
          <cell r="M16">
            <v>0</v>
          </cell>
          <cell r="N16">
            <v>-129538045.89</v>
          </cell>
          <cell r="O16">
            <v>0</v>
          </cell>
        </row>
        <row r="17">
          <cell r="A17" t="str">
            <v>100-30-040</v>
          </cell>
          <cell r="B17" t="str">
            <v>GROUP LAST EXPENSE</v>
          </cell>
          <cell r="C17">
            <v>-7608762</v>
          </cell>
          <cell r="D17">
            <v>-71300</v>
          </cell>
          <cell r="E17">
            <v>-7680062</v>
          </cell>
          <cell r="F17">
            <v>-7680062</v>
          </cell>
          <cell r="G17">
            <v>0</v>
          </cell>
          <cell r="H17">
            <v>-7680062</v>
          </cell>
          <cell r="I17">
            <v>0</v>
          </cell>
          <cell r="J17">
            <v>-7680062</v>
          </cell>
          <cell r="K17">
            <v>0</v>
          </cell>
          <cell r="L17">
            <v>0</v>
          </cell>
          <cell r="M17">
            <v>0</v>
          </cell>
          <cell r="N17">
            <v>-7680062</v>
          </cell>
          <cell r="O17">
            <v>0</v>
          </cell>
        </row>
        <row r="18">
          <cell r="A18" t="str">
            <v>100-30-050</v>
          </cell>
          <cell r="B18" t="str">
            <v>GROUP MORTGAGE SCHEME</v>
          </cell>
          <cell r="C18">
            <v>-12195926.050000001</v>
          </cell>
          <cell r="D18">
            <v>-392605</v>
          </cell>
          <cell r="E18">
            <v>-12588531.050000001</v>
          </cell>
          <cell r="F18">
            <v>-12588531.050000001</v>
          </cell>
          <cell r="G18">
            <v>0</v>
          </cell>
          <cell r="H18">
            <v>-12588531.050000001</v>
          </cell>
          <cell r="I18">
            <v>0</v>
          </cell>
          <cell r="J18">
            <v>-12588531.050000001</v>
          </cell>
          <cell r="K18">
            <v>0</v>
          </cell>
          <cell r="L18">
            <v>0</v>
          </cell>
          <cell r="M18">
            <v>0</v>
          </cell>
          <cell r="N18">
            <v>-12588531.050000001</v>
          </cell>
          <cell r="O18">
            <v>0</v>
          </cell>
        </row>
        <row r="19">
          <cell r="A19" t="str">
            <v>100-30-060</v>
          </cell>
          <cell r="B19" t="str">
            <v>GROUP PENSION SCHEME</v>
          </cell>
          <cell r="C19">
            <v>-23485812.079999998</v>
          </cell>
          <cell r="D19">
            <v>-1917326</v>
          </cell>
          <cell r="E19">
            <v>-25403138.079999998</v>
          </cell>
          <cell r="F19">
            <v>-25403138.079999998</v>
          </cell>
          <cell r="G19">
            <v>0</v>
          </cell>
          <cell r="H19">
            <v>-25403138.079999998</v>
          </cell>
          <cell r="I19">
            <v>0</v>
          </cell>
          <cell r="J19">
            <v>-25403138.079999998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-25403138.079999998</v>
          </cell>
        </row>
        <row r="20">
          <cell r="A20" t="str">
            <v>100-30-070</v>
          </cell>
          <cell r="B20" t="str">
            <v>HARAMBEE SCHEME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</row>
        <row r="21">
          <cell r="A21" t="str">
            <v>200-10-010</v>
          </cell>
          <cell r="B21" t="str">
            <v>RE-PREMIUMS INDIVIDUAL LIFE</v>
          </cell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</row>
        <row r="22">
          <cell r="A22" t="str">
            <v>200-10-011</v>
          </cell>
          <cell r="B22" t="str">
            <v>REASSURANCE PREM/ENDOWMENT POLICY</v>
          </cell>
          <cell r="C22">
            <v>0</v>
          </cell>
          <cell r="D22">
            <v>67811</v>
          </cell>
          <cell r="E22">
            <v>67811</v>
          </cell>
          <cell r="F22">
            <v>67811</v>
          </cell>
          <cell r="G22">
            <v>0</v>
          </cell>
          <cell r="H22">
            <v>67811</v>
          </cell>
          <cell r="I22">
            <v>0</v>
          </cell>
          <cell r="J22">
            <v>67811</v>
          </cell>
          <cell r="K22">
            <v>67811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</row>
        <row r="23">
          <cell r="A23" t="str">
            <v>200-10-012</v>
          </cell>
          <cell r="B23" t="str">
            <v>REASSURACE PREM FFFP POLICIES</v>
          </cell>
          <cell r="C23">
            <v>0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</row>
        <row r="24">
          <cell r="A24" t="str">
            <v>200-10-013</v>
          </cell>
          <cell r="B24" t="str">
            <v>REASSURANCE PREM WP/POLICIES</v>
          </cell>
          <cell r="C24">
            <v>1227888</v>
          </cell>
          <cell r="D24">
            <v>71869</v>
          </cell>
          <cell r="E24">
            <v>1299757</v>
          </cell>
          <cell r="F24">
            <v>1299757</v>
          </cell>
          <cell r="G24">
            <v>0</v>
          </cell>
          <cell r="H24">
            <v>1299757</v>
          </cell>
          <cell r="I24">
            <v>0</v>
          </cell>
          <cell r="J24">
            <v>1299757</v>
          </cell>
          <cell r="K24">
            <v>1299757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</row>
        <row r="25">
          <cell r="A25" t="str">
            <v>200-15-010</v>
          </cell>
          <cell r="C25">
            <v>0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</row>
        <row r="26">
          <cell r="A26" t="str">
            <v>200-15-011</v>
          </cell>
          <cell r="B26" t="str">
            <v>REASSURANCE PREMIUMS -GROUP LIFE</v>
          </cell>
          <cell r="C26">
            <v>94585356</v>
          </cell>
          <cell r="D26">
            <v>26235675</v>
          </cell>
          <cell r="E26">
            <v>120821031</v>
          </cell>
          <cell r="F26">
            <v>120821031</v>
          </cell>
          <cell r="G26">
            <v>0</v>
          </cell>
          <cell r="H26">
            <v>120821031</v>
          </cell>
          <cell r="I26">
            <v>0</v>
          </cell>
          <cell r="J26">
            <v>120821031</v>
          </cell>
          <cell r="K26">
            <v>0</v>
          </cell>
          <cell r="L26">
            <v>0</v>
          </cell>
          <cell r="M26">
            <v>0</v>
          </cell>
          <cell r="N26">
            <v>120821031</v>
          </cell>
          <cell r="O26">
            <v>0</v>
          </cell>
        </row>
        <row r="27">
          <cell r="A27" t="str">
            <v>200-15-012</v>
          </cell>
          <cell r="B27" t="str">
            <v>REASSURANCE PREMIUMS-GROUP MORTGAGE</v>
          </cell>
          <cell r="C27">
            <v>5178264</v>
          </cell>
          <cell r="D27">
            <v>326244</v>
          </cell>
          <cell r="E27">
            <v>5504508</v>
          </cell>
          <cell r="F27">
            <v>5504508</v>
          </cell>
          <cell r="G27">
            <v>0</v>
          </cell>
          <cell r="H27">
            <v>5504508</v>
          </cell>
          <cell r="I27">
            <v>0</v>
          </cell>
          <cell r="J27">
            <v>5504508</v>
          </cell>
          <cell r="K27">
            <v>0</v>
          </cell>
          <cell r="L27">
            <v>0</v>
          </cell>
          <cell r="M27">
            <v>0</v>
          </cell>
          <cell r="N27">
            <v>5504508</v>
          </cell>
          <cell r="O27">
            <v>0</v>
          </cell>
        </row>
        <row r="28">
          <cell r="A28" t="str">
            <v>200-15-013</v>
          </cell>
          <cell r="B28" t="str">
            <v>REASSURANCE PREMIUMS-GROUP CREDIT</v>
          </cell>
          <cell r="C28">
            <v>8249980</v>
          </cell>
          <cell r="D28">
            <v>40995</v>
          </cell>
          <cell r="E28">
            <v>8290975</v>
          </cell>
          <cell r="F28">
            <v>8290975</v>
          </cell>
          <cell r="G28">
            <v>0</v>
          </cell>
          <cell r="H28">
            <v>8290975</v>
          </cell>
          <cell r="I28">
            <v>0</v>
          </cell>
          <cell r="J28">
            <v>8290975</v>
          </cell>
          <cell r="K28">
            <v>0</v>
          </cell>
          <cell r="L28">
            <v>0</v>
          </cell>
          <cell r="M28">
            <v>0</v>
          </cell>
          <cell r="N28">
            <v>8290975</v>
          </cell>
          <cell r="O28">
            <v>0</v>
          </cell>
        </row>
        <row r="29">
          <cell r="A29" t="str">
            <v>200-15-014</v>
          </cell>
          <cell r="B29" t="str">
            <v>REASSURANCE PREMIUMS -GROUP DISABILITY</v>
          </cell>
          <cell r="C29">
            <v>1323769</v>
          </cell>
          <cell r="D29">
            <v>-143348</v>
          </cell>
          <cell r="E29">
            <v>1180421</v>
          </cell>
          <cell r="F29">
            <v>1180421</v>
          </cell>
          <cell r="G29">
            <v>0</v>
          </cell>
          <cell r="H29">
            <v>1180421</v>
          </cell>
          <cell r="I29">
            <v>0</v>
          </cell>
          <cell r="J29">
            <v>1180421</v>
          </cell>
          <cell r="K29">
            <v>0</v>
          </cell>
          <cell r="L29">
            <v>0</v>
          </cell>
          <cell r="M29">
            <v>0</v>
          </cell>
          <cell r="N29">
            <v>1180421</v>
          </cell>
          <cell r="O29">
            <v>0</v>
          </cell>
        </row>
        <row r="30">
          <cell r="A30" t="str">
            <v>200-15-015</v>
          </cell>
          <cell r="B30" t="str">
            <v>GROUP MORTGAGE-SCHEMES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</row>
        <row r="31">
          <cell r="A31" t="str">
            <v>200-15-016</v>
          </cell>
          <cell r="B31" t="str">
            <v>GROUP PENSION SCHEMES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</row>
        <row r="32">
          <cell r="A32" t="str">
            <v>200-15-017</v>
          </cell>
          <cell r="B32" t="str">
            <v>GROUP HARAMBEE SCHEMES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</row>
        <row r="33">
          <cell r="A33" t="str">
            <v>200-20-010</v>
          </cell>
          <cell r="B33" t="str">
            <v>RE-COMMISSIONS INDIVIDUAL LIFE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</row>
        <row r="34">
          <cell r="A34" t="str">
            <v>200-20-011</v>
          </cell>
          <cell r="B34" t="str">
            <v>REASSURANCE COMM.WP</v>
          </cell>
          <cell r="C34">
            <v>-204012</v>
          </cell>
          <cell r="D34">
            <v>-12278</v>
          </cell>
          <cell r="E34">
            <v>-216290</v>
          </cell>
          <cell r="F34">
            <v>-216290</v>
          </cell>
          <cell r="G34">
            <v>0</v>
          </cell>
          <cell r="H34">
            <v>-216290</v>
          </cell>
          <cell r="I34">
            <v>0</v>
          </cell>
          <cell r="J34">
            <v>-216290</v>
          </cell>
          <cell r="K34">
            <v>-216290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</row>
        <row r="35">
          <cell r="A35" t="str">
            <v>200-20-012</v>
          </cell>
          <cell r="B35" t="str">
            <v>REASSURANCE COMM.FFFP</v>
          </cell>
          <cell r="C35">
            <v>0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</row>
        <row r="36">
          <cell r="A36" t="str">
            <v>200-20-013</v>
          </cell>
          <cell r="B36" t="str">
            <v>REASSURANCE COMMISSION-GROUP LIFE</v>
          </cell>
          <cell r="C36">
            <v>-24484342</v>
          </cell>
          <cell r="D36">
            <v>-6406344</v>
          </cell>
          <cell r="E36">
            <v>-30890686</v>
          </cell>
          <cell r="F36">
            <v>-30890686</v>
          </cell>
          <cell r="G36">
            <v>0</v>
          </cell>
          <cell r="H36">
            <v>-30890686</v>
          </cell>
          <cell r="I36">
            <v>0</v>
          </cell>
          <cell r="J36">
            <v>-30890686</v>
          </cell>
          <cell r="K36">
            <v>0</v>
          </cell>
          <cell r="L36">
            <v>0</v>
          </cell>
          <cell r="M36">
            <v>0</v>
          </cell>
          <cell r="N36">
            <v>-30890686</v>
          </cell>
          <cell r="O36">
            <v>0</v>
          </cell>
        </row>
        <row r="37">
          <cell r="A37" t="str">
            <v>200-20-014</v>
          </cell>
          <cell r="B37" t="str">
            <v>REASSUARANCE COMMISSION-GROUP MORTGAGE</v>
          </cell>
          <cell r="C37">
            <v>-207148</v>
          </cell>
          <cell r="D37">
            <v>-81561</v>
          </cell>
          <cell r="E37">
            <v>-288709</v>
          </cell>
          <cell r="F37">
            <v>-288709</v>
          </cell>
          <cell r="G37">
            <v>0</v>
          </cell>
          <cell r="H37">
            <v>-288709</v>
          </cell>
          <cell r="I37">
            <v>0</v>
          </cell>
          <cell r="J37">
            <v>-288709</v>
          </cell>
          <cell r="K37">
            <v>0</v>
          </cell>
          <cell r="L37">
            <v>0</v>
          </cell>
          <cell r="M37">
            <v>0</v>
          </cell>
          <cell r="N37">
            <v>-288709</v>
          </cell>
          <cell r="O37">
            <v>0</v>
          </cell>
        </row>
        <row r="38">
          <cell r="A38" t="str">
            <v>200-20-015</v>
          </cell>
          <cell r="B38" t="str">
            <v>REASSURANCE COMM-GROUP CREDIT</v>
          </cell>
          <cell r="C38">
            <v>-2062495</v>
          </cell>
          <cell r="D38">
            <v>-10249</v>
          </cell>
          <cell r="E38">
            <v>-2072744</v>
          </cell>
          <cell r="F38">
            <v>-2072744</v>
          </cell>
          <cell r="G38">
            <v>0</v>
          </cell>
          <cell r="H38">
            <v>-2072744</v>
          </cell>
          <cell r="I38">
            <v>0</v>
          </cell>
          <cell r="J38">
            <v>-2072744</v>
          </cell>
          <cell r="K38">
            <v>0</v>
          </cell>
          <cell r="L38">
            <v>0</v>
          </cell>
          <cell r="M38">
            <v>0</v>
          </cell>
          <cell r="N38">
            <v>-2072744</v>
          </cell>
          <cell r="O38">
            <v>0</v>
          </cell>
        </row>
        <row r="39">
          <cell r="A39" t="str">
            <v>200-20-016</v>
          </cell>
          <cell r="B39" t="str">
            <v>REASSURANCE COMM-GROUP DISABILITY</v>
          </cell>
          <cell r="C39">
            <v>-330942</v>
          </cell>
          <cell r="D39">
            <v>35837</v>
          </cell>
          <cell r="E39">
            <v>-295105</v>
          </cell>
          <cell r="F39">
            <v>-295105</v>
          </cell>
          <cell r="G39">
            <v>0</v>
          </cell>
          <cell r="H39">
            <v>-295105</v>
          </cell>
          <cell r="I39">
            <v>0</v>
          </cell>
          <cell r="J39">
            <v>-295105</v>
          </cell>
          <cell r="K39">
            <v>0</v>
          </cell>
          <cell r="L39">
            <v>0</v>
          </cell>
          <cell r="M39">
            <v>0</v>
          </cell>
          <cell r="N39">
            <v>-295105</v>
          </cell>
          <cell r="O39">
            <v>0</v>
          </cell>
        </row>
        <row r="40">
          <cell r="A40" t="str">
            <v>200-30-010</v>
          </cell>
          <cell r="C40">
            <v>0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</row>
        <row r="41">
          <cell r="A41" t="str">
            <v>200-30-011</v>
          </cell>
          <cell r="B41" t="str">
            <v>CLAIMS RECOVERED -GROUP LIFE ASSURANCE</v>
          </cell>
          <cell r="C41">
            <v>-67925379</v>
          </cell>
          <cell r="D41">
            <v>-9265933</v>
          </cell>
          <cell r="E41">
            <v>-77191312</v>
          </cell>
          <cell r="F41">
            <v>-77191312</v>
          </cell>
          <cell r="G41">
            <v>0</v>
          </cell>
          <cell r="H41">
            <v>-77191312</v>
          </cell>
          <cell r="I41">
            <v>0</v>
          </cell>
          <cell r="J41">
            <v>-77191312</v>
          </cell>
          <cell r="K41">
            <v>0</v>
          </cell>
          <cell r="L41">
            <v>0</v>
          </cell>
          <cell r="M41">
            <v>0</v>
          </cell>
          <cell r="N41">
            <v>-77191312</v>
          </cell>
          <cell r="O41">
            <v>0</v>
          </cell>
        </row>
        <row r="42">
          <cell r="A42" t="str">
            <v>200-30-012</v>
          </cell>
          <cell r="B42" t="str">
            <v>CLAIMS RECOVERED GROUP MORTGAGE</v>
          </cell>
          <cell r="C42">
            <v>25067</v>
          </cell>
          <cell r="D42">
            <v>-1931519</v>
          </cell>
          <cell r="E42">
            <v>-1906452</v>
          </cell>
          <cell r="F42">
            <v>-1906452</v>
          </cell>
          <cell r="G42">
            <v>0</v>
          </cell>
          <cell r="H42">
            <v>-1906452</v>
          </cell>
          <cell r="I42">
            <v>0</v>
          </cell>
          <cell r="J42">
            <v>-1906452</v>
          </cell>
          <cell r="K42">
            <v>0</v>
          </cell>
          <cell r="L42">
            <v>0</v>
          </cell>
          <cell r="M42">
            <v>0</v>
          </cell>
          <cell r="N42">
            <v>-1906452</v>
          </cell>
          <cell r="O42">
            <v>0</v>
          </cell>
        </row>
        <row r="43">
          <cell r="A43" t="str">
            <v>200-30-013</v>
          </cell>
          <cell r="B43" t="str">
            <v>CLAIMS RECOVERED-GROUP LAST EXPENSE</v>
          </cell>
          <cell r="C43">
            <v>0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</row>
        <row r="44">
          <cell r="A44" t="str">
            <v>200-30-014</v>
          </cell>
          <cell r="B44" t="str">
            <v>CLAIMS RECOVERED -GROUP CREDIT</v>
          </cell>
          <cell r="C44">
            <v>-5767491</v>
          </cell>
          <cell r="D44">
            <v>-1500428</v>
          </cell>
          <cell r="E44">
            <v>-7267919</v>
          </cell>
          <cell r="F44">
            <v>-7267919</v>
          </cell>
          <cell r="G44">
            <v>0</v>
          </cell>
          <cell r="H44">
            <v>-7267919</v>
          </cell>
          <cell r="I44">
            <v>0</v>
          </cell>
          <cell r="J44">
            <v>-7267919</v>
          </cell>
          <cell r="K44">
            <v>0</v>
          </cell>
          <cell r="L44">
            <v>0</v>
          </cell>
          <cell r="M44">
            <v>0</v>
          </cell>
          <cell r="N44">
            <v>-7267919</v>
          </cell>
          <cell r="O44">
            <v>0</v>
          </cell>
        </row>
        <row r="45">
          <cell r="A45" t="str">
            <v>300-10-010</v>
          </cell>
          <cell r="B45" t="str">
            <v>LORESHO HOUSE</v>
          </cell>
          <cell r="C45">
            <v>-624498</v>
          </cell>
          <cell r="D45">
            <v>66201</v>
          </cell>
          <cell r="E45">
            <v>-558297</v>
          </cell>
          <cell r="F45">
            <v>-558297</v>
          </cell>
          <cell r="G45">
            <v>0</v>
          </cell>
          <cell r="H45">
            <v>-558297</v>
          </cell>
          <cell r="I45">
            <v>0</v>
          </cell>
          <cell r="J45">
            <v>-558297</v>
          </cell>
          <cell r="K45">
            <v>0</v>
          </cell>
          <cell r="L45">
            <v>0</v>
          </cell>
          <cell r="M45">
            <v>-558297</v>
          </cell>
          <cell r="N45">
            <v>0</v>
          </cell>
          <cell r="O45">
            <v>0</v>
          </cell>
        </row>
        <row r="46">
          <cell r="A46" t="str">
            <v>300-10-020</v>
          </cell>
          <cell r="B46" t="str">
            <v>RETREAT VILLAS</v>
          </cell>
          <cell r="C46">
            <v>-717293</v>
          </cell>
          <cell r="D46">
            <v>960000</v>
          </cell>
          <cell r="E46">
            <v>242707</v>
          </cell>
          <cell r="F46">
            <v>242707</v>
          </cell>
          <cell r="G46">
            <v>0</v>
          </cell>
          <cell r="H46">
            <v>242707</v>
          </cell>
          <cell r="I46">
            <v>0</v>
          </cell>
          <cell r="J46">
            <v>242707</v>
          </cell>
          <cell r="K46">
            <v>0</v>
          </cell>
          <cell r="L46">
            <v>0</v>
          </cell>
          <cell r="M46">
            <v>242707</v>
          </cell>
          <cell r="N46">
            <v>0</v>
          </cell>
          <cell r="O46">
            <v>0</v>
          </cell>
        </row>
        <row r="47">
          <cell r="A47" t="str">
            <v>300-10-030</v>
          </cell>
          <cell r="B47" t="str">
            <v>ARCADE PETROL STATION</v>
          </cell>
          <cell r="C47">
            <v>-1752000</v>
          </cell>
          <cell r="D47">
            <v>-175500</v>
          </cell>
          <cell r="E47">
            <v>-1927500</v>
          </cell>
          <cell r="F47">
            <v>-1927500</v>
          </cell>
          <cell r="G47">
            <v>0</v>
          </cell>
          <cell r="H47">
            <v>-1927500</v>
          </cell>
          <cell r="I47">
            <v>0</v>
          </cell>
          <cell r="J47">
            <v>-1927500</v>
          </cell>
          <cell r="K47">
            <v>-1927500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</row>
        <row r="48">
          <cell r="A48" t="str">
            <v>300-10-040</v>
          </cell>
          <cell r="B48" t="str">
            <v>AMBALAL HOUSE</v>
          </cell>
          <cell r="C48">
            <v>-8160900</v>
          </cell>
          <cell r="D48">
            <v>4167052</v>
          </cell>
          <cell r="E48">
            <v>-3993848</v>
          </cell>
          <cell r="F48">
            <v>-3993848</v>
          </cell>
          <cell r="G48">
            <v>-5203213</v>
          </cell>
          <cell r="H48">
            <v>-9197061</v>
          </cell>
          <cell r="I48">
            <v>0</v>
          </cell>
          <cell r="J48">
            <v>-3993848</v>
          </cell>
          <cell r="K48">
            <v>-9197061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</row>
        <row r="49">
          <cell r="A49" t="str">
            <v>300-10-050</v>
          </cell>
          <cell r="B49" t="str">
            <v>PAN AFRICA HOUSE NBI</v>
          </cell>
          <cell r="C49">
            <v>-11582853</v>
          </cell>
          <cell r="D49">
            <v>685656</v>
          </cell>
          <cell r="E49">
            <v>-10897197</v>
          </cell>
          <cell r="F49">
            <v>-10897197</v>
          </cell>
          <cell r="G49">
            <v>0</v>
          </cell>
          <cell r="H49">
            <v>-10897197</v>
          </cell>
          <cell r="I49">
            <v>0</v>
          </cell>
          <cell r="J49">
            <v>-10897197</v>
          </cell>
          <cell r="K49">
            <v>-10897197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</row>
        <row r="50">
          <cell r="A50" t="str">
            <v>300-10-060</v>
          </cell>
          <cell r="B50" t="str">
            <v>AMMORTIZATION OF LAND AND BUILDINGS</v>
          </cell>
          <cell r="C50">
            <v>351065</v>
          </cell>
          <cell r="D50">
            <v>31915</v>
          </cell>
          <cell r="E50">
            <v>382980</v>
          </cell>
          <cell r="F50">
            <v>382980</v>
          </cell>
          <cell r="G50">
            <v>0</v>
          </cell>
          <cell r="H50">
            <v>382980</v>
          </cell>
          <cell r="I50">
            <v>0</v>
          </cell>
          <cell r="J50">
            <v>382980</v>
          </cell>
          <cell r="K50">
            <v>0</v>
          </cell>
          <cell r="L50">
            <v>0</v>
          </cell>
          <cell r="M50">
            <v>382980</v>
          </cell>
          <cell r="N50">
            <v>0</v>
          </cell>
          <cell r="O50">
            <v>0</v>
          </cell>
        </row>
        <row r="51">
          <cell r="A51" t="str">
            <v>300-13-010</v>
          </cell>
          <cell r="B51" t="str">
            <v>PROPERTY VALUATION GAIN</v>
          </cell>
          <cell r="C51">
            <v>0</v>
          </cell>
          <cell r="D51">
            <v>-3000000</v>
          </cell>
          <cell r="E51">
            <v>-3000000</v>
          </cell>
          <cell r="F51">
            <v>-3000000</v>
          </cell>
          <cell r="G51">
            <v>0</v>
          </cell>
          <cell r="H51">
            <v>-3000000</v>
          </cell>
          <cell r="I51">
            <v>0</v>
          </cell>
          <cell r="J51">
            <v>0</v>
          </cell>
          <cell r="K51">
            <v>-3000000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</row>
        <row r="52">
          <cell r="A52" t="str">
            <v>300-14-010</v>
          </cell>
          <cell r="B52" t="str">
            <v>LOSS ON DISPOSAL OF PROPERTIES</v>
          </cell>
          <cell r="C52">
            <v>33986298.939999998</v>
          </cell>
          <cell r="D52">
            <v>0</v>
          </cell>
          <cell r="E52">
            <v>33986298.939999998</v>
          </cell>
          <cell r="F52">
            <v>33986298.939999998</v>
          </cell>
          <cell r="G52">
            <v>0</v>
          </cell>
          <cell r="H52">
            <v>33986298.939999998</v>
          </cell>
          <cell r="I52">
            <v>0</v>
          </cell>
          <cell r="J52">
            <v>33986298.939999998</v>
          </cell>
          <cell r="K52">
            <v>33986298.939999998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</row>
        <row r="53">
          <cell r="A53" t="str">
            <v>300-14-040</v>
          </cell>
          <cell r="B53" t="str">
            <v>LOSS/PROFIT DISPOSAL OF MOTOR VEHICLE</v>
          </cell>
          <cell r="C53">
            <v>-656100</v>
          </cell>
          <cell r="D53">
            <v>0</v>
          </cell>
          <cell r="E53">
            <v>-656100</v>
          </cell>
          <cell r="F53">
            <v>-656100</v>
          </cell>
          <cell r="G53">
            <v>0</v>
          </cell>
          <cell r="H53">
            <v>-656100</v>
          </cell>
          <cell r="I53">
            <v>0</v>
          </cell>
          <cell r="J53">
            <v>-656100</v>
          </cell>
          <cell r="K53">
            <v>-656100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</row>
        <row r="54">
          <cell r="A54" t="str">
            <v>300-15-005</v>
          </cell>
          <cell r="B54" t="str">
            <v>ADMINISTRATION FEES INCOME</v>
          </cell>
          <cell r="C54">
            <v>0</v>
          </cell>
          <cell r="D54">
            <v>-373284.45</v>
          </cell>
          <cell r="E54">
            <v>-373284.45</v>
          </cell>
          <cell r="F54">
            <v>-373284.45</v>
          </cell>
          <cell r="G54">
            <v>0</v>
          </cell>
          <cell r="H54">
            <v>-373284.45</v>
          </cell>
          <cell r="I54">
            <v>0</v>
          </cell>
          <cell r="J54">
            <v>0</v>
          </cell>
          <cell r="K54">
            <v>-373284.45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</row>
        <row r="55">
          <cell r="A55" t="str">
            <v>300-15-010</v>
          </cell>
          <cell r="B55" t="str">
            <v>MISC INCOMES</v>
          </cell>
          <cell r="C55">
            <v>-4472849.07</v>
          </cell>
          <cell r="D55">
            <v>345601.67</v>
          </cell>
          <cell r="E55">
            <v>-4127247.4</v>
          </cell>
          <cell r="F55">
            <v>-4127247.4</v>
          </cell>
          <cell r="G55">
            <v>0</v>
          </cell>
          <cell r="H55">
            <v>-4127247.4</v>
          </cell>
          <cell r="I55">
            <v>0</v>
          </cell>
          <cell r="J55">
            <v>-4127247.4</v>
          </cell>
          <cell r="K55">
            <v>-3985281.07</v>
          </cell>
          <cell r="L55">
            <v>-86.47</v>
          </cell>
          <cell r="M55">
            <v>0</v>
          </cell>
          <cell r="N55">
            <v>-143911.91</v>
          </cell>
          <cell r="O55">
            <v>2032.05</v>
          </cell>
        </row>
        <row r="56">
          <cell r="A56" t="str">
            <v>300-15-015</v>
          </cell>
          <cell r="B56" t="str">
            <v>GAIN/LOSS ON FEREIGN EXCHAGE</v>
          </cell>
          <cell r="C56">
            <v>64271.14</v>
          </cell>
          <cell r="D56">
            <v>47565.599999999999</v>
          </cell>
          <cell r="E56">
            <v>111836.74</v>
          </cell>
          <cell r="F56">
            <v>111836.74</v>
          </cell>
          <cell r="G56">
            <v>0</v>
          </cell>
          <cell r="H56">
            <v>111836.74</v>
          </cell>
          <cell r="I56">
            <v>0</v>
          </cell>
          <cell r="J56">
            <v>111836.74</v>
          </cell>
          <cell r="K56">
            <v>111836.74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</row>
        <row r="57">
          <cell r="A57" t="str">
            <v>300-15-020</v>
          </cell>
          <cell r="B57" t="str">
            <v>MORTAGE INTEREST STAFF</v>
          </cell>
          <cell r="C57">
            <v>-2935900.27</v>
          </cell>
          <cell r="D57">
            <v>-387139.01</v>
          </cell>
          <cell r="E57">
            <v>-3323039.28</v>
          </cell>
          <cell r="F57">
            <v>-3323039.28</v>
          </cell>
          <cell r="G57">
            <v>0</v>
          </cell>
          <cell r="H57">
            <v>-3323039.28</v>
          </cell>
          <cell r="I57">
            <v>0</v>
          </cell>
          <cell r="J57">
            <v>-3323039.28</v>
          </cell>
          <cell r="K57">
            <v>-3228672.58</v>
          </cell>
          <cell r="L57">
            <v>0</v>
          </cell>
          <cell r="M57">
            <v>-94366.7</v>
          </cell>
          <cell r="N57">
            <v>0</v>
          </cell>
          <cell r="O57">
            <v>0</v>
          </cell>
        </row>
        <row r="58">
          <cell r="A58" t="str">
            <v>300-15-025</v>
          </cell>
          <cell r="B58" t="str">
            <v>PROFIT COMMISSION-REINSURANCE</v>
          </cell>
          <cell r="C58">
            <v>-12103676.85</v>
          </cell>
          <cell r="D58">
            <v>0</v>
          </cell>
          <cell r="E58">
            <v>-12103676.85</v>
          </cell>
          <cell r="F58">
            <v>-12103676.85</v>
          </cell>
          <cell r="G58">
            <v>0</v>
          </cell>
          <cell r="H58">
            <v>-12103676.85</v>
          </cell>
          <cell r="I58">
            <v>0</v>
          </cell>
          <cell r="J58">
            <v>-12103676.85</v>
          </cell>
          <cell r="K58">
            <v>0</v>
          </cell>
          <cell r="L58">
            <v>0</v>
          </cell>
          <cell r="M58">
            <v>0</v>
          </cell>
          <cell r="N58">
            <v>-12103676.85</v>
          </cell>
          <cell r="O58">
            <v>0</v>
          </cell>
        </row>
        <row r="59">
          <cell r="A59" t="str">
            <v>300-15-030</v>
          </cell>
          <cell r="B59" t="str">
            <v>PROPERTY REVALUATION GAIN</v>
          </cell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</row>
        <row r="60">
          <cell r="A60" t="str">
            <v>300-20-030</v>
          </cell>
          <cell r="B60" t="str">
            <v>DIVIDENED INCOME</v>
          </cell>
          <cell r="C60">
            <v>-8703301.7400000002</v>
          </cell>
          <cell r="D60">
            <v>-1493774.4</v>
          </cell>
          <cell r="E60">
            <v>-10197076.140000001</v>
          </cell>
          <cell r="F60">
            <v>-10197076.140000001</v>
          </cell>
          <cell r="G60">
            <v>0</v>
          </cell>
          <cell r="H60">
            <v>-10197076.140000001</v>
          </cell>
          <cell r="I60">
            <v>0</v>
          </cell>
          <cell r="J60">
            <v>-10197076.140000001</v>
          </cell>
          <cell r="K60">
            <v>-5520493.9100000001</v>
          </cell>
          <cell r="L60">
            <v>-1921816.46</v>
          </cell>
          <cell r="M60">
            <v>-697399</v>
          </cell>
          <cell r="N60">
            <v>-1153690.3400000001</v>
          </cell>
          <cell r="O60">
            <v>-903676.43</v>
          </cell>
        </row>
        <row r="61">
          <cell r="A61" t="str">
            <v>300-30-010</v>
          </cell>
          <cell r="B61" t="str">
            <v>SERVICE CHARGE LOAN ON POLICY</v>
          </cell>
          <cell r="C61">
            <v>-1072676</v>
          </cell>
          <cell r="D61">
            <v>-188908.15</v>
          </cell>
          <cell r="E61">
            <v>-1261584.1499999999</v>
          </cell>
          <cell r="F61">
            <v>-1261584.1499999999</v>
          </cell>
          <cell r="G61">
            <v>0</v>
          </cell>
          <cell r="H61">
            <v>-1261584.1499999999</v>
          </cell>
          <cell r="I61">
            <v>0</v>
          </cell>
          <cell r="J61">
            <v>-1261584.1499999999</v>
          </cell>
          <cell r="K61">
            <v>-1030084.15</v>
          </cell>
          <cell r="L61">
            <v>-231500</v>
          </cell>
          <cell r="M61">
            <v>0</v>
          </cell>
          <cell r="N61">
            <v>0</v>
          </cell>
          <cell r="O61">
            <v>0</v>
          </cell>
        </row>
        <row r="62">
          <cell r="A62" t="str">
            <v>300-30-020</v>
          </cell>
          <cell r="B62" t="str">
            <v>INTEREST ON LOAN ON POLICY</v>
          </cell>
          <cell r="C62">
            <v>-10752746.25</v>
          </cell>
          <cell r="D62">
            <v>243362.57</v>
          </cell>
          <cell r="E62">
            <v>-10509383.68</v>
          </cell>
          <cell r="F62">
            <v>-10509383.68</v>
          </cell>
          <cell r="G62">
            <v>0</v>
          </cell>
          <cell r="H62">
            <v>-10509383.68</v>
          </cell>
          <cell r="I62">
            <v>0</v>
          </cell>
          <cell r="J62">
            <v>-10509383.68</v>
          </cell>
          <cell r="K62">
            <v>-10509383.68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</row>
        <row r="63">
          <cell r="A63" t="str">
            <v>300-30-030</v>
          </cell>
          <cell r="B63" t="str">
            <v>INTEREST ON COMMERCIAL PAPER</v>
          </cell>
          <cell r="C63">
            <v>-12247761.310000001</v>
          </cell>
          <cell r="D63">
            <v>882669.48</v>
          </cell>
          <cell r="E63">
            <v>-11365091.83</v>
          </cell>
          <cell r="F63">
            <v>-11365091.83</v>
          </cell>
          <cell r="G63">
            <v>0</v>
          </cell>
          <cell r="H63">
            <v>-11365091.83</v>
          </cell>
          <cell r="I63">
            <v>0</v>
          </cell>
          <cell r="J63">
            <v>-11365091.829999998</v>
          </cell>
          <cell r="K63">
            <v>-3468840.02</v>
          </cell>
          <cell r="L63">
            <v>-3347210.67</v>
          </cell>
          <cell r="M63">
            <v>-972986.26</v>
          </cell>
          <cell r="N63">
            <v>-2574607.2000000002</v>
          </cell>
          <cell r="O63">
            <v>-1001447.68</v>
          </cell>
        </row>
        <row r="64">
          <cell r="A64" t="str">
            <v>300-30-040</v>
          </cell>
          <cell r="B64" t="str">
            <v>PREMIUM ON BONDS</v>
          </cell>
          <cell r="C64">
            <v>384882.7</v>
          </cell>
          <cell r="D64">
            <v>5302761.7300000004</v>
          </cell>
          <cell r="E64">
            <v>5687644.4299999997</v>
          </cell>
          <cell r="F64">
            <v>5687644.4299999997</v>
          </cell>
          <cell r="G64">
            <v>0</v>
          </cell>
          <cell r="H64">
            <v>5687644.4299999997</v>
          </cell>
          <cell r="I64">
            <v>0</v>
          </cell>
          <cell r="J64">
            <v>5687644.4299999997</v>
          </cell>
          <cell r="K64">
            <v>1137786.96</v>
          </cell>
          <cell r="L64">
            <v>2180122.13</v>
          </cell>
          <cell r="M64">
            <v>0</v>
          </cell>
          <cell r="N64">
            <v>1949169.25</v>
          </cell>
          <cell r="O64">
            <v>420566.09</v>
          </cell>
        </row>
        <row r="65">
          <cell r="A65" t="str">
            <v>300-30-050</v>
          </cell>
          <cell r="B65" t="str">
            <v>INTEREST ON FD</v>
          </cell>
          <cell r="C65">
            <v>-14025847.92</v>
          </cell>
          <cell r="D65">
            <v>-2748343.84</v>
          </cell>
          <cell r="E65">
            <v>-16774191.76</v>
          </cell>
          <cell r="F65">
            <v>-16774191.76</v>
          </cell>
          <cell r="G65">
            <v>0</v>
          </cell>
          <cell r="H65">
            <v>-16774191.76</v>
          </cell>
          <cell r="I65">
            <v>0</v>
          </cell>
          <cell r="J65">
            <v>-16774191.76</v>
          </cell>
          <cell r="K65">
            <v>-7900600.1100000003</v>
          </cell>
          <cell r="L65">
            <v>-4221300.6399999997</v>
          </cell>
          <cell r="M65">
            <v>-641155.62</v>
          </cell>
          <cell r="N65">
            <v>-2884262.89</v>
          </cell>
          <cell r="O65">
            <v>-1126872.5</v>
          </cell>
        </row>
        <row r="66">
          <cell r="A66" t="str">
            <v>300-30-060</v>
          </cell>
          <cell r="B66" t="str">
            <v>INTEREST ON TB</v>
          </cell>
          <cell r="C66">
            <v>-111967490.28</v>
          </cell>
          <cell r="D66">
            <v>10360455.600000001</v>
          </cell>
          <cell r="E66">
            <v>-101607034.68000001</v>
          </cell>
          <cell r="F66">
            <v>-101607034.68000001</v>
          </cell>
          <cell r="G66">
            <v>0</v>
          </cell>
          <cell r="H66">
            <v>-101607034.68000001</v>
          </cell>
          <cell r="I66">
            <v>0</v>
          </cell>
          <cell r="J66">
            <v>-101607034.68000001</v>
          </cell>
          <cell r="K66">
            <v>-49422902.090000004</v>
          </cell>
          <cell r="L66">
            <v>-25077178.960000001</v>
          </cell>
          <cell r="M66">
            <v>-9600289.3599999994</v>
          </cell>
          <cell r="N66">
            <v>-6844543.6600000001</v>
          </cell>
          <cell r="O66">
            <v>-10662120.609999999</v>
          </cell>
        </row>
        <row r="67">
          <cell r="A67" t="str">
            <v>300-30-065</v>
          </cell>
          <cell r="B67" t="str">
            <v>AIG FEES</v>
          </cell>
          <cell r="C67">
            <v>8658524.1999999993</v>
          </cell>
          <cell r="D67">
            <v>932610.55</v>
          </cell>
          <cell r="E67">
            <v>9591134.75</v>
          </cell>
          <cell r="F67">
            <v>9591134.75</v>
          </cell>
          <cell r="G67">
            <v>0</v>
          </cell>
          <cell r="H67">
            <v>9591134.75</v>
          </cell>
          <cell r="I67">
            <v>0</v>
          </cell>
          <cell r="J67">
            <v>9591134.75</v>
          </cell>
          <cell r="K67">
            <v>3786611.5</v>
          </cell>
          <cell r="L67">
            <v>2295802.85</v>
          </cell>
          <cell r="M67">
            <v>747728.9</v>
          </cell>
          <cell r="N67">
            <v>1942070.95</v>
          </cell>
          <cell r="O67">
            <v>818920.55</v>
          </cell>
        </row>
        <row r="68">
          <cell r="A68" t="str">
            <v>300-30-070</v>
          </cell>
          <cell r="B68" t="str">
            <v>STANBIC FEES</v>
          </cell>
          <cell r="C68">
            <v>2461303.34</v>
          </cell>
          <cell r="D68">
            <v>-9437.08</v>
          </cell>
          <cell r="E68">
            <v>2451866.2599999998</v>
          </cell>
          <cell r="F68">
            <v>2451866.2599999998</v>
          </cell>
          <cell r="G68">
            <v>0</v>
          </cell>
          <cell r="H68">
            <v>2451866.2599999998</v>
          </cell>
          <cell r="I68">
            <v>0</v>
          </cell>
          <cell r="J68">
            <v>2451866.2599999998</v>
          </cell>
          <cell r="K68">
            <v>827280.34</v>
          </cell>
          <cell r="L68">
            <v>614925.44999999995</v>
          </cell>
          <cell r="M68">
            <v>191869.9</v>
          </cell>
          <cell r="N68">
            <v>572394.86</v>
          </cell>
          <cell r="O68">
            <v>245395.71</v>
          </cell>
        </row>
        <row r="69">
          <cell r="A69" t="str">
            <v>300-30-075</v>
          </cell>
          <cell r="B69" t="str">
            <v>GAIN/LOSS ON GOV'T SECURITIES</v>
          </cell>
          <cell r="C69">
            <v>1524359.1</v>
          </cell>
          <cell r="D69">
            <v>-1524359.1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</row>
        <row r="70">
          <cell r="A70" t="str">
            <v>300-30-080</v>
          </cell>
          <cell r="B70" t="str">
            <v>ADVERTISING(UNIT PRICE)</v>
          </cell>
          <cell r="C70">
            <v>60134.5</v>
          </cell>
          <cell r="D70">
            <v>0</v>
          </cell>
          <cell r="E70">
            <v>60134.5</v>
          </cell>
          <cell r="F70">
            <v>60134.5</v>
          </cell>
          <cell r="G70">
            <v>0</v>
          </cell>
          <cell r="H70">
            <v>60134.5</v>
          </cell>
          <cell r="I70">
            <v>0</v>
          </cell>
          <cell r="J70">
            <v>60134.5</v>
          </cell>
          <cell r="K70">
            <v>0</v>
          </cell>
          <cell r="L70">
            <v>60134.5</v>
          </cell>
          <cell r="M70">
            <v>0</v>
          </cell>
          <cell r="N70">
            <v>0</v>
          </cell>
          <cell r="O70">
            <v>0</v>
          </cell>
        </row>
        <row r="71">
          <cell r="A71" t="str">
            <v>300-85-010</v>
          </cell>
          <cell r="B71" t="str">
            <v>REALIZED GAINS ON SHARES</v>
          </cell>
          <cell r="C71">
            <v>-5164548.45</v>
          </cell>
          <cell r="D71">
            <v>-1571150</v>
          </cell>
          <cell r="E71">
            <v>-6735698.4500000002</v>
          </cell>
          <cell r="F71">
            <v>-6735698.4500000002</v>
          </cell>
          <cell r="G71">
            <v>0</v>
          </cell>
          <cell r="H71">
            <v>-6735698.4500000002</v>
          </cell>
          <cell r="I71">
            <v>0</v>
          </cell>
          <cell r="J71">
            <v>-6735698.4500000002</v>
          </cell>
          <cell r="K71">
            <v>-4413702.95</v>
          </cell>
          <cell r="L71">
            <v>-863006</v>
          </cell>
          <cell r="M71">
            <v>0</v>
          </cell>
          <cell r="N71">
            <v>-681506</v>
          </cell>
          <cell r="O71">
            <v>-777483.5</v>
          </cell>
        </row>
        <row r="72">
          <cell r="A72" t="str">
            <v>300-95-010</v>
          </cell>
          <cell r="B72" t="str">
            <v>GAIN/LOSS ON SHARES VALUE</v>
          </cell>
          <cell r="C72">
            <v>-91794454.939999998</v>
          </cell>
          <cell r="D72">
            <v>-5464749.2000000002</v>
          </cell>
          <cell r="E72">
            <v>-97259204.140000001</v>
          </cell>
          <cell r="F72">
            <v>-97259204.140000001</v>
          </cell>
          <cell r="G72">
            <v>0</v>
          </cell>
          <cell r="H72">
            <v>-97259204.140000001</v>
          </cell>
          <cell r="I72">
            <v>0</v>
          </cell>
          <cell r="J72">
            <v>-97259204.140000001</v>
          </cell>
          <cell r="K72">
            <v>-39668102.960000001</v>
          </cell>
          <cell r="L72">
            <v>-19482926.52</v>
          </cell>
          <cell r="M72">
            <v>-13393683.18</v>
          </cell>
          <cell r="N72">
            <v>-15825831.76</v>
          </cell>
          <cell r="O72">
            <v>-8888659.7200000007</v>
          </cell>
        </row>
        <row r="73">
          <cell r="A73" t="str">
            <v>300-95-015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</row>
        <row r="74">
          <cell r="A74" t="str">
            <v>400-10-010</v>
          </cell>
          <cell r="B74" t="str">
            <v>BASIC SALARY</v>
          </cell>
          <cell r="C74">
            <v>81078189.650000006</v>
          </cell>
          <cell r="D74">
            <v>8254977.1399999997</v>
          </cell>
          <cell r="E74">
            <v>89333166.790000007</v>
          </cell>
          <cell r="F74">
            <v>89333166.790000007</v>
          </cell>
          <cell r="G74">
            <v>0</v>
          </cell>
          <cell r="H74">
            <v>89333166.790000007</v>
          </cell>
          <cell r="I74">
            <v>0</v>
          </cell>
          <cell r="J74">
            <v>89333166.790000007</v>
          </cell>
          <cell r="K74">
            <v>84677061.780000001</v>
          </cell>
          <cell r="L74">
            <v>0</v>
          </cell>
          <cell r="M74">
            <v>0</v>
          </cell>
          <cell r="N74">
            <v>4656105.01</v>
          </cell>
          <cell r="O74">
            <v>0</v>
          </cell>
        </row>
        <row r="75">
          <cell r="A75" t="str">
            <v>400-10-012</v>
          </cell>
          <cell r="B75" t="str">
            <v>PROVISION FOR MORT.RATE</v>
          </cell>
          <cell r="C75">
            <v>1425665</v>
          </cell>
          <cell r="D75">
            <v>128035</v>
          </cell>
          <cell r="E75">
            <v>1553700</v>
          </cell>
          <cell r="F75">
            <v>1553700</v>
          </cell>
          <cell r="G75">
            <v>0</v>
          </cell>
          <cell r="H75">
            <v>1553700</v>
          </cell>
          <cell r="I75">
            <v>0</v>
          </cell>
          <cell r="J75">
            <v>1553700</v>
          </cell>
          <cell r="K75">
            <v>1553700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</row>
        <row r="76">
          <cell r="A76" t="str">
            <v>400-10-020</v>
          </cell>
          <cell r="B76" t="str">
            <v>HOUSE ALLOWANCE</v>
          </cell>
          <cell r="C76">
            <v>10530749.99</v>
          </cell>
          <cell r="D76">
            <v>1012625</v>
          </cell>
          <cell r="E76">
            <v>11543374.99</v>
          </cell>
          <cell r="F76">
            <v>11543374.99</v>
          </cell>
          <cell r="G76">
            <v>0</v>
          </cell>
          <cell r="H76">
            <v>11543374.99</v>
          </cell>
          <cell r="I76">
            <v>0</v>
          </cell>
          <cell r="J76">
            <v>11543374.99</v>
          </cell>
          <cell r="K76">
            <v>10712374.99</v>
          </cell>
          <cell r="L76">
            <v>0</v>
          </cell>
          <cell r="M76">
            <v>0</v>
          </cell>
          <cell r="N76">
            <v>831000</v>
          </cell>
          <cell r="O76">
            <v>0</v>
          </cell>
        </row>
        <row r="77">
          <cell r="A77" t="str">
            <v>400-10-030</v>
          </cell>
          <cell r="B77" t="str">
            <v>TELEPHONE ALLOWANCE</v>
          </cell>
          <cell r="C77">
            <v>409294</v>
          </cell>
          <cell r="D77">
            <v>44000</v>
          </cell>
          <cell r="E77">
            <v>453294</v>
          </cell>
          <cell r="F77">
            <v>453294</v>
          </cell>
          <cell r="G77">
            <v>0</v>
          </cell>
          <cell r="H77">
            <v>453294</v>
          </cell>
          <cell r="I77">
            <v>0</v>
          </cell>
          <cell r="J77">
            <v>453294</v>
          </cell>
          <cell r="K77">
            <v>423294</v>
          </cell>
          <cell r="L77">
            <v>0</v>
          </cell>
          <cell r="M77">
            <v>0</v>
          </cell>
          <cell r="N77">
            <v>30000</v>
          </cell>
          <cell r="O77">
            <v>0</v>
          </cell>
        </row>
        <row r="78">
          <cell r="A78" t="str">
            <v>400-10-040</v>
          </cell>
          <cell r="B78" t="str">
            <v>SECURITY ALLOWANCE</v>
          </cell>
          <cell r="C78">
            <v>885000</v>
          </cell>
          <cell r="D78">
            <v>90000</v>
          </cell>
          <cell r="E78">
            <v>975000</v>
          </cell>
          <cell r="F78">
            <v>975000</v>
          </cell>
          <cell r="G78">
            <v>0</v>
          </cell>
          <cell r="H78">
            <v>975000</v>
          </cell>
          <cell r="I78">
            <v>0</v>
          </cell>
          <cell r="J78">
            <v>975000</v>
          </cell>
          <cell r="K78">
            <v>975000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</row>
        <row r="79">
          <cell r="A79" t="str">
            <v>400-10-050</v>
          </cell>
          <cell r="B79" t="str">
            <v>EDUCATION ALLOWANCE</v>
          </cell>
          <cell r="C79">
            <v>519020</v>
          </cell>
          <cell r="D79">
            <v>75820</v>
          </cell>
          <cell r="E79">
            <v>594840</v>
          </cell>
          <cell r="F79">
            <v>594840</v>
          </cell>
          <cell r="G79">
            <v>0</v>
          </cell>
          <cell r="H79">
            <v>594840</v>
          </cell>
          <cell r="I79">
            <v>0</v>
          </cell>
          <cell r="J79">
            <v>594840</v>
          </cell>
          <cell r="K79">
            <v>474840</v>
          </cell>
          <cell r="L79">
            <v>0</v>
          </cell>
          <cell r="M79">
            <v>0</v>
          </cell>
          <cell r="N79">
            <v>120000</v>
          </cell>
          <cell r="O79">
            <v>0</v>
          </cell>
        </row>
        <row r="80">
          <cell r="A80" t="str">
            <v>400-10-060</v>
          </cell>
          <cell r="B80" t="str">
            <v>TRAVEL ALLOWANCE</v>
          </cell>
          <cell r="C80">
            <v>5854498.3499999996</v>
          </cell>
          <cell r="D80">
            <v>652080</v>
          </cell>
          <cell r="E80">
            <v>6506578.3499999996</v>
          </cell>
          <cell r="F80">
            <v>6506578.3499999996</v>
          </cell>
          <cell r="G80">
            <v>0</v>
          </cell>
          <cell r="H80">
            <v>6506578.3499999996</v>
          </cell>
          <cell r="I80">
            <v>0</v>
          </cell>
          <cell r="J80">
            <v>6506578.3499999996</v>
          </cell>
          <cell r="K80">
            <v>6296578.3499999996</v>
          </cell>
          <cell r="L80">
            <v>0</v>
          </cell>
          <cell r="M80">
            <v>0</v>
          </cell>
          <cell r="N80">
            <v>210000</v>
          </cell>
          <cell r="O80">
            <v>0</v>
          </cell>
        </row>
        <row r="81">
          <cell r="A81" t="str">
            <v>400-10-070</v>
          </cell>
          <cell r="B81" t="str">
            <v>PENSION</v>
          </cell>
          <cell r="C81">
            <v>7194587.5</v>
          </cell>
          <cell r="D81">
            <v>-5447202.5</v>
          </cell>
          <cell r="E81">
            <v>1747385</v>
          </cell>
          <cell r="F81">
            <v>1747385</v>
          </cell>
          <cell r="G81">
            <v>0</v>
          </cell>
          <cell r="H81">
            <v>1747385</v>
          </cell>
          <cell r="I81">
            <v>0</v>
          </cell>
          <cell r="J81">
            <v>1747385</v>
          </cell>
          <cell r="K81">
            <v>1615347.5</v>
          </cell>
          <cell r="L81">
            <v>0</v>
          </cell>
          <cell r="M81">
            <v>0</v>
          </cell>
          <cell r="N81">
            <v>132037.5</v>
          </cell>
          <cell r="O81">
            <v>0</v>
          </cell>
        </row>
        <row r="82">
          <cell r="A82" t="str">
            <v>400-10-075</v>
          </cell>
          <cell r="B82" t="str">
            <v>LONG SERVICE AWARDS</v>
          </cell>
          <cell r="C82">
            <v>0</v>
          </cell>
          <cell r="D82">
            <v>170000</v>
          </cell>
          <cell r="E82">
            <v>170000</v>
          </cell>
          <cell r="F82">
            <v>170000</v>
          </cell>
          <cell r="G82">
            <v>0</v>
          </cell>
          <cell r="H82">
            <v>170000</v>
          </cell>
          <cell r="I82">
            <v>0</v>
          </cell>
          <cell r="J82">
            <v>170000</v>
          </cell>
          <cell r="K82">
            <v>170000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</row>
        <row r="83">
          <cell r="A83" t="str">
            <v>400-10-080</v>
          </cell>
          <cell r="B83" t="str">
            <v>LAST EXPENSE</v>
          </cell>
          <cell r="C83">
            <v>50729.22</v>
          </cell>
          <cell r="D83">
            <v>4520.84</v>
          </cell>
          <cell r="E83">
            <v>55250.06</v>
          </cell>
          <cell r="F83">
            <v>55250.06</v>
          </cell>
          <cell r="G83">
            <v>0</v>
          </cell>
          <cell r="H83">
            <v>55250.06</v>
          </cell>
          <cell r="I83">
            <v>0</v>
          </cell>
          <cell r="J83">
            <v>55250.06</v>
          </cell>
          <cell r="K83">
            <v>51375.03</v>
          </cell>
          <cell r="L83">
            <v>0</v>
          </cell>
          <cell r="M83">
            <v>0</v>
          </cell>
          <cell r="N83">
            <v>3875.03</v>
          </cell>
          <cell r="O83">
            <v>0</v>
          </cell>
        </row>
        <row r="84">
          <cell r="A84" t="str">
            <v>400-10-085</v>
          </cell>
          <cell r="B84" t="str">
            <v>ACADEMIC ACHIEVEMENTS</v>
          </cell>
          <cell r="C84">
            <v>0</v>
          </cell>
          <cell r="D84">
            <v>239600</v>
          </cell>
          <cell r="E84">
            <v>239600</v>
          </cell>
          <cell r="F84">
            <v>239600</v>
          </cell>
          <cell r="G84">
            <v>0</v>
          </cell>
          <cell r="H84">
            <v>239600</v>
          </cell>
          <cell r="I84">
            <v>0</v>
          </cell>
          <cell r="J84">
            <v>239600</v>
          </cell>
          <cell r="K84">
            <v>231800</v>
          </cell>
          <cell r="L84">
            <v>0</v>
          </cell>
          <cell r="M84">
            <v>0</v>
          </cell>
          <cell r="N84">
            <v>7800</v>
          </cell>
          <cell r="O84">
            <v>0</v>
          </cell>
        </row>
        <row r="85">
          <cell r="A85" t="str">
            <v>400-10-090</v>
          </cell>
          <cell r="B85" t="str">
            <v>GROUP LIFE ASSURANCE</v>
          </cell>
          <cell r="C85">
            <v>1586174.61</v>
          </cell>
          <cell r="D85">
            <v>139270.01999999999</v>
          </cell>
          <cell r="E85">
            <v>1725444.63</v>
          </cell>
          <cell r="F85">
            <v>1725444.63</v>
          </cell>
          <cell r="G85">
            <v>0</v>
          </cell>
          <cell r="H85">
            <v>1725444.63</v>
          </cell>
          <cell r="I85">
            <v>0</v>
          </cell>
          <cell r="J85">
            <v>1725444.63</v>
          </cell>
          <cell r="K85">
            <v>1631342.68</v>
          </cell>
          <cell r="L85">
            <v>0</v>
          </cell>
          <cell r="M85">
            <v>0</v>
          </cell>
          <cell r="N85">
            <v>94101.95</v>
          </cell>
          <cell r="O85">
            <v>0</v>
          </cell>
        </row>
        <row r="86">
          <cell r="A86" t="str">
            <v>400-10-100</v>
          </cell>
          <cell r="B86" t="str">
            <v>STAFF MEDICAL</v>
          </cell>
          <cell r="C86">
            <v>6885813.1699999999</v>
          </cell>
          <cell r="D86">
            <v>1140350.33</v>
          </cell>
          <cell r="E86">
            <v>8026163.5</v>
          </cell>
          <cell r="F86">
            <v>8026163.5</v>
          </cell>
          <cell r="G86">
            <v>0</v>
          </cell>
          <cell r="H86">
            <v>8026163.5</v>
          </cell>
          <cell r="I86">
            <v>0</v>
          </cell>
          <cell r="J86">
            <v>8026163.5</v>
          </cell>
          <cell r="K86">
            <v>8026163.5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</row>
        <row r="87">
          <cell r="A87" t="str">
            <v>400-10-110</v>
          </cell>
          <cell r="B87" t="str">
            <v>CASH IN LIUE OF LEAVE</v>
          </cell>
          <cell r="C87">
            <v>1866797.14</v>
          </cell>
          <cell r="D87">
            <v>-29322</v>
          </cell>
          <cell r="E87">
            <v>1837475.14</v>
          </cell>
          <cell r="F87">
            <v>1837475.14</v>
          </cell>
          <cell r="G87">
            <v>0</v>
          </cell>
          <cell r="H87">
            <v>1837475.14</v>
          </cell>
          <cell r="I87">
            <v>0</v>
          </cell>
          <cell r="J87">
            <v>1837475.14</v>
          </cell>
          <cell r="K87">
            <v>1835844.14</v>
          </cell>
          <cell r="L87">
            <v>0</v>
          </cell>
          <cell r="M87">
            <v>0</v>
          </cell>
          <cell r="N87">
            <v>1631</v>
          </cell>
          <cell r="O87">
            <v>0</v>
          </cell>
        </row>
        <row r="88">
          <cell r="A88" t="str">
            <v>400-10-120</v>
          </cell>
          <cell r="B88" t="str">
            <v>GRATUITY</v>
          </cell>
          <cell r="C88">
            <v>6543712.9000000004</v>
          </cell>
          <cell r="D88">
            <v>594883</v>
          </cell>
          <cell r="E88">
            <v>7138595.9000000004</v>
          </cell>
          <cell r="F88">
            <v>7138595.9000000004</v>
          </cell>
          <cell r="G88">
            <v>0</v>
          </cell>
          <cell r="H88">
            <v>7138595.9000000004</v>
          </cell>
          <cell r="I88">
            <v>0</v>
          </cell>
          <cell r="J88">
            <v>7138595.9000000004</v>
          </cell>
          <cell r="K88">
            <v>7138595.9000000004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</row>
        <row r="89">
          <cell r="A89" t="str">
            <v>400-10-130</v>
          </cell>
          <cell r="B89" t="str">
            <v>STAFF RECRUTMENT &amp; REMOVAL</v>
          </cell>
          <cell r="C89">
            <v>1779067.5</v>
          </cell>
          <cell r="D89">
            <v>2750</v>
          </cell>
          <cell r="E89">
            <v>1781817.5</v>
          </cell>
          <cell r="F89">
            <v>1781817.5</v>
          </cell>
          <cell r="G89">
            <v>0</v>
          </cell>
          <cell r="H89">
            <v>1781817.5</v>
          </cell>
          <cell r="I89">
            <v>0</v>
          </cell>
          <cell r="J89">
            <v>1781817.5</v>
          </cell>
          <cell r="K89">
            <v>1781817.5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</row>
        <row r="90">
          <cell r="A90" t="str">
            <v>400-10-140</v>
          </cell>
          <cell r="B90" t="str">
            <v>TERMINAL DUES</v>
          </cell>
          <cell r="C90">
            <v>226506.16</v>
          </cell>
          <cell r="D90">
            <v>0</v>
          </cell>
          <cell r="E90">
            <v>226506.16</v>
          </cell>
          <cell r="F90">
            <v>226506.16</v>
          </cell>
          <cell r="G90">
            <v>0</v>
          </cell>
          <cell r="H90">
            <v>226506.16</v>
          </cell>
          <cell r="I90">
            <v>0</v>
          </cell>
          <cell r="J90">
            <v>226506.16</v>
          </cell>
          <cell r="K90">
            <v>226506.16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</row>
        <row r="91">
          <cell r="A91" t="str">
            <v>400-20-010</v>
          </cell>
          <cell r="B91" t="str">
            <v>N.S.S.F</v>
          </cell>
          <cell r="C91">
            <v>181400</v>
          </cell>
          <cell r="D91">
            <v>1000</v>
          </cell>
          <cell r="E91">
            <v>182400</v>
          </cell>
          <cell r="F91">
            <v>182400</v>
          </cell>
          <cell r="G91">
            <v>0</v>
          </cell>
          <cell r="H91">
            <v>182400</v>
          </cell>
          <cell r="I91">
            <v>0</v>
          </cell>
          <cell r="J91">
            <v>182400</v>
          </cell>
          <cell r="K91">
            <v>170400</v>
          </cell>
          <cell r="L91">
            <v>0</v>
          </cell>
          <cell r="M91">
            <v>0</v>
          </cell>
          <cell r="N91">
            <v>12000</v>
          </cell>
          <cell r="O91">
            <v>0</v>
          </cell>
        </row>
        <row r="92">
          <cell r="A92" t="str">
            <v>400-20-020</v>
          </cell>
          <cell r="B92" t="str">
            <v>N.H.I.F.</v>
          </cell>
          <cell r="C92">
            <v>198930</v>
          </cell>
          <cell r="D92">
            <v>35160</v>
          </cell>
          <cell r="E92">
            <v>234090</v>
          </cell>
          <cell r="F92">
            <v>234090</v>
          </cell>
          <cell r="G92">
            <v>0</v>
          </cell>
          <cell r="H92">
            <v>234090</v>
          </cell>
          <cell r="I92">
            <v>0</v>
          </cell>
          <cell r="J92">
            <v>234090</v>
          </cell>
          <cell r="K92">
            <v>219690</v>
          </cell>
          <cell r="L92">
            <v>0</v>
          </cell>
          <cell r="M92">
            <v>0</v>
          </cell>
          <cell r="N92">
            <v>14400</v>
          </cell>
          <cell r="O92">
            <v>0</v>
          </cell>
        </row>
        <row r="93">
          <cell r="A93" t="str">
            <v>400-30-010</v>
          </cell>
          <cell r="B93" t="str">
            <v>DEPRECIATION-FURNITURE</v>
          </cell>
          <cell r="C93">
            <v>4255259.3899999997</v>
          </cell>
          <cell r="D93">
            <v>447647.43</v>
          </cell>
          <cell r="E93">
            <v>4702906.82</v>
          </cell>
          <cell r="F93">
            <v>4702906.82</v>
          </cell>
          <cell r="G93">
            <v>0</v>
          </cell>
          <cell r="H93">
            <v>4702906.82</v>
          </cell>
          <cell r="I93">
            <v>0</v>
          </cell>
          <cell r="J93">
            <v>4702906.82</v>
          </cell>
          <cell r="K93">
            <v>4702906.82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</row>
        <row r="94">
          <cell r="A94" t="str">
            <v>400-30-020</v>
          </cell>
          <cell r="B94" t="str">
            <v>DEPRECIATION COMPUTER</v>
          </cell>
          <cell r="C94">
            <v>6357890.1100000003</v>
          </cell>
          <cell r="D94">
            <v>-5874.54</v>
          </cell>
          <cell r="E94">
            <v>6352015.5700000003</v>
          </cell>
          <cell r="F94">
            <v>6352015.5700000003</v>
          </cell>
          <cell r="G94">
            <v>0</v>
          </cell>
          <cell r="H94">
            <v>6352015.5700000003</v>
          </cell>
          <cell r="I94">
            <v>0</v>
          </cell>
          <cell r="J94">
            <v>6352015.5700000003</v>
          </cell>
          <cell r="K94">
            <v>6352015.5700000003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</row>
        <row r="95">
          <cell r="A95" t="str">
            <v>400-30-030</v>
          </cell>
          <cell r="B95" t="str">
            <v>DEPRECIATION MOTOR VEHICLE</v>
          </cell>
          <cell r="C95">
            <v>2829621.21</v>
          </cell>
          <cell r="D95">
            <v>266253.78999999998</v>
          </cell>
          <cell r="E95">
            <v>3095875</v>
          </cell>
          <cell r="F95">
            <v>3095875</v>
          </cell>
          <cell r="G95">
            <v>0</v>
          </cell>
          <cell r="H95">
            <v>3095875</v>
          </cell>
          <cell r="I95">
            <v>0</v>
          </cell>
          <cell r="J95">
            <v>3095875</v>
          </cell>
          <cell r="K95">
            <v>3095875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</row>
        <row r="96">
          <cell r="A96" t="str">
            <v>400-30-035</v>
          </cell>
          <cell r="B96" t="str">
            <v>AMORTISATION CHARGE</v>
          </cell>
          <cell r="C96">
            <v>0</v>
          </cell>
          <cell r="D96">
            <v>1216066</v>
          </cell>
          <cell r="E96">
            <v>1216066</v>
          </cell>
          <cell r="F96">
            <v>1216066</v>
          </cell>
          <cell r="G96">
            <v>0</v>
          </cell>
          <cell r="H96">
            <v>1216066</v>
          </cell>
          <cell r="I96">
            <v>0</v>
          </cell>
          <cell r="J96">
            <v>0</v>
          </cell>
          <cell r="K96">
            <v>1216066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</row>
        <row r="97">
          <cell r="A97" t="str">
            <v>400-30-040</v>
          </cell>
          <cell r="B97" t="str">
            <v>OFFICE RENT</v>
          </cell>
          <cell r="C97">
            <v>11921875</v>
          </cell>
          <cell r="D97">
            <v>1079659.17</v>
          </cell>
          <cell r="E97">
            <v>13001534.17</v>
          </cell>
          <cell r="F97">
            <v>13001534.17</v>
          </cell>
          <cell r="G97">
            <v>0</v>
          </cell>
          <cell r="H97">
            <v>13001534.17</v>
          </cell>
          <cell r="I97">
            <v>0</v>
          </cell>
          <cell r="J97">
            <v>13001534.17</v>
          </cell>
          <cell r="K97">
            <v>12490567.470000001</v>
          </cell>
          <cell r="L97">
            <v>0</v>
          </cell>
          <cell r="M97">
            <v>0</v>
          </cell>
          <cell r="N97">
            <v>510966.7</v>
          </cell>
          <cell r="O97">
            <v>0</v>
          </cell>
        </row>
        <row r="98">
          <cell r="A98" t="str">
            <v>400-30-050</v>
          </cell>
          <cell r="B98" t="str">
            <v>OFFICE CATERING</v>
          </cell>
          <cell r="C98">
            <v>2715427.91</v>
          </cell>
          <cell r="D98">
            <v>1240512</v>
          </cell>
          <cell r="E98">
            <v>3955939.91</v>
          </cell>
          <cell r="F98">
            <v>3955939.91</v>
          </cell>
          <cell r="G98">
            <v>0</v>
          </cell>
          <cell r="H98">
            <v>3955939.91</v>
          </cell>
          <cell r="I98">
            <v>0</v>
          </cell>
          <cell r="J98">
            <v>3955939.91</v>
          </cell>
          <cell r="K98">
            <v>3955939.91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</row>
        <row r="99">
          <cell r="A99" t="str">
            <v>400-30-060</v>
          </cell>
          <cell r="B99" t="str">
            <v>OFFICE WATER</v>
          </cell>
          <cell r="C99">
            <v>5930</v>
          </cell>
          <cell r="D99">
            <v>800</v>
          </cell>
          <cell r="E99">
            <v>6730</v>
          </cell>
          <cell r="F99">
            <v>6730</v>
          </cell>
          <cell r="G99">
            <v>0</v>
          </cell>
          <cell r="H99">
            <v>6730</v>
          </cell>
          <cell r="I99">
            <v>0</v>
          </cell>
          <cell r="J99">
            <v>6730</v>
          </cell>
          <cell r="K99">
            <v>6730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</row>
        <row r="100">
          <cell r="A100" t="str">
            <v>400-30-070</v>
          </cell>
          <cell r="B100" t="str">
            <v>OFFICE ELECTRICITY</v>
          </cell>
          <cell r="C100">
            <v>54955.55</v>
          </cell>
          <cell r="D100">
            <v>10828.2</v>
          </cell>
          <cell r="E100">
            <v>65783.75</v>
          </cell>
          <cell r="F100">
            <v>65783.75</v>
          </cell>
          <cell r="G100">
            <v>0</v>
          </cell>
          <cell r="H100">
            <v>65783.75</v>
          </cell>
          <cell r="I100">
            <v>0</v>
          </cell>
          <cell r="J100">
            <v>65783.75</v>
          </cell>
          <cell r="K100">
            <v>65783.75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</row>
        <row r="101">
          <cell r="A101" t="str">
            <v>400-30-080</v>
          </cell>
          <cell r="B101" t="str">
            <v>OFFICE SECURITY</v>
          </cell>
          <cell r="C101">
            <v>0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</row>
        <row r="102">
          <cell r="A102" t="str">
            <v>400-40-005</v>
          </cell>
          <cell r="B102" t="str">
            <v>BANK CHARGES</v>
          </cell>
          <cell r="C102">
            <v>2340422</v>
          </cell>
          <cell r="D102">
            <v>233905.99</v>
          </cell>
          <cell r="E102">
            <v>2574327.9900000002</v>
          </cell>
          <cell r="F102">
            <v>2574327.9900000002</v>
          </cell>
          <cell r="G102">
            <v>0</v>
          </cell>
          <cell r="H102">
            <v>2574327.9900000002</v>
          </cell>
          <cell r="I102">
            <v>0</v>
          </cell>
          <cell r="J102">
            <v>2574327.9900000002</v>
          </cell>
          <cell r="K102">
            <v>2418303.58</v>
          </cell>
          <cell r="L102">
            <v>0</v>
          </cell>
          <cell r="M102">
            <v>0</v>
          </cell>
          <cell r="N102">
            <v>114879.16</v>
          </cell>
          <cell r="O102">
            <v>41145.25</v>
          </cell>
        </row>
        <row r="103">
          <cell r="A103" t="str">
            <v>400-40-006</v>
          </cell>
          <cell r="B103" t="str">
            <v>DONATIONS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5203213</v>
          </cell>
          <cell r="H103">
            <v>5203213</v>
          </cell>
          <cell r="I103">
            <v>0</v>
          </cell>
          <cell r="J103">
            <v>0</v>
          </cell>
          <cell r="K103">
            <v>5203213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</row>
        <row r="104">
          <cell r="A104" t="str">
            <v>400-40-007</v>
          </cell>
          <cell r="B104" t="str">
            <v>NEWSPAPERS &amp; JOURNALS</v>
          </cell>
          <cell r="C104">
            <v>273260</v>
          </cell>
          <cell r="D104">
            <v>26627.5</v>
          </cell>
          <cell r="E104">
            <v>299887.5</v>
          </cell>
          <cell r="F104">
            <v>299887.5</v>
          </cell>
          <cell r="G104">
            <v>0</v>
          </cell>
          <cell r="H104">
            <v>299887.5</v>
          </cell>
          <cell r="I104">
            <v>0</v>
          </cell>
          <cell r="J104">
            <v>299887.5</v>
          </cell>
          <cell r="K104">
            <v>286197.5</v>
          </cell>
          <cell r="L104">
            <v>0</v>
          </cell>
          <cell r="M104">
            <v>0</v>
          </cell>
          <cell r="N104">
            <v>13690</v>
          </cell>
          <cell r="O104">
            <v>0</v>
          </cell>
        </row>
        <row r="105">
          <cell r="A105" t="str">
            <v>400-40-008</v>
          </cell>
          <cell r="B105" t="str">
            <v>ENTERTAINMENT</v>
          </cell>
          <cell r="C105">
            <v>776733.73</v>
          </cell>
          <cell r="D105">
            <v>236989</v>
          </cell>
          <cell r="E105">
            <v>1013722.73</v>
          </cell>
          <cell r="F105">
            <v>1013722.73</v>
          </cell>
          <cell r="G105">
            <v>0</v>
          </cell>
          <cell r="H105">
            <v>1013722.73</v>
          </cell>
          <cell r="I105">
            <v>0</v>
          </cell>
          <cell r="J105">
            <v>1013722.73</v>
          </cell>
          <cell r="K105">
            <v>1003617.73</v>
          </cell>
          <cell r="L105">
            <v>0</v>
          </cell>
          <cell r="M105">
            <v>0</v>
          </cell>
          <cell r="N105">
            <v>10105</v>
          </cell>
          <cell r="O105">
            <v>0</v>
          </cell>
        </row>
        <row r="106">
          <cell r="A106" t="str">
            <v>400-40-009</v>
          </cell>
          <cell r="B106" t="str">
            <v>COURIER &amp; FREIGHT CHARGES</v>
          </cell>
          <cell r="C106">
            <v>992025.21</v>
          </cell>
          <cell r="D106">
            <v>186695.2</v>
          </cell>
          <cell r="E106">
            <v>1178720.4099999999</v>
          </cell>
          <cell r="F106">
            <v>1178720.4099999999</v>
          </cell>
          <cell r="G106">
            <v>0</v>
          </cell>
          <cell r="H106">
            <v>1178720.4099999999</v>
          </cell>
          <cell r="I106">
            <v>0</v>
          </cell>
          <cell r="J106">
            <v>1178720.4099999999</v>
          </cell>
          <cell r="K106">
            <v>1175799.99</v>
          </cell>
          <cell r="L106">
            <v>0</v>
          </cell>
          <cell r="M106">
            <v>0</v>
          </cell>
          <cell r="N106">
            <v>2920.42</v>
          </cell>
          <cell r="O106">
            <v>0</v>
          </cell>
        </row>
        <row r="107">
          <cell r="A107" t="str">
            <v>400-40-010</v>
          </cell>
          <cell r="B107" t="str">
            <v>ALA GROUP CHARGES</v>
          </cell>
          <cell r="C107">
            <v>1635499.28</v>
          </cell>
          <cell r="D107">
            <v>0</v>
          </cell>
          <cell r="E107">
            <v>1635499.28</v>
          </cell>
          <cell r="F107">
            <v>1635499.28</v>
          </cell>
          <cell r="G107">
            <v>0</v>
          </cell>
          <cell r="H107">
            <v>1635499.28</v>
          </cell>
          <cell r="I107">
            <v>0</v>
          </cell>
          <cell r="J107">
            <v>1635499.28</v>
          </cell>
          <cell r="K107">
            <v>1123000</v>
          </cell>
          <cell r="L107">
            <v>0</v>
          </cell>
          <cell r="M107">
            <v>0</v>
          </cell>
          <cell r="N107">
            <v>512499.28</v>
          </cell>
          <cell r="O107">
            <v>0</v>
          </cell>
        </row>
        <row r="108">
          <cell r="A108" t="str">
            <v>400-40-011</v>
          </cell>
          <cell r="B108" t="str">
            <v>ADVERTISING &amp; PUBLICITY</v>
          </cell>
          <cell r="C108">
            <v>1862217.55</v>
          </cell>
          <cell r="D108">
            <v>1873329.04</v>
          </cell>
          <cell r="E108">
            <v>3735546.59</v>
          </cell>
          <cell r="F108">
            <v>3735546.59</v>
          </cell>
          <cell r="G108">
            <v>0</v>
          </cell>
          <cell r="H108">
            <v>3735546.59</v>
          </cell>
          <cell r="I108">
            <v>0</v>
          </cell>
          <cell r="J108">
            <v>3735546.59</v>
          </cell>
          <cell r="K108">
            <v>3720326.59</v>
          </cell>
          <cell r="L108">
            <v>0</v>
          </cell>
          <cell r="M108">
            <v>0</v>
          </cell>
          <cell r="N108">
            <v>15220</v>
          </cell>
          <cell r="O108">
            <v>0</v>
          </cell>
        </row>
        <row r="109">
          <cell r="A109" t="str">
            <v>400-40-012</v>
          </cell>
          <cell r="B109" t="str">
            <v>TRADE LICENCES</v>
          </cell>
          <cell r="C109">
            <v>322491.21999999997</v>
          </cell>
          <cell r="D109">
            <v>22955.84</v>
          </cell>
          <cell r="E109">
            <v>345447.06</v>
          </cell>
          <cell r="F109">
            <v>345447.06</v>
          </cell>
          <cell r="G109">
            <v>0</v>
          </cell>
          <cell r="H109">
            <v>345447.06</v>
          </cell>
          <cell r="I109">
            <v>0</v>
          </cell>
          <cell r="J109">
            <v>345447.06</v>
          </cell>
          <cell r="K109">
            <v>345447.06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</row>
        <row r="110">
          <cell r="A110" t="str">
            <v>400-40-013</v>
          </cell>
          <cell r="B110" t="str">
            <v>INSURANCES</v>
          </cell>
          <cell r="C110">
            <v>1959200.34</v>
          </cell>
          <cell r="D110">
            <v>201635.21</v>
          </cell>
          <cell r="E110">
            <v>2160835.5499999998</v>
          </cell>
          <cell r="F110">
            <v>2160835.5499999998</v>
          </cell>
          <cell r="G110">
            <v>0</v>
          </cell>
          <cell r="H110">
            <v>2160835.5499999998</v>
          </cell>
          <cell r="I110">
            <v>0</v>
          </cell>
          <cell r="J110">
            <v>2160835.5499999998</v>
          </cell>
          <cell r="K110">
            <v>2122734.5499999998</v>
          </cell>
          <cell r="L110">
            <v>0</v>
          </cell>
          <cell r="M110">
            <v>0</v>
          </cell>
          <cell r="N110">
            <v>0</v>
          </cell>
          <cell r="O110">
            <v>38101</v>
          </cell>
        </row>
        <row r="111">
          <cell r="A111" t="str">
            <v>400-40-014</v>
          </cell>
          <cell r="B111" t="str">
            <v>PHOTOCOPY</v>
          </cell>
          <cell r="C111">
            <v>6528</v>
          </cell>
          <cell r="D111">
            <v>0</v>
          </cell>
          <cell r="E111">
            <v>6528</v>
          </cell>
          <cell r="F111">
            <v>6528</v>
          </cell>
          <cell r="G111">
            <v>0</v>
          </cell>
          <cell r="H111">
            <v>6528</v>
          </cell>
          <cell r="I111">
            <v>0</v>
          </cell>
          <cell r="J111">
            <v>6528</v>
          </cell>
          <cell r="K111">
            <v>6528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</row>
        <row r="112">
          <cell r="A112" t="str">
            <v>400-40-015</v>
          </cell>
          <cell r="B112" t="str">
            <v>COMPUTER MAINTENANCE</v>
          </cell>
          <cell r="C112">
            <v>389195</v>
          </cell>
          <cell r="D112">
            <v>47316</v>
          </cell>
          <cell r="E112">
            <v>436511</v>
          </cell>
          <cell r="F112">
            <v>436511</v>
          </cell>
          <cell r="G112">
            <v>0</v>
          </cell>
          <cell r="H112">
            <v>436511</v>
          </cell>
          <cell r="I112">
            <v>0</v>
          </cell>
          <cell r="J112">
            <v>436511</v>
          </cell>
          <cell r="K112">
            <v>436511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</row>
        <row r="113">
          <cell r="A113" t="str">
            <v>400-40-016</v>
          </cell>
          <cell r="B113" t="str">
            <v>EQUIPMENT MAINTENANCE</v>
          </cell>
          <cell r="C113">
            <v>686754.55</v>
          </cell>
          <cell r="D113">
            <v>88684.6</v>
          </cell>
          <cell r="E113">
            <v>775439.15</v>
          </cell>
          <cell r="F113">
            <v>775439.15</v>
          </cell>
          <cell r="G113">
            <v>0</v>
          </cell>
          <cell r="H113">
            <v>775439.15</v>
          </cell>
          <cell r="I113">
            <v>0</v>
          </cell>
          <cell r="J113">
            <v>775439.15</v>
          </cell>
          <cell r="K113">
            <v>737599.8</v>
          </cell>
          <cell r="L113">
            <v>0</v>
          </cell>
          <cell r="M113">
            <v>0</v>
          </cell>
          <cell r="N113">
            <v>37839.35</v>
          </cell>
          <cell r="O113">
            <v>0</v>
          </cell>
        </row>
        <row r="114">
          <cell r="A114" t="str">
            <v>400-40-017</v>
          </cell>
          <cell r="B114" t="str">
            <v>SEMINARS &amp; SHORT TERM COURSES</v>
          </cell>
          <cell r="C114">
            <v>810737</v>
          </cell>
          <cell r="D114">
            <v>0</v>
          </cell>
          <cell r="E114">
            <v>810737</v>
          </cell>
          <cell r="F114">
            <v>810737</v>
          </cell>
          <cell r="G114">
            <v>0</v>
          </cell>
          <cell r="H114">
            <v>810737</v>
          </cell>
          <cell r="I114">
            <v>0</v>
          </cell>
          <cell r="J114">
            <v>810737</v>
          </cell>
          <cell r="K114">
            <v>590787</v>
          </cell>
          <cell r="L114">
            <v>0</v>
          </cell>
          <cell r="M114">
            <v>0</v>
          </cell>
          <cell r="N114">
            <v>219950</v>
          </cell>
          <cell r="O114">
            <v>0</v>
          </cell>
        </row>
        <row r="115">
          <cell r="A115" t="str">
            <v>400-40-018</v>
          </cell>
          <cell r="B115" t="str">
            <v>SALES PROMOTIONS &amp; COMPETITION</v>
          </cell>
          <cell r="C115">
            <v>2916793.29</v>
          </cell>
          <cell r="D115">
            <v>632311.78</v>
          </cell>
          <cell r="E115">
            <v>3549105.07</v>
          </cell>
          <cell r="F115">
            <v>3549105.07</v>
          </cell>
          <cell r="G115">
            <v>0</v>
          </cell>
          <cell r="H115">
            <v>3549105.07</v>
          </cell>
          <cell r="I115">
            <v>0</v>
          </cell>
          <cell r="J115">
            <v>3549105.07</v>
          </cell>
          <cell r="K115">
            <v>3185975.98</v>
          </cell>
          <cell r="L115">
            <v>0</v>
          </cell>
          <cell r="M115">
            <v>0</v>
          </cell>
          <cell r="N115">
            <v>363129.09</v>
          </cell>
          <cell r="O115">
            <v>0</v>
          </cell>
        </row>
        <row r="116">
          <cell r="A116" t="str">
            <v>400-40-019</v>
          </cell>
          <cell r="B116" t="str">
            <v>COMPUTER CONSUMABLES</v>
          </cell>
          <cell r="C116">
            <v>0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</row>
        <row r="117">
          <cell r="A117" t="str">
            <v>400-40-020</v>
          </cell>
          <cell r="B117" t="str">
            <v>ACTURIAL FEES</v>
          </cell>
          <cell r="C117">
            <v>5836066.4400000004</v>
          </cell>
          <cell r="D117">
            <v>333333.34000000003</v>
          </cell>
          <cell r="E117">
            <v>6169399.7800000003</v>
          </cell>
          <cell r="F117">
            <v>6169399.7800000003</v>
          </cell>
          <cell r="G117">
            <v>0</v>
          </cell>
          <cell r="H117">
            <v>6169399.7800000003</v>
          </cell>
          <cell r="I117">
            <v>0</v>
          </cell>
          <cell r="J117">
            <v>6169399.7800000003</v>
          </cell>
          <cell r="K117">
            <v>5969400.3799999999</v>
          </cell>
          <cell r="L117">
            <v>0</v>
          </cell>
          <cell r="M117">
            <v>0</v>
          </cell>
          <cell r="N117">
            <v>199999.4</v>
          </cell>
          <cell r="O117">
            <v>0</v>
          </cell>
        </row>
        <row r="118">
          <cell r="A118" t="str">
            <v>400-40-021</v>
          </cell>
          <cell r="B118" t="str">
            <v>PRINTING &amp; STATIONERY</v>
          </cell>
          <cell r="C118">
            <v>6713881.25</v>
          </cell>
          <cell r="D118">
            <v>1314753</v>
          </cell>
          <cell r="E118">
            <v>8028634.25</v>
          </cell>
          <cell r="F118">
            <v>8028634.25</v>
          </cell>
          <cell r="G118">
            <v>0</v>
          </cell>
          <cell r="H118">
            <v>8028634.25</v>
          </cell>
          <cell r="I118">
            <v>0</v>
          </cell>
          <cell r="J118">
            <v>8028634.25</v>
          </cell>
          <cell r="K118">
            <v>7891255.75</v>
          </cell>
          <cell r="L118">
            <v>0</v>
          </cell>
          <cell r="M118">
            <v>0</v>
          </cell>
          <cell r="N118">
            <v>137378.5</v>
          </cell>
          <cell r="O118">
            <v>0</v>
          </cell>
        </row>
        <row r="119">
          <cell r="A119" t="str">
            <v>400-40-022</v>
          </cell>
          <cell r="B119" t="str">
            <v>STRATEGIC PLANNING</v>
          </cell>
          <cell r="C119">
            <v>763231.53</v>
          </cell>
          <cell r="D119">
            <v>1710</v>
          </cell>
          <cell r="E119">
            <v>764941.53</v>
          </cell>
          <cell r="F119">
            <v>764941.53</v>
          </cell>
          <cell r="G119">
            <v>0</v>
          </cell>
          <cell r="H119">
            <v>764941.53</v>
          </cell>
          <cell r="I119">
            <v>0</v>
          </cell>
          <cell r="J119">
            <v>764941.53</v>
          </cell>
          <cell r="K119">
            <v>764941.53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</row>
        <row r="120">
          <cell r="A120" t="str">
            <v>400-40-023</v>
          </cell>
          <cell r="B120" t="str">
            <v>PROFESSIONAL SUBSCRIPTION</v>
          </cell>
          <cell r="C120">
            <v>147604.95000000001</v>
          </cell>
          <cell r="D120">
            <v>90250.7</v>
          </cell>
          <cell r="E120">
            <v>237855.65</v>
          </cell>
          <cell r="F120">
            <v>237855.65</v>
          </cell>
          <cell r="G120">
            <v>0</v>
          </cell>
          <cell r="H120">
            <v>237855.65</v>
          </cell>
          <cell r="I120">
            <v>0</v>
          </cell>
          <cell r="J120">
            <v>237855.65</v>
          </cell>
          <cell r="K120">
            <v>231355.65</v>
          </cell>
          <cell r="L120">
            <v>0</v>
          </cell>
          <cell r="M120">
            <v>0</v>
          </cell>
          <cell r="N120">
            <v>6500</v>
          </cell>
          <cell r="O120">
            <v>0</v>
          </cell>
        </row>
        <row r="121">
          <cell r="A121" t="str">
            <v>400-40-024</v>
          </cell>
          <cell r="B121" t="str">
            <v>SUBSCIPTION -COMPANY</v>
          </cell>
          <cell r="C121">
            <v>544203.19999999995</v>
          </cell>
          <cell r="D121">
            <v>48226.400000000001</v>
          </cell>
          <cell r="E121">
            <v>592429.6</v>
          </cell>
          <cell r="F121">
            <v>592429.6</v>
          </cell>
          <cell r="G121">
            <v>0</v>
          </cell>
          <cell r="H121">
            <v>592429.6</v>
          </cell>
          <cell r="I121">
            <v>0</v>
          </cell>
          <cell r="J121">
            <v>592429.6</v>
          </cell>
          <cell r="K121">
            <v>592429.6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</row>
        <row r="122">
          <cell r="A122" t="str">
            <v>400-40-025</v>
          </cell>
          <cell r="B122" t="str">
            <v>TRAVEL &amp; ACCOMODATION</v>
          </cell>
          <cell r="C122">
            <v>4439924.63</v>
          </cell>
          <cell r="D122">
            <v>1363831.84</v>
          </cell>
          <cell r="E122">
            <v>5803756.4699999997</v>
          </cell>
          <cell r="F122">
            <v>5803756.4699999997</v>
          </cell>
          <cell r="G122">
            <v>0</v>
          </cell>
          <cell r="H122">
            <v>5803756.4699999997</v>
          </cell>
          <cell r="I122">
            <v>0</v>
          </cell>
          <cell r="J122">
            <v>5803756.4699999997</v>
          </cell>
          <cell r="K122">
            <v>5485894.7699999996</v>
          </cell>
          <cell r="L122">
            <v>0</v>
          </cell>
          <cell r="M122">
            <v>0</v>
          </cell>
          <cell r="N122">
            <v>317861.7</v>
          </cell>
          <cell r="O122">
            <v>0</v>
          </cell>
        </row>
        <row r="123">
          <cell r="A123" t="str">
            <v>400-40-026</v>
          </cell>
          <cell r="B123" t="str">
            <v>MOTOR VEHICLE EXPENSES</v>
          </cell>
          <cell r="C123">
            <v>555520.37</v>
          </cell>
          <cell r="D123">
            <v>65549.41</v>
          </cell>
          <cell r="E123">
            <v>621069.78</v>
          </cell>
          <cell r="F123">
            <v>621069.78</v>
          </cell>
          <cell r="G123">
            <v>0</v>
          </cell>
          <cell r="H123">
            <v>621069.78</v>
          </cell>
          <cell r="I123">
            <v>0</v>
          </cell>
          <cell r="J123">
            <v>621069.78</v>
          </cell>
          <cell r="K123">
            <v>616834.93999999994</v>
          </cell>
          <cell r="L123">
            <v>0</v>
          </cell>
          <cell r="M123">
            <v>0</v>
          </cell>
          <cell r="N123">
            <v>4234.84</v>
          </cell>
          <cell r="O123">
            <v>0</v>
          </cell>
        </row>
        <row r="124">
          <cell r="A124" t="str">
            <v>400-40-027</v>
          </cell>
          <cell r="B124" t="str">
            <v>POSTAGE</v>
          </cell>
          <cell r="C124">
            <v>3784538.42</v>
          </cell>
          <cell r="D124">
            <v>366364.08</v>
          </cell>
          <cell r="E124">
            <v>4150902.5</v>
          </cell>
          <cell r="F124">
            <v>4150902.5</v>
          </cell>
          <cell r="G124">
            <v>0</v>
          </cell>
          <cell r="H124">
            <v>4150902.5</v>
          </cell>
          <cell r="I124">
            <v>0</v>
          </cell>
          <cell r="J124">
            <v>4150902.5</v>
          </cell>
          <cell r="K124">
            <v>4150902.5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</row>
        <row r="125">
          <cell r="A125" t="str">
            <v>400-40-028</v>
          </cell>
          <cell r="B125" t="str">
            <v>TELEPHONE &amp; FAX</v>
          </cell>
          <cell r="C125">
            <v>4602715.21</v>
          </cell>
          <cell r="D125">
            <v>368177.53</v>
          </cell>
          <cell r="E125">
            <v>4970892.74</v>
          </cell>
          <cell r="F125">
            <v>4970892.74</v>
          </cell>
          <cell r="G125">
            <v>0</v>
          </cell>
          <cell r="H125">
            <v>4970892.74</v>
          </cell>
          <cell r="I125">
            <v>0</v>
          </cell>
          <cell r="J125">
            <v>4970892.74</v>
          </cell>
          <cell r="K125">
            <v>4736694.8</v>
          </cell>
          <cell r="L125">
            <v>0</v>
          </cell>
          <cell r="M125">
            <v>0</v>
          </cell>
          <cell r="N125">
            <v>234197.94</v>
          </cell>
          <cell r="O125">
            <v>0</v>
          </cell>
        </row>
        <row r="126">
          <cell r="A126" t="str">
            <v>400-40-029</v>
          </cell>
          <cell r="B126" t="str">
            <v>PROFESSIONAL TRAINING</v>
          </cell>
          <cell r="C126">
            <v>2130346.02</v>
          </cell>
          <cell r="D126">
            <v>-3396.87</v>
          </cell>
          <cell r="E126">
            <v>2126949.15</v>
          </cell>
          <cell r="F126">
            <v>2126949.15</v>
          </cell>
          <cell r="G126">
            <v>0</v>
          </cell>
          <cell r="H126">
            <v>2126949.15</v>
          </cell>
          <cell r="I126">
            <v>0</v>
          </cell>
          <cell r="J126">
            <v>2126949.15</v>
          </cell>
          <cell r="K126">
            <v>1982294.89</v>
          </cell>
          <cell r="L126">
            <v>0</v>
          </cell>
          <cell r="M126">
            <v>0</v>
          </cell>
          <cell r="N126">
            <v>144654.26</v>
          </cell>
          <cell r="O126">
            <v>0</v>
          </cell>
        </row>
        <row r="127">
          <cell r="A127" t="str">
            <v>400-40-030</v>
          </cell>
          <cell r="B127" t="str">
            <v>AUDIT FEES</v>
          </cell>
          <cell r="C127">
            <v>1869495.97</v>
          </cell>
          <cell r="D127">
            <v>160583.32999999999</v>
          </cell>
          <cell r="E127">
            <v>2030079.3</v>
          </cell>
          <cell r="F127">
            <v>2030079.3</v>
          </cell>
          <cell r="G127">
            <v>0</v>
          </cell>
          <cell r="H127">
            <v>2030079.3</v>
          </cell>
          <cell r="I127">
            <v>0</v>
          </cell>
          <cell r="J127">
            <v>2030079.3</v>
          </cell>
          <cell r="K127">
            <v>1926999.3</v>
          </cell>
          <cell r="L127">
            <v>0</v>
          </cell>
          <cell r="M127">
            <v>0</v>
          </cell>
          <cell r="N127">
            <v>30000</v>
          </cell>
          <cell r="O127">
            <v>73080</v>
          </cell>
        </row>
        <row r="128">
          <cell r="A128" t="str">
            <v>400-40-031</v>
          </cell>
          <cell r="B128" t="str">
            <v>CLUB-MEMBERSHIP ANNUAL</v>
          </cell>
          <cell r="C128">
            <v>366152.91</v>
          </cell>
          <cell r="D128">
            <v>18934.669999999998</v>
          </cell>
          <cell r="E128">
            <v>385087.58</v>
          </cell>
          <cell r="F128">
            <v>385087.58</v>
          </cell>
          <cell r="G128">
            <v>0</v>
          </cell>
          <cell r="H128">
            <v>385087.58</v>
          </cell>
          <cell r="I128">
            <v>0</v>
          </cell>
          <cell r="J128">
            <v>385087.58</v>
          </cell>
          <cell r="K128">
            <v>547587.57999999996</v>
          </cell>
          <cell r="L128">
            <v>0</v>
          </cell>
          <cell r="M128">
            <v>0</v>
          </cell>
          <cell r="N128">
            <v>-162500</v>
          </cell>
          <cell r="O128">
            <v>0</v>
          </cell>
        </row>
        <row r="129">
          <cell r="A129" t="str">
            <v>400-40-032</v>
          </cell>
          <cell r="B129" t="str">
            <v>LEASED LINES-INTERNET SERVICES</v>
          </cell>
          <cell r="C129">
            <v>854571.43</v>
          </cell>
          <cell r="D129">
            <v>166261.6</v>
          </cell>
          <cell r="E129">
            <v>1020833.03</v>
          </cell>
          <cell r="F129">
            <v>1020833.03</v>
          </cell>
          <cell r="G129">
            <v>0</v>
          </cell>
          <cell r="H129">
            <v>1020833.03</v>
          </cell>
          <cell r="I129">
            <v>0</v>
          </cell>
          <cell r="J129">
            <v>1020833.03</v>
          </cell>
          <cell r="K129">
            <v>1020833.03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</row>
        <row r="130">
          <cell r="A130" t="str">
            <v>400-40-033</v>
          </cell>
          <cell r="B130" t="str">
            <v>SOFTWARE LICENCES</v>
          </cell>
          <cell r="C130">
            <v>1350743.67</v>
          </cell>
          <cell r="D130">
            <v>37515.629999999997</v>
          </cell>
          <cell r="E130">
            <v>1388259.3</v>
          </cell>
          <cell r="F130">
            <v>1388259.3</v>
          </cell>
          <cell r="G130">
            <v>0</v>
          </cell>
          <cell r="H130">
            <v>1388259.3</v>
          </cell>
          <cell r="I130">
            <v>0</v>
          </cell>
          <cell r="J130">
            <v>1388259.3</v>
          </cell>
          <cell r="K130">
            <v>1388259.3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</row>
        <row r="131">
          <cell r="A131" t="str">
            <v>400-40-034</v>
          </cell>
          <cell r="B131" t="str">
            <v>DEPRECIATION OF BUILDING</v>
          </cell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</row>
        <row r="132">
          <cell r="A132" t="str">
            <v>400-40-035</v>
          </cell>
          <cell r="B132" t="str">
            <v>EDUCATION EXPENSES</v>
          </cell>
          <cell r="C132">
            <v>1961200</v>
          </cell>
          <cell r="D132">
            <v>227200</v>
          </cell>
          <cell r="E132">
            <v>2188400</v>
          </cell>
          <cell r="F132">
            <v>2188400</v>
          </cell>
          <cell r="G132">
            <v>0</v>
          </cell>
          <cell r="H132">
            <v>2188400</v>
          </cell>
          <cell r="I132">
            <v>0</v>
          </cell>
          <cell r="J132">
            <v>2188400</v>
          </cell>
          <cell r="K132">
            <v>2188400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</row>
        <row r="133">
          <cell r="A133" t="str">
            <v>400-40-040</v>
          </cell>
          <cell r="B133" t="str">
            <v>LEGAL FEES</v>
          </cell>
          <cell r="C133">
            <v>85942.5</v>
          </cell>
          <cell r="D133">
            <v>431610</v>
          </cell>
          <cell r="E133">
            <v>517552.5</v>
          </cell>
          <cell r="F133">
            <v>517552.5</v>
          </cell>
          <cell r="G133">
            <v>0</v>
          </cell>
          <cell r="H133">
            <v>517552.5</v>
          </cell>
          <cell r="I133">
            <v>0</v>
          </cell>
          <cell r="J133">
            <v>517552.5</v>
          </cell>
          <cell r="K133">
            <v>517552.5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</row>
        <row r="134">
          <cell r="A134" t="str">
            <v>400-40-050</v>
          </cell>
          <cell r="B134" t="str">
            <v>TAX CONSULTATION FEES</v>
          </cell>
          <cell r="C134">
            <v>447152.03</v>
          </cell>
          <cell r="D134">
            <v>24166.67</v>
          </cell>
          <cell r="E134">
            <v>471318.7</v>
          </cell>
          <cell r="F134">
            <v>471318.7</v>
          </cell>
          <cell r="G134">
            <v>0</v>
          </cell>
          <cell r="H134">
            <v>471318.7</v>
          </cell>
          <cell r="I134">
            <v>0</v>
          </cell>
          <cell r="J134">
            <v>471318.7</v>
          </cell>
          <cell r="K134">
            <v>471318.7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</row>
        <row r="135">
          <cell r="A135" t="str">
            <v>400-40-060</v>
          </cell>
          <cell r="B135" t="str">
            <v>INTRA-COMPANY -INDIVIDUAL</v>
          </cell>
          <cell r="C135">
            <v>11863532</v>
          </cell>
          <cell r="D135">
            <v>1078503</v>
          </cell>
          <cell r="E135">
            <v>12942035</v>
          </cell>
          <cell r="F135">
            <v>12942035</v>
          </cell>
          <cell r="G135">
            <v>0</v>
          </cell>
          <cell r="H135">
            <v>12942035</v>
          </cell>
          <cell r="I135">
            <v>0</v>
          </cell>
          <cell r="J135">
            <v>12942035</v>
          </cell>
          <cell r="K135">
            <v>9706526.75</v>
          </cell>
          <cell r="L135">
            <v>0</v>
          </cell>
          <cell r="M135">
            <v>0</v>
          </cell>
          <cell r="N135">
            <v>3235508.25</v>
          </cell>
          <cell r="O135">
            <v>0</v>
          </cell>
        </row>
        <row r="136">
          <cell r="A136" t="str">
            <v>400-40-065</v>
          </cell>
          <cell r="B136" t="str">
            <v>RECHARGE FROM IT</v>
          </cell>
          <cell r="C136">
            <v>858067.18</v>
          </cell>
          <cell r="D136">
            <v>78006.12</v>
          </cell>
          <cell r="E136">
            <v>936073.3</v>
          </cell>
          <cell r="F136">
            <v>936073.3</v>
          </cell>
          <cell r="G136">
            <v>0</v>
          </cell>
          <cell r="H136">
            <v>936073.3</v>
          </cell>
          <cell r="I136">
            <v>0</v>
          </cell>
          <cell r="J136">
            <v>936073.3</v>
          </cell>
          <cell r="K136">
            <v>0</v>
          </cell>
          <cell r="L136">
            <v>0</v>
          </cell>
          <cell r="M136">
            <v>0</v>
          </cell>
          <cell r="N136">
            <v>936073.3</v>
          </cell>
          <cell r="O136">
            <v>0</v>
          </cell>
        </row>
        <row r="137">
          <cell r="A137" t="str">
            <v>400-40-070</v>
          </cell>
          <cell r="B137" t="str">
            <v>10% RECHARGE TO CORP.BUSINESS</v>
          </cell>
          <cell r="C137">
            <v>-1416833.86</v>
          </cell>
          <cell r="D137">
            <v>-128803.1</v>
          </cell>
          <cell r="E137">
            <v>-1545636.96</v>
          </cell>
          <cell r="F137">
            <v>-1545636.96</v>
          </cell>
          <cell r="G137">
            <v>0</v>
          </cell>
          <cell r="H137">
            <v>-1545636.96</v>
          </cell>
          <cell r="I137">
            <v>0</v>
          </cell>
          <cell r="J137">
            <v>-1545636.96</v>
          </cell>
          <cell r="K137">
            <v>-8999590.8599999994</v>
          </cell>
          <cell r="L137">
            <v>0</v>
          </cell>
          <cell r="M137">
            <v>0</v>
          </cell>
          <cell r="N137">
            <v>7453953.9000000004</v>
          </cell>
          <cell r="O137">
            <v>0</v>
          </cell>
        </row>
        <row r="138">
          <cell r="A138" t="str">
            <v>400-40-075</v>
          </cell>
          <cell r="B138" t="str">
            <v>RECHARGE FROM HR</v>
          </cell>
          <cell r="C138">
            <v>1482924.85</v>
          </cell>
          <cell r="D138">
            <v>134811.35</v>
          </cell>
          <cell r="E138">
            <v>1617736.2</v>
          </cell>
          <cell r="F138">
            <v>1617736.2</v>
          </cell>
          <cell r="G138">
            <v>0</v>
          </cell>
          <cell r="H138">
            <v>1617736.2</v>
          </cell>
          <cell r="I138">
            <v>0</v>
          </cell>
          <cell r="J138">
            <v>1617736.2</v>
          </cell>
          <cell r="K138">
            <v>0</v>
          </cell>
          <cell r="L138">
            <v>0</v>
          </cell>
          <cell r="M138">
            <v>0</v>
          </cell>
          <cell r="N138">
            <v>1617736.2</v>
          </cell>
          <cell r="O138">
            <v>0</v>
          </cell>
        </row>
        <row r="139">
          <cell r="A139" t="str">
            <v>400-40-080</v>
          </cell>
          <cell r="B139" t="str">
            <v>3.5% RECHARGE TO CORP.BISINESS</v>
          </cell>
          <cell r="C139">
            <v>-924158.82</v>
          </cell>
          <cell r="D139">
            <v>-84014.38</v>
          </cell>
          <cell r="E139">
            <v>-1008173.2</v>
          </cell>
          <cell r="F139">
            <v>-1008173.2</v>
          </cell>
          <cell r="G139">
            <v>0</v>
          </cell>
          <cell r="H139">
            <v>-1008173.2</v>
          </cell>
          <cell r="I139">
            <v>0</v>
          </cell>
          <cell r="J139">
            <v>-1008173.2</v>
          </cell>
          <cell r="K139">
            <v>-7453954.9000000004</v>
          </cell>
          <cell r="L139">
            <v>0</v>
          </cell>
          <cell r="M139">
            <v>0</v>
          </cell>
          <cell r="N139">
            <v>6445781.7000000002</v>
          </cell>
          <cell r="O139">
            <v>0</v>
          </cell>
        </row>
        <row r="140">
          <cell r="A140" t="str">
            <v>400-40-090</v>
          </cell>
          <cell r="B140" t="str">
            <v>5% RECHARGE FOR HOLDINGS</v>
          </cell>
          <cell r="C140">
            <v>-6292208.0999999996</v>
          </cell>
          <cell r="D140">
            <v>-572018.91</v>
          </cell>
          <cell r="E140">
            <v>-6864227.0099999998</v>
          </cell>
          <cell r="F140">
            <v>-6864227.0099999998</v>
          </cell>
          <cell r="G140">
            <v>0</v>
          </cell>
          <cell r="H140">
            <v>-6864227.0099999998</v>
          </cell>
          <cell r="I140">
            <v>0</v>
          </cell>
          <cell r="J140">
            <v>-6864227.0099999998</v>
          </cell>
          <cell r="K140">
            <v>-6864227.0099999998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</row>
        <row r="141">
          <cell r="A141" t="str">
            <v>400-40-100</v>
          </cell>
          <cell r="B141" t="str">
            <v>PROFESSIONAL FEES</v>
          </cell>
          <cell r="C141">
            <v>0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</row>
        <row r="142">
          <cell r="A142" t="str">
            <v>400-40-110</v>
          </cell>
          <cell r="B142" t="str">
            <v>5% RECHARGE TO PA SECURITIES</v>
          </cell>
          <cell r="C142">
            <v>-1203794.92</v>
          </cell>
          <cell r="D142">
            <v>-109435.69</v>
          </cell>
          <cell r="E142">
            <v>-1313230.6100000001</v>
          </cell>
          <cell r="F142">
            <v>-1313230.6100000001</v>
          </cell>
          <cell r="G142">
            <v>0</v>
          </cell>
          <cell r="H142">
            <v>-1313230.6100000001</v>
          </cell>
          <cell r="I142">
            <v>0</v>
          </cell>
          <cell r="J142">
            <v>-1313230.6100000001</v>
          </cell>
          <cell r="K142">
            <v>-1313230.6100000001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</row>
        <row r="143">
          <cell r="A143" t="str">
            <v>400-40-120</v>
          </cell>
          <cell r="B143" t="str">
            <v>OUTSOURCING OF STAFF PAYROLL</v>
          </cell>
          <cell r="C143">
            <v>0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</row>
        <row r="144">
          <cell r="A144" t="str">
            <v>400-40-125</v>
          </cell>
          <cell r="B144" t="str">
            <v>RECHARGE TO ALA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</row>
        <row r="145">
          <cell r="A145" t="str">
            <v>400-40-130</v>
          </cell>
          <cell r="B145" t="str">
            <v>PRODUCT DEVELOPMENT COST</v>
          </cell>
          <cell r="C145">
            <v>17100</v>
          </cell>
          <cell r="D145">
            <v>0</v>
          </cell>
          <cell r="E145">
            <v>17100</v>
          </cell>
          <cell r="F145">
            <v>17100</v>
          </cell>
          <cell r="G145">
            <v>0</v>
          </cell>
          <cell r="H145">
            <v>17100</v>
          </cell>
          <cell r="I145">
            <v>0</v>
          </cell>
          <cell r="J145">
            <v>17100</v>
          </cell>
          <cell r="K145">
            <v>17100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</row>
        <row r="146">
          <cell r="A146" t="str">
            <v>400-40-140</v>
          </cell>
          <cell r="B146" t="str">
            <v>PRIOR YEAR ITEM</v>
          </cell>
          <cell r="C146">
            <v>0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</row>
        <row r="147">
          <cell r="A147" t="str">
            <v>400-43-010</v>
          </cell>
          <cell r="B147" t="str">
            <v>PRIOR ITEMS</v>
          </cell>
          <cell r="C147">
            <v>14109882.310000001</v>
          </cell>
          <cell r="D147">
            <v>5440364.0899999999</v>
          </cell>
          <cell r="E147">
            <v>19550246.399999999</v>
          </cell>
          <cell r="F147">
            <v>19550246.399999999</v>
          </cell>
          <cell r="G147">
            <v>0</v>
          </cell>
          <cell r="H147">
            <v>19550246.399999999</v>
          </cell>
          <cell r="I147">
            <v>0</v>
          </cell>
          <cell r="J147">
            <v>19550246.399999999</v>
          </cell>
          <cell r="K147">
            <v>19550246.399999999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</row>
        <row r="148">
          <cell r="A148" t="str">
            <v>400-45-010</v>
          </cell>
          <cell r="B148" t="str">
            <v>STAMP DUTY EXPENSES</v>
          </cell>
          <cell r="C148">
            <v>1488109.21</v>
          </cell>
          <cell r="D148">
            <v>-157394.71</v>
          </cell>
          <cell r="E148">
            <v>1330714.5</v>
          </cell>
          <cell r="F148">
            <v>1330714.5</v>
          </cell>
          <cell r="G148">
            <v>0</v>
          </cell>
          <cell r="H148">
            <v>1330714.5</v>
          </cell>
          <cell r="I148">
            <v>0</v>
          </cell>
          <cell r="J148">
            <v>1330714.5</v>
          </cell>
          <cell r="K148">
            <v>1330714.5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</row>
        <row r="149">
          <cell r="A149" t="str">
            <v>400-45-020</v>
          </cell>
          <cell r="B149" t="str">
            <v>PREMIUM TAX EXPENSE</v>
          </cell>
          <cell r="C149">
            <v>15114392.93</v>
          </cell>
          <cell r="D149">
            <v>1459095</v>
          </cell>
          <cell r="E149">
            <v>16573487.93</v>
          </cell>
          <cell r="F149">
            <v>16573487.93</v>
          </cell>
          <cell r="G149">
            <v>0</v>
          </cell>
          <cell r="H149">
            <v>16573487.93</v>
          </cell>
          <cell r="I149">
            <v>0</v>
          </cell>
          <cell r="J149">
            <v>16573487.93</v>
          </cell>
          <cell r="K149">
            <v>13880624</v>
          </cell>
          <cell r="L149">
            <v>0</v>
          </cell>
          <cell r="M149">
            <v>0</v>
          </cell>
          <cell r="N149">
            <v>2692863.93</v>
          </cell>
          <cell r="O149">
            <v>0</v>
          </cell>
        </row>
        <row r="150">
          <cell r="A150" t="str">
            <v>400-45-025</v>
          </cell>
          <cell r="B150" t="str">
            <v>POLICY HOLDER COLLECTION LEVY</v>
          </cell>
          <cell r="C150">
            <v>413278.08</v>
          </cell>
          <cell r="D150">
            <v>206622</v>
          </cell>
          <cell r="E150">
            <v>619900.07999999996</v>
          </cell>
          <cell r="F150">
            <v>619900.07999999996</v>
          </cell>
          <cell r="G150">
            <v>0</v>
          </cell>
          <cell r="H150">
            <v>619900.07999999996</v>
          </cell>
          <cell r="I150">
            <v>0</v>
          </cell>
          <cell r="J150">
            <v>619900.07999999996</v>
          </cell>
          <cell r="K150">
            <v>640255</v>
          </cell>
          <cell r="L150">
            <v>0</v>
          </cell>
          <cell r="M150">
            <v>0</v>
          </cell>
          <cell r="N150">
            <v>-20354.919999999998</v>
          </cell>
          <cell r="O150">
            <v>0</v>
          </cell>
        </row>
        <row r="151">
          <cell r="A151" t="str">
            <v>500-10-010</v>
          </cell>
          <cell r="B151" t="str">
            <v>NEW COMMISSION</v>
          </cell>
          <cell r="C151">
            <v>91525472.340000004</v>
          </cell>
          <cell r="D151">
            <v>7430740.21</v>
          </cell>
          <cell r="E151">
            <v>98956212.549999997</v>
          </cell>
          <cell r="F151">
            <v>98956212.549999997</v>
          </cell>
          <cell r="G151">
            <v>0</v>
          </cell>
          <cell r="H151">
            <v>98956212.549999997</v>
          </cell>
          <cell r="I151">
            <v>0</v>
          </cell>
          <cell r="J151">
            <v>98956212.549999997</v>
          </cell>
          <cell r="K151">
            <v>98851064.200000003</v>
          </cell>
          <cell r="L151">
            <v>0</v>
          </cell>
          <cell r="M151">
            <v>0</v>
          </cell>
          <cell r="N151">
            <v>105148.35</v>
          </cell>
          <cell r="O151">
            <v>0</v>
          </cell>
        </row>
        <row r="152">
          <cell r="A152" t="str">
            <v>500-20-010</v>
          </cell>
          <cell r="B152" t="str">
            <v>RENEWAL COMMISSION</v>
          </cell>
          <cell r="C152">
            <v>58373215.609999999</v>
          </cell>
          <cell r="D152">
            <v>-6807624.6399999997</v>
          </cell>
          <cell r="E152">
            <v>51565590.969999999</v>
          </cell>
          <cell r="F152">
            <v>51565590.969999999</v>
          </cell>
          <cell r="G152">
            <v>0</v>
          </cell>
          <cell r="H152">
            <v>51565590.969999999</v>
          </cell>
          <cell r="I152">
            <v>0</v>
          </cell>
          <cell r="J152">
            <v>51565590.969999999</v>
          </cell>
          <cell r="K152">
            <v>51565590.969999999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</row>
        <row r="153">
          <cell r="A153" t="str">
            <v>500-25-010</v>
          </cell>
          <cell r="B153" t="str">
            <v>AGENCY OVERRIDES</v>
          </cell>
          <cell r="C153">
            <v>12442059.220000001</v>
          </cell>
          <cell r="D153">
            <v>-689766.59</v>
          </cell>
          <cell r="E153">
            <v>11752292.630000001</v>
          </cell>
          <cell r="F153">
            <v>11752292.630000001</v>
          </cell>
          <cell r="G153">
            <v>0</v>
          </cell>
          <cell r="H153">
            <v>11752292.630000001</v>
          </cell>
          <cell r="I153">
            <v>0</v>
          </cell>
          <cell r="J153">
            <v>11752292.630000001</v>
          </cell>
          <cell r="K153">
            <v>11752292.630000001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</row>
        <row r="154">
          <cell r="A154" t="str">
            <v>500-25-015</v>
          </cell>
          <cell r="B154" t="str">
            <v>UNIT OVERRIDES</v>
          </cell>
          <cell r="C154">
            <v>14907928.810000001</v>
          </cell>
          <cell r="D154">
            <v>-107480.51</v>
          </cell>
          <cell r="E154">
            <v>14800448.300000001</v>
          </cell>
          <cell r="F154">
            <v>14800448.300000001</v>
          </cell>
          <cell r="G154">
            <v>0</v>
          </cell>
          <cell r="H154">
            <v>14800448.300000001</v>
          </cell>
          <cell r="I154">
            <v>0</v>
          </cell>
          <cell r="J154">
            <v>14800448.300000001</v>
          </cell>
          <cell r="K154">
            <v>14800448.300000001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</row>
        <row r="155">
          <cell r="A155" t="str">
            <v>500-25-020</v>
          </cell>
          <cell r="B155" t="str">
            <v>RETAINER</v>
          </cell>
          <cell r="C155">
            <v>0</v>
          </cell>
          <cell r="D155">
            <v>8775000</v>
          </cell>
          <cell r="E155">
            <v>8775000</v>
          </cell>
          <cell r="F155">
            <v>8775000</v>
          </cell>
          <cell r="G155">
            <v>0</v>
          </cell>
          <cell r="H155">
            <v>8775000</v>
          </cell>
          <cell r="I155">
            <v>0</v>
          </cell>
          <cell r="J155">
            <v>0</v>
          </cell>
          <cell r="K155">
            <v>8775000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</row>
        <row r="156">
          <cell r="A156" t="str">
            <v>500-25-025</v>
          </cell>
          <cell r="B156" t="str">
            <v>GUARANTEE</v>
          </cell>
          <cell r="C156">
            <v>0</v>
          </cell>
          <cell r="D156">
            <v>6816336.9500000002</v>
          </cell>
          <cell r="E156">
            <v>6816336.9500000002</v>
          </cell>
          <cell r="F156">
            <v>6816336.9500000002</v>
          </cell>
          <cell r="G156">
            <v>0</v>
          </cell>
          <cell r="H156">
            <v>6816336.9500000002</v>
          </cell>
          <cell r="I156">
            <v>0</v>
          </cell>
          <cell r="J156">
            <v>0</v>
          </cell>
          <cell r="K156">
            <v>6816336.9500000002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</row>
        <row r="157">
          <cell r="A157" t="str">
            <v>500-30-030</v>
          </cell>
          <cell r="B157" t="str">
            <v>SALES PROMOTION &amp; COMPETITIONS</v>
          </cell>
          <cell r="C157">
            <v>9712.6</v>
          </cell>
          <cell r="D157">
            <v>0</v>
          </cell>
          <cell r="E157">
            <v>9712.6</v>
          </cell>
          <cell r="F157">
            <v>9712.6</v>
          </cell>
          <cell r="G157">
            <v>0</v>
          </cell>
          <cell r="H157">
            <v>9712.6</v>
          </cell>
          <cell r="I157">
            <v>0</v>
          </cell>
          <cell r="J157">
            <v>9712.6</v>
          </cell>
          <cell r="K157">
            <v>9712.6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</row>
        <row r="158">
          <cell r="A158" t="str">
            <v>500-30-040</v>
          </cell>
          <cell r="B158" t="str">
            <v>PREMIUM COLLECTION CHARGES</v>
          </cell>
          <cell r="C158">
            <v>23303444.390000001</v>
          </cell>
          <cell r="D158">
            <v>2183490.1</v>
          </cell>
          <cell r="E158">
            <v>25486934.489999998</v>
          </cell>
          <cell r="F158">
            <v>25486934.489999998</v>
          </cell>
          <cell r="G158">
            <v>0</v>
          </cell>
          <cell r="H158">
            <v>25486934.489999998</v>
          </cell>
          <cell r="I158">
            <v>0</v>
          </cell>
          <cell r="J158">
            <v>25486934.489999998</v>
          </cell>
          <cell r="K158">
            <v>25486934.489999998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</row>
        <row r="159">
          <cell r="A159" t="str">
            <v>500-30-055</v>
          </cell>
          <cell r="B159" t="str">
            <v>AGENCY SUBSIDY</v>
          </cell>
          <cell r="C159">
            <v>4801524.6500000004</v>
          </cell>
          <cell r="D159">
            <v>-1547255.65</v>
          </cell>
          <cell r="E159">
            <v>3254269</v>
          </cell>
          <cell r="F159">
            <v>3254269</v>
          </cell>
          <cell r="G159">
            <v>0</v>
          </cell>
          <cell r="H159">
            <v>3254269</v>
          </cell>
          <cell r="I159">
            <v>0</v>
          </cell>
          <cell r="J159">
            <v>3254269</v>
          </cell>
          <cell r="K159">
            <v>3254269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</row>
        <row r="160">
          <cell r="A160" t="str">
            <v>500-30-060</v>
          </cell>
          <cell r="B160" t="str">
            <v>STAFF BONUS</v>
          </cell>
          <cell r="C160">
            <v>19599491</v>
          </cell>
          <cell r="D160">
            <v>-4750000</v>
          </cell>
          <cell r="E160">
            <v>14849491</v>
          </cell>
          <cell r="F160">
            <v>14849491</v>
          </cell>
          <cell r="G160">
            <v>0</v>
          </cell>
          <cell r="H160">
            <v>14849491</v>
          </cell>
          <cell r="I160">
            <v>0</v>
          </cell>
          <cell r="J160">
            <v>14849491</v>
          </cell>
          <cell r="K160">
            <v>13849491</v>
          </cell>
          <cell r="L160">
            <v>0</v>
          </cell>
          <cell r="M160">
            <v>0</v>
          </cell>
          <cell r="N160">
            <v>1000000</v>
          </cell>
          <cell r="O160">
            <v>0</v>
          </cell>
        </row>
        <row r="161">
          <cell r="A161" t="str">
            <v>500-35-010</v>
          </cell>
          <cell r="B161" t="str">
            <v>GROUP COMMISSION</v>
          </cell>
          <cell r="C161">
            <v>19830035.140000001</v>
          </cell>
          <cell r="D161">
            <v>5243109.84</v>
          </cell>
          <cell r="E161">
            <v>25073144.98</v>
          </cell>
          <cell r="F161">
            <v>25073144.98</v>
          </cell>
          <cell r="G161">
            <v>0</v>
          </cell>
          <cell r="H161">
            <v>25073144.98</v>
          </cell>
          <cell r="I161">
            <v>0</v>
          </cell>
          <cell r="J161">
            <v>25073144.98</v>
          </cell>
          <cell r="K161">
            <v>0</v>
          </cell>
          <cell r="L161">
            <v>0</v>
          </cell>
          <cell r="M161">
            <v>0</v>
          </cell>
          <cell r="N161">
            <v>25073144.98</v>
          </cell>
          <cell r="O161">
            <v>0</v>
          </cell>
        </row>
        <row r="162">
          <cell r="A162" t="str">
            <v>500-35-020</v>
          </cell>
          <cell r="B162" t="str">
            <v>PREMIUM ADMINISTRATION FEE - GROUP</v>
          </cell>
          <cell r="C162">
            <v>4076777.77</v>
          </cell>
          <cell r="D162">
            <v>7254971.9000000004</v>
          </cell>
          <cell r="E162">
            <v>11331749.67</v>
          </cell>
          <cell r="F162">
            <v>11331749.67</v>
          </cell>
          <cell r="G162">
            <v>0</v>
          </cell>
          <cell r="H162">
            <v>11331749.67</v>
          </cell>
          <cell r="I162">
            <v>0</v>
          </cell>
          <cell r="J162">
            <v>11331749.67</v>
          </cell>
          <cell r="K162">
            <v>0</v>
          </cell>
          <cell r="L162">
            <v>0</v>
          </cell>
          <cell r="M162">
            <v>0</v>
          </cell>
          <cell r="N162">
            <v>11331749.67</v>
          </cell>
          <cell r="O162">
            <v>0</v>
          </cell>
        </row>
        <row r="163">
          <cell r="A163" t="str">
            <v>500-35-030</v>
          </cell>
          <cell r="B163" t="str">
            <v>MEDICAL COSTS - GROUP</v>
          </cell>
          <cell r="C163">
            <v>51803.5</v>
          </cell>
          <cell r="D163">
            <v>588415</v>
          </cell>
          <cell r="E163">
            <v>640218.5</v>
          </cell>
          <cell r="F163">
            <v>640218.5</v>
          </cell>
          <cell r="G163">
            <v>0</v>
          </cell>
          <cell r="H163">
            <v>640218.5</v>
          </cell>
          <cell r="I163">
            <v>0</v>
          </cell>
          <cell r="J163">
            <v>640218.5</v>
          </cell>
          <cell r="K163">
            <v>0</v>
          </cell>
          <cell r="L163">
            <v>0</v>
          </cell>
          <cell r="M163">
            <v>0</v>
          </cell>
          <cell r="N163">
            <v>640218.5</v>
          </cell>
          <cell r="O163">
            <v>0</v>
          </cell>
        </row>
        <row r="164">
          <cell r="A164" t="str">
            <v>500-40-010</v>
          </cell>
          <cell r="B164" t="str">
            <v>AGENCY PENSION</v>
          </cell>
          <cell r="C164">
            <v>5340176</v>
          </cell>
          <cell r="D164">
            <v>55752</v>
          </cell>
          <cell r="E164">
            <v>5395928</v>
          </cell>
          <cell r="F164">
            <v>5395928</v>
          </cell>
          <cell r="G164">
            <v>0</v>
          </cell>
          <cell r="H164">
            <v>5395928</v>
          </cell>
          <cell r="I164">
            <v>0</v>
          </cell>
          <cell r="J164">
            <v>5395928</v>
          </cell>
          <cell r="K164">
            <v>5395928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</row>
        <row r="165">
          <cell r="A165" t="str">
            <v>500-40-020</v>
          </cell>
          <cell r="B165" t="str">
            <v>AGENCY GLA</v>
          </cell>
          <cell r="C165">
            <v>440764</v>
          </cell>
          <cell r="D165">
            <v>0</v>
          </cell>
          <cell r="E165">
            <v>440764</v>
          </cell>
          <cell r="F165">
            <v>440764</v>
          </cell>
          <cell r="G165">
            <v>0</v>
          </cell>
          <cell r="H165">
            <v>440764</v>
          </cell>
          <cell r="I165">
            <v>0</v>
          </cell>
          <cell r="J165">
            <v>440764</v>
          </cell>
          <cell r="K165">
            <v>440764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</row>
        <row r="166">
          <cell r="A166" t="str">
            <v>500-40-030</v>
          </cell>
          <cell r="B166" t="str">
            <v>AGENCY LAST EXPENSE</v>
          </cell>
          <cell r="C166">
            <v>353334.77</v>
          </cell>
          <cell r="D166">
            <v>0</v>
          </cell>
          <cell r="E166">
            <v>353334.77</v>
          </cell>
          <cell r="F166">
            <v>353334.77</v>
          </cell>
          <cell r="G166">
            <v>0</v>
          </cell>
          <cell r="H166">
            <v>353334.77</v>
          </cell>
          <cell r="I166">
            <v>0</v>
          </cell>
          <cell r="J166">
            <v>353334.77</v>
          </cell>
          <cell r="K166">
            <v>353334.77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</row>
        <row r="167">
          <cell r="A167" t="str">
            <v>500-40-040</v>
          </cell>
          <cell r="B167" t="str">
            <v>AGENCY MEDICAL</v>
          </cell>
          <cell r="C167">
            <v>594450</v>
          </cell>
          <cell r="D167">
            <v>123210</v>
          </cell>
          <cell r="E167">
            <v>717660</v>
          </cell>
          <cell r="F167">
            <v>717660</v>
          </cell>
          <cell r="G167">
            <v>0</v>
          </cell>
          <cell r="H167">
            <v>717660</v>
          </cell>
          <cell r="I167">
            <v>0</v>
          </cell>
          <cell r="J167">
            <v>717660</v>
          </cell>
          <cell r="K167">
            <v>717660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</row>
        <row r="168">
          <cell r="A168" t="str">
            <v>500-45-010</v>
          </cell>
          <cell r="B168" t="str">
            <v>MEDICAL EXPENSES</v>
          </cell>
          <cell r="C168">
            <v>837054.1</v>
          </cell>
          <cell r="D168">
            <v>1500</v>
          </cell>
          <cell r="E168">
            <v>838554.1</v>
          </cell>
          <cell r="F168">
            <v>838554.1</v>
          </cell>
          <cell r="G168">
            <v>0</v>
          </cell>
          <cell r="H168">
            <v>838554.1</v>
          </cell>
          <cell r="I168">
            <v>0</v>
          </cell>
          <cell r="J168">
            <v>838554.1</v>
          </cell>
          <cell r="K168">
            <v>38090</v>
          </cell>
          <cell r="L168">
            <v>0</v>
          </cell>
          <cell r="M168">
            <v>0</v>
          </cell>
          <cell r="N168">
            <v>800464.1</v>
          </cell>
          <cell r="O168">
            <v>0</v>
          </cell>
        </row>
        <row r="169">
          <cell r="A169" t="str">
            <v>600-10-010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</row>
        <row r="170">
          <cell r="A170" t="str">
            <v>600-10-020</v>
          </cell>
          <cell r="C170">
            <v>0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</row>
        <row r="171">
          <cell r="A171" t="str">
            <v>600-10-021</v>
          </cell>
          <cell r="B171" t="str">
            <v>MATURITY CLAIMS</v>
          </cell>
          <cell r="C171">
            <v>40276228.200000003</v>
          </cell>
          <cell r="D171">
            <v>6173091.3499999996</v>
          </cell>
          <cell r="E171">
            <v>46449319.549999997</v>
          </cell>
          <cell r="F171">
            <v>46449319.549999997</v>
          </cell>
          <cell r="G171">
            <v>0</v>
          </cell>
          <cell r="H171">
            <v>46449319.549999997</v>
          </cell>
          <cell r="I171">
            <v>0</v>
          </cell>
          <cell r="J171">
            <v>46449319.549999997</v>
          </cell>
          <cell r="K171">
            <v>46449319.549999997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</row>
        <row r="172">
          <cell r="A172" t="str">
            <v>600-10-022</v>
          </cell>
          <cell r="B172" t="str">
            <v>MATURITY CLAIMS ENDOWMENT</v>
          </cell>
          <cell r="C172">
            <v>20250334.649999999</v>
          </cell>
          <cell r="D172">
            <v>3430261.3</v>
          </cell>
          <cell r="E172">
            <v>23680595.949999999</v>
          </cell>
          <cell r="F172">
            <v>23680595.949999999</v>
          </cell>
          <cell r="G172">
            <v>0</v>
          </cell>
          <cell r="H172">
            <v>23680595.949999999</v>
          </cell>
          <cell r="I172">
            <v>0</v>
          </cell>
          <cell r="J172">
            <v>23680595.949999999</v>
          </cell>
          <cell r="K172">
            <v>23680595.949999999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</row>
        <row r="173">
          <cell r="A173" t="str">
            <v>600-10-023</v>
          </cell>
          <cell r="B173" t="str">
            <v>MATURITY CLAIMS EXPENSE</v>
          </cell>
          <cell r="C173">
            <v>0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</row>
        <row r="174">
          <cell r="A174" t="str">
            <v>600-10-024</v>
          </cell>
          <cell r="B174" t="str">
            <v>DEATH CLAIMS -ORDINARY</v>
          </cell>
          <cell r="C174">
            <v>8882137.75</v>
          </cell>
          <cell r="D174">
            <v>712874.8</v>
          </cell>
          <cell r="E174">
            <v>9595012.5500000007</v>
          </cell>
          <cell r="F174">
            <v>9595012.5500000007</v>
          </cell>
          <cell r="G174">
            <v>0</v>
          </cell>
          <cell r="H174">
            <v>9595012.5500000007</v>
          </cell>
          <cell r="I174">
            <v>0</v>
          </cell>
          <cell r="J174">
            <v>9595012.5500000007</v>
          </cell>
          <cell r="K174">
            <v>9595012.5500000007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</row>
        <row r="175">
          <cell r="A175" t="str">
            <v>600-10-025</v>
          </cell>
          <cell r="B175" t="str">
            <v>PERSONAL ACCIDENTS</v>
          </cell>
          <cell r="C175">
            <v>1537101</v>
          </cell>
          <cell r="D175">
            <v>389495</v>
          </cell>
          <cell r="E175">
            <v>1926596</v>
          </cell>
          <cell r="F175">
            <v>1926596</v>
          </cell>
          <cell r="G175">
            <v>0</v>
          </cell>
          <cell r="H175">
            <v>1926596</v>
          </cell>
          <cell r="I175">
            <v>0</v>
          </cell>
          <cell r="J175">
            <v>1926596</v>
          </cell>
          <cell r="K175">
            <v>1926596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</row>
        <row r="176">
          <cell r="A176" t="str">
            <v>600-10-026</v>
          </cell>
          <cell r="B176" t="str">
            <v>ANNUITY CLAIMS</v>
          </cell>
          <cell r="C176">
            <v>61369433.399999999</v>
          </cell>
          <cell r="D176">
            <v>6477172</v>
          </cell>
          <cell r="E176">
            <v>67846605.400000006</v>
          </cell>
          <cell r="F176">
            <v>67846605.400000006</v>
          </cell>
          <cell r="G176">
            <v>0</v>
          </cell>
          <cell r="H176">
            <v>67846605.400000006</v>
          </cell>
          <cell r="I176">
            <v>0</v>
          </cell>
          <cell r="J176">
            <v>67846605.400000006</v>
          </cell>
          <cell r="K176">
            <v>67846605.400000006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</row>
        <row r="177">
          <cell r="A177" t="str">
            <v>600-10-027</v>
          </cell>
          <cell r="B177" t="str">
            <v>CASH SURRENDER VALUE</v>
          </cell>
          <cell r="C177">
            <v>35617585.490000002</v>
          </cell>
          <cell r="D177">
            <v>7468714.75</v>
          </cell>
          <cell r="E177">
            <v>43086300.240000002</v>
          </cell>
          <cell r="F177">
            <v>43086300.240000002</v>
          </cell>
          <cell r="G177">
            <v>0</v>
          </cell>
          <cell r="H177">
            <v>43086300.240000002</v>
          </cell>
          <cell r="I177">
            <v>0</v>
          </cell>
          <cell r="J177">
            <v>43086300.240000002</v>
          </cell>
          <cell r="K177">
            <v>43086300.240000002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</row>
        <row r="178">
          <cell r="A178" t="str">
            <v>600-10-028</v>
          </cell>
          <cell r="B178" t="str">
            <v>FFF DEATH CLAIMS</v>
          </cell>
          <cell r="C178">
            <v>12447842.74</v>
          </cell>
          <cell r="D178">
            <v>1101027</v>
          </cell>
          <cell r="E178">
            <v>13548869.74</v>
          </cell>
          <cell r="F178">
            <v>13548869.74</v>
          </cell>
          <cell r="G178">
            <v>0</v>
          </cell>
          <cell r="H178">
            <v>13548869.74</v>
          </cell>
          <cell r="I178">
            <v>0</v>
          </cell>
          <cell r="J178">
            <v>13548869.74</v>
          </cell>
          <cell r="K178">
            <v>2334993</v>
          </cell>
          <cell r="L178">
            <v>11213876.74</v>
          </cell>
          <cell r="M178">
            <v>0</v>
          </cell>
          <cell r="N178">
            <v>0</v>
          </cell>
          <cell r="O178">
            <v>0</v>
          </cell>
        </row>
        <row r="179">
          <cell r="A179" t="str">
            <v>600-10-029</v>
          </cell>
          <cell r="B179" t="str">
            <v>CASH SURRENDER VALUE -WP</v>
          </cell>
          <cell r="C179">
            <v>8432940.8000000007</v>
          </cell>
          <cell r="D179">
            <v>2664778.9</v>
          </cell>
          <cell r="E179">
            <v>11097719.699999999</v>
          </cell>
          <cell r="F179">
            <v>11097719.699999999</v>
          </cell>
          <cell r="G179">
            <v>0</v>
          </cell>
          <cell r="H179">
            <v>11097719.699999999</v>
          </cell>
          <cell r="I179">
            <v>0</v>
          </cell>
          <cell r="J179">
            <v>11097719.700000001</v>
          </cell>
          <cell r="K179">
            <v>1917.9</v>
          </cell>
          <cell r="L179">
            <v>11095801.800000001</v>
          </cell>
          <cell r="M179">
            <v>0</v>
          </cell>
          <cell r="N179">
            <v>0</v>
          </cell>
          <cell r="O179">
            <v>0</v>
          </cell>
        </row>
        <row r="180">
          <cell r="A180" t="str">
            <v>600-10-030</v>
          </cell>
          <cell r="B180" t="str">
            <v>CASH SURRENDER VALUE-FFP</v>
          </cell>
          <cell r="C180">
            <v>95162</v>
          </cell>
          <cell r="D180">
            <v>14431</v>
          </cell>
          <cell r="E180">
            <v>109593</v>
          </cell>
          <cell r="F180">
            <v>109593</v>
          </cell>
          <cell r="G180">
            <v>0</v>
          </cell>
          <cell r="H180">
            <v>109593</v>
          </cell>
          <cell r="I180">
            <v>0</v>
          </cell>
          <cell r="J180">
            <v>109593</v>
          </cell>
          <cell r="K180">
            <v>0</v>
          </cell>
          <cell r="L180">
            <v>109593</v>
          </cell>
          <cell r="M180">
            <v>0</v>
          </cell>
          <cell r="N180">
            <v>0</v>
          </cell>
          <cell r="O180">
            <v>0</v>
          </cell>
        </row>
        <row r="181">
          <cell r="A181" t="str">
            <v>600-10-031</v>
          </cell>
          <cell r="B181" t="str">
            <v>PREMIUM REFUNDS</v>
          </cell>
          <cell r="C181">
            <v>16058</v>
          </cell>
          <cell r="D181">
            <v>1520</v>
          </cell>
          <cell r="E181">
            <v>17578</v>
          </cell>
          <cell r="F181">
            <v>17578</v>
          </cell>
          <cell r="G181">
            <v>0</v>
          </cell>
          <cell r="H181">
            <v>17578</v>
          </cell>
          <cell r="I181">
            <v>0</v>
          </cell>
          <cell r="J181">
            <v>17578</v>
          </cell>
          <cell r="K181">
            <v>17578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</row>
        <row r="182">
          <cell r="A182" t="str">
            <v>600-10-032</v>
          </cell>
          <cell r="B182" t="str">
            <v>WAIVER OF PREMIUMS EXPENSE</v>
          </cell>
          <cell r="C182">
            <v>1193225.3899999999</v>
          </cell>
          <cell r="D182">
            <v>189473.18</v>
          </cell>
          <cell r="E182">
            <v>1382698.57</v>
          </cell>
          <cell r="F182">
            <v>1382698.57</v>
          </cell>
          <cell r="G182">
            <v>0</v>
          </cell>
          <cell r="H182">
            <v>1382698.57</v>
          </cell>
          <cell r="I182">
            <v>0</v>
          </cell>
          <cell r="J182">
            <v>1382698.57</v>
          </cell>
          <cell r="K182">
            <v>372064.36</v>
          </cell>
          <cell r="L182">
            <v>1010634.21</v>
          </cell>
          <cell r="M182">
            <v>0</v>
          </cell>
          <cell r="N182">
            <v>0</v>
          </cell>
          <cell r="O182">
            <v>0</v>
          </cell>
        </row>
        <row r="183">
          <cell r="A183" t="str">
            <v>600-10-033</v>
          </cell>
          <cell r="B183" t="str">
            <v>CASH BONUS BENEFIT-FFFP</v>
          </cell>
          <cell r="C183">
            <v>38120.25</v>
          </cell>
          <cell r="D183">
            <v>20532</v>
          </cell>
          <cell r="E183">
            <v>58652.25</v>
          </cell>
          <cell r="F183">
            <v>58652.25</v>
          </cell>
          <cell r="G183">
            <v>0</v>
          </cell>
          <cell r="H183">
            <v>58652.25</v>
          </cell>
          <cell r="I183">
            <v>0</v>
          </cell>
          <cell r="J183">
            <v>58652.25</v>
          </cell>
          <cell r="K183">
            <v>0</v>
          </cell>
          <cell r="L183">
            <v>58652.25</v>
          </cell>
          <cell r="M183">
            <v>0</v>
          </cell>
          <cell r="N183">
            <v>0</v>
          </cell>
          <cell r="O183">
            <v>0</v>
          </cell>
        </row>
        <row r="184">
          <cell r="A184" t="str">
            <v>600-10-034</v>
          </cell>
          <cell r="B184" t="str">
            <v>PENALTIES RECOVERIES-FFFP</v>
          </cell>
          <cell r="C184">
            <v>-2449</v>
          </cell>
          <cell r="D184">
            <v>0</v>
          </cell>
          <cell r="E184">
            <v>-2449</v>
          </cell>
          <cell r="F184">
            <v>-2449</v>
          </cell>
          <cell r="G184">
            <v>0</v>
          </cell>
          <cell r="H184">
            <v>-2449</v>
          </cell>
          <cell r="I184">
            <v>0</v>
          </cell>
          <cell r="J184">
            <v>-2449</v>
          </cell>
          <cell r="K184">
            <v>0</v>
          </cell>
          <cell r="L184">
            <v>-2449</v>
          </cell>
          <cell r="M184">
            <v>0</v>
          </cell>
          <cell r="N184">
            <v>0</v>
          </cell>
          <cell r="O184">
            <v>0</v>
          </cell>
        </row>
        <row r="185">
          <cell r="A185" t="str">
            <v>600-10-035</v>
          </cell>
          <cell r="B185" t="str">
            <v>UNITS ENCASHMENT-WP</v>
          </cell>
          <cell r="C185">
            <v>0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</row>
        <row r="186">
          <cell r="A186" t="str">
            <v>600-10-036</v>
          </cell>
          <cell r="B186" t="str">
            <v>PENALTIES UNITS ENCASHMENT</v>
          </cell>
          <cell r="C186">
            <v>0</v>
          </cell>
          <cell r="D186">
            <v>0</v>
          </cell>
          <cell r="E186">
            <v>0</v>
          </cell>
          <cell r="F186">
            <v>0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</row>
        <row r="187">
          <cell r="A187" t="str">
            <v>600-10-037</v>
          </cell>
          <cell r="B187" t="str">
            <v>WP CLAIMS</v>
          </cell>
          <cell r="C187">
            <v>4573255.5999999996</v>
          </cell>
          <cell r="D187">
            <v>-84458.39</v>
          </cell>
          <cell r="E187">
            <v>4488797.21</v>
          </cell>
          <cell r="F187">
            <v>4488797.21</v>
          </cell>
          <cell r="G187">
            <v>0</v>
          </cell>
          <cell r="H187">
            <v>4488797.21</v>
          </cell>
          <cell r="I187">
            <v>0</v>
          </cell>
          <cell r="J187">
            <v>4488797.21</v>
          </cell>
          <cell r="K187">
            <v>15240</v>
          </cell>
          <cell r="L187">
            <v>4473557.21</v>
          </cell>
          <cell r="M187">
            <v>0</v>
          </cell>
          <cell r="N187">
            <v>0</v>
          </cell>
          <cell r="O187">
            <v>0</v>
          </cell>
        </row>
        <row r="188">
          <cell r="A188" t="str">
            <v>600-10-038</v>
          </cell>
          <cell r="B188" t="str">
            <v>PENALTIES ON CASH-BONUS  FFFP</v>
          </cell>
          <cell r="C188">
            <v>0</v>
          </cell>
          <cell r="D188">
            <v>0</v>
          </cell>
          <cell r="E188">
            <v>0</v>
          </cell>
          <cell r="F188">
            <v>0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</row>
        <row r="189">
          <cell r="A189" t="str">
            <v>600-10-039</v>
          </cell>
          <cell r="B189" t="str">
            <v>CLAIMS EXPENSE</v>
          </cell>
          <cell r="C189">
            <v>350113.4</v>
          </cell>
          <cell r="D189">
            <v>68390</v>
          </cell>
          <cell r="E189">
            <v>418503.4</v>
          </cell>
          <cell r="F189">
            <v>418503.4</v>
          </cell>
          <cell r="G189">
            <v>0</v>
          </cell>
          <cell r="H189">
            <v>418503.4</v>
          </cell>
          <cell r="I189">
            <v>0</v>
          </cell>
          <cell r="J189">
            <v>418503.4</v>
          </cell>
          <cell r="K189">
            <v>418503.4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</row>
        <row r="190">
          <cell r="A190" t="str">
            <v>600-10-040</v>
          </cell>
          <cell r="B190" t="str">
            <v>ADVERTISING (UNIT PRICE)</v>
          </cell>
          <cell r="C190">
            <v>15312</v>
          </cell>
          <cell r="D190">
            <v>7656</v>
          </cell>
          <cell r="E190">
            <v>22968</v>
          </cell>
          <cell r="F190">
            <v>22968</v>
          </cell>
          <cell r="G190">
            <v>0</v>
          </cell>
          <cell r="H190">
            <v>22968</v>
          </cell>
          <cell r="I190">
            <v>0</v>
          </cell>
          <cell r="J190">
            <v>22968</v>
          </cell>
          <cell r="K190">
            <v>0</v>
          </cell>
          <cell r="L190">
            <v>22968</v>
          </cell>
          <cell r="M190">
            <v>0</v>
          </cell>
          <cell r="N190">
            <v>0</v>
          </cell>
          <cell r="O190">
            <v>0</v>
          </cell>
        </row>
        <row r="191">
          <cell r="A191" t="str">
            <v>600-10-050</v>
          </cell>
          <cell r="C191">
            <v>0</v>
          </cell>
          <cell r="D191">
            <v>0</v>
          </cell>
          <cell r="E191">
            <v>0</v>
          </cell>
          <cell r="F191">
            <v>0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</row>
        <row r="192">
          <cell r="A192" t="str">
            <v>600-15-010</v>
          </cell>
          <cell r="B192" t="str">
            <v>LAST EXPENSE CLAIM</v>
          </cell>
          <cell r="C192">
            <v>6088292</v>
          </cell>
          <cell r="D192">
            <v>520000</v>
          </cell>
          <cell r="E192">
            <v>6608292</v>
          </cell>
          <cell r="F192">
            <v>6608292</v>
          </cell>
          <cell r="G192">
            <v>0</v>
          </cell>
          <cell r="H192">
            <v>6608292</v>
          </cell>
          <cell r="I192">
            <v>0</v>
          </cell>
          <cell r="J192">
            <v>6608292</v>
          </cell>
          <cell r="K192">
            <v>0</v>
          </cell>
          <cell r="L192">
            <v>0</v>
          </cell>
          <cell r="M192">
            <v>0</v>
          </cell>
          <cell r="N192">
            <v>6608292</v>
          </cell>
          <cell r="O192">
            <v>0</v>
          </cell>
        </row>
        <row r="193">
          <cell r="A193" t="str">
            <v>600-15-020</v>
          </cell>
          <cell r="B193" t="str">
            <v>PENSION SCHEME CLAIM</v>
          </cell>
          <cell r="C193">
            <v>38405018.600000001</v>
          </cell>
          <cell r="D193">
            <v>2621119.7999999998</v>
          </cell>
          <cell r="E193">
            <v>41026138.399999999</v>
          </cell>
          <cell r="F193">
            <v>41026138.399999999</v>
          </cell>
          <cell r="G193">
            <v>0</v>
          </cell>
          <cell r="H193">
            <v>41026138.399999999</v>
          </cell>
          <cell r="I193">
            <v>0</v>
          </cell>
          <cell r="J193">
            <v>41026138.399999999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41026138.399999999</v>
          </cell>
        </row>
        <row r="194">
          <cell r="A194" t="str">
            <v>600-15-030</v>
          </cell>
          <cell r="B194" t="str">
            <v>DEATH CLAIMS GROUP</v>
          </cell>
          <cell r="C194">
            <v>135821327.74000001</v>
          </cell>
          <cell r="D194">
            <v>841571.85</v>
          </cell>
          <cell r="E194">
            <v>136662899.59</v>
          </cell>
          <cell r="F194">
            <v>136662899.59</v>
          </cell>
          <cell r="G194">
            <v>0</v>
          </cell>
          <cell r="H194">
            <v>136662899.59</v>
          </cell>
          <cell r="I194">
            <v>0</v>
          </cell>
          <cell r="J194">
            <v>136662899.59</v>
          </cell>
          <cell r="K194">
            <v>0</v>
          </cell>
          <cell r="L194">
            <v>0</v>
          </cell>
          <cell r="M194">
            <v>0</v>
          </cell>
          <cell r="N194">
            <v>136662899.59</v>
          </cell>
          <cell r="O194">
            <v>0</v>
          </cell>
        </row>
        <row r="195">
          <cell r="A195" t="str">
            <v>600-15-040</v>
          </cell>
          <cell r="B195" t="str">
            <v>GROUP MATURITY CLAIMS</v>
          </cell>
          <cell r="C195">
            <v>891093.5</v>
          </cell>
          <cell r="D195">
            <v>0</v>
          </cell>
          <cell r="E195">
            <v>891093.5</v>
          </cell>
          <cell r="F195">
            <v>891093.5</v>
          </cell>
          <cell r="G195">
            <v>0</v>
          </cell>
          <cell r="H195">
            <v>891093.5</v>
          </cell>
          <cell r="I195">
            <v>0</v>
          </cell>
          <cell r="J195">
            <v>891093.5</v>
          </cell>
          <cell r="K195">
            <v>0</v>
          </cell>
          <cell r="L195">
            <v>0</v>
          </cell>
          <cell r="M195">
            <v>0</v>
          </cell>
          <cell r="N195">
            <v>891093.5</v>
          </cell>
          <cell r="O195">
            <v>0</v>
          </cell>
        </row>
        <row r="196">
          <cell r="A196" t="str">
            <v>600-15-045</v>
          </cell>
          <cell r="B196" t="str">
            <v>GROUP SURRENDERS</v>
          </cell>
          <cell r="C196">
            <v>67088.100000000006</v>
          </cell>
          <cell r="D196">
            <v>0</v>
          </cell>
          <cell r="E196">
            <v>67088.100000000006</v>
          </cell>
          <cell r="F196">
            <v>67088.100000000006</v>
          </cell>
          <cell r="G196">
            <v>0</v>
          </cell>
          <cell r="H196">
            <v>67088.100000000006</v>
          </cell>
          <cell r="I196">
            <v>0</v>
          </cell>
          <cell r="J196">
            <v>67088.100000000006</v>
          </cell>
          <cell r="K196">
            <v>0</v>
          </cell>
          <cell r="L196">
            <v>0</v>
          </cell>
          <cell r="M196">
            <v>0</v>
          </cell>
          <cell r="N196">
            <v>67088.100000000006</v>
          </cell>
          <cell r="O196">
            <v>0</v>
          </cell>
        </row>
        <row r="197">
          <cell r="A197" t="str">
            <v>600-15-050</v>
          </cell>
          <cell r="B197" t="str">
            <v>GROUP ANTICIPATED CLAIMS</v>
          </cell>
          <cell r="C197">
            <v>126187.4</v>
          </cell>
          <cell r="D197">
            <v>55716.65</v>
          </cell>
          <cell r="E197">
            <v>181904.05</v>
          </cell>
          <cell r="F197">
            <v>181904.05</v>
          </cell>
          <cell r="G197">
            <v>0</v>
          </cell>
          <cell r="H197">
            <v>181904.05</v>
          </cell>
          <cell r="I197">
            <v>0</v>
          </cell>
          <cell r="J197">
            <v>181904.05</v>
          </cell>
          <cell r="K197">
            <v>0</v>
          </cell>
          <cell r="L197">
            <v>0</v>
          </cell>
          <cell r="M197">
            <v>0</v>
          </cell>
          <cell r="N197">
            <v>181904.05</v>
          </cell>
          <cell r="O197">
            <v>0</v>
          </cell>
        </row>
        <row r="198">
          <cell r="A198" t="str">
            <v>600-15-055</v>
          </cell>
          <cell r="B198" t="str">
            <v>HARAMBEE CLAIMS</v>
          </cell>
          <cell r="C198">
            <v>143696.29999999999</v>
          </cell>
          <cell r="D198">
            <v>0</v>
          </cell>
          <cell r="E198">
            <v>143696.29999999999</v>
          </cell>
          <cell r="F198">
            <v>143696.29999999999</v>
          </cell>
          <cell r="G198">
            <v>0</v>
          </cell>
          <cell r="H198">
            <v>143696.29999999999</v>
          </cell>
          <cell r="I198">
            <v>0</v>
          </cell>
          <cell r="J198">
            <v>143696.29999999999</v>
          </cell>
          <cell r="K198">
            <v>0</v>
          </cell>
          <cell r="L198">
            <v>0</v>
          </cell>
          <cell r="M198">
            <v>0</v>
          </cell>
          <cell r="N198">
            <v>143696.29999999999</v>
          </cell>
          <cell r="O198">
            <v>0</v>
          </cell>
        </row>
        <row r="199">
          <cell r="A199" t="str">
            <v>600-15-060</v>
          </cell>
          <cell r="B199" t="str">
            <v>GROUP CREDIT SCHEMES CLAIMS</v>
          </cell>
          <cell r="C199">
            <v>30266855.5</v>
          </cell>
          <cell r="D199">
            <v>11793661.600000001</v>
          </cell>
          <cell r="E199">
            <v>42060517.100000001</v>
          </cell>
          <cell r="F199">
            <v>42060517.100000001</v>
          </cell>
          <cell r="G199">
            <v>0</v>
          </cell>
          <cell r="H199">
            <v>42060517.100000001</v>
          </cell>
          <cell r="I199">
            <v>0</v>
          </cell>
          <cell r="J199">
            <v>42060517.100000001</v>
          </cell>
          <cell r="K199">
            <v>0</v>
          </cell>
          <cell r="L199">
            <v>0</v>
          </cell>
          <cell r="M199">
            <v>0</v>
          </cell>
          <cell r="N199">
            <v>42060517.100000001</v>
          </cell>
          <cell r="O199">
            <v>0</v>
          </cell>
        </row>
        <row r="200">
          <cell r="A200" t="str">
            <v>600-15-065</v>
          </cell>
          <cell r="B200" t="str">
            <v>GROUP DISABILITY CLAIMS</v>
          </cell>
          <cell r="C200">
            <v>6424437.3700000001</v>
          </cell>
          <cell r="D200">
            <v>220773.9</v>
          </cell>
          <cell r="E200">
            <v>6645211.2699999996</v>
          </cell>
          <cell r="F200">
            <v>6645211.2699999996</v>
          </cell>
          <cell r="G200">
            <v>0</v>
          </cell>
          <cell r="H200">
            <v>6645211.2699999996</v>
          </cell>
          <cell r="I200">
            <v>0</v>
          </cell>
          <cell r="J200">
            <v>6645211.2699999996</v>
          </cell>
          <cell r="K200">
            <v>0</v>
          </cell>
          <cell r="L200">
            <v>0</v>
          </cell>
          <cell r="M200">
            <v>0</v>
          </cell>
          <cell r="N200">
            <v>6645211.2699999996</v>
          </cell>
          <cell r="O200">
            <v>0</v>
          </cell>
        </row>
        <row r="201">
          <cell r="A201" t="str">
            <v>600-15-070</v>
          </cell>
          <cell r="B201" t="str">
            <v>GROUP RETIEMENT ANNUITIES</v>
          </cell>
          <cell r="C201">
            <v>-67522.75</v>
          </cell>
          <cell r="D201">
            <v>264111.84999999998</v>
          </cell>
          <cell r="E201">
            <v>196589.1</v>
          </cell>
          <cell r="F201">
            <v>196589.1</v>
          </cell>
          <cell r="G201">
            <v>0</v>
          </cell>
          <cell r="H201">
            <v>196589.1</v>
          </cell>
          <cell r="I201">
            <v>0</v>
          </cell>
          <cell r="J201">
            <v>196589.1</v>
          </cell>
          <cell r="K201">
            <v>0</v>
          </cell>
          <cell r="L201">
            <v>0</v>
          </cell>
          <cell r="M201">
            <v>0</v>
          </cell>
          <cell r="N201">
            <v>196589.1</v>
          </cell>
          <cell r="O201">
            <v>0</v>
          </cell>
        </row>
        <row r="202">
          <cell r="A202" t="str">
            <v>600-15-075</v>
          </cell>
          <cell r="B202" t="str">
            <v>AUDIT FEES</v>
          </cell>
          <cell r="C202">
            <v>0</v>
          </cell>
          <cell r="D202">
            <v>0</v>
          </cell>
          <cell r="E202">
            <v>0</v>
          </cell>
          <cell r="F202">
            <v>0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</row>
        <row r="203">
          <cell r="A203" t="str">
            <v>600-15-080</v>
          </cell>
          <cell r="B203" t="str">
            <v>MANAGEMENT FEES</v>
          </cell>
          <cell r="C203">
            <v>16250</v>
          </cell>
          <cell r="D203">
            <v>0</v>
          </cell>
          <cell r="E203">
            <v>16250</v>
          </cell>
          <cell r="F203">
            <v>16250</v>
          </cell>
          <cell r="G203">
            <v>0</v>
          </cell>
          <cell r="H203">
            <v>16250</v>
          </cell>
          <cell r="I203">
            <v>0</v>
          </cell>
          <cell r="J203">
            <v>16250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16250</v>
          </cell>
        </row>
        <row r="204">
          <cell r="A204" t="str">
            <v>600-15-085</v>
          </cell>
          <cell r="B204" t="str">
            <v>RBA LEVIES</v>
          </cell>
          <cell r="C204">
            <v>340335.5</v>
          </cell>
          <cell r="D204">
            <v>0</v>
          </cell>
          <cell r="E204">
            <v>340335.5</v>
          </cell>
          <cell r="F204">
            <v>340335.5</v>
          </cell>
          <cell r="G204">
            <v>0</v>
          </cell>
          <cell r="H204">
            <v>340335.5</v>
          </cell>
          <cell r="I204">
            <v>0</v>
          </cell>
          <cell r="J204">
            <v>340335.5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340335.5</v>
          </cell>
        </row>
        <row r="205">
          <cell r="A205" t="str">
            <v>600-15-090</v>
          </cell>
          <cell r="B205" t="str">
            <v>ACTUARIAL FEES</v>
          </cell>
          <cell r="C205">
            <v>0</v>
          </cell>
          <cell r="D205">
            <v>0</v>
          </cell>
          <cell r="E205">
            <v>0</v>
          </cell>
          <cell r="F205">
            <v>0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</row>
        <row r="206">
          <cell r="A206" t="str">
            <v>600-15-095</v>
          </cell>
          <cell r="B206" t="str">
            <v>GROUP MORTGAGE CLAIMS</v>
          </cell>
          <cell r="C206">
            <v>121038</v>
          </cell>
          <cell r="D206">
            <v>0</v>
          </cell>
          <cell r="E206">
            <v>121038</v>
          </cell>
          <cell r="F206">
            <v>121038</v>
          </cell>
          <cell r="G206">
            <v>0</v>
          </cell>
          <cell r="H206">
            <v>121038</v>
          </cell>
          <cell r="I206">
            <v>0</v>
          </cell>
          <cell r="J206">
            <v>121038</v>
          </cell>
          <cell r="K206">
            <v>0</v>
          </cell>
          <cell r="L206">
            <v>0</v>
          </cell>
          <cell r="M206">
            <v>0</v>
          </cell>
          <cell r="N206">
            <v>121038</v>
          </cell>
          <cell r="O206">
            <v>0</v>
          </cell>
        </row>
        <row r="207">
          <cell r="A207" t="str">
            <v>600-15-100</v>
          </cell>
          <cell r="B207" t="str">
            <v>PREMIUM REFUNDS</v>
          </cell>
          <cell r="C207">
            <v>0</v>
          </cell>
          <cell r="D207">
            <v>0</v>
          </cell>
          <cell r="E207">
            <v>0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</row>
        <row r="208">
          <cell r="A208" t="str">
            <v>600-20-010</v>
          </cell>
          <cell r="C208">
            <v>0</v>
          </cell>
          <cell r="D208">
            <v>0</v>
          </cell>
          <cell r="E208">
            <v>0</v>
          </cell>
          <cell r="F208">
            <v>0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</row>
        <row r="209">
          <cell r="A209" t="str">
            <v>700-05-010</v>
          </cell>
          <cell r="B209" t="str">
            <v>AMBALAL HOUSE</v>
          </cell>
          <cell r="C209">
            <v>0</v>
          </cell>
          <cell r="D209">
            <v>0</v>
          </cell>
          <cell r="E209">
            <v>0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</row>
        <row r="210">
          <cell r="A210" t="str">
            <v>700-05-015</v>
          </cell>
          <cell r="B210" t="str">
            <v>RUNDA PLOT</v>
          </cell>
          <cell r="C210">
            <v>3000000</v>
          </cell>
          <cell r="D210">
            <v>500000</v>
          </cell>
          <cell r="E210">
            <v>3500000</v>
          </cell>
          <cell r="F210">
            <v>3500000</v>
          </cell>
          <cell r="G210">
            <v>0</v>
          </cell>
          <cell r="H210">
            <v>3500000</v>
          </cell>
          <cell r="I210">
            <v>0</v>
          </cell>
          <cell r="J210">
            <v>3500000</v>
          </cell>
          <cell r="K210">
            <v>3500000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</row>
        <row r="211">
          <cell r="A211" t="str">
            <v>700-05-020</v>
          </cell>
          <cell r="B211" t="str">
            <v>PAN AFRICA HOUSE NBI</v>
          </cell>
          <cell r="C211">
            <v>180000000</v>
          </cell>
          <cell r="D211">
            <v>0</v>
          </cell>
          <cell r="E211">
            <v>180000000</v>
          </cell>
          <cell r="F211">
            <v>180000000</v>
          </cell>
          <cell r="G211">
            <v>0</v>
          </cell>
          <cell r="H211">
            <v>180000000</v>
          </cell>
          <cell r="I211">
            <v>0</v>
          </cell>
          <cell r="J211">
            <v>180000000</v>
          </cell>
          <cell r="K211">
            <v>180000000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</row>
        <row r="212">
          <cell r="A212" t="str">
            <v>700-05-025</v>
          </cell>
          <cell r="B212" t="str">
            <v>RESIDENTIAL HSE -RETREAT VILLAS</v>
          </cell>
          <cell r="C212">
            <v>0</v>
          </cell>
          <cell r="D212">
            <v>0</v>
          </cell>
          <cell r="E212">
            <v>0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</row>
        <row r="213">
          <cell r="A213" t="str">
            <v>700-05-030</v>
          </cell>
          <cell r="B213" t="str">
            <v>PAN AFRICA INS. ARCADE PETROL STATION</v>
          </cell>
          <cell r="C213">
            <v>22500000</v>
          </cell>
          <cell r="D213">
            <v>2500000</v>
          </cell>
          <cell r="E213">
            <v>25000000</v>
          </cell>
          <cell r="F213">
            <v>25000000</v>
          </cell>
          <cell r="G213">
            <v>0</v>
          </cell>
          <cell r="H213">
            <v>25000000</v>
          </cell>
          <cell r="I213">
            <v>0</v>
          </cell>
          <cell r="J213">
            <v>25000000</v>
          </cell>
          <cell r="K213">
            <v>25000000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</row>
        <row r="214">
          <cell r="A214" t="str">
            <v>700-10-010</v>
          </cell>
          <cell r="B214" t="str">
            <v>MOTOR VEHICLES</v>
          </cell>
          <cell r="C214">
            <v>13595710</v>
          </cell>
          <cell r="D214">
            <v>0</v>
          </cell>
          <cell r="E214">
            <v>13595710</v>
          </cell>
          <cell r="F214">
            <v>13595710</v>
          </cell>
          <cell r="G214">
            <v>0</v>
          </cell>
          <cell r="H214">
            <v>13595710</v>
          </cell>
          <cell r="I214">
            <v>0</v>
          </cell>
          <cell r="J214">
            <v>13595710</v>
          </cell>
          <cell r="K214">
            <v>13595710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</row>
        <row r="215">
          <cell r="A215" t="str">
            <v>700-10-020</v>
          </cell>
          <cell r="B215" t="str">
            <v>COMPUTER EQUIPMENT</v>
          </cell>
          <cell r="C215">
            <v>42059018.670000002</v>
          </cell>
          <cell r="D215">
            <v>-3157053</v>
          </cell>
          <cell r="E215">
            <v>38901965.670000002</v>
          </cell>
          <cell r="F215">
            <v>38901965.670000002</v>
          </cell>
          <cell r="G215">
            <v>0</v>
          </cell>
          <cell r="H215">
            <v>38901965.670000002</v>
          </cell>
          <cell r="I215">
            <v>0</v>
          </cell>
          <cell r="J215">
            <v>38901965.670000002</v>
          </cell>
          <cell r="K215">
            <v>38901965.670000002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</row>
        <row r="216">
          <cell r="A216" t="str">
            <v>700-10-030</v>
          </cell>
          <cell r="B216" t="str">
            <v>FIXTURES &amp; FITTINGS</v>
          </cell>
          <cell r="C216">
            <v>64146013.280000001</v>
          </cell>
          <cell r="D216">
            <v>215090</v>
          </cell>
          <cell r="E216">
            <v>64361103.280000001</v>
          </cell>
          <cell r="F216">
            <v>64361103.280000001</v>
          </cell>
          <cell r="G216">
            <v>0</v>
          </cell>
          <cell r="H216">
            <v>64361103.280000001</v>
          </cell>
          <cell r="I216">
            <v>0</v>
          </cell>
          <cell r="J216">
            <v>64361103.280000001</v>
          </cell>
          <cell r="K216">
            <v>64361103.280000001</v>
          </cell>
          <cell r="L216">
            <v>0</v>
          </cell>
          <cell r="M216">
            <v>0</v>
          </cell>
          <cell r="N216">
            <v>0</v>
          </cell>
          <cell r="O216">
            <v>0</v>
          </cell>
        </row>
        <row r="217">
          <cell r="A217" t="str">
            <v>700-10-035</v>
          </cell>
          <cell r="B217" t="str">
            <v>INTANGIBLE ASSETS-SOFTWARE</v>
          </cell>
          <cell r="C217">
            <v>0</v>
          </cell>
          <cell r="D217">
            <v>4864264</v>
          </cell>
          <cell r="E217">
            <v>4864264</v>
          </cell>
          <cell r="F217">
            <v>4864264</v>
          </cell>
          <cell r="G217">
            <v>0</v>
          </cell>
          <cell r="H217">
            <v>4864264</v>
          </cell>
          <cell r="I217">
            <v>0</v>
          </cell>
          <cell r="J217">
            <v>0</v>
          </cell>
          <cell r="K217">
            <v>4864264</v>
          </cell>
          <cell r="L217">
            <v>0</v>
          </cell>
          <cell r="M217">
            <v>0</v>
          </cell>
          <cell r="N217">
            <v>0</v>
          </cell>
          <cell r="O217">
            <v>0</v>
          </cell>
        </row>
        <row r="218">
          <cell r="A218" t="str">
            <v>700-20-010</v>
          </cell>
          <cell r="B218" t="str">
            <v>PAN AFRICA HSE NBI</v>
          </cell>
          <cell r="C218">
            <v>0</v>
          </cell>
          <cell r="D218">
            <v>0</v>
          </cell>
          <cell r="E218">
            <v>0</v>
          </cell>
          <cell r="F218">
            <v>0</v>
          </cell>
          <cell r="G218">
            <v>0</v>
          </cell>
          <cell r="H218">
            <v>0</v>
          </cell>
          <cell r="I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O218">
            <v>0</v>
          </cell>
        </row>
        <row r="219">
          <cell r="A219" t="str">
            <v>700-20-020</v>
          </cell>
          <cell r="B219" t="str">
            <v>RESIDENTIAL HSE-LORESHO</v>
          </cell>
          <cell r="C219">
            <v>10687820</v>
          </cell>
          <cell r="D219">
            <v>0</v>
          </cell>
          <cell r="E219">
            <v>10687820</v>
          </cell>
          <cell r="F219">
            <v>10687820</v>
          </cell>
          <cell r="G219">
            <v>0</v>
          </cell>
          <cell r="H219">
            <v>10687820</v>
          </cell>
          <cell r="I219">
            <v>0</v>
          </cell>
          <cell r="J219">
            <v>10687820</v>
          </cell>
          <cell r="K219">
            <v>0</v>
          </cell>
          <cell r="L219">
            <v>0</v>
          </cell>
          <cell r="M219">
            <v>10687820</v>
          </cell>
          <cell r="N219">
            <v>0</v>
          </cell>
          <cell r="O219">
            <v>0</v>
          </cell>
        </row>
        <row r="220">
          <cell r="A220" t="str">
            <v>700-20-025</v>
          </cell>
          <cell r="B220" t="str">
            <v>REVALUATION SURPLUS</v>
          </cell>
          <cell r="C220">
            <v>0</v>
          </cell>
          <cell r="D220">
            <v>194223.25</v>
          </cell>
          <cell r="E220">
            <v>194223.25</v>
          </cell>
          <cell r="F220">
            <v>194223.25</v>
          </cell>
          <cell r="G220">
            <v>0</v>
          </cell>
          <cell r="H220">
            <v>194223.25</v>
          </cell>
          <cell r="I220">
            <v>0</v>
          </cell>
          <cell r="J220">
            <v>0</v>
          </cell>
          <cell r="K220">
            <v>0</v>
          </cell>
          <cell r="L220">
            <v>0</v>
          </cell>
          <cell r="M220">
            <v>194223.25</v>
          </cell>
          <cell r="N220">
            <v>0</v>
          </cell>
          <cell r="O220">
            <v>0</v>
          </cell>
        </row>
        <row r="221">
          <cell r="A221" t="str">
            <v>700-20-030</v>
          </cell>
          <cell r="B221" t="str">
            <v>RESIDENTIAL HSE-RETREAT</v>
          </cell>
          <cell r="C221">
            <v>0.6</v>
          </cell>
          <cell r="D221">
            <v>0</v>
          </cell>
          <cell r="E221">
            <v>0.6</v>
          </cell>
          <cell r="F221">
            <v>0.6</v>
          </cell>
          <cell r="G221">
            <v>0</v>
          </cell>
          <cell r="H221">
            <v>0.6</v>
          </cell>
          <cell r="I221">
            <v>0</v>
          </cell>
          <cell r="J221">
            <v>0.6</v>
          </cell>
          <cell r="K221">
            <v>0</v>
          </cell>
          <cell r="L221">
            <v>0</v>
          </cell>
          <cell r="M221">
            <v>0.6</v>
          </cell>
          <cell r="N221">
            <v>0</v>
          </cell>
          <cell r="O221">
            <v>0</v>
          </cell>
        </row>
        <row r="222">
          <cell r="A222" t="str">
            <v>700-25-010</v>
          </cell>
          <cell r="B222" t="str">
            <v>LORESHO RESIDENTIAL</v>
          </cell>
          <cell r="C222">
            <v>10212766</v>
          </cell>
          <cell r="D222">
            <v>0</v>
          </cell>
          <cell r="E222">
            <v>10212766</v>
          </cell>
          <cell r="F222">
            <v>10212766</v>
          </cell>
          <cell r="G222">
            <v>0</v>
          </cell>
          <cell r="H222">
            <v>10212766</v>
          </cell>
          <cell r="I222">
            <v>0</v>
          </cell>
          <cell r="J222">
            <v>10212766</v>
          </cell>
          <cell r="K222">
            <v>0</v>
          </cell>
          <cell r="L222">
            <v>0</v>
          </cell>
          <cell r="M222">
            <v>10212766</v>
          </cell>
          <cell r="N222">
            <v>0</v>
          </cell>
          <cell r="O222">
            <v>0</v>
          </cell>
        </row>
        <row r="223">
          <cell r="A223" t="str">
            <v>700-25-015</v>
          </cell>
          <cell r="B223" t="str">
            <v>REVALUATION SURPLUS</v>
          </cell>
          <cell r="C223">
            <v>0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M223">
            <v>0</v>
          </cell>
          <cell r="N223">
            <v>0</v>
          </cell>
          <cell r="O223">
            <v>0</v>
          </cell>
        </row>
        <row r="224">
          <cell r="A224" t="str">
            <v>700-30-010</v>
          </cell>
          <cell r="B224" t="str">
            <v>TREASURY BONDS</v>
          </cell>
          <cell r="C224">
            <v>862975000</v>
          </cell>
          <cell r="D224">
            <v>-47857020</v>
          </cell>
          <cell r="E224">
            <v>815117980</v>
          </cell>
          <cell r="F224">
            <v>815117980</v>
          </cell>
          <cell r="G224">
            <v>0</v>
          </cell>
          <cell r="H224">
            <v>815117980</v>
          </cell>
          <cell r="I224">
            <v>0</v>
          </cell>
          <cell r="J224">
            <v>815117980</v>
          </cell>
          <cell r="K224">
            <v>237185517</v>
          </cell>
          <cell r="L224">
            <v>214527878</v>
          </cell>
          <cell r="M224">
            <v>99725823</v>
          </cell>
          <cell r="N224">
            <v>180969816</v>
          </cell>
          <cell r="O224">
            <v>82708946</v>
          </cell>
        </row>
        <row r="225">
          <cell r="A225" t="str">
            <v>700-30-020</v>
          </cell>
          <cell r="B225" t="str">
            <v>TREASURY BILLS</v>
          </cell>
          <cell r="C225">
            <v>41200000</v>
          </cell>
          <cell r="D225">
            <v>-4620798</v>
          </cell>
          <cell r="E225">
            <v>36579202</v>
          </cell>
          <cell r="F225">
            <v>36579202</v>
          </cell>
          <cell r="G225">
            <v>0</v>
          </cell>
          <cell r="H225">
            <v>36579202</v>
          </cell>
          <cell r="I225">
            <v>0</v>
          </cell>
          <cell r="J225">
            <v>36579202</v>
          </cell>
          <cell r="K225">
            <v>28735000</v>
          </cell>
          <cell r="L225">
            <v>7844202</v>
          </cell>
          <cell r="M225">
            <v>0</v>
          </cell>
          <cell r="N225">
            <v>0</v>
          </cell>
          <cell r="O225">
            <v>0</v>
          </cell>
        </row>
        <row r="226">
          <cell r="A226" t="str">
            <v>700-30-030</v>
          </cell>
          <cell r="B226" t="str">
            <v>ACCRUED INTEREST</v>
          </cell>
          <cell r="C226">
            <v>29809613.719999999</v>
          </cell>
          <cell r="D226">
            <v>-1636252.1</v>
          </cell>
          <cell r="E226">
            <v>28173361.620000001</v>
          </cell>
          <cell r="F226">
            <v>28173361.620000001</v>
          </cell>
          <cell r="G226">
            <v>0</v>
          </cell>
          <cell r="H226">
            <v>28173361.620000001</v>
          </cell>
          <cell r="I226">
            <v>0</v>
          </cell>
          <cell r="J226">
            <v>28173361.620000001</v>
          </cell>
          <cell r="K226">
            <v>10245882.369999999</v>
          </cell>
          <cell r="L226">
            <v>5772195.6299999999</v>
          </cell>
          <cell r="M226">
            <v>2795914.52</v>
          </cell>
          <cell r="N226">
            <v>6675780.0499999998</v>
          </cell>
          <cell r="O226">
            <v>2683589.0499999998</v>
          </cell>
        </row>
        <row r="227">
          <cell r="A227" t="str">
            <v>700-30-040</v>
          </cell>
          <cell r="B227" t="str">
            <v>PREM ON BOND</v>
          </cell>
          <cell r="C227">
            <v>28325524.93</v>
          </cell>
          <cell r="D227">
            <v>-28325524.93</v>
          </cell>
          <cell r="E227">
            <v>0</v>
          </cell>
          <cell r="F227">
            <v>0</v>
          </cell>
          <cell r="G227">
            <v>0</v>
          </cell>
          <cell r="H227">
            <v>0</v>
          </cell>
          <cell r="I227">
            <v>0</v>
          </cell>
          <cell r="J227">
            <v>0</v>
          </cell>
          <cell r="K227">
            <v>0</v>
          </cell>
          <cell r="L227">
            <v>0</v>
          </cell>
          <cell r="M227">
            <v>0</v>
          </cell>
          <cell r="N227">
            <v>0</v>
          </cell>
          <cell r="O227">
            <v>0</v>
          </cell>
        </row>
        <row r="228">
          <cell r="A228" t="str">
            <v>700-30-045</v>
          </cell>
          <cell r="B228" t="str">
            <v>GAIN/LOSS ON VALUATION-TBS</v>
          </cell>
          <cell r="C228">
            <v>-1524359.1</v>
          </cell>
          <cell r="D228">
            <v>1524359.1</v>
          </cell>
          <cell r="E228">
            <v>0</v>
          </cell>
          <cell r="F228">
            <v>0</v>
          </cell>
          <cell r="G228">
            <v>0</v>
          </cell>
          <cell r="H228">
            <v>0</v>
          </cell>
          <cell r="I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O228">
            <v>0</v>
          </cell>
        </row>
        <row r="229">
          <cell r="A229" t="str">
            <v>700-35-010</v>
          </cell>
          <cell r="B229" t="str">
            <v>TREASURY BONDS</v>
          </cell>
          <cell r="C229">
            <v>171400000</v>
          </cell>
          <cell r="D229">
            <v>0</v>
          </cell>
          <cell r="E229">
            <v>171400000</v>
          </cell>
          <cell r="F229">
            <v>171400000</v>
          </cell>
          <cell r="G229">
            <v>0</v>
          </cell>
          <cell r="H229">
            <v>171400000</v>
          </cell>
          <cell r="I229">
            <v>0</v>
          </cell>
          <cell r="J229">
            <v>171400000</v>
          </cell>
          <cell r="K229">
            <v>111500000</v>
          </cell>
          <cell r="L229">
            <v>0</v>
          </cell>
          <cell r="M229">
            <v>0</v>
          </cell>
          <cell r="N229">
            <v>59900000</v>
          </cell>
          <cell r="O229">
            <v>0</v>
          </cell>
        </row>
        <row r="230">
          <cell r="A230" t="str">
            <v>700-40-010</v>
          </cell>
          <cell r="C230">
            <v>0</v>
          </cell>
          <cell r="D230">
            <v>0</v>
          </cell>
          <cell r="E230">
            <v>0</v>
          </cell>
          <cell r="F230">
            <v>0</v>
          </cell>
          <cell r="G230">
            <v>0</v>
          </cell>
          <cell r="H230">
            <v>0</v>
          </cell>
          <cell r="I230">
            <v>0</v>
          </cell>
          <cell r="J230">
            <v>0</v>
          </cell>
          <cell r="K230">
            <v>0</v>
          </cell>
          <cell r="L230">
            <v>0</v>
          </cell>
          <cell r="M230">
            <v>0</v>
          </cell>
          <cell r="N230">
            <v>0</v>
          </cell>
          <cell r="O230">
            <v>0</v>
          </cell>
        </row>
        <row r="231">
          <cell r="A231" t="str">
            <v>700-40-020</v>
          </cell>
          <cell r="C231">
            <v>0</v>
          </cell>
          <cell r="D231">
            <v>0</v>
          </cell>
          <cell r="E231">
            <v>0</v>
          </cell>
          <cell r="F231">
            <v>0</v>
          </cell>
          <cell r="G231">
            <v>0</v>
          </cell>
          <cell r="H231">
            <v>0</v>
          </cell>
          <cell r="I231">
            <v>0</v>
          </cell>
          <cell r="J231">
            <v>0</v>
          </cell>
          <cell r="K231">
            <v>0</v>
          </cell>
          <cell r="L231">
            <v>0</v>
          </cell>
          <cell r="M231">
            <v>0</v>
          </cell>
          <cell r="N231">
            <v>0</v>
          </cell>
          <cell r="O231">
            <v>0</v>
          </cell>
        </row>
        <row r="232">
          <cell r="A232" t="str">
            <v>700-40-030</v>
          </cell>
          <cell r="C232">
            <v>0</v>
          </cell>
          <cell r="D232">
            <v>0</v>
          </cell>
          <cell r="E232">
            <v>0</v>
          </cell>
          <cell r="F232">
            <v>0</v>
          </cell>
          <cell r="G232">
            <v>0</v>
          </cell>
          <cell r="H232">
            <v>0</v>
          </cell>
          <cell r="I232">
            <v>0</v>
          </cell>
          <cell r="J232">
            <v>0</v>
          </cell>
          <cell r="K232">
            <v>0</v>
          </cell>
          <cell r="L232">
            <v>0</v>
          </cell>
          <cell r="M232">
            <v>0</v>
          </cell>
          <cell r="N232">
            <v>0</v>
          </cell>
          <cell r="O232">
            <v>0</v>
          </cell>
        </row>
        <row r="233">
          <cell r="A233" t="str">
            <v>700-40-040</v>
          </cell>
          <cell r="C233">
            <v>0</v>
          </cell>
          <cell r="D233">
            <v>0</v>
          </cell>
          <cell r="E233">
            <v>0</v>
          </cell>
          <cell r="F233">
            <v>0</v>
          </cell>
          <cell r="G233">
            <v>0</v>
          </cell>
          <cell r="H233">
            <v>0</v>
          </cell>
          <cell r="I233">
            <v>0</v>
          </cell>
          <cell r="J233">
            <v>0</v>
          </cell>
          <cell r="K233">
            <v>0</v>
          </cell>
          <cell r="L233">
            <v>0</v>
          </cell>
          <cell r="M233">
            <v>0</v>
          </cell>
          <cell r="N233">
            <v>0</v>
          </cell>
          <cell r="O233">
            <v>0</v>
          </cell>
        </row>
        <row r="234">
          <cell r="A234" t="str">
            <v>700-50-010</v>
          </cell>
          <cell r="B234" t="str">
            <v>BROOKE BOND LEIBERG</v>
          </cell>
          <cell r="C234">
            <v>392392</v>
          </cell>
          <cell r="D234">
            <v>-2156.5</v>
          </cell>
          <cell r="E234">
            <v>390235.5</v>
          </cell>
          <cell r="F234">
            <v>390235.5</v>
          </cell>
          <cell r="G234">
            <v>0</v>
          </cell>
          <cell r="H234">
            <v>390235.5</v>
          </cell>
          <cell r="I234">
            <v>0</v>
          </cell>
          <cell r="J234">
            <v>390235.5</v>
          </cell>
          <cell r="K234">
            <v>253671.5</v>
          </cell>
          <cell r="L234">
            <v>0</v>
          </cell>
          <cell r="M234">
            <v>136564</v>
          </cell>
          <cell r="N234">
            <v>0</v>
          </cell>
          <cell r="O234">
            <v>0</v>
          </cell>
        </row>
        <row r="235">
          <cell r="A235" t="str">
            <v>700-50-030</v>
          </cell>
          <cell r="B235" t="str">
            <v>LIMURU TEA CO.</v>
          </cell>
          <cell r="C235">
            <v>693306</v>
          </cell>
          <cell r="D235">
            <v>0</v>
          </cell>
          <cell r="E235">
            <v>693306</v>
          </cell>
          <cell r="F235">
            <v>693306</v>
          </cell>
          <cell r="G235">
            <v>0</v>
          </cell>
          <cell r="H235">
            <v>693306</v>
          </cell>
          <cell r="I235">
            <v>0</v>
          </cell>
          <cell r="J235">
            <v>693306</v>
          </cell>
          <cell r="K235">
            <v>347000</v>
          </cell>
          <cell r="L235">
            <v>0</v>
          </cell>
          <cell r="M235">
            <v>346306</v>
          </cell>
          <cell r="N235">
            <v>0</v>
          </cell>
          <cell r="O235">
            <v>0</v>
          </cell>
        </row>
        <row r="236">
          <cell r="A236" t="str">
            <v>700-50-035</v>
          </cell>
          <cell r="B236" t="str">
            <v>BAMBURI CEMENT</v>
          </cell>
          <cell r="C236">
            <v>17005712</v>
          </cell>
          <cell r="D236">
            <v>500168</v>
          </cell>
          <cell r="E236">
            <v>17505880</v>
          </cell>
          <cell r="F236">
            <v>17505880</v>
          </cell>
          <cell r="G236">
            <v>0</v>
          </cell>
          <cell r="H236">
            <v>17505880</v>
          </cell>
          <cell r="I236">
            <v>0</v>
          </cell>
          <cell r="J236">
            <v>17505880</v>
          </cell>
          <cell r="K236">
            <v>6796440</v>
          </cell>
          <cell r="L236">
            <v>7840000</v>
          </cell>
          <cell r="M236">
            <v>0</v>
          </cell>
          <cell r="N236">
            <v>0</v>
          </cell>
          <cell r="O236">
            <v>2869440</v>
          </cell>
        </row>
        <row r="237">
          <cell r="A237" t="str">
            <v>700-50-040</v>
          </cell>
          <cell r="B237" t="str">
            <v>SASINI TEA &amp; COFFEE LTD</v>
          </cell>
          <cell r="C237">
            <v>3265312</v>
          </cell>
          <cell r="D237">
            <v>-556875</v>
          </cell>
          <cell r="E237">
            <v>2708437</v>
          </cell>
          <cell r="F237">
            <v>2708437</v>
          </cell>
          <cell r="G237">
            <v>0</v>
          </cell>
          <cell r="H237">
            <v>2708437</v>
          </cell>
          <cell r="I237">
            <v>0</v>
          </cell>
          <cell r="J237">
            <v>2708437</v>
          </cell>
          <cell r="K237">
            <v>1605000</v>
          </cell>
          <cell r="L237">
            <v>0</v>
          </cell>
          <cell r="M237">
            <v>1103437</v>
          </cell>
          <cell r="N237">
            <v>0</v>
          </cell>
          <cell r="O237">
            <v>0</v>
          </cell>
        </row>
        <row r="238">
          <cell r="A238" t="str">
            <v>700-50-050</v>
          </cell>
          <cell r="B238" t="str">
            <v>E.A BREWERIES</v>
          </cell>
          <cell r="C238">
            <v>95766480</v>
          </cell>
          <cell r="D238">
            <v>-2081880</v>
          </cell>
          <cell r="E238">
            <v>93684600</v>
          </cell>
          <cell r="F238">
            <v>93684600</v>
          </cell>
          <cell r="G238">
            <v>0</v>
          </cell>
          <cell r="H238">
            <v>93684600</v>
          </cell>
          <cell r="I238">
            <v>0</v>
          </cell>
          <cell r="J238">
            <v>93684600</v>
          </cell>
          <cell r="K238">
            <v>40562100</v>
          </cell>
          <cell r="L238">
            <v>23719500</v>
          </cell>
          <cell r="M238">
            <v>16200000</v>
          </cell>
          <cell r="N238">
            <v>7938000</v>
          </cell>
          <cell r="O238">
            <v>5265000</v>
          </cell>
        </row>
        <row r="239">
          <cell r="A239" t="str">
            <v>700-50-055</v>
          </cell>
          <cell r="B239" t="str">
            <v>EAST AFRICA PORTLAND</v>
          </cell>
          <cell r="C239">
            <v>5103410</v>
          </cell>
          <cell r="D239">
            <v>0</v>
          </cell>
          <cell r="E239">
            <v>5103410</v>
          </cell>
          <cell r="F239">
            <v>5103410</v>
          </cell>
          <cell r="G239">
            <v>0</v>
          </cell>
          <cell r="H239">
            <v>5103410</v>
          </cell>
          <cell r="I239">
            <v>0</v>
          </cell>
          <cell r="J239">
            <v>5103410</v>
          </cell>
          <cell r="K239">
            <v>2423410</v>
          </cell>
          <cell r="L239">
            <v>1452000</v>
          </cell>
          <cell r="M239">
            <v>660000</v>
          </cell>
          <cell r="N239">
            <v>440000</v>
          </cell>
          <cell r="O239">
            <v>128000</v>
          </cell>
        </row>
        <row r="240">
          <cell r="A240" t="str">
            <v>700-50-060</v>
          </cell>
          <cell r="B240" t="str">
            <v>UNGA GROUP</v>
          </cell>
          <cell r="C240">
            <v>2144747.6</v>
          </cell>
          <cell r="D240">
            <v>-44221.599999999999</v>
          </cell>
          <cell r="E240">
            <v>2100526</v>
          </cell>
          <cell r="F240">
            <v>2100526</v>
          </cell>
          <cell r="G240">
            <v>0</v>
          </cell>
          <cell r="H240">
            <v>2100526</v>
          </cell>
          <cell r="I240">
            <v>0</v>
          </cell>
          <cell r="J240">
            <v>2100526</v>
          </cell>
          <cell r="K240">
            <v>2100526</v>
          </cell>
          <cell r="L240">
            <v>0</v>
          </cell>
          <cell r="M240">
            <v>0</v>
          </cell>
          <cell r="N240">
            <v>0</v>
          </cell>
          <cell r="O240">
            <v>0</v>
          </cell>
        </row>
        <row r="241">
          <cell r="A241" t="str">
            <v>700-50-065</v>
          </cell>
          <cell r="B241" t="str">
            <v>STANCHART</v>
          </cell>
          <cell r="C241">
            <v>5527891</v>
          </cell>
          <cell r="D241">
            <v>0</v>
          </cell>
          <cell r="E241">
            <v>5527891</v>
          </cell>
          <cell r="F241">
            <v>5527891</v>
          </cell>
          <cell r="G241">
            <v>0</v>
          </cell>
          <cell r="H241">
            <v>5527891</v>
          </cell>
          <cell r="I241">
            <v>0</v>
          </cell>
          <cell r="J241">
            <v>5527891</v>
          </cell>
          <cell r="K241">
            <v>0</v>
          </cell>
          <cell r="L241">
            <v>1668000</v>
          </cell>
          <cell r="M241">
            <v>0</v>
          </cell>
          <cell r="N241">
            <v>2469891</v>
          </cell>
          <cell r="O241">
            <v>1390000</v>
          </cell>
        </row>
        <row r="242">
          <cell r="A242" t="str">
            <v>700-50-070</v>
          </cell>
          <cell r="B242" t="str">
            <v>NATIONAL IND.CREDIT BANK</v>
          </cell>
          <cell r="C242">
            <v>12489350</v>
          </cell>
          <cell r="D242">
            <v>249787</v>
          </cell>
          <cell r="E242">
            <v>12739137</v>
          </cell>
          <cell r="F242">
            <v>12739137</v>
          </cell>
          <cell r="G242">
            <v>0</v>
          </cell>
          <cell r="H242">
            <v>12739137</v>
          </cell>
          <cell r="I242">
            <v>0</v>
          </cell>
          <cell r="J242">
            <v>12739137</v>
          </cell>
          <cell r="K242">
            <v>5150337</v>
          </cell>
          <cell r="L242">
            <v>1785000</v>
          </cell>
          <cell r="M242">
            <v>3570000</v>
          </cell>
          <cell r="N242">
            <v>1723800</v>
          </cell>
          <cell r="O242">
            <v>510000</v>
          </cell>
        </row>
        <row r="243">
          <cell r="A243" t="str">
            <v>700-50-075</v>
          </cell>
          <cell r="B243" t="str">
            <v>KENYA AIRWAYS</v>
          </cell>
          <cell r="C243">
            <v>24041853</v>
          </cell>
          <cell r="D243">
            <v>12215922.5</v>
          </cell>
          <cell r="E243">
            <v>36257775.5</v>
          </cell>
          <cell r="F243">
            <v>36257775.5</v>
          </cell>
          <cell r="G243">
            <v>0</v>
          </cell>
          <cell r="H243">
            <v>36257775.5</v>
          </cell>
          <cell r="I243">
            <v>0</v>
          </cell>
          <cell r="J243">
            <v>36257775.5</v>
          </cell>
          <cell r="K243">
            <v>12874000</v>
          </cell>
          <cell r="L243">
            <v>10503379.85</v>
          </cell>
          <cell r="M243">
            <v>4539109.6500000004</v>
          </cell>
          <cell r="N243">
            <v>5440126</v>
          </cell>
          <cell r="O243">
            <v>2901160</v>
          </cell>
        </row>
        <row r="244">
          <cell r="A244" t="str">
            <v>700-50-080</v>
          </cell>
          <cell r="B244" t="str">
            <v>BRITISH AMERICAN TOBACCO</v>
          </cell>
          <cell r="C244">
            <v>23839830</v>
          </cell>
          <cell r="D244">
            <v>1032462</v>
          </cell>
          <cell r="E244">
            <v>24872292</v>
          </cell>
          <cell r="F244">
            <v>24872292</v>
          </cell>
          <cell r="G244">
            <v>0</v>
          </cell>
          <cell r="H244">
            <v>24872292</v>
          </cell>
          <cell r="I244">
            <v>0</v>
          </cell>
          <cell r="J244">
            <v>24872292</v>
          </cell>
          <cell r="K244">
            <v>10670220</v>
          </cell>
          <cell r="L244">
            <v>6042072</v>
          </cell>
          <cell r="M244">
            <v>7140000</v>
          </cell>
          <cell r="N244">
            <v>0</v>
          </cell>
          <cell r="O244">
            <v>1020000</v>
          </cell>
        </row>
        <row r="245">
          <cell r="A245" t="str">
            <v>700-50-090</v>
          </cell>
          <cell r="B245" t="str">
            <v>KENYA OIL COMPANY LTD.</v>
          </cell>
          <cell r="C245">
            <v>39070824.920000002</v>
          </cell>
          <cell r="D245">
            <v>4159492.55</v>
          </cell>
          <cell r="E245">
            <v>43230317.469999999</v>
          </cell>
          <cell r="F245">
            <v>43230317.469999999</v>
          </cell>
          <cell r="G245">
            <v>0</v>
          </cell>
          <cell r="H245">
            <v>43230317.469999999</v>
          </cell>
          <cell r="I245">
            <v>0</v>
          </cell>
          <cell r="J245">
            <v>43230317.469999999</v>
          </cell>
          <cell r="K245">
            <v>18130500</v>
          </cell>
          <cell r="L245">
            <v>9199329</v>
          </cell>
          <cell r="M245">
            <v>7424514</v>
          </cell>
          <cell r="N245">
            <v>6855973.8700000001</v>
          </cell>
          <cell r="O245">
            <v>1620000.6</v>
          </cell>
        </row>
        <row r="246">
          <cell r="A246" t="str">
            <v>700-50-100</v>
          </cell>
          <cell r="B246" t="str">
            <v>FIRESTONE E.A.</v>
          </cell>
          <cell r="C246">
            <v>8139600.2999999998</v>
          </cell>
          <cell r="D246">
            <v>193800</v>
          </cell>
          <cell r="E246">
            <v>8333400.2999999998</v>
          </cell>
          <cell r="F246">
            <v>8333400.2999999998</v>
          </cell>
          <cell r="G246">
            <v>0</v>
          </cell>
          <cell r="H246">
            <v>8333400.2999999998</v>
          </cell>
          <cell r="I246">
            <v>0</v>
          </cell>
          <cell r="J246">
            <v>8333400.2999999998</v>
          </cell>
          <cell r="K246">
            <v>4300000</v>
          </cell>
          <cell r="L246">
            <v>120400</v>
          </cell>
          <cell r="M246">
            <v>3225000</v>
          </cell>
          <cell r="N246">
            <v>0</v>
          </cell>
          <cell r="O246">
            <v>688000.3</v>
          </cell>
        </row>
        <row r="247">
          <cell r="A247" t="str">
            <v>700-50-110</v>
          </cell>
          <cell r="B247" t="str">
            <v>ATHI RIVER MINING</v>
          </cell>
          <cell r="C247">
            <v>5362125</v>
          </cell>
          <cell r="D247">
            <v>0</v>
          </cell>
          <cell r="E247">
            <v>5362125</v>
          </cell>
          <cell r="F247">
            <v>5362125</v>
          </cell>
          <cell r="G247">
            <v>0</v>
          </cell>
          <cell r="H247">
            <v>5362125</v>
          </cell>
          <cell r="I247">
            <v>0</v>
          </cell>
          <cell r="J247">
            <v>5362125</v>
          </cell>
          <cell r="K247">
            <v>2646500</v>
          </cell>
          <cell r="L247">
            <v>1303500</v>
          </cell>
          <cell r="M247">
            <v>0</v>
          </cell>
          <cell r="N247">
            <v>977625</v>
          </cell>
          <cell r="O247">
            <v>434500</v>
          </cell>
        </row>
        <row r="248">
          <cell r="A248" t="str">
            <v>700-50-115</v>
          </cell>
          <cell r="B248" t="str">
            <v>MUMIAS LIMITED</v>
          </cell>
          <cell r="C248">
            <v>28192369.75</v>
          </cell>
          <cell r="D248">
            <v>9616162.25</v>
          </cell>
          <cell r="E248">
            <v>37808532</v>
          </cell>
          <cell r="F248">
            <v>37808532</v>
          </cell>
          <cell r="G248">
            <v>0</v>
          </cell>
          <cell r="H248">
            <v>37808532</v>
          </cell>
          <cell r="I248">
            <v>0</v>
          </cell>
          <cell r="J248">
            <v>37808532</v>
          </cell>
          <cell r="K248">
            <v>10780000</v>
          </cell>
          <cell r="L248">
            <v>12263642</v>
          </cell>
          <cell r="M248">
            <v>4655000</v>
          </cell>
          <cell r="N248">
            <v>7178325</v>
          </cell>
          <cell r="O248">
            <v>2931565</v>
          </cell>
        </row>
        <row r="249">
          <cell r="A249" t="str">
            <v>700-50-120</v>
          </cell>
          <cell r="B249" t="str">
            <v>BARCLAYS BANK OF KENYA</v>
          </cell>
          <cell r="C249">
            <v>28801366.800000001</v>
          </cell>
          <cell r="D249">
            <v>2091901</v>
          </cell>
          <cell r="E249">
            <v>30893267.800000001</v>
          </cell>
          <cell r="F249">
            <v>30893267.800000001</v>
          </cell>
          <cell r="G249">
            <v>0</v>
          </cell>
          <cell r="H249">
            <v>30893267.800000001</v>
          </cell>
          <cell r="I249">
            <v>0</v>
          </cell>
          <cell r="J249">
            <v>30893267.800000001</v>
          </cell>
          <cell r="K249">
            <v>9222067.8000000007</v>
          </cell>
          <cell r="L249">
            <v>8929639</v>
          </cell>
          <cell r="M249">
            <v>3156000</v>
          </cell>
          <cell r="N249">
            <v>5786000</v>
          </cell>
          <cell r="O249">
            <v>3799561</v>
          </cell>
        </row>
        <row r="250">
          <cell r="A250" t="str">
            <v>700-50-125</v>
          </cell>
          <cell r="B250" t="str">
            <v>EAST AFRICA PORTLAND</v>
          </cell>
          <cell r="C250">
            <v>92000</v>
          </cell>
          <cell r="D250">
            <v>0</v>
          </cell>
          <cell r="E250">
            <v>92000</v>
          </cell>
          <cell r="F250">
            <v>92000</v>
          </cell>
          <cell r="G250">
            <v>0</v>
          </cell>
          <cell r="H250">
            <v>92000</v>
          </cell>
          <cell r="I250">
            <v>0</v>
          </cell>
          <cell r="J250">
            <v>92000</v>
          </cell>
          <cell r="K250">
            <v>0</v>
          </cell>
          <cell r="L250">
            <v>0</v>
          </cell>
          <cell r="M250">
            <v>0</v>
          </cell>
          <cell r="N250">
            <v>0</v>
          </cell>
          <cell r="O250">
            <v>92000</v>
          </cell>
        </row>
        <row r="251">
          <cell r="A251" t="str">
            <v>700-50-130</v>
          </cell>
          <cell r="B251" t="str">
            <v>NATION MEDIA GROUP</v>
          </cell>
          <cell r="C251">
            <v>18366830.399999999</v>
          </cell>
          <cell r="D251">
            <v>97179.35</v>
          </cell>
          <cell r="E251">
            <v>18464009.75</v>
          </cell>
          <cell r="F251">
            <v>18464009.75</v>
          </cell>
          <cell r="G251">
            <v>0</v>
          </cell>
          <cell r="H251">
            <v>18464009.75</v>
          </cell>
          <cell r="I251">
            <v>0</v>
          </cell>
          <cell r="J251">
            <v>18464009.75</v>
          </cell>
          <cell r="K251">
            <v>5142540</v>
          </cell>
          <cell r="L251">
            <v>5284660</v>
          </cell>
          <cell r="M251">
            <v>2526999.75</v>
          </cell>
          <cell r="N251">
            <v>3736540</v>
          </cell>
          <cell r="O251">
            <v>1773270</v>
          </cell>
        </row>
        <row r="252">
          <cell r="A252" t="str">
            <v>700-50-135</v>
          </cell>
          <cell r="B252" t="str">
            <v>ICDC INVESTMENTS SHARES</v>
          </cell>
          <cell r="C252">
            <v>602960</v>
          </cell>
          <cell r="D252">
            <v>8433</v>
          </cell>
          <cell r="E252">
            <v>611393</v>
          </cell>
          <cell r="F252">
            <v>611393</v>
          </cell>
          <cell r="G252">
            <v>0</v>
          </cell>
          <cell r="H252">
            <v>611393</v>
          </cell>
          <cell r="I252">
            <v>0</v>
          </cell>
          <cell r="J252">
            <v>611393</v>
          </cell>
          <cell r="K252">
            <v>253750</v>
          </cell>
          <cell r="L252">
            <v>108750</v>
          </cell>
          <cell r="M252">
            <v>140143</v>
          </cell>
          <cell r="N252">
            <v>0</v>
          </cell>
          <cell r="O252">
            <v>108750</v>
          </cell>
        </row>
        <row r="253">
          <cell r="A253" t="str">
            <v>700-50-140</v>
          </cell>
          <cell r="B253" t="str">
            <v>KENYA COMMERCIAL BANK</v>
          </cell>
          <cell r="C253">
            <v>57382178.07</v>
          </cell>
          <cell r="D253">
            <v>5495768.4900000002</v>
          </cell>
          <cell r="E253">
            <v>62877946.560000002</v>
          </cell>
          <cell r="F253">
            <v>62877946.560000002</v>
          </cell>
          <cell r="G253">
            <v>0</v>
          </cell>
          <cell r="H253">
            <v>62877946.560000002</v>
          </cell>
          <cell r="I253">
            <v>0</v>
          </cell>
          <cell r="J253">
            <v>62877946.560000002</v>
          </cell>
          <cell r="K253">
            <v>20476730.27</v>
          </cell>
          <cell r="L253">
            <v>16620944.289999999</v>
          </cell>
          <cell r="M253">
            <v>9379000</v>
          </cell>
          <cell r="N253">
            <v>11994272</v>
          </cell>
          <cell r="O253">
            <v>4407000</v>
          </cell>
        </row>
        <row r="254">
          <cell r="A254" t="str">
            <v>700-50-145</v>
          </cell>
          <cell r="B254" t="str">
            <v>TOTAL KENYA KTD.</v>
          </cell>
          <cell r="C254">
            <v>3891100</v>
          </cell>
          <cell r="D254">
            <v>-24100</v>
          </cell>
          <cell r="E254">
            <v>3867000</v>
          </cell>
          <cell r="F254">
            <v>3867000</v>
          </cell>
          <cell r="G254">
            <v>0</v>
          </cell>
          <cell r="H254">
            <v>3867000</v>
          </cell>
          <cell r="I254">
            <v>0</v>
          </cell>
          <cell r="J254">
            <v>3867000</v>
          </cell>
          <cell r="K254">
            <v>205000</v>
          </cell>
          <cell r="L254">
            <v>1735000</v>
          </cell>
          <cell r="M254">
            <v>205000</v>
          </cell>
          <cell r="N254">
            <v>1312000</v>
          </cell>
          <cell r="O254">
            <v>410000</v>
          </cell>
        </row>
        <row r="255">
          <cell r="A255" t="str">
            <v>700-50-150</v>
          </cell>
          <cell r="B255" t="str">
            <v>K P L C</v>
          </cell>
          <cell r="C255">
            <v>33607591.049999997</v>
          </cell>
          <cell r="D255">
            <v>-6169079.8499999996</v>
          </cell>
          <cell r="E255">
            <v>27438511.199999999</v>
          </cell>
          <cell r="F255">
            <v>27438511.199999999</v>
          </cell>
          <cell r="G255">
            <v>0</v>
          </cell>
          <cell r="H255">
            <v>27438511.199999999</v>
          </cell>
          <cell r="I255">
            <v>0</v>
          </cell>
          <cell r="J255">
            <v>27438511.199999999</v>
          </cell>
          <cell r="K255">
            <v>12233671.199999999</v>
          </cell>
          <cell r="L255">
            <v>6399474</v>
          </cell>
          <cell r="M255">
            <v>1242000</v>
          </cell>
          <cell r="N255">
            <v>5769366</v>
          </cell>
          <cell r="O255">
            <v>1794000</v>
          </cell>
        </row>
        <row r="256">
          <cell r="A256" t="str">
            <v>700-50-155</v>
          </cell>
          <cell r="B256" t="str">
            <v>C F C BANK LTD.</v>
          </cell>
          <cell r="C256">
            <v>2540625</v>
          </cell>
          <cell r="D256">
            <v>211575</v>
          </cell>
          <cell r="E256">
            <v>2752200</v>
          </cell>
          <cell r="F256">
            <v>2752200</v>
          </cell>
          <cell r="G256">
            <v>0</v>
          </cell>
          <cell r="H256">
            <v>2752200</v>
          </cell>
          <cell r="I256">
            <v>0</v>
          </cell>
          <cell r="J256">
            <v>2752200</v>
          </cell>
          <cell r="K256">
            <v>1076550</v>
          </cell>
          <cell r="L256">
            <v>1533525</v>
          </cell>
          <cell r="M256">
            <v>142125</v>
          </cell>
          <cell r="N256">
            <v>0</v>
          </cell>
          <cell r="O256">
            <v>0</v>
          </cell>
        </row>
        <row r="257">
          <cell r="A257" t="str">
            <v>700-50-160</v>
          </cell>
          <cell r="B257" t="str">
            <v>KAKUZI LTD.</v>
          </cell>
          <cell r="C257">
            <v>4087872</v>
          </cell>
          <cell r="D257">
            <v>21291</v>
          </cell>
          <cell r="E257">
            <v>4109163</v>
          </cell>
          <cell r="F257">
            <v>4109163</v>
          </cell>
          <cell r="G257">
            <v>0</v>
          </cell>
          <cell r="H257">
            <v>4109163</v>
          </cell>
          <cell r="I257">
            <v>0</v>
          </cell>
          <cell r="J257">
            <v>4109163</v>
          </cell>
          <cell r="K257">
            <v>940875</v>
          </cell>
          <cell r="L257">
            <v>762301.75</v>
          </cell>
          <cell r="M257">
            <v>506625</v>
          </cell>
          <cell r="N257">
            <v>1337683</v>
          </cell>
          <cell r="O257">
            <v>561678.25</v>
          </cell>
        </row>
        <row r="258">
          <cell r="A258" t="str">
            <v>700-50-165</v>
          </cell>
          <cell r="B258" t="str">
            <v>CMC HOLDINGS</v>
          </cell>
          <cell r="C258">
            <v>0</v>
          </cell>
          <cell r="D258">
            <v>11742300</v>
          </cell>
          <cell r="E258">
            <v>11742300</v>
          </cell>
          <cell r="F258">
            <v>11742300</v>
          </cell>
          <cell r="G258">
            <v>0</v>
          </cell>
          <cell r="H258">
            <v>11742300</v>
          </cell>
          <cell r="I258">
            <v>0</v>
          </cell>
          <cell r="J258">
            <v>11742300</v>
          </cell>
          <cell r="K258">
            <v>5211000</v>
          </cell>
          <cell r="L258">
            <v>2106000</v>
          </cell>
          <cell r="M258">
            <v>1301400</v>
          </cell>
          <cell r="N258">
            <v>2246400</v>
          </cell>
          <cell r="O258">
            <v>877500</v>
          </cell>
        </row>
        <row r="259">
          <cell r="A259" t="str">
            <v>700-55-010</v>
          </cell>
          <cell r="B259" t="str">
            <v>DFCU LTD</v>
          </cell>
          <cell r="C259">
            <v>16934102.859999999</v>
          </cell>
          <cell r="D259">
            <v>-1408424.49</v>
          </cell>
          <cell r="E259">
            <v>15525678.369999999</v>
          </cell>
          <cell r="F259">
            <v>15525678.369999999</v>
          </cell>
          <cell r="G259">
            <v>0</v>
          </cell>
          <cell r="H259">
            <v>15525678.369999999</v>
          </cell>
          <cell r="I259">
            <v>0</v>
          </cell>
          <cell r="J259">
            <v>15525678.369999999</v>
          </cell>
          <cell r="K259">
            <v>6938348.4500000002</v>
          </cell>
          <cell r="L259">
            <v>2885292.44</v>
          </cell>
          <cell r="M259">
            <v>1610901.88</v>
          </cell>
          <cell r="N259">
            <v>2974665.18</v>
          </cell>
          <cell r="O259">
            <v>1116470.42</v>
          </cell>
        </row>
        <row r="260">
          <cell r="A260" t="str">
            <v>700-60-010</v>
          </cell>
          <cell r="B260" t="str">
            <v>FIXED DEPOSIT CBA</v>
          </cell>
          <cell r="C260">
            <v>2028552.78</v>
          </cell>
          <cell r="D260">
            <v>0</v>
          </cell>
          <cell r="E260">
            <v>2028552.78</v>
          </cell>
          <cell r="F260">
            <v>2028552.78</v>
          </cell>
          <cell r="G260">
            <v>0</v>
          </cell>
          <cell r="H260">
            <v>2028552.78</v>
          </cell>
          <cell r="I260">
            <v>0</v>
          </cell>
          <cell r="J260">
            <v>2028552.78</v>
          </cell>
          <cell r="K260">
            <v>2028552.78</v>
          </cell>
          <cell r="L260">
            <v>0</v>
          </cell>
          <cell r="M260">
            <v>0</v>
          </cell>
          <cell r="N260">
            <v>0</v>
          </cell>
          <cell r="O260">
            <v>0</v>
          </cell>
        </row>
        <row r="261">
          <cell r="A261" t="str">
            <v>700-60-020</v>
          </cell>
          <cell r="B261" t="str">
            <v>OTHERS FIXED DEPOSIT</v>
          </cell>
          <cell r="C261">
            <v>253500000.00999999</v>
          </cell>
          <cell r="D261">
            <v>54300000</v>
          </cell>
          <cell r="E261">
            <v>307800000.00999999</v>
          </cell>
          <cell r="F261">
            <v>307800000.00999999</v>
          </cell>
          <cell r="G261">
            <v>0</v>
          </cell>
          <cell r="H261">
            <v>307800000.00999999</v>
          </cell>
          <cell r="I261">
            <v>0</v>
          </cell>
          <cell r="J261">
            <v>307800000.00999999</v>
          </cell>
          <cell r="K261">
            <v>95000000</v>
          </cell>
          <cell r="L261">
            <v>108000000</v>
          </cell>
          <cell r="M261">
            <v>34800000</v>
          </cell>
          <cell r="N261">
            <v>50500000.009999998</v>
          </cell>
          <cell r="O261">
            <v>19500000</v>
          </cell>
        </row>
        <row r="262">
          <cell r="A262" t="str">
            <v>700-60-030</v>
          </cell>
          <cell r="B262" t="str">
            <v>ACCRUED INTEREST</v>
          </cell>
          <cell r="C262">
            <v>919778.09</v>
          </cell>
          <cell r="D262">
            <v>590208.22</v>
          </cell>
          <cell r="E262">
            <v>1509986.31</v>
          </cell>
          <cell r="F262">
            <v>1509986.31</v>
          </cell>
          <cell r="G262">
            <v>0</v>
          </cell>
          <cell r="H262">
            <v>1509986.31</v>
          </cell>
          <cell r="I262">
            <v>0</v>
          </cell>
          <cell r="J262">
            <v>1509986.31</v>
          </cell>
          <cell r="K262">
            <v>624386.30000000005</v>
          </cell>
          <cell r="L262">
            <v>530523.30000000005</v>
          </cell>
          <cell r="M262">
            <v>130621.92</v>
          </cell>
          <cell r="N262">
            <v>172982.19</v>
          </cell>
          <cell r="O262">
            <v>51472.6</v>
          </cell>
        </row>
        <row r="263">
          <cell r="A263" t="str">
            <v>700-60-040</v>
          </cell>
          <cell r="B263" t="str">
            <v>FIXED DEPOSIT-DELPHIS</v>
          </cell>
          <cell r="C263">
            <v>33755</v>
          </cell>
          <cell r="D263">
            <v>0</v>
          </cell>
          <cell r="E263">
            <v>33755</v>
          </cell>
          <cell r="F263">
            <v>33755</v>
          </cell>
          <cell r="G263">
            <v>0</v>
          </cell>
          <cell r="H263">
            <v>33755</v>
          </cell>
          <cell r="I263">
            <v>0</v>
          </cell>
          <cell r="J263">
            <v>33755</v>
          </cell>
          <cell r="K263">
            <v>33755</v>
          </cell>
          <cell r="L263">
            <v>0</v>
          </cell>
          <cell r="M263">
            <v>0</v>
          </cell>
          <cell r="N263">
            <v>0</v>
          </cell>
          <cell r="O263">
            <v>0</v>
          </cell>
        </row>
        <row r="264">
          <cell r="A264" t="str">
            <v>700-60-050</v>
          </cell>
          <cell r="B264" t="str">
            <v>FIXED DEPOSIT TANZANIA</v>
          </cell>
          <cell r="C264">
            <v>315119.34000000003</v>
          </cell>
          <cell r="D264">
            <v>0</v>
          </cell>
          <cell r="E264">
            <v>315119.34000000003</v>
          </cell>
          <cell r="F264">
            <v>315119.34000000003</v>
          </cell>
          <cell r="G264">
            <v>0</v>
          </cell>
          <cell r="H264">
            <v>315119.34000000003</v>
          </cell>
          <cell r="I264">
            <v>0</v>
          </cell>
          <cell r="J264">
            <v>315119.34000000003</v>
          </cell>
          <cell r="K264">
            <v>315119.34000000003</v>
          </cell>
          <cell r="L264">
            <v>0</v>
          </cell>
          <cell r="M264">
            <v>0</v>
          </cell>
          <cell r="N264">
            <v>0</v>
          </cell>
          <cell r="O264">
            <v>0</v>
          </cell>
        </row>
        <row r="265">
          <cell r="A265" t="str">
            <v>700-60-060</v>
          </cell>
          <cell r="B265" t="str">
            <v>DELPHIS-PROVISION</v>
          </cell>
          <cell r="C265">
            <v>-33754</v>
          </cell>
          <cell r="D265">
            <v>0</v>
          </cell>
          <cell r="E265">
            <v>-33754</v>
          </cell>
          <cell r="F265">
            <v>-33754</v>
          </cell>
          <cell r="G265">
            <v>0</v>
          </cell>
          <cell r="H265">
            <v>-33754</v>
          </cell>
          <cell r="I265">
            <v>0</v>
          </cell>
          <cell r="J265">
            <v>-33754</v>
          </cell>
          <cell r="K265">
            <v>-33754</v>
          </cell>
          <cell r="L265">
            <v>0</v>
          </cell>
          <cell r="M265">
            <v>0</v>
          </cell>
          <cell r="N265">
            <v>0</v>
          </cell>
          <cell r="O265">
            <v>0</v>
          </cell>
        </row>
        <row r="266">
          <cell r="A266" t="str">
            <v>700-60-070</v>
          </cell>
          <cell r="B266" t="str">
            <v>STANBIC CUSTODIAN SERVICE</v>
          </cell>
          <cell r="C266">
            <v>20741663.199999999</v>
          </cell>
          <cell r="D266">
            <v>-12931989.029999999</v>
          </cell>
          <cell r="E266">
            <v>7809674.1699999999</v>
          </cell>
          <cell r="F266">
            <v>7809674.1699999999</v>
          </cell>
          <cell r="G266">
            <v>0</v>
          </cell>
          <cell r="H266">
            <v>7809674.1699999999</v>
          </cell>
          <cell r="I266">
            <v>0</v>
          </cell>
          <cell r="J266">
            <v>7809674.1700000009</v>
          </cell>
          <cell r="K266">
            <v>1633462.03</v>
          </cell>
          <cell r="L266">
            <v>1301153</v>
          </cell>
          <cell r="M266">
            <v>1657730.45</v>
          </cell>
          <cell r="N266">
            <v>1413351.74</v>
          </cell>
          <cell r="O266">
            <v>1803976.95</v>
          </cell>
        </row>
        <row r="267">
          <cell r="A267" t="str">
            <v>700-70-020</v>
          </cell>
          <cell r="B267" t="str">
            <v>E.A.DEVELOPMENT BANK</v>
          </cell>
          <cell r="C267">
            <v>16300000</v>
          </cell>
          <cell r="D267">
            <v>0</v>
          </cell>
          <cell r="E267">
            <v>16300000</v>
          </cell>
          <cell r="F267">
            <v>16300000</v>
          </cell>
          <cell r="G267">
            <v>0</v>
          </cell>
          <cell r="H267">
            <v>16300000</v>
          </cell>
          <cell r="I267">
            <v>0</v>
          </cell>
          <cell r="J267">
            <v>16300000</v>
          </cell>
          <cell r="K267">
            <v>1300000</v>
          </cell>
          <cell r="L267">
            <v>0</v>
          </cell>
          <cell r="M267">
            <v>0</v>
          </cell>
          <cell r="N267">
            <v>15000000</v>
          </cell>
          <cell r="O267">
            <v>0</v>
          </cell>
        </row>
        <row r="268">
          <cell r="A268" t="str">
            <v>700-70-030</v>
          </cell>
          <cell r="B268" t="str">
            <v>SAFARICOM</v>
          </cell>
          <cell r="C268">
            <v>4620000</v>
          </cell>
          <cell r="D268">
            <v>0</v>
          </cell>
          <cell r="E268">
            <v>4620000</v>
          </cell>
          <cell r="F268">
            <v>4620000</v>
          </cell>
          <cell r="G268">
            <v>0</v>
          </cell>
          <cell r="H268">
            <v>4620000</v>
          </cell>
          <cell r="I268">
            <v>0</v>
          </cell>
          <cell r="J268">
            <v>4620000</v>
          </cell>
          <cell r="K268">
            <v>2730000</v>
          </cell>
          <cell r="L268">
            <v>0</v>
          </cell>
          <cell r="M268">
            <v>0</v>
          </cell>
          <cell r="N268">
            <v>1890000</v>
          </cell>
          <cell r="O268">
            <v>0</v>
          </cell>
        </row>
        <row r="269">
          <cell r="A269" t="str">
            <v>700-70-040</v>
          </cell>
          <cell r="B269" t="str">
            <v>KENYA OIL LTD.</v>
          </cell>
          <cell r="C269">
            <v>104000000</v>
          </cell>
          <cell r="D269">
            <v>-3000000</v>
          </cell>
          <cell r="E269">
            <v>101000000</v>
          </cell>
          <cell r="F269">
            <v>101000000</v>
          </cell>
          <cell r="G269">
            <v>0</v>
          </cell>
          <cell r="H269">
            <v>101000000</v>
          </cell>
          <cell r="I269">
            <v>0</v>
          </cell>
          <cell r="J269">
            <v>101000000</v>
          </cell>
          <cell r="K269">
            <v>30000000</v>
          </cell>
          <cell r="L269">
            <v>43000000</v>
          </cell>
          <cell r="M269">
            <v>15000000</v>
          </cell>
          <cell r="N269">
            <v>13000000</v>
          </cell>
          <cell r="O269">
            <v>0</v>
          </cell>
        </row>
        <row r="270">
          <cell r="A270" t="str">
            <v>700-70-045</v>
          </cell>
          <cell r="B270" t="str">
            <v>PTA</v>
          </cell>
          <cell r="C270">
            <v>8000000</v>
          </cell>
          <cell r="D270">
            <v>0</v>
          </cell>
          <cell r="E270">
            <v>8000000</v>
          </cell>
          <cell r="F270">
            <v>8000000</v>
          </cell>
          <cell r="G270">
            <v>0</v>
          </cell>
          <cell r="H270">
            <v>8000000</v>
          </cell>
          <cell r="I270">
            <v>0</v>
          </cell>
          <cell r="J270">
            <v>8000000</v>
          </cell>
          <cell r="K270">
            <v>0</v>
          </cell>
          <cell r="L270">
            <v>8000000</v>
          </cell>
          <cell r="M270">
            <v>0</v>
          </cell>
          <cell r="N270">
            <v>0</v>
          </cell>
          <cell r="O270">
            <v>0</v>
          </cell>
        </row>
        <row r="271">
          <cell r="A271" t="str">
            <v>700-70-050</v>
          </cell>
          <cell r="B271" t="str">
            <v>MABATI ROLLING MILLS</v>
          </cell>
          <cell r="C271">
            <v>16100000</v>
          </cell>
          <cell r="D271">
            <v>0</v>
          </cell>
          <cell r="E271">
            <v>16100000</v>
          </cell>
          <cell r="F271">
            <v>16100000</v>
          </cell>
          <cell r="G271">
            <v>0</v>
          </cell>
          <cell r="H271">
            <v>16100000</v>
          </cell>
          <cell r="I271">
            <v>0</v>
          </cell>
          <cell r="J271">
            <v>16100000</v>
          </cell>
          <cell r="K271">
            <v>4900000</v>
          </cell>
          <cell r="L271">
            <v>0</v>
          </cell>
          <cell r="M271">
            <v>5600000</v>
          </cell>
          <cell r="N271">
            <v>0</v>
          </cell>
          <cell r="O271">
            <v>5600000</v>
          </cell>
        </row>
        <row r="272">
          <cell r="A272" t="str">
            <v>700-70-060</v>
          </cell>
          <cell r="B272" t="str">
            <v>ACCRUED INTEREST</v>
          </cell>
          <cell r="C272">
            <v>1829777.79</v>
          </cell>
          <cell r="D272">
            <v>-1829777.44</v>
          </cell>
          <cell r="E272">
            <v>0.35</v>
          </cell>
          <cell r="F272">
            <v>0.35</v>
          </cell>
          <cell r="G272">
            <v>0</v>
          </cell>
          <cell r="H272">
            <v>0.35</v>
          </cell>
          <cell r="I272">
            <v>0</v>
          </cell>
          <cell r="J272">
            <v>0.35</v>
          </cell>
          <cell r="K272">
            <v>0</v>
          </cell>
          <cell r="L272">
            <v>0</v>
          </cell>
          <cell r="M272">
            <v>0</v>
          </cell>
          <cell r="N272">
            <v>0.35</v>
          </cell>
          <cell r="O272">
            <v>0</v>
          </cell>
        </row>
        <row r="273">
          <cell r="A273" t="str">
            <v>700-70-065</v>
          </cell>
          <cell r="B273" t="str">
            <v>ATHI RIVER MINING</v>
          </cell>
          <cell r="C273">
            <v>0</v>
          </cell>
          <cell r="D273">
            <v>0</v>
          </cell>
          <cell r="E273">
            <v>0</v>
          </cell>
          <cell r="F273">
            <v>0</v>
          </cell>
          <cell r="G273">
            <v>0</v>
          </cell>
          <cell r="H273">
            <v>0</v>
          </cell>
          <cell r="I273">
            <v>0</v>
          </cell>
          <cell r="J273">
            <v>0</v>
          </cell>
          <cell r="K273">
            <v>0</v>
          </cell>
          <cell r="L273">
            <v>0</v>
          </cell>
          <cell r="M273">
            <v>0</v>
          </cell>
          <cell r="N273">
            <v>0</v>
          </cell>
          <cell r="O273">
            <v>0</v>
          </cell>
        </row>
        <row r="274">
          <cell r="A274" t="str">
            <v>700-70-070</v>
          </cell>
          <cell r="B274" t="str">
            <v>CMC HOLDINGS</v>
          </cell>
          <cell r="C274">
            <v>0</v>
          </cell>
          <cell r="D274">
            <v>0</v>
          </cell>
          <cell r="E274">
            <v>0</v>
          </cell>
          <cell r="F274">
            <v>0</v>
          </cell>
          <cell r="G274">
            <v>0</v>
          </cell>
          <cell r="H274">
            <v>0</v>
          </cell>
          <cell r="I274">
            <v>0</v>
          </cell>
          <cell r="J274">
            <v>0</v>
          </cell>
          <cell r="K274">
            <v>0</v>
          </cell>
          <cell r="L274">
            <v>0</v>
          </cell>
          <cell r="M274">
            <v>0</v>
          </cell>
          <cell r="N274">
            <v>0</v>
          </cell>
          <cell r="O274">
            <v>0</v>
          </cell>
        </row>
        <row r="275">
          <cell r="A275" t="str">
            <v>700-70-075</v>
          </cell>
          <cell r="B275" t="str">
            <v>GAIN/LOSS ON VALUATION</v>
          </cell>
          <cell r="C275">
            <v>-472624.96</v>
          </cell>
          <cell r="D275">
            <v>472624.96</v>
          </cell>
          <cell r="E275">
            <v>0</v>
          </cell>
          <cell r="F275">
            <v>0</v>
          </cell>
          <cell r="G275">
            <v>0</v>
          </cell>
          <cell r="H275">
            <v>0</v>
          </cell>
          <cell r="I275">
            <v>0</v>
          </cell>
          <cell r="J275">
            <v>0</v>
          </cell>
          <cell r="K275">
            <v>0</v>
          </cell>
          <cell r="L275">
            <v>0</v>
          </cell>
          <cell r="M275">
            <v>0</v>
          </cell>
          <cell r="N275">
            <v>0</v>
          </cell>
          <cell r="O275">
            <v>0</v>
          </cell>
        </row>
        <row r="276">
          <cell r="A276" t="str">
            <v>700-75-010</v>
          </cell>
          <cell r="B276" t="str">
            <v>LOAN ON MORTGAGE THIRD PARTY</v>
          </cell>
          <cell r="C276">
            <v>12819341.34</v>
          </cell>
          <cell r="D276">
            <v>-116238.05</v>
          </cell>
          <cell r="E276">
            <v>12703103.289999999</v>
          </cell>
          <cell r="F276">
            <v>12703103.289999999</v>
          </cell>
          <cell r="G276">
            <v>0</v>
          </cell>
          <cell r="H276">
            <v>12703103.289999999</v>
          </cell>
          <cell r="I276">
            <v>0</v>
          </cell>
          <cell r="J276">
            <v>12703103.289999999</v>
          </cell>
          <cell r="K276">
            <v>12703103.289999999</v>
          </cell>
          <cell r="L276">
            <v>0</v>
          </cell>
          <cell r="M276">
            <v>0</v>
          </cell>
          <cell r="N276">
            <v>0</v>
          </cell>
          <cell r="O276">
            <v>0</v>
          </cell>
        </row>
        <row r="277">
          <cell r="A277" t="str">
            <v>700-75-020</v>
          </cell>
          <cell r="B277" t="str">
            <v>LOAN ON MORTGAGE -STAFF</v>
          </cell>
          <cell r="C277">
            <v>35024393.850000001</v>
          </cell>
          <cell r="D277">
            <v>-396799.55</v>
          </cell>
          <cell r="E277">
            <v>34627594.299999997</v>
          </cell>
          <cell r="F277">
            <v>34627594.299999997</v>
          </cell>
          <cell r="G277">
            <v>0</v>
          </cell>
          <cell r="H277">
            <v>34627594.299999997</v>
          </cell>
          <cell r="I277">
            <v>0</v>
          </cell>
          <cell r="J277">
            <v>34627594.299999997</v>
          </cell>
          <cell r="K277">
            <v>34627594.299999997</v>
          </cell>
          <cell r="L277">
            <v>0</v>
          </cell>
          <cell r="M277">
            <v>0</v>
          </cell>
          <cell r="N277">
            <v>0</v>
          </cell>
          <cell r="O277">
            <v>0</v>
          </cell>
        </row>
        <row r="278">
          <cell r="A278" t="str">
            <v>700-75-025</v>
          </cell>
          <cell r="B278" t="str">
            <v>O/S INTEREST ON MORTGAGE</v>
          </cell>
          <cell r="C278">
            <v>351524.23</v>
          </cell>
          <cell r="D278">
            <v>34511.160000000003</v>
          </cell>
          <cell r="E278">
            <v>386035.39</v>
          </cell>
          <cell r="F278">
            <v>386035.39</v>
          </cell>
          <cell r="G278">
            <v>0</v>
          </cell>
          <cell r="H278">
            <v>386035.39</v>
          </cell>
          <cell r="I278">
            <v>0</v>
          </cell>
          <cell r="J278">
            <v>386035.39</v>
          </cell>
          <cell r="K278">
            <v>386035.39</v>
          </cell>
          <cell r="L278">
            <v>0</v>
          </cell>
          <cell r="M278">
            <v>0</v>
          </cell>
          <cell r="N278">
            <v>0</v>
          </cell>
          <cell r="O278">
            <v>0</v>
          </cell>
        </row>
        <row r="279">
          <cell r="A279" t="str">
            <v>700-75-030</v>
          </cell>
          <cell r="B279" t="str">
            <v>MORTGAGE-RETREAT VILLA</v>
          </cell>
          <cell r="C279">
            <v>15009737.1</v>
          </cell>
          <cell r="D279">
            <v>-30464.7</v>
          </cell>
          <cell r="E279">
            <v>14979272.4</v>
          </cell>
          <cell r="F279">
            <v>14979272.4</v>
          </cell>
          <cell r="G279">
            <v>0</v>
          </cell>
          <cell r="H279">
            <v>14979272.4</v>
          </cell>
          <cell r="I279">
            <v>0</v>
          </cell>
          <cell r="J279">
            <v>14979272.4</v>
          </cell>
          <cell r="K279">
            <v>0</v>
          </cell>
          <cell r="L279">
            <v>0</v>
          </cell>
          <cell r="M279">
            <v>14979272.4</v>
          </cell>
          <cell r="N279">
            <v>0</v>
          </cell>
          <cell r="O279">
            <v>0</v>
          </cell>
        </row>
        <row r="280">
          <cell r="A280" t="str">
            <v>700-78-010</v>
          </cell>
          <cell r="B280" t="str">
            <v>LOAN ON POLICY W/S/V</v>
          </cell>
          <cell r="C280">
            <v>80634451.609999999</v>
          </cell>
          <cell r="D280">
            <v>-899179.37</v>
          </cell>
          <cell r="E280">
            <v>79735272.239999995</v>
          </cell>
          <cell r="F280">
            <v>79735272.239999995</v>
          </cell>
          <cell r="G280">
            <v>0</v>
          </cell>
          <cell r="H280">
            <v>79735272.239999995</v>
          </cell>
          <cell r="I280">
            <v>0</v>
          </cell>
          <cell r="J280">
            <v>79735272.239999995</v>
          </cell>
          <cell r="K280">
            <v>79735272.239999995</v>
          </cell>
          <cell r="L280">
            <v>0</v>
          </cell>
          <cell r="M280">
            <v>0</v>
          </cell>
          <cell r="N280">
            <v>0</v>
          </cell>
          <cell r="O280">
            <v>0</v>
          </cell>
        </row>
        <row r="281">
          <cell r="A281" t="str">
            <v>700-78-020</v>
          </cell>
          <cell r="B281" t="str">
            <v>LOAN ON POLICY TANZANIA</v>
          </cell>
          <cell r="C281">
            <v>140516.20000000001</v>
          </cell>
          <cell r="D281">
            <v>0</v>
          </cell>
          <cell r="E281">
            <v>140516.20000000001</v>
          </cell>
          <cell r="F281">
            <v>140516.20000000001</v>
          </cell>
          <cell r="G281">
            <v>0</v>
          </cell>
          <cell r="H281">
            <v>140516.20000000001</v>
          </cell>
          <cell r="I281">
            <v>0</v>
          </cell>
          <cell r="J281">
            <v>140516.20000000001</v>
          </cell>
          <cell r="K281">
            <v>140516.20000000001</v>
          </cell>
          <cell r="L281">
            <v>0</v>
          </cell>
          <cell r="M281">
            <v>0</v>
          </cell>
          <cell r="N281">
            <v>0</v>
          </cell>
          <cell r="O281">
            <v>0</v>
          </cell>
        </row>
        <row r="282">
          <cell r="A282" t="str">
            <v>700-78-030</v>
          </cell>
          <cell r="B282" t="str">
            <v>LOAN ON POLICY REPAYMENT</v>
          </cell>
          <cell r="C282">
            <v>-2223299.7799999998</v>
          </cell>
          <cell r="D282">
            <v>-2689788.04</v>
          </cell>
          <cell r="E282">
            <v>-4913087.82</v>
          </cell>
          <cell r="F282">
            <v>-4913087.82</v>
          </cell>
          <cell r="G282">
            <v>0</v>
          </cell>
          <cell r="H282">
            <v>-4913087.82</v>
          </cell>
          <cell r="I282">
            <v>0</v>
          </cell>
          <cell r="J282">
            <v>-4913087.82</v>
          </cell>
          <cell r="K282">
            <v>-4913087.82</v>
          </cell>
          <cell r="L282">
            <v>0</v>
          </cell>
          <cell r="M282">
            <v>0</v>
          </cell>
          <cell r="N282">
            <v>0</v>
          </cell>
          <cell r="O282">
            <v>0</v>
          </cell>
        </row>
        <row r="283">
          <cell r="A283" t="str">
            <v>700-78-040</v>
          </cell>
          <cell r="B283" t="str">
            <v>O/S INTEREST ON LOAN ON POLICY</v>
          </cell>
          <cell r="C283">
            <v>13666076.76</v>
          </cell>
          <cell r="D283">
            <v>-1026957.1</v>
          </cell>
          <cell r="E283">
            <v>12639119.66</v>
          </cell>
          <cell r="F283">
            <v>12639119.66</v>
          </cell>
          <cell r="G283">
            <v>0</v>
          </cell>
          <cell r="H283">
            <v>12639119.66</v>
          </cell>
          <cell r="I283">
            <v>0</v>
          </cell>
          <cell r="J283">
            <v>12639119.66</v>
          </cell>
          <cell r="K283">
            <v>12639119.66</v>
          </cell>
          <cell r="L283">
            <v>0</v>
          </cell>
          <cell r="M283">
            <v>0</v>
          </cell>
          <cell r="N283">
            <v>0</v>
          </cell>
          <cell r="O283">
            <v>0</v>
          </cell>
        </row>
        <row r="284">
          <cell r="A284" t="str">
            <v>700-78-050</v>
          </cell>
          <cell r="B284" t="str">
            <v>PROVISION FOR DOUBTFUL LOANS</v>
          </cell>
          <cell r="C284">
            <v>-860646.31</v>
          </cell>
          <cell r="D284">
            <v>-956320.19</v>
          </cell>
          <cell r="E284">
            <v>-1816966.5</v>
          </cell>
          <cell r="F284">
            <v>-1816966.5</v>
          </cell>
          <cell r="G284">
            <v>0</v>
          </cell>
          <cell r="H284">
            <v>-1816966.5</v>
          </cell>
          <cell r="I284">
            <v>0</v>
          </cell>
          <cell r="J284">
            <v>-1816966.5</v>
          </cell>
          <cell r="K284">
            <v>-1816966.5</v>
          </cell>
          <cell r="L284">
            <v>0</v>
          </cell>
          <cell r="M284">
            <v>0</v>
          </cell>
          <cell r="N284">
            <v>0</v>
          </cell>
          <cell r="O284">
            <v>0</v>
          </cell>
        </row>
        <row r="285">
          <cell r="A285" t="str">
            <v>700-79-010</v>
          </cell>
          <cell r="B285" t="str">
            <v>POLICY LOAN-FFFP</v>
          </cell>
          <cell r="C285">
            <v>2088051.23</v>
          </cell>
          <cell r="D285">
            <v>576542.77</v>
          </cell>
          <cell r="E285">
            <v>2664594</v>
          </cell>
          <cell r="F285">
            <v>2664594</v>
          </cell>
          <cell r="G285">
            <v>0</v>
          </cell>
          <cell r="H285">
            <v>2664594</v>
          </cell>
          <cell r="I285">
            <v>0</v>
          </cell>
          <cell r="J285">
            <v>2664594</v>
          </cell>
          <cell r="K285">
            <v>0</v>
          </cell>
          <cell r="L285">
            <v>2664594</v>
          </cell>
          <cell r="M285">
            <v>0</v>
          </cell>
          <cell r="N285">
            <v>0</v>
          </cell>
          <cell r="O285">
            <v>0</v>
          </cell>
        </row>
        <row r="286">
          <cell r="A286" t="str">
            <v>700-79-020</v>
          </cell>
          <cell r="B286" t="str">
            <v>POLICY LOAN WP</v>
          </cell>
          <cell r="C286">
            <v>6442823.5300000003</v>
          </cell>
          <cell r="D286">
            <v>3553133.31</v>
          </cell>
          <cell r="E286">
            <v>9995956.8399999999</v>
          </cell>
          <cell r="F286">
            <v>9995956.8399999999</v>
          </cell>
          <cell r="G286">
            <v>0</v>
          </cell>
          <cell r="H286">
            <v>9995956.8399999999</v>
          </cell>
          <cell r="I286">
            <v>0</v>
          </cell>
          <cell r="J286">
            <v>9995956.8399999999</v>
          </cell>
          <cell r="K286">
            <v>18457.84</v>
          </cell>
          <cell r="L286">
            <v>9977499</v>
          </cell>
          <cell r="M286">
            <v>0</v>
          </cell>
          <cell r="N286">
            <v>0</v>
          </cell>
          <cell r="O286">
            <v>0</v>
          </cell>
        </row>
        <row r="287">
          <cell r="A287" t="str">
            <v>700-79-030</v>
          </cell>
          <cell r="B287" t="str">
            <v>GAIN ON VALUATION</v>
          </cell>
          <cell r="C287">
            <v>0</v>
          </cell>
          <cell r="D287">
            <v>246917</v>
          </cell>
          <cell r="E287">
            <v>246917</v>
          </cell>
          <cell r="F287">
            <v>246917</v>
          </cell>
          <cell r="G287">
            <v>0</v>
          </cell>
          <cell r="H287">
            <v>246917</v>
          </cell>
          <cell r="I287">
            <v>0</v>
          </cell>
          <cell r="J287">
            <v>0</v>
          </cell>
          <cell r="K287">
            <v>0</v>
          </cell>
          <cell r="L287">
            <v>246917</v>
          </cell>
          <cell r="M287">
            <v>0</v>
          </cell>
          <cell r="N287">
            <v>0</v>
          </cell>
          <cell r="O287">
            <v>0</v>
          </cell>
        </row>
        <row r="288">
          <cell r="A288" t="str">
            <v>700-80-010</v>
          </cell>
          <cell r="B288" t="str">
            <v>STAFF LOANS</v>
          </cell>
          <cell r="C288">
            <v>2274905.86</v>
          </cell>
          <cell r="D288">
            <v>-175739.37</v>
          </cell>
          <cell r="E288">
            <v>2099166.4900000002</v>
          </cell>
          <cell r="F288">
            <v>2099166.4900000002</v>
          </cell>
          <cell r="G288">
            <v>0</v>
          </cell>
          <cell r="H288">
            <v>2099166.4900000002</v>
          </cell>
          <cell r="I288">
            <v>0</v>
          </cell>
          <cell r="J288">
            <v>2099166.4900000002</v>
          </cell>
          <cell r="K288">
            <v>2099166.4900000002</v>
          </cell>
          <cell r="L288">
            <v>0</v>
          </cell>
          <cell r="M288">
            <v>0</v>
          </cell>
          <cell r="N288">
            <v>0</v>
          </cell>
          <cell r="O288">
            <v>0</v>
          </cell>
        </row>
        <row r="289">
          <cell r="A289" t="str">
            <v>700-80-020</v>
          </cell>
          <cell r="B289" t="str">
            <v>AGENTS COMMISSION CONTROL ACCOUNT</v>
          </cell>
          <cell r="C289">
            <v>-18110959.699999999</v>
          </cell>
          <cell r="D289">
            <v>51327.77</v>
          </cell>
          <cell r="E289">
            <v>-18059631.93</v>
          </cell>
          <cell r="F289">
            <v>-18059631.93</v>
          </cell>
          <cell r="G289">
            <v>0</v>
          </cell>
          <cell r="H289">
            <v>-18059631.93</v>
          </cell>
          <cell r="I289">
            <v>0</v>
          </cell>
          <cell r="J289">
            <v>-18059631.93</v>
          </cell>
          <cell r="K289">
            <v>-18059631.93</v>
          </cell>
          <cell r="L289">
            <v>0</v>
          </cell>
          <cell r="M289">
            <v>0</v>
          </cell>
          <cell r="N289">
            <v>0</v>
          </cell>
          <cell r="O289">
            <v>0</v>
          </cell>
        </row>
        <row r="290">
          <cell r="A290" t="str">
            <v>700-80-025</v>
          </cell>
          <cell r="B290" t="str">
            <v>AGENTS LOAN -COP</v>
          </cell>
          <cell r="C290">
            <v>442189.7</v>
          </cell>
          <cell r="D290">
            <v>-103123.55</v>
          </cell>
          <cell r="E290">
            <v>339066.15</v>
          </cell>
          <cell r="F290">
            <v>339066.15</v>
          </cell>
          <cell r="G290">
            <v>0</v>
          </cell>
          <cell r="H290">
            <v>339066.15</v>
          </cell>
          <cell r="I290">
            <v>0</v>
          </cell>
          <cell r="J290">
            <v>339066.15</v>
          </cell>
          <cell r="K290">
            <v>339066.15</v>
          </cell>
          <cell r="L290">
            <v>0</v>
          </cell>
          <cell r="M290">
            <v>0</v>
          </cell>
          <cell r="N290">
            <v>0</v>
          </cell>
          <cell r="O290">
            <v>0</v>
          </cell>
        </row>
        <row r="291">
          <cell r="A291" t="str">
            <v>700-80-030</v>
          </cell>
          <cell r="B291" t="str">
            <v>AGENTS LOAN-MV PREMIUMS</v>
          </cell>
          <cell r="C291">
            <v>214648.2</v>
          </cell>
          <cell r="D291">
            <v>-70307.850000000006</v>
          </cell>
          <cell r="E291">
            <v>144340.35</v>
          </cell>
          <cell r="F291">
            <v>144340.35</v>
          </cell>
          <cell r="G291">
            <v>0</v>
          </cell>
          <cell r="H291">
            <v>144340.35</v>
          </cell>
          <cell r="I291">
            <v>0</v>
          </cell>
          <cell r="J291">
            <v>144340.35</v>
          </cell>
          <cell r="K291">
            <v>144340.35</v>
          </cell>
          <cell r="L291">
            <v>0</v>
          </cell>
          <cell r="M291">
            <v>0</v>
          </cell>
          <cell r="N291">
            <v>0</v>
          </cell>
          <cell r="O291">
            <v>0</v>
          </cell>
        </row>
        <row r="292">
          <cell r="A292" t="str">
            <v>700-80-035</v>
          </cell>
          <cell r="B292" t="str">
            <v>AGENTS LOAN-MEDICAL PREMIUMS</v>
          </cell>
          <cell r="C292">
            <v>278839.5</v>
          </cell>
          <cell r="D292">
            <v>-4553.55</v>
          </cell>
          <cell r="E292">
            <v>274285.95</v>
          </cell>
          <cell r="F292">
            <v>274285.95</v>
          </cell>
          <cell r="G292">
            <v>0</v>
          </cell>
          <cell r="H292">
            <v>274285.95</v>
          </cell>
          <cell r="I292">
            <v>0</v>
          </cell>
          <cell r="J292">
            <v>274285.95</v>
          </cell>
          <cell r="K292">
            <v>274285.95</v>
          </cell>
          <cell r="L292">
            <v>0</v>
          </cell>
          <cell r="M292">
            <v>0</v>
          </cell>
          <cell r="N292">
            <v>0</v>
          </cell>
          <cell r="O292">
            <v>0</v>
          </cell>
        </row>
        <row r="293">
          <cell r="A293" t="str">
            <v>700-80-040</v>
          </cell>
          <cell r="B293" t="str">
            <v>AGENTS LOAN-1,2,3,4</v>
          </cell>
          <cell r="C293">
            <v>1635583.52</v>
          </cell>
          <cell r="D293">
            <v>421459</v>
          </cell>
          <cell r="E293">
            <v>2057042.52</v>
          </cell>
          <cell r="F293">
            <v>2057042.52</v>
          </cell>
          <cell r="G293">
            <v>0</v>
          </cell>
          <cell r="H293">
            <v>2057042.52</v>
          </cell>
          <cell r="I293">
            <v>0</v>
          </cell>
          <cell r="J293">
            <v>2057042.52</v>
          </cell>
          <cell r="K293">
            <v>2057042.52</v>
          </cell>
          <cell r="L293">
            <v>0</v>
          </cell>
          <cell r="M293">
            <v>0</v>
          </cell>
          <cell r="N293">
            <v>0</v>
          </cell>
          <cell r="O293">
            <v>0</v>
          </cell>
        </row>
        <row r="294">
          <cell r="A294" t="str">
            <v>700-80-045</v>
          </cell>
          <cell r="B294" t="str">
            <v>AGENTS LOAN -OTHERS</v>
          </cell>
          <cell r="C294">
            <v>1228015.1000000001</v>
          </cell>
          <cell r="D294">
            <v>249991.65</v>
          </cell>
          <cell r="E294">
            <v>1478006.75</v>
          </cell>
          <cell r="F294">
            <v>1478006.75</v>
          </cell>
          <cell r="G294">
            <v>0</v>
          </cell>
          <cell r="H294">
            <v>1478006.75</v>
          </cell>
          <cell r="I294">
            <v>0</v>
          </cell>
          <cell r="J294">
            <v>1478006.75</v>
          </cell>
          <cell r="K294">
            <v>1478006.75</v>
          </cell>
          <cell r="L294">
            <v>0</v>
          </cell>
          <cell r="M294">
            <v>0</v>
          </cell>
          <cell r="N294">
            <v>0</v>
          </cell>
          <cell r="O294">
            <v>0</v>
          </cell>
        </row>
        <row r="295">
          <cell r="A295" t="str">
            <v>700-80-050</v>
          </cell>
          <cell r="B295" t="str">
            <v>AGENTS CAR LOANS</v>
          </cell>
          <cell r="C295">
            <v>18622511.699999999</v>
          </cell>
          <cell r="D295">
            <v>-212684.45</v>
          </cell>
          <cell r="E295">
            <v>18409827.25</v>
          </cell>
          <cell r="F295">
            <v>18409827.25</v>
          </cell>
          <cell r="G295">
            <v>0</v>
          </cell>
          <cell r="H295">
            <v>18409827.25</v>
          </cell>
          <cell r="I295">
            <v>0</v>
          </cell>
          <cell r="J295">
            <v>18409827.25</v>
          </cell>
          <cell r="K295">
            <v>18409827.25</v>
          </cell>
          <cell r="L295">
            <v>0</v>
          </cell>
          <cell r="M295">
            <v>0</v>
          </cell>
          <cell r="N295">
            <v>0</v>
          </cell>
          <cell r="O295">
            <v>0</v>
          </cell>
        </row>
        <row r="296">
          <cell r="A296" t="str">
            <v>700-80-055</v>
          </cell>
          <cell r="B296" t="str">
            <v>STAFF CAR LOANS</v>
          </cell>
          <cell r="C296">
            <v>13657116.199999999</v>
          </cell>
          <cell r="D296">
            <v>-343366.40000000002</v>
          </cell>
          <cell r="E296">
            <v>13313749.800000001</v>
          </cell>
          <cell r="F296">
            <v>13313749.800000001</v>
          </cell>
          <cell r="G296">
            <v>0</v>
          </cell>
          <cell r="H296">
            <v>13313749.800000001</v>
          </cell>
          <cell r="I296">
            <v>0</v>
          </cell>
          <cell r="J296">
            <v>13313749.800000001</v>
          </cell>
          <cell r="K296">
            <v>13313749.800000001</v>
          </cell>
          <cell r="L296">
            <v>0</v>
          </cell>
          <cell r="M296">
            <v>0</v>
          </cell>
          <cell r="N296">
            <v>0</v>
          </cell>
          <cell r="O296">
            <v>0</v>
          </cell>
        </row>
        <row r="297">
          <cell r="A297" t="str">
            <v>700-80-060</v>
          </cell>
          <cell r="B297" t="str">
            <v>MORTGAGE LOANS</v>
          </cell>
          <cell r="C297">
            <v>967.35</v>
          </cell>
          <cell r="D297">
            <v>0.2</v>
          </cell>
          <cell r="E297">
            <v>967.55</v>
          </cell>
          <cell r="F297">
            <v>967.55</v>
          </cell>
          <cell r="G297">
            <v>0</v>
          </cell>
          <cell r="H297">
            <v>967.55</v>
          </cell>
          <cell r="I297">
            <v>0</v>
          </cell>
          <cell r="J297">
            <v>967.55</v>
          </cell>
          <cell r="K297">
            <v>967.55</v>
          </cell>
          <cell r="L297">
            <v>0</v>
          </cell>
          <cell r="M297">
            <v>0</v>
          </cell>
          <cell r="N297">
            <v>0</v>
          </cell>
          <cell r="O297">
            <v>0</v>
          </cell>
        </row>
        <row r="298">
          <cell r="A298" t="str">
            <v>700-80-065</v>
          </cell>
          <cell r="B298" t="str">
            <v>N/L PREMIUMS</v>
          </cell>
          <cell r="C298">
            <v>629569.69999999995</v>
          </cell>
          <cell r="D298">
            <v>-78384.5</v>
          </cell>
          <cell r="E298">
            <v>551185.19999999995</v>
          </cell>
          <cell r="F298">
            <v>551185.19999999995</v>
          </cell>
          <cell r="G298">
            <v>0</v>
          </cell>
          <cell r="H298">
            <v>551185.19999999995</v>
          </cell>
          <cell r="I298">
            <v>0</v>
          </cell>
          <cell r="J298">
            <v>551185.19999999995</v>
          </cell>
          <cell r="K298">
            <v>551185.19999999995</v>
          </cell>
          <cell r="L298">
            <v>0</v>
          </cell>
          <cell r="M298">
            <v>0</v>
          </cell>
          <cell r="N298">
            <v>0</v>
          </cell>
          <cell r="O298">
            <v>0</v>
          </cell>
        </row>
        <row r="299">
          <cell r="A299" t="str">
            <v>700-80-066</v>
          </cell>
          <cell r="B299" t="str">
            <v>CORPORATION TAX-TANZANIA</v>
          </cell>
          <cell r="C299">
            <v>8655</v>
          </cell>
          <cell r="D299">
            <v>0</v>
          </cell>
          <cell r="E299">
            <v>8655</v>
          </cell>
          <cell r="F299">
            <v>8655</v>
          </cell>
          <cell r="G299">
            <v>0</v>
          </cell>
          <cell r="H299">
            <v>8655</v>
          </cell>
          <cell r="I299">
            <v>0</v>
          </cell>
          <cell r="J299">
            <v>8655</v>
          </cell>
          <cell r="K299">
            <v>8655</v>
          </cell>
          <cell r="L299">
            <v>0</v>
          </cell>
          <cell r="M299">
            <v>0</v>
          </cell>
          <cell r="N299">
            <v>0</v>
          </cell>
          <cell r="O299">
            <v>0</v>
          </cell>
        </row>
        <row r="300">
          <cell r="A300" t="str">
            <v>700-80-067</v>
          </cell>
          <cell r="B300" t="str">
            <v>PAN AFRICA INS. PENSION SCHEME</v>
          </cell>
          <cell r="C300">
            <v>898529.65</v>
          </cell>
          <cell r="D300">
            <v>0</v>
          </cell>
          <cell r="E300">
            <v>898529.65</v>
          </cell>
          <cell r="F300">
            <v>898529.65</v>
          </cell>
          <cell r="G300">
            <v>0</v>
          </cell>
          <cell r="H300">
            <v>898529.65</v>
          </cell>
          <cell r="I300">
            <v>0</v>
          </cell>
          <cell r="J300">
            <v>898529.65</v>
          </cell>
          <cell r="K300">
            <v>898529.65</v>
          </cell>
          <cell r="L300">
            <v>0</v>
          </cell>
          <cell r="M300">
            <v>0</v>
          </cell>
          <cell r="N300">
            <v>0</v>
          </cell>
          <cell r="O300">
            <v>0</v>
          </cell>
        </row>
        <row r="301">
          <cell r="A301" t="str">
            <v>700-80-068</v>
          </cell>
          <cell r="B301" t="str">
            <v>RENT DEPOSITS</v>
          </cell>
          <cell r="C301">
            <v>201674.7</v>
          </cell>
          <cell r="D301">
            <v>0</v>
          </cell>
          <cell r="E301">
            <v>201674.7</v>
          </cell>
          <cell r="F301">
            <v>201674.7</v>
          </cell>
          <cell r="G301">
            <v>0</v>
          </cell>
          <cell r="H301">
            <v>201674.7</v>
          </cell>
          <cell r="I301">
            <v>0</v>
          </cell>
          <cell r="J301">
            <v>201674.7</v>
          </cell>
          <cell r="K301">
            <v>201674.7</v>
          </cell>
          <cell r="L301">
            <v>0</v>
          </cell>
          <cell r="M301">
            <v>0</v>
          </cell>
          <cell r="N301">
            <v>0</v>
          </cell>
          <cell r="O301">
            <v>0</v>
          </cell>
        </row>
        <row r="302">
          <cell r="A302" t="str">
            <v>700-80-069</v>
          </cell>
          <cell r="B302" t="str">
            <v>TANZANIA AACOUNT</v>
          </cell>
          <cell r="C302">
            <v>313853.95</v>
          </cell>
          <cell r="D302">
            <v>0</v>
          </cell>
          <cell r="E302">
            <v>313853.95</v>
          </cell>
          <cell r="F302">
            <v>313853.95</v>
          </cell>
          <cell r="G302">
            <v>0</v>
          </cell>
          <cell r="H302">
            <v>313853.95</v>
          </cell>
          <cell r="I302">
            <v>0</v>
          </cell>
          <cell r="J302">
            <v>313853.95</v>
          </cell>
          <cell r="K302">
            <v>313853.95</v>
          </cell>
          <cell r="L302">
            <v>0</v>
          </cell>
          <cell r="M302">
            <v>0</v>
          </cell>
          <cell r="N302">
            <v>0</v>
          </cell>
          <cell r="O302">
            <v>0</v>
          </cell>
        </row>
        <row r="303">
          <cell r="A303" t="str">
            <v>700-80-070</v>
          </cell>
          <cell r="B303" t="str">
            <v>STAFF MEDICAL - RECOVERABLE</v>
          </cell>
          <cell r="C303">
            <v>4153.8500000000004</v>
          </cell>
          <cell r="D303">
            <v>0</v>
          </cell>
          <cell r="E303">
            <v>4153.8500000000004</v>
          </cell>
          <cell r="F303">
            <v>4153.8500000000004</v>
          </cell>
          <cell r="G303">
            <v>0</v>
          </cell>
          <cell r="H303">
            <v>4153.8500000000004</v>
          </cell>
          <cell r="I303">
            <v>0</v>
          </cell>
          <cell r="J303">
            <v>4153.8500000000004</v>
          </cell>
          <cell r="K303">
            <v>4153.8500000000004</v>
          </cell>
          <cell r="L303">
            <v>0</v>
          </cell>
          <cell r="M303">
            <v>0</v>
          </cell>
          <cell r="N303">
            <v>0</v>
          </cell>
          <cell r="O303">
            <v>0</v>
          </cell>
        </row>
        <row r="304">
          <cell r="A304" t="str">
            <v>700-81-010</v>
          </cell>
          <cell r="B304" t="str">
            <v>KNIGHT FRANK</v>
          </cell>
          <cell r="C304">
            <v>22400194</v>
          </cell>
          <cell r="D304">
            <v>-675696</v>
          </cell>
          <cell r="E304">
            <v>21724498</v>
          </cell>
          <cell r="F304">
            <v>21724498</v>
          </cell>
          <cell r="G304">
            <v>-5203213</v>
          </cell>
          <cell r="H304">
            <v>16521285</v>
          </cell>
          <cell r="I304">
            <v>0</v>
          </cell>
          <cell r="J304">
            <v>21724498</v>
          </cell>
          <cell r="K304">
            <v>16205695</v>
          </cell>
          <cell r="L304">
            <v>0</v>
          </cell>
          <cell r="M304">
            <v>315590</v>
          </cell>
          <cell r="N304">
            <v>0</v>
          </cell>
          <cell r="O304">
            <v>0</v>
          </cell>
        </row>
        <row r="305">
          <cell r="A305" t="str">
            <v>700-81-015</v>
          </cell>
          <cell r="B305" t="str">
            <v>CASH IN TRANSIT</v>
          </cell>
          <cell r="C305">
            <v>0</v>
          </cell>
          <cell r="D305">
            <v>0</v>
          </cell>
          <cell r="E305">
            <v>0</v>
          </cell>
          <cell r="F305">
            <v>0</v>
          </cell>
          <cell r="G305">
            <v>0</v>
          </cell>
          <cell r="H305">
            <v>0</v>
          </cell>
          <cell r="I305">
            <v>0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O305">
            <v>0</v>
          </cell>
        </row>
        <row r="306">
          <cell r="A306" t="str">
            <v>700-82-010</v>
          </cell>
          <cell r="B306" t="str">
            <v>PREDEBIT DEBTOR</v>
          </cell>
          <cell r="C306">
            <v>59133200.700000003</v>
          </cell>
          <cell r="D306">
            <v>-9441168.5500000007</v>
          </cell>
          <cell r="E306">
            <v>49692032.149999999</v>
          </cell>
          <cell r="F306">
            <v>49692032.149999999</v>
          </cell>
          <cell r="G306">
            <v>0</v>
          </cell>
          <cell r="H306">
            <v>49692032.149999999</v>
          </cell>
          <cell r="I306">
            <v>0</v>
          </cell>
          <cell r="J306">
            <v>49692032.149999999</v>
          </cell>
          <cell r="K306">
            <v>49692032.149999999</v>
          </cell>
          <cell r="L306">
            <v>0</v>
          </cell>
          <cell r="M306">
            <v>0</v>
          </cell>
          <cell r="N306">
            <v>0</v>
          </cell>
          <cell r="O306">
            <v>0</v>
          </cell>
        </row>
        <row r="307">
          <cell r="A307" t="str">
            <v>700-83-010</v>
          </cell>
          <cell r="B307" t="str">
            <v>REINSURANCE DEBTOR</v>
          </cell>
          <cell r="C307">
            <v>73676140</v>
          </cell>
          <cell r="D307">
            <v>22655267</v>
          </cell>
          <cell r="E307">
            <v>96331407</v>
          </cell>
          <cell r="F307">
            <v>96331407</v>
          </cell>
          <cell r="G307">
            <v>0</v>
          </cell>
          <cell r="H307">
            <v>96331407</v>
          </cell>
          <cell r="I307">
            <v>0</v>
          </cell>
          <cell r="J307">
            <v>96331407</v>
          </cell>
          <cell r="K307">
            <v>0</v>
          </cell>
          <cell r="L307">
            <v>0</v>
          </cell>
          <cell r="M307">
            <v>0</v>
          </cell>
          <cell r="N307">
            <v>96331407</v>
          </cell>
          <cell r="O307">
            <v>0</v>
          </cell>
        </row>
        <row r="308">
          <cell r="A308" t="str">
            <v>700-84-010</v>
          </cell>
          <cell r="B308" t="str">
            <v>O/S PREMIUMS API</v>
          </cell>
          <cell r="C308">
            <v>0</v>
          </cell>
          <cell r="D308">
            <v>0</v>
          </cell>
          <cell r="E308">
            <v>0</v>
          </cell>
          <cell r="F308">
            <v>0</v>
          </cell>
          <cell r="G308">
            <v>0</v>
          </cell>
          <cell r="H308">
            <v>0</v>
          </cell>
          <cell r="I308">
            <v>0</v>
          </cell>
          <cell r="J308">
            <v>0</v>
          </cell>
          <cell r="K308">
            <v>0</v>
          </cell>
          <cell r="L308">
            <v>0</v>
          </cell>
          <cell r="M308">
            <v>0</v>
          </cell>
          <cell r="N308">
            <v>0</v>
          </cell>
          <cell r="O308">
            <v>0</v>
          </cell>
        </row>
        <row r="309">
          <cell r="A309" t="str">
            <v>700-85-010</v>
          </cell>
          <cell r="B309" t="str">
            <v>PREPAYMENTS</v>
          </cell>
          <cell r="C309">
            <v>4275747.3</v>
          </cell>
          <cell r="D309">
            <v>-1684231.59</v>
          </cell>
          <cell r="E309">
            <v>2591515.71</v>
          </cell>
          <cell r="F309">
            <v>2591515.71</v>
          </cell>
          <cell r="G309">
            <v>0</v>
          </cell>
          <cell r="H309">
            <v>2591515.71</v>
          </cell>
          <cell r="I309">
            <v>0</v>
          </cell>
          <cell r="J309">
            <v>2591515.71</v>
          </cell>
          <cell r="K309">
            <v>2591515.71</v>
          </cell>
          <cell r="L309">
            <v>0</v>
          </cell>
          <cell r="M309">
            <v>0</v>
          </cell>
          <cell r="N309">
            <v>0</v>
          </cell>
          <cell r="O309">
            <v>0</v>
          </cell>
        </row>
        <row r="310">
          <cell r="A310" t="str">
            <v>700-85-015</v>
          </cell>
          <cell r="B310" t="str">
            <v>EXECUTIVE CONTRA</v>
          </cell>
          <cell r="C310">
            <v>330807.46999999997</v>
          </cell>
          <cell r="D310">
            <v>-1765.56</v>
          </cell>
          <cell r="E310">
            <v>329041.90999999997</v>
          </cell>
          <cell r="F310">
            <v>329041.90999999997</v>
          </cell>
          <cell r="G310">
            <v>0</v>
          </cell>
          <cell r="H310">
            <v>329041.90999999997</v>
          </cell>
          <cell r="I310">
            <v>0</v>
          </cell>
          <cell r="J310">
            <v>329041.90999999997</v>
          </cell>
          <cell r="K310">
            <v>329041.90999999997</v>
          </cell>
          <cell r="L310">
            <v>0</v>
          </cell>
          <cell r="M310">
            <v>0</v>
          </cell>
          <cell r="N310">
            <v>0</v>
          </cell>
          <cell r="O310">
            <v>0</v>
          </cell>
        </row>
        <row r="311">
          <cell r="A311" t="str">
            <v>700-85-020</v>
          </cell>
          <cell r="B311" t="str">
            <v>STAFF CONTRA</v>
          </cell>
          <cell r="C311">
            <v>260307</v>
          </cell>
          <cell r="D311">
            <v>26354.6</v>
          </cell>
          <cell r="E311">
            <v>286661.59999999998</v>
          </cell>
          <cell r="F311">
            <v>286661.59999999998</v>
          </cell>
          <cell r="G311">
            <v>0</v>
          </cell>
          <cell r="H311">
            <v>286661.59999999998</v>
          </cell>
          <cell r="I311">
            <v>0</v>
          </cell>
          <cell r="J311">
            <v>286661.59999999998</v>
          </cell>
          <cell r="K311">
            <v>286661.59999999998</v>
          </cell>
          <cell r="L311">
            <v>0</v>
          </cell>
          <cell r="M311">
            <v>0</v>
          </cell>
          <cell r="N311">
            <v>0</v>
          </cell>
          <cell r="O311">
            <v>0</v>
          </cell>
        </row>
        <row r="312">
          <cell r="A312" t="str">
            <v>700-85-025</v>
          </cell>
          <cell r="B312" t="str">
            <v>PREDEBIT DEBTOR</v>
          </cell>
          <cell r="C312">
            <v>894590.3</v>
          </cell>
          <cell r="D312">
            <v>-358867.88</v>
          </cell>
          <cell r="E312">
            <v>535722.42000000004</v>
          </cell>
          <cell r="F312">
            <v>535722.42000000004</v>
          </cell>
          <cell r="G312">
            <v>0</v>
          </cell>
          <cell r="H312">
            <v>535722.42000000004</v>
          </cell>
          <cell r="I312">
            <v>0</v>
          </cell>
          <cell r="J312">
            <v>535722.42000000004</v>
          </cell>
          <cell r="K312">
            <v>550974.42000000004</v>
          </cell>
          <cell r="L312">
            <v>0</v>
          </cell>
          <cell r="M312">
            <v>0</v>
          </cell>
          <cell r="N312">
            <v>-15252</v>
          </cell>
          <cell r="O312">
            <v>0</v>
          </cell>
        </row>
        <row r="313">
          <cell r="A313" t="str">
            <v>700-85-035</v>
          </cell>
          <cell r="B313" t="str">
            <v>ALA-RECEIVABLES</v>
          </cell>
          <cell r="C313">
            <v>156270</v>
          </cell>
          <cell r="D313">
            <v>-156270</v>
          </cell>
          <cell r="E313">
            <v>0</v>
          </cell>
          <cell r="F313">
            <v>0</v>
          </cell>
          <cell r="G313">
            <v>0</v>
          </cell>
          <cell r="H313">
            <v>0</v>
          </cell>
          <cell r="I313">
            <v>0</v>
          </cell>
          <cell r="J313">
            <v>0</v>
          </cell>
          <cell r="K313">
            <v>0</v>
          </cell>
          <cell r="L313">
            <v>0</v>
          </cell>
          <cell r="M313">
            <v>0</v>
          </cell>
          <cell r="N313">
            <v>0</v>
          </cell>
          <cell r="O313">
            <v>0</v>
          </cell>
        </row>
        <row r="314">
          <cell r="A314" t="str">
            <v>700-85-040</v>
          </cell>
          <cell r="B314" t="str">
            <v>DEPOSITS ACCOUNT</v>
          </cell>
          <cell r="C314">
            <v>1854304.6</v>
          </cell>
          <cell r="D314">
            <v>108000</v>
          </cell>
          <cell r="E314">
            <v>1962304.6</v>
          </cell>
          <cell r="F314">
            <v>1962304.6</v>
          </cell>
          <cell r="G314">
            <v>0</v>
          </cell>
          <cell r="H314">
            <v>1962304.6</v>
          </cell>
          <cell r="I314">
            <v>0</v>
          </cell>
          <cell r="J314">
            <v>1962304.6</v>
          </cell>
          <cell r="K314">
            <v>1962304.6</v>
          </cell>
          <cell r="L314">
            <v>0</v>
          </cell>
          <cell r="M314">
            <v>0</v>
          </cell>
          <cell r="N314">
            <v>0</v>
          </cell>
          <cell r="O314">
            <v>0</v>
          </cell>
        </row>
        <row r="315">
          <cell r="A315" t="str">
            <v>700-85-045</v>
          </cell>
          <cell r="B315" t="str">
            <v>P A SECURITIES</v>
          </cell>
          <cell r="C315">
            <v>26549959.890000001</v>
          </cell>
          <cell r="D315">
            <v>-26549959.890000001</v>
          </cell>
          <cell r="E315">
            <v>0</v>
          </cell>
          <cell r="F315">
            <v>0</v>
          </cell>
          <cell r="G315">
            <v>0</v>
          </cell>
          <cell r="H315">
            <v>0</v>
          </cell>
          <cell r="I315">
            <v>0</v>
          </cell>
          <cell r="J315">
            <v>0</v>
          </cell>
          <cell r="K315">
            <v>0</v>
          </cell>
          <cell r="L315">
            <v>0</v>
          </cell>
          <cell r="M315">
            <v>0</v>
          </cell>
          <cell r="N315">
            <v>0</v>
          </cell>
          <cell r="O315">
            <v>0</v>
          </cell>
        </row>
        <row r="316">
          <cell r="A316" t="str">
            <v>700-85-050</v>
          </cell>
          <cell r="B316" t="str">
            <v>CORPORATE (PENSIONS SCHEMES)</v>
          </cell>
          <cell r="C316">
            <v>0</v>
          </cell>
          <cell r="D316">
            <v>373284.45</v>
          </cell>
          <cell r="E316">
            <v>373284.45</v>
          </cell>
          <cell r="F316">
            <v>373284.45</v>
          </cell>
          <cell r="G316">
            <v>0</v>
          </cell>
          <cell r="H316">
            <v>373284.45</v>
          </cell>
          <cell r="I316">
            <v>0</v>
          </cell>
          <cell r="J316">
            <v>0</v>
          </cell>
          <cell r="K316">
            <v>373284.45</v>
          </cell>
          <cell r="L316">
            <v>0</v>
          </cell>
          <cell r="M316">
            <v>0</v>
          </cell>
          <cell r="N316">
            <v>0</v>
          </cell>
          <cell r="O316">
            <v>0</v>
          </cell>
        </row>
        <row r="317">
          <cell r="A317" t="str">
            <v>700-86-010</v>
          </cell>
          <cell r="B317" t="str">
            <v>CLAIMS RECOVERABLE</v>
          </cell>
          <cell r="C317">
            <v>50351484</v>
          </cell>
          <cell r="D317">
            <v>-17929712</v>
          </cell>
          <cell r="E317">
            <v>32421772</v>
          </cell>
          <cell r="F317">
            <v>32421772</v>
          </cell>
          <cell r="G317">
            <v>0</v>
          </cell>
          <cell r="H317">
            <v>32421772</v>
          </cell>
          <cell r="I317">
            <v>0</v>
          </cell>
          <cell r="J317">
            <v>32421772</v>
          </cell>
          <cell r="K317">
            <v>0</v>
          </cell>
          <cell r="L317">
            <v>0</v>
          </cell>
          <cell r="M317">
            <v>0</v>
          </cell>
          <cell r="N317">
            <v>32421772</v>
          </cell>
          <cell r="O317">
            <v>0</v>
          </cell>
        </row>
        <row r="318">
          <cell r="A318" t="str">
            <v>700-87-010</v>
          </cell>
          <cell r="B318" t="str">
            <v>AGENCY DEVELOPMENT FUND</v>
          </cell>
          <cell r="C318">
            <v>1600000</v>
          </cell>
          <cell r="D318">
            <v>0</v>
          </cell>
          <cell r="E318">
            <v>1600000</v>
          </cell>
          <cell r="F318">
            <v>1600000</v>
          </cell>
          <cell r="G318">
            <v>0</v>
          </cell>
          <cell r="H318">
            <v>1600000</v>
          </cell>
          <cell r="I318">
            <v>0</v>
          </cell>
          <cell r="J318">
            <v>1600000</v>
          </cell>
          <cell r="K318">
            <v>1600000</v>
          </cell>
          <cell r="L318">
            <v>0</v>
          </cell>
          <cell r="M318">
            <v>0</v>
          </cell>
          <cell r="N318">
            <v>0</v>
          </cell>
          <cell r="O318">
            <v>0</v>
          </cell>
        </row>
        <row r="319">
          <cell r="A319" t="str">
            <v>700-90-010</v>
          </cell>
          <cell r="B319" t="str">
            <v>BANK OF BARODA</v>
          </cell>
          <cell r="C319">
            <v>54522.5</v>
          </cell>
          <cell r="D319">
            <v>8586.15</v>
          </cell>
          <cell r="E319">
            <v>63108.65</v>
          </cell>
          <cell r="F319">
            <v>63108.65</v>
          </cell>
          <cell r="G319">
            <v>0</v>
          </cell>
          <cell r="H319">
            <v>63108.65</v>
          </cell>
          <cell r="I319">
            <v>0</v>
          </cell>
          <cell r="J319">
            <v>63108.65</v>
          </cell>
          <cell r="K319">
            <v>63108.65</v>
          </cell>
          <cell r="L319">
            <v>0</v>
          </cell>
          <cell r="M319">
            <v>0</v>
          </cell>
          <cell r="N319">
            <v>0</v>
          </cell>
          <cell r="O319">
            <v>0</v>
          </cell>
        </row>
        <row r="320">
          <cell r="A320" t="str">
            <v>700-90-030</v>
          </cell>
          <cell r="B320" t="str">
            <v>CBA-WABERA STREET</v>
          </cell>
          <cell r="C320">
            <v>0</v>
          </cell>
          <cell r="D320">
            <v>0</v>
          </cell>
          <cell r="E320">
            <v>0</v>
          </cell>
          <cell r="F320">
            <v>0</v>
          </cell>
          <cell r="G320">
            <v>0</v>
          </cell>
          <cell r="H320">
            <v>0</v>
          </cell>
          <cell r="I320">
            <v>0</v>
          </cell>
          <cell r="J320">
            <v>0</v>
          </cell>
          <cell r="K320">
            <v>0</v>
          </cell>
          <cell r="L320">
            <v>0</v>
          </cell>
          <cell r="M320">
            <v>0</v>
          </cell>
          <cell r="N320">
            <v>0</v>
          </cell>
          <cell r="O320">
            <v>0</v>
          </cell>
        </row>
        <row r="321">
          <cell r="A321" t="str">
            <v>700-90-040</v>
          </cell>
          <cell r="B321" t="str">
            <v>BBK-MOMBASA</v>
          </cell>
          <cell r="C321">
            <v>1187020.5</v>
          </cell>
          <cell r="D321">
            <v>-1051561.8500000001</v>
          </cell>
          <cell r="E321">
            <v>135458.65</v>
          </cell>
          <cell r="F321">
            <v>135458.65</v>
          </cell>
          <cell r="G321">
            <v>0</v>
          </cell>
          <cell r="H321">
            <v>135458.65</v>
          </cell>
          <cell r="I321">
            <v>0</v>
          </cell>
          <cell r="J321">
            <v>135458.65</v>
          </cell>
          <cell r="K321">
            <v>135458.65</v>
          </cell>
          <cell r="L321">
            <v>0</v>
          </cell>
          <cell r="M321">
            <v>0</v>
          </cell>
          <cell r="N321">
            <v>0</v>
          </cell>
          <cell r="O321">
            <v>0</v>
          </cell>
        </row>
        <row r="322">
          <cell r="A322" t="str">
            <v>700-90-050</v>
          </cell>
          <cell r="B322" t="str">
            <v>SCB-COLLECTION A/C</v>
          </cell>
          <cell r="C322">
            <v>1020365</v>
          </cell>
          <cell r="D322">
            <v>266536</v>
          </cell>
          <cell r="E322">
            <v>1286901</v>
          </cell>
          <cell r="F322">
            <v>1286901</v>
          </cell>
          <cell r="G322">
            <v>0</v>
          </cell>
          <cell r="H322">
            <v>1286901</v>
          </cell>
          <cell r="I322">
            <v>0</v>
          </cell>
          <cell r="J322">
            <v>1286901</v>
          </cell>
          <cell r="K322">
            <v>1286901</v>
          </cell>
          <cell r="L322">
            <v>0</v>
          </cell>
          <cell r="M322">
            <v>0</v>
          </cell>
          <cell r="N322">
            <v>0</v>
          </cell>
          <cell r="O322">
            <v>0</v>
          </cell>
        </row>
        <row r="323">
          <cell r="A323" t="str">
            <v>700-90-060</v>
          </cell>
          <cell r="B323" t="str">
            <v>CO-OP UKULIMA</v>
          </cell>
          <cell r="C323">
            <v>763602</v>
          </cell>
          <cell r="D323">
            <v>170409</v>
          </cell>
          <cell r="E323">
            <v>934011</v>
          </cell>
          <cell r="F323">
            <v>934011</v>
          </cell>
          <cell r="G323">
            <v>0</v>
          </cell>
          <cell r="H323">
            <v>934011</v>
          </cell>
          <cell r="I323">
            <v>0</v>
          </cell>
          <cell r="J323">
            <v>934011</v>
          </cell>
          <cell r="K323">
            <v>934011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</row>
        <row r="324">
          <cell r="A324" t="str">
            <v>700-90-080</v>
          </cell>
          <cell r="B324" t="str">
            <v>BBK MERU</v>
          </cell>
          <cell r="C324">
            <v>293767.3</v>
          </cell>
          <cell r="D324">
            <v>-116353.8</v>
          </cell>
          <cell r="E324">
            <v>177413.5</v>
          </cell>
          <cell r="F324">
            <v>177413.5</v>
          </cell>
          <cell r="G324">
            <v>0</v>
          </cell>
          <cell r="H324">
            <v>177413.5</v>
          </cell>
          <cell r="I324">
            <v>0</v>
          </cell>
          <cell r="J324">
            <v>177413.5</v>
          </cell>
          <cell r="K324">
            <v>177413.5</v>
          </cell>
          <cell r="L324">
            <v>0</v>
          </cell>
          <cell r="M324">
            <v>0</v>
          </cell>
          <cell r="N324">
            <v>0</v>
          </cell>
          <cell r="O324">
            <v>0</v>
          </cell>
        </row>
        <row r="325">
          <cell r="A325" t="str">
            <v>700-90-090</v>
          </cell>
          <cell r="B325" t="str">
            <v>BBK-NYERI</v>
          </cell>
          <cell r="C325">
            <v>275867.55</v>
          </cell>
          <cell r="D325">
            <v>-14797</v>
          </cell>
          <cell r="E325">
            <v>261070.55</v>
          </cell>
          <cell r="F325">
            <v>261070.55</v>
          </cell>
          <cell r="G325">
            <v>0</v>
          </cell>
          <cell r="H325">
            <v>261070.55</v>
          </cell>
          <cell r="I325">
            <v>0</v>
          </cell>
          <cell r="J325">
            <v>261070.55</v>
          </cell>
          <cell r="K325">
            <v>261070.55</v>
          </cell>
          <cell r="L325">
            <v>0</v>
          </cell>
          <cell r="M325">
            <v>0</v>
          </cell>
          <cell r="N325">
            <v>0</v>
          </cell>
          <cell r="O325">
            <v>0</v>
          </cell>
        </row>
        <row r="326">
          <cell r="A326" t="str">
            <v>700-90-100</v>
          </cell>
          <cell r="B326" t="str">
            <v>BBK NBI(5776890)</v>
          </cell>
          <cell r="C326">
            <v>156079.79999999999</v>
          </cell>
          <cell r="D326">
            <v>-123709.65</v>
          </cell>
          <cell r="E326">
            <v>32370.15</v>
          </cell>
          <cell r="F326">
            <v>32370.15</v>
          </cell>
          <cell r="G326">
            <v>0</v>
          </cell>
          <cell r="H326">
            <v>32370.15</v>
          </cell>
          <cell r="I326">
            <v>0</v>
          </cell>
          <cell r="J326">
            <v>32370.15</v>
          </cell>
          <cell r="K326">
            <v>32370.15</v>
          </cell>
          <cell r="L326">
            <v>0</v>
          </cell>
          <cell r="M326">
            <v>0</v>
          </cell>
          <cell r="N326">
            <v>0</v>
          </cell>
          <cell r="O326">
            <v>0</v>
          </cell>
        </row>
        <row r="327">
          <cell r="A327" t="str">
            <v>700-90-120</v>
          </cell>
          <cell r="B327" t="str">
            <v>BBK NBI (5776688)</v>
          </cell>
          <cell r="C327">
            <v>224855.5</v>
          </cell>
          <cell r="D327">
            <v>-34407.050000000003</v>
          </cell>
          <cell r="E327">
            <v>190448.45</v>
          </cell>
          <cell r="F327">
            <v>190448.45</v>
          </cell>
          <cell r="G327">
            <v>0</v>
          </cell>
          <cell r="H327">
            <v>190448.45</v>
          </cell>
          <cell r="I327">
            <v>0</v>
          </cell>
          <cell r="J327">
            <v>190448.45</v>
          </cell>
          <cell r="K327">
            <v>190448.45</v>
          </cell>
          <cell r="L327">
            <v>0</v>
          </cell>
          <cell r="M327">
            <v>0</v>
          </cell>
          <cell r="N327">
            <v>0</v>
          </cell>
          <cell r="O327">
            <v>0</v>
          </cell>
        </row>
        <row r="328">
          <cell r="A328" t="str">
            <v>700-90-140</v>
          </cell>
          <cell r="B328" t="str">
            <v>BBK-KISII</v>
          </cell>
          <cell r="C328">
            <v>119305.1</v>
          </cell>
          <cell r="D328">
            <v>21854.85</v>
          </cell>
          <cell r="E328">
            <v>141159.95000000001</v>
          </cell>
          <cell r="F328">
            <v>141159.95000000001</v>
          </cell>
          <cell r="G328">
            <v>0</v>
          </cell>
          <cell r="H328">
            <v>141159.95000000001</v>
          </cell>
          <cell r="I328">
            <v>0</v>
          </cell>
          <cell r="J328">
            <v>141159.95000000001</v>
          </cell>
          <cell r="K328">
            <v>141159.95000000001</v>
          </cell>
          <cell r="L328">
            <v>0</v>
          </cell>
          <cell r="M328">
            <v>0</v>
          </cell>
          <cell r="N328">
            <v>0</v>
          </cell>
          <cell r="O328">
            <v>0</v>
          </cell>
        </row>
        <row r="329">
          <cell r="A329" t="str">
            <v>700-90-150</v>
          </cell>
          <cell r="B329" t="str">
            <v>BBK-KISUMU</v>
          </cell>
          <cell r="C329">
            <v>244341.45</v>
          </cell>
          <cell r="D329">
            <v>-4100.1000000000004</v>
          </cell>
          <cell r="E329">
            <v>240241.35</v>
          </cell>
          <cell r="F329">
            <v>240241.35</v>
          </cell>
          <cell r="G329">
            <v>0</v>
          </cell>
          <cell r="H329">
            <v>240241.35</v>
          </cell>
          <cell r="I329">
            <v>0</v>
          </cell>
          <cell r="J329">
            <v>240241.35</v>
          </cell>
          <cell r="K329">
            <v>240241.35</v>
          </cell>
          <cell r="L329">
            <v>0</v>
          </cell>
          <cell r="M329">
            <v>0</v>
          </cell>
          <cell r="N329">
            <v>0</v>
          </cell>
          <cell r="O329">
            <v>0</v>
          </cell>
        </row>
        <row r="330">
          <cell r="A330" t="str">
            <v>700-90-160</v>
          </cell>
          <cell r="B330" t="str">
            <v>NAKURU</v>
          </cell>
          <cell r="C330">
            <v>92104.15</v>
          </cell>
          <cell r="D330">
            <v>317038.7</v>
          </cell>
          <cell r="E330">
            <v>409142.85</v>
          </cell>
          <cell r="F330">
            <v>409142.85</v>
          </cell>
          <cell r="G330">
            <v>0</v>
          </cell>
          <cell r="H330">
            <v>409142.85</v>
          </cell>
          <cell r="I330">
            <v>0</v>
          </cell>
          <cell r="J330">
            <v>409142.85</v>
          </cell>
          <cell r="K330">
            <v>409142.85</v>
          </cell>
          <cell r="L330">
            <v>0</v>
          </cell>
          <cell r="M330">
            <v>0</v>
          </cell>
          <cell r="N330">
            <v>0</v>
          </cell>
          <cell r="O330">
            <v>0</v>
          </cell>
        </row>
        <row r="331">
          <cell r="A331" t="str">
            <v>700-90-170</v>
          </cell>
          <cell r="B331" t="str">
            <v>BBK-ELDORET</v>
          </cell>
          <cell r="C331">
            <v>599976.1</v>
          </cell>
          <cell r="D331">
            <v>17890.150000000001</v>
          </cell>
          <cell r="E331">
            <v>617866.25</v>
          </cell>
          <cell r="F331">
            <v>617866.25</v>
          </cell>
          <cell r="G331">
            <v>0</v>
          </cell>
          <cell r="H331">
            <v>617866.25</v>
          </cell>
          <cell r="I331">
            <v>0</v>
          </cell>
          <cell r="J331">
            <v>617866.25</v>
          </cell>
          <cell r="K331">
            <v>617866.25</v>
          </cell>
          <cell r="L331">
            <v>0</v>
          </cell>
          <cell r="M331">
            <v>0</v>
          </cell>
          <cell r="N331">
            <v>0</v>
          </cell>
          <cell r="O331">
            <v>0</v>
          </cell>
        </row>
        <row r="332">
          <cell r="A332" t="str">
            <v>700-90-190</v>
          </cell>
          <cell r="B332" t="str">
            <v>BBK-EMBU</v>
          </cell>
          <cell r="C332">
            <v>72392.5</v>
          </cell>
          <cell r="D332">
            <v>-31702.5</v>
          </cell>
          <cell r="E332">
            <v>40690</v>
          </cell>
          <cell r="F332">
            <v>40690</v>
          </cell>
          <cell r="G332">
            <v>0</v>
          </cell>
          <cell r="H332">
            <v>40690</v>
          </cell>
          <cell r="I332">
            <v>0</v>
          </cell>
          <cell r="J332">
            <v>40690</v>
          </cell>
          <cell r="K332">
            <v>40690</v>
          </cell>
          <cell r="L332">
            <v>0</v>
          </cell>
          <cell r="M332">
            <v>0</v>
          </cell>
          <cell r="N332">
            <v>0</v>
          </cell>
          <cell r="O332">
            <v>0</v>
          </cell>
        </row>
        <row r="333">
          <cell r="A333" t="str">
            <v>700-90-200</v>
          </cell>
          <cell r="B333" t="str">
            <v>CO-OP CHUKA</v>
          </cell>
          <cell r="C333">
            <v>156713.29999999999</v>
          </cell>
          <cell r="D333">
            <v>0</v>
          </cell>
          <cell r="E333">
            <v>156713.29999999999</v>
          </cell>
          <cell r="F333">
            <v>156713.29999999999</v>
          </cell>
          <cell r="G333">
            <v>0</v>
          </cell>
          <cell r="H333">
            <v>156713.29999999999</v>
          </cell>
          <cell r="I333">
            <v>0</v>
          </cell>
          <cell r="J333">
            <v>156713.29999999999</v>
          </cell>
          <cell r="K333">
            <v>156713.29999999999</v>
          </cell>
          <cell r="L333">
            <v>0</v>
          </cell>
          <cell r="M333">
            <v>0</v>
          </cell>
          <cell r="N333">
            <v>0</v>
          </cell>
          <cell r="O333">
            <v>0</v>
          </cell>
        </row>
        <row r="334">
          <cell r="A334" t="str">
            <v>700-90-210</v>
          </cell>
          <cell r="B334" t="str">
            <v>STANBIC NBI</v>
          </cell>
          <cell r="C334">
            <v>4659311.97</v>
          </cell>
          <cell r="D334">
            <v>-3999925</v>
          </cell>
          <cell r="E334">
            <v>659386.97</v>
          </cell>
          <cell r="F334">
            <v>659386.97</v>
          </cell>
          <cell r="G334">
            <v>0</v>
          </cell>
          <cell r="H334">
            <v>659386.97</v>
          </cell>
          <cell r="I334">
            <v>0</v>
          </cell>
          <cell r="J334">
            <v>659386.97</v>
          </cell>
          <cell r="K334">
            <v>659386.97</v>
          </cell>
          <cell r="L334">
            <v>0</v>
          </cell>
          <cell r="M334">
            <v>0</v>
          </cell>
          <cell r="N334">
            <v>0</v>
          </cell>
          <cell r="O334">
            <v>0</v>
          </cell>
        </row>
        <row r="335">
          <cell r="A335" t="str">
            <v>700-90-220</v>
          </cell>
          <cell r="B335" t="str">
            <v>HOLDCO</v>
          </cell>
          <cell r="C335">
            <v>0</v>
          </cell>
          <cell r="D335">
            <v>0</v>
          </cell>
          <cell r="E335">
            <v>0</v>
          </cell>
          <cell r="F335">
            <v>0</v>
          </cell>
          <cell r="G335">
            <v>0</v>
          </cell>
          <cell r="H335">
            <v>0</v>
          </cell>
          <cell r="I335">
            <v>0</v>
          </cell>
          <cell r="J335">
            <v>0</v>
          </cell>
          <cell r="K335">
            <v>0</v>
          </cell>
          <cell r="L335">
            <v>0</v>
          </cell>
          <cell r="M335">
            <v>0</v>
          </cell>
          <cell r="N335">
            <v>0</v>
          </cell>
          <cell r="O335">
            <v>0</v>
          </cell>
        </row>
        <row r="336">
          <cell r="A336" t="str">
            <v>700-90-230</v>
          </cell>
          <cell r="B336" t="str">
            <v>GRATUITY US DOLLAR</v>
          </cell>
          <cell r="C336">
            <v>1672078.07</v>
          </cell>
          <cell r="D336">
            <v>-48269.91</v>
          </cell>
          <cell r="E336">
            <v>1623808.16</v>
          </cell>
          <cell r="F336">
            <v>1623808.16</v>
          </cell>
          <cell r="G336">
            <v>0</v>
          </cell>
          <cell r="H336">
            <v>1623808.16</v>
          </cell>
          <cell r="I336">
            <v>0</v>
          </cell>
          <cell r="J336">
            <v>1623808.16</v>
          </cell>
          <cell r="K336">
            <v>1623808.16</v>
          </cell>
          <cell r="L336">
            <v>0</v>
          </cell>
          <cell r="M336">
            <v>0</v>
          </cell>
          <cell r="N336">
            <v>0</v>
          </cell>
          <cell r="O336">
            <v>0</v>
          </cell>
        </row>
        <row r="337">
          <cell r="A337" t="str">
            <v>700-90-240</v>
          </cell>
          <cell r="B337" t="str">
            <v>BBK-THIKA</v>
          </cell>
          <cell r="C337">
            <v>695312.8</v>
          </cell>
          <cell r="D337">
            <v>217256.7</v>
          </cell>
          <cell r="E337">
            <v>912569.5</v>
          </cell>
          <cell r="F337">
            <v>912569.5</v>
          </cell>
          <cell r="G337">
            <v>0</v>
          </cell>
          <cell r="H337">
            <v>912569.5</v>
          </cell>
          <cell r="I337">
            <v>0</v>
          </cell>
          <cell r="J337">
            <v>912569.5</v>
          </cell>
          <cell r="K337">
            <v>912569.5</v>
          </cell>
          <cell r="L337">
            <v>0</v>
          </cell>
          <cell r="M337">
            <v>0</v>
          </cell>
          <cell r="N337">
            <v>0</v>
          </cell>
          <cell r="O337">
            <v>0</v>
          </cell>
        </row>
        <row r="338">
          <cell r="A338" t="str">
            <v>700-90-260</v>
          </cell>
          <cell r="B338" t="str">
            <v>BBK(5039027)ADMINSTRATION</v>
          </cell>
          <cell r="C338">
            <v>-18962496.109999999</v>
          </cell>
          <cell r="D338">
            <v>-3484951.57</v>
          </cell>
          <cell r="E338">
            <v>-22447447.68</v>
          </cell>
          <cell r="F338">
            <v>-22447447.68</v>
          </cell>
          <cell r="G338">
            <v>0</v>
          </cell>
          <cell r="H338">
            <v>-22447447.68</v>
          </cell>
          <cell r="I338">
            <v>0</v>
          </cell>
          <cell r="J338">
            <v>-22447447.68</v>
          </cell>
          <cell r="K338">
            <v>-10617015.98</v>
          </cell>
          <cell r="L338">
            <v>-11830431.699999999</v>
          </cell>
          <cell r="M338">
            <v>0</v>
          </cell>
          <cell r="N338">
            <v>0</v>
          </cell>
          <cell r="O338">
            <v>0</v>
          </cell>
        </row>
        <row r="339">
          <cell r="A339" t="str">
            <v>700-90-270</v>
          </cell>
          <cell r="B339" t="str">
            <v>BBK-(5039051)COLLECTIONS</v>
          </cell>
          <cell r="C339">
            <v>8705265</v>
          </cell>
          <cell r="D339">
            <v>46537134.350000001</v>
          </cell>
          <cell r="E339">
            <v>55242399.350000001</v>
          </cell>
          <cell r="F339">
            <v>55242399.350000001</v>
          </cell>
          <cell r="G339">
            <v>0</v>
          </cell>
          <cell r="H339">
            <v>55242399.350000001</v>
          </cell>
          <cell r="I339">
            <v>0</v>
          </cell>
          <cell r="J339">
            <v>55242399.350000001</v>
          </cell>
          <cell r="K339">
            <v>55242399.350000001</v>
          </cell>
          <cell r="L339">
            <v>0</v>
          </cell>
          <cell r="M339">
            <v>0</v>
          </cell>
          <cell r="N339">
            <v>0</v>
          </cell>
          <cell r="O339">
            <v>0</v>
          </cell>
        </row>
        <row r="340">
          <cell r="A340" t="str">
            <v>700-90-280</v>
          </cell>
          <cell r="B340" t="str">
            <v>BBK(5039035) EXPENSES</v>
          </cell>
          <cell r="C340">
            <v>-7644871.9500000002</v>
          </cell>
          <cell r="D340">
            <v>-3257333.6</v>
          </cell>
          <cell r="E340">
            <v>-10902205.550000001</v>
          </cell>
          <cell r="F340">
            <v>-10902205.550000001</v>
          </cell>
          <cell r="G340">
            <v>0</v>
          </cell>
          <cell r="H340">
            <v>-10902205.550000001</v>
          </cell>
          <cell r="I340">
            <v>0</v>
          </cell>
          <cell r="J340">
            <v>-10902205.550000001</v>
          </cell>
          <cell r="K340">
            <v>-10895605.550000001</v>
          </cell>
          <cell r="L340">
            <v>-6600</v>
          </cell>
          <cell r="M340">
            <v>0</v>
          </cell>
          <cell r="N340">
            <v>0</v>
          </cell>
          <cell r="O340">
            <v>0</v>
          </cell>
        </row>
        <row r="341">
          <cell r="A341" t="str">
            <v>700-90-285</v>
          </cell>
          <cell r="B341" t="str">
            <v>BBK NBI -(5776793)</v>
          </cell>
          <cell r="C341">
            <v>18431161</v>
          </cell>
          <cell r="D341">
            <v>-15347219.65</v>
          </cell>
          <cell r="E341">
            <v>3083941.35</v>
          </cell>
          <cell r="F341">
            <v>3083941.35</v>
          </cell>
          <cell r="G341">
            <v>0</v>
          </cell>
          <cell r="H341">
            <v>3083941.35</v>
          </cell>
          <cell r="I341">
            <v>0</v>
          </cell>
          <cell r="J341">
            <v>3083941.35</v>
          </cell>
          <cell r="K341">
            <v>0</v>
          </cell>
          <cell r="L341">
            <v>0</v>
          </cell>
          <cell r="M341">
            <v>0</v>
          </cell>
          <cell r="N341">
            <v>3083941.35</v>
          </cell>
          <cell r="O341">
            <v>0</v>
          </cell>
        </row>
        <row r="342">
          <cell r="A342" t="str">
            <v>700-90-290</v>
          </cell>
          <cell r="B342" t="str">
            <v>N.I.C BANK</v>
          </cell>
          <cell r="C342">
            <v>12948489.130000001</v>
          </cell>
          <cell r="D342">
            <v>1450252.21</v>
          </cell>
          <cell r="E342">
            <v>14398741.34</v>
          </cell>
          <cell r="F342">
            <v>14398741.34</v>
          </cell>
          <cell r="G342">
            <v>0</v>
          </cell>
          <cell r="H342">
            <v>14398741.34</v>
          </cell>
          <cell r="I342">
            <v>0</v>
          </cell>
          <cell r="J342">
            <v>14398741.34</v>
          </cell>
          <cell r="K342">
            <v>0</v>
          </cell>
          <cell r="L342">
            <v>0</v>
          </cell>
          <cell r="M342">
            <v>0</v>
          </cell>
          <cell r="N342">
            <v>0</v>
          </cell>
          <cell r="O342">
            <v>14398741.34</v>
          </cell>
        </row>
        <row r="343">
          <cell r="A343" t="str">
            <v>700-90-295</v>
          </cell>
          <cell r="B343" t="str">
            <v>NATIONAL BANK-01010153900</v>
          </cell>
          <cell r="C343">
            <v>4851392.8</v>
          </cell>
          <cell r="D343">
            <v>850743</v>
          </cell>
          <cell r="E343">
            <v>5702135.7999999998</v>
          </cell>
          <cell r="F343">
            <v>5702135.7999999998</v>
          </cell>
          <cell r="G343">
            <v>0</v>
          </cell>
          <cell r="H343">
            <v>5702135.7999999998</v>
          </cell>
          <cell r="I343">
            <v>0</v>
          </cell>
          <cell r="J343">
            <v>5702135.7999999998</v>
          </cell>
          <cell r="K343">
            <v>0</v>
          </cell>
          <cell r="L343">
            <v>0</v>
          </cell>
          <cell r="M343">
            <v>0</v>
          </cell>
          <cell r="N343">
            <v>5702135.7999999998</v>
          </cell>
          <cell r="O343">
            <v>0</v>
          </cell>
        </row>
        <row r="344">
          <cell r="A344" t="str">
            <v>700-90-300</v>
          </cell>
          <cell r="B344" t="str">
            <v>STANCHART-SRBS</v>
          </cell>
          <cell r="C344">
            <v>2761353.9</v>
          </cell>
          <cell r="D344">
            <v>106279.95</v>
          </cell>
          <cell r="E344">
            <v>2867633.85</v>
          </cell>
          <cell r="F344">
            <v>2867633.85</v>
          </cell>
          <cell r="G344">
            <v>0</v>
          </cell>
          <cell r="H344">
            <v>2867633.85</v>
          </cell>
          <cell r="I344">
            <v>0</v>
          </cell>
          <cell r="J344">
            <v>2867633.85</v>
          </cell>
          <cell r="K344">
            <v>0</v>
          </cell>
          <cell r="L344">
            <v>0</v>
          </cell>
          <cell r="M344">
            <v>0</v>
          </cell>
          <cell r="N344">
            <v>0</v>
          </cell>
          <cell r="O344">
            <v>2867633.85</v>
          </cell>
        </row>
        <row r="345">
          <cell r="A345" t="str">
            <v>700-90-305</v>
          </cell>
          <cell r="B345" t="str">
            <v>EQUITY BANK</v>
          </cell>
          <cell r="C345">
            <v>142416</v>
          </cell>
          <cell r="D345">
            <v>70729.5</v>
          </cell>
          <cell r="E345">
            <v>213145.5</v>
          </cell>
          <cell r="F345">
            <v>213145.5</v>
          </cell>
          <cell r="G345">
            <v>0</v>
          </cell>
          <cell r="H345">
            <v>213145.5</v>
          </cell>
          <cell r="I345">
            <v>0</v>
          </cell>
          <cell r="J345">
            <v>213145.5</v>
          </cell>
          <cell r="K345">
            <v>213145.5</v>
          </cell>
          <cell r="L345">
            <v>0</v>
          </cell>
          <cell r="M345">
            <v>0</v>
          </cell>
          <cell r="N345">
            <v>0</v>
          </cell>
          <cell r="O345">
            <v>0</v>
          </cell>
        </row>
        <row r="346">
          <cell r="A346" t="str">
            <v>700-90-310</v>
          </cell>
          <cell r="B346" t="str">
            <v>FAMILY FINANCE</v>
          </cell>
          <cell r="C346">
            <v>742279.45</v>
          </cell>
          <cell r="D346">
            <v>-372589.5</v>
          </cell>
          <cell r="E346">
            <v>369689.95</v>
          </cell>
          <cell r="F346">
            <v>369689.95</v>
          </cell>
          <cell r="G346">
            <v>0</v>
          </cell>
          <cell r="H346">
            <v>369689.95</v>
          </cell>
          <cell r="I346">
            <v>0</v>
          </cell>
          <cell r="J346">
            <v>369689.95</v>
          </cell>
          <cell r="K346">
            <v>369689.95</v>
          </cell>
          <cell r="L346">
            <v>0</v>
          </cell>
          <cell r="M346">
            <v>0</v>
          </cell>
          <cell r="N346">
            <v>0</v>
          </cell>
          <cell r="O346">
            <v>0</v>
          </cell>
        </row>
        <row r="347">
          <cell r="A347" t="str">
            <v>700-95-010</v>
          </cell>
          <cell r="B347" t="str">
            <v>PETTY CASH</v>
          </cell>
          <cell r="C347">
            <v>200615</v>
          </cell>
          <cell r="D347">
            <v>0</v>
          </cell>
          <cell r="E347">
            <v>200615</v>
          </cell>
          <cell r="F347">
            <v>200615</v>
          </cell>
          <cell r="G347">
            <v>0</v>
          </cell>
          <cell r="H347">
            <v>200615</v>
          </cell>
          <cell r="I347">
            <v>0</v>
          </cell>
          <cell r="J347">
            <v>200615</v>
          </cell>
          <cell r="K347">
            <v>200615</v>
          </cell>
          <cell r="L347">
            <v>0</v>
          </cell>
          <cell r="M347">
            <v>0</v>
          </cell>
          <cell r="N347">
            <v>0</v>
          </cell>
          <cell r="O347">
            <v>0</v>
          </cell>
        </row>
        <row r="348">
          <cell r="A348" t="str">
            <v>700-96-010</v>
          </cell>
          <cell r="B348" t="str">
            <v>GROUP PREMIUM DEBTOR</v>
          </cell>
          <cell r="C348">
            <v>0</v>
          </cell>
          <cell r="D348">
            <v>22930000</v>
          </cell>
          <cell r="E348">
            <v>22930000</v>
          </cell>
          <cell r="F348">
            <v>22930000</v>
          </cell>
          <cell r="G348">
            <v>0</v>
          </cell>
          <cell r="H348">
            <v>22930000</v>
          </cell>
          <cell r="I348">
            <v>0</v>
          </cell>
          <cell r="J348">
            <v>22930000</v>
          </cell>
          <cell r="K348">
            <v>0</v>
          </cell>
          <cell r="L348">
            <v>0</v>
          </cell>
          <cell r="M348">
            <v>0</v>
          </cell>
          <cell r="N348">
            <v>22930000</v>
          </cell>
          <cell r="O348">
            <v>0</v>
          </cell>
        </row>
        <row r="349">
          <cell r="A349" t="str">
            <v>800-10-010</v>
          </cell>
          <cell r="B349" t="str">
            <v>CHANGE IN POLICYHOLDER LIABILITIES</v>
          </cell>
          <cell r="C349">
            <v>-1770245192.77</v>
          </cell>
          <cell r="D349">
            <v>0</v>
          </cell>
          <cell r="E349">
            <v>-1770245192.77</v>
          </cell>
          <cell r="F349">
            <v>-1770245192.77</v>
          </cell>
          <cell r="G349">
            <v>0</v>
          </cell>
          <cell r="H349">
            <v>-1770245192.77</v>
          </cell>
          <cell r="I349">
            <v>0</v>
          </cell>
          <cell r="J349">
            <v>-1770245192.77</v>
          </cell>
          <cell r="K349">
            <v>-1069717936.0700001</v>
          </cell>
          <cell r="L349">
            <v>-237424617.15000001</v>
          </cell>
          <cell r="M349">
            <v>0</v>
          </cell>
          <cell r="N349">
            <v>-306814917.06999999</v>
          </cell>
          <cell r="O349">
            <v>-156287722.47999999</v>
          </cell>
        </row>
        <row r="350">
          <cell r="A350" t="str">
            <v>800-10-011</v>
          </cell>
          <cell r="B350" t="str">
            <v>DEFERRED INCOME PRIOR YEAR ADJUSTMENT</v>
          </cell>
          <cell r="C350">
            <v>200036440.15000001</v>
          </cell>
          <cell r="D350">
            <v>0</v>
          </cell>
          <cell r="E350">
            <v>200036440.15000001</v>
          </cell>
          <cell r="F350">
            <v>200036440.15000001</v>
          </cell>
          <cell r="G350">
            <v>0</v>
          </cell>
          <cell r="H350">
            <v>200036440.15000001</v>
          </cell>
          <cell r="I350">
            <v>0</v>
          </cell>
          <cell r="J350">
            <v>200036440.15000001</v>
          </cell>
          <cell r="K350">
            <v>200036440.15000001</v>
          </cell>
          <cell r="L350">
            <v>0</v>
          </cell>
          <cell r="M350">
            <v>0</v>
          </cell>
          <cell r="N350">
            <v>0</v>
          </cell>
          <cell r="O350">
            <v>0</v>
          </cell>
        </row>
        <row r="351">
          <cell r="A351" t="str">
            <v>800-10-015</v>
          </cell>
          <cell r="B351" t="str">
            <v>GENERAL FUND</v>
          </cell>
          <cell r="C351">
            <v>-104273936.8</v>
          </cell>
          <cell r="D351">
            <v>0</v>
          </cell>
          <cell r="E351">
            <v>-104273936.8</v>
          </cell>
          <cell r="F351">
            <v>-104273936.8</v>
          </cell>
          <cell r="G351">
            <v>0</v>
          </cell>
          <cell r="H351">
            <v>-104273936.8</v>
          </cell>
          <cell r="I351">
            <v>0</v>
          </cell>
          <cell r="J351">
            <v>-104273936.8</v>
          </cell>
          <cell r="K351">
            <v>-104273936.8</v>
          </cell>
          <cell r="L351">
            <v>0</v>
          </cell>
          <cell r="M351">
            <v>0</v>
          </cell>
          <cell r="N351">
            <v>0</v>
          </cell>
          <cell r="O351">
            <v>0</v>
          </cell>
        </row>
        <row r="352">
          <cell r="A352" t="str">
            <v>800-10-020</v>
          </cell>
          <cell r="B352" t="str">
            <v>CLAIMS RESERVES</v>
          </cell>
          <cell r="C352">
            <v>412110.15</v>
          </cell>
          <cell r="D352">
            <v>0</v>
          </cell>
          <cell r="E352">
            <v>412110.15</v>
          </cell>
          <cell r="F352">
            <v>412110.15</v>
          </cell>
          <cell r="G352">
            <v>0</v>
          </cell>
          <cell r="H352">
            <v>412110.15</v>
          </cell>
          <cell r="I352">
            <v>0</v>
          </cell>
          <cell r="J352">
            <v>412110.15</v>
          </cell>
          <cell r="K352">
            <v>412110.15</v>
          </cell>
          <cell r="L352">
            <v>0</v>
          </cell>
          <cell r="M352">
            <v>0</v>
          </cell>
          <cell r="N352">
            <v>0</v>
          </cell>
          <cell r="O352">
            <v>0</v>
          </cell>
        </row>
        <row r="353">
          <cell r="A353" t="str">
            <v>800-10-025</v>
          </cell>
          <cell r="B353" t="str">
            <v>UNIT LINK INVESTMENTS</v>
          </cell>
          <cell r="C353">
            <v>0</v>
          </cell>
          <cell r="D353">
            <v>0</v>
          </cell>
          <cell r="E353">
            <v>0</v>
          </cell>
          <cell r="F353">
            <v>0</v>
          </cell>
          <cell r="G353">
            <v>0</v>
          </cell>
          <cell r="H353">
            <v>0</v>
          </cell>
          <cell r="I353">
            <v>0</v>
          </cell>
          <cell r="J353">
            <v>0</v>
          </cell>
          <cell r="K353">
            <v>0</v>
          </cell>
          <cell r="L353">
            <v>0</v>
          </cell>
          <cell r="M353">
            <v>0</v>
          </cell>
          <cell r="N353">
            <v>0</v>
          </cell>
          <cell r="O353">
            <v>0</v>
          </cell>
        </row>
        <row r="354">
          <cell r="A354" t="str">
            <v>800-12-010</v>
          </cell>
          <cell r="B354" t="str">
            <v>MEMORANDUM ENTRIES</v>
          </cell>
          <cell r="C354">
            <v>0</v>
          </cell>
          <cell r="D354">
            <v>0</v>
          </cell>
          <cell r="E354">
            <v>0</v>
          </cell>
          <cell r="F354">
            <v>0</v>
          </cell>
          <cell r="G354">
            <v>0</v>
          </cell>
          <cell r="H354">
            <v>0</v>
          </cell>
          <cell r="I354">
            <v>0</v>
          </cell>
          <cell r="J354">
            <v>0</v>
          </cell>
          <cell r="K354">
            <v>0</v>
          </cell>
          <cell r="L354">
            <v>0</v>
          </cell>
          <cell r="M354">
            <v>0</v>
          </cell>
          <cell r="N354">
            <v>0</v>
          </cell>
          <cell r="O354">
            <v>0</v>
          </cell>
        </row>
        <row r="355">
          <cell r="A355" t="str">
            <v>800-15-010</v>
          </cell>
          <cell r="B355" t="str">
            <v>UNPROCESSED PREMIUMS</v>
          </cell>
          <cell r="C355">
            <v>-98533498.829999998</v>
          </cell>
          <cell r="D355">
            <v>-4021857.87</v>
          </cell>
          <cell r="E355">
            <v>-102555356.7</v>
          </cell>
          <cell r="F355">
            <v>-102555356.7</v>
          </cell>
          <cell r="G355">
            <v>0</v>
          </cell>
          <cell r="H355">
            <v>-102555356.7</v>
          </cell>
          <cell r="I355">
            <v>0</v>
          </cell>
          <cell r="J355">
            <v>-102555356.7</v>
          </cell>
          <cell r="K355">
            <v>-102555356.7</v>
          </cell>
          <cell r="L355">
            <v>0</v>
          </cell>
          <cell r="M355">
            <v>0</v>
          </cell>
          <cell r="N355">
            <v>0</v>
          </cell>
          <cell r="O355">
            <v>0</v>
          </cell>
        </row>
        <row r="356">
          <cell r="A356" t="str">
            <v>800-15-020</v>
          </cell>
          <cell r="B356" t="str">
            <v>POLICIES IN ADVANCE REFUNDS</v>
          </cell>
          <cell r="C356">
            <v>0</v>
          </cell>
          <cell r="D356">
            <v>743285.85</v>
          </cell>
          <cell r="E356">
            <v>743285.85</v>
          </cell>
          <cell r="F356">
            <v>743285.85</v>
          </cell>
          <cell r="G356">
            <v>0</v>
          </cell>
          <cell r="H356">
            <v>743285.85</v>
          </cell>
          <cell r="I356">
            <v>0</v>
          </cell>
          <cell r="J356">
            <v>743285.85</v>
          </cell>
          <cell r="K356">
            <v>743285.85</v>
          </cell>
          <cell r="L356">
            <v>0</v>
          </cell>
          <cell r="M356">
            <v>0</v>
          </cell>
          <cell r="N356">
            <v>0</v>
          </cell>
          <cell r="O356">
            <v>0</v>
          </cell>
        </row>
        <row r="357">
          <cell r="A357" t="str">
            <v>800-15-030</v>
          </cell>
          <cell r="B357" t="str">
            <v>REFUND ON MATURITIES</v>
          </cell>
          <cell r="C357">
            <v>0</v>
          </cell>
          <cell r="D357">
            <v>149843.54999999999</v>
          </cell>
          <cell r="E357">
            <v>149843.54999999999</v>
          </cell>
          <cell r="F357">
            <v>149843.54999999999</v>
          </cell>
          <cell r="G357">
            <v>0</v>
          </cell>
          <cell r="H357">
            <v>149843.54999999999</v>
          </cell>
          <cell r="I357">
            <v>0</v>
          </cell>
          <cell r="J357">
            <v>149843.54999999999</v>
          </cell>
          <cell r="K357">
            <v>149843.54999999999</v>
          </cell>
          <cell r="L357">
            <v>0</v>
          </cell>
          <cell r="M357">
            <v>0</v>
          </cell>
          <cell r="N357">
            <v>0</v>
          </cell>
          <cell r="O357">
            <v>0</v>
          </cell>
        </row>
        <row r="358">
          <cell r="A358" t="str">
            <v>800-15-035</v>
          </cell>
          <cell r="B358" t="str">
            <v>REFUND ON CANCELLED POLICIES</v>
          </cell>
          <cell r="C358">
            <v>0</v>
          </cell>
          <cell r="D358">
            <v>157572.79999999999</v>
          </cell>
          <cell r="E358">
            <v>157572.79999999999</v>
          </cell>
          <cell r="F358">
            <v>157572.79999999999</v>
          </cell>
          <cell r="G358">
            <v>0</v>
          </cell>
          <cell r="H358">
            <v>157572.79999999999</v>
          </cell>
          <cell r="I358">
            <v>0</v>
          </cell>
          <cell r="J358">
            <v>157572.79999999999</v>
          </cell>
          <cell r="K358">
            <v>157572.79999999999</v>
          </cell>
          <cell r="L358">
            <v>0</v>
          </cell>
          <cell r="M358">
            <v>0</v>
          </cell>
          <cell r="N358">
            <v>0</v>
          </cell>
          <cell r="O358">
            <v>0</v>
          </cell>
        </row>
        <row r="359">
          <cell r="A359" t="str">
            <v>800-15-040</v>
          </cell>
          <cell r="B359" t="str">
            <v>REFUND ON CANCELLED PROPOSALS</v>
          </cell>
          <cell r="C359">
            <v>0</v>
          </cell>
          <cell r="D359">
            <v>-76738.399999999994</v>
          </cell>
          <cell r="E359">
            <v>-76738.399999999994</v>
          </cell>
          <cell r="F359">
            <v>-76738.399999999994</v>
          </cell>
          <cell r="G359">
            <v>0</v>
          </cell>
          <cell r="H359">
            <v>-76738.399999999994</v>
          </cell>
          <cell r="I359">
            <v>0</v>
          </cell>
          <cell r="J359">
            <v>-76738.399999999994</v>
          </cell>
          <cell r="K359">
            <v>-76738.399999999994</v>
          </cell>
          <cell r="L359">
            <v>0</v>
          </cell>
          <cell r="M359">
            <v>0</v>
          </cell>
          <cell r="N359">
            <v>0</v>
          </cell>
          <cell r="O359">
            <v>0</v>
          </cell>
        </row>
        <row r="360">
          <cell r="A360" t="str">
            <v>800-15-045</v>
          </cell>
          <cell r="B360" t="str">
            <v>REFUND ON SURRENDERS</v>
          </cell>
          <cell r="C360">
            <v>0</v>
          </cell>
          <cell r="D360">
            <v>103810.1</v>
          </cell>
          <cell r="E360">
            <v>103810.1</v>
          </cell>
          <cell r="F360">
            <v>103810.1</v>
          </cell>
          <cell r="G360">
            <v>0</v>
          </cell>
          <cell r="H360">
            <v>103810.1</v>
          </cell>
          <cell r="I360">
            <v>0</v>
          </cell>
          <cell r="J360">
            <v>103810.1</v>
          </cell>
          <cell r="K360">
            <v>103810.1</v>
          </cell>
          <cell r="L360">
            <v>0</v>
          </cell>
          <cell r="M360">
            <v>0</v>
          </cell>
          <cell r="N360">
            <v>0</v>
          </cell>
          <cell r="O360">
            <v>0</v>
          </cell>
        </row>
        <row r="361">
          <cell r="A361" t="str">
            <v>800-15-050</v>
          </cell>
          <cell r="B361" t="str">
            <v>REFUND ON ERRONEOUS DEDUCTION</v>
          </cell>
          <cell r="C361">
            <v>0</v>
          </cell>
          <cell r="D361">
            <v>-494815.8</v>
          </cell>
          <cell r="E361">
            <v>-494815.8</v>
          </cell>
          <cell r="F361">
            <v>-494815.8</v>
          </cell>
          <cell r="G361">
            <v>0</v>
          </cell>
          <cell r="H361">
            <v>-494815.8</v>
          </cell>
          <cell r="I361">
            <v>0</v>
          </cell>
          <cell r="J361">
            <v>-494815.8</v>
          </cell>
          <cell r="K361">
            <v>-494815.8</v>
          </cell>
          <cell r="L361">
            <v>0</v>
          </cell>
          <cell r="M361">
            <v>0</v>
          </cell>
          <cell r="N361">
            <v>0</v>
          </cell>
          <cell r="O361">
            <v>0</v>
          </cell>
        </row>
        <row r="362">
          <cell r="A362" t="str">
            <v>800-15-055</v>
          </cell>
          <cell r="B362" t="str">
            <v>REFUND ON 56,44,21 OTHERS</v>
          </cell>
          <cell r="C362">
            <v>0</v>
          </cell>
          <cell r="D362">
            <v>-1611237.55</v>
          </cell>
          <cell r="E362">
            <v>-1611237.55</v>
          </cell>
          <cell r="F362">
            <v>-1611237.55</v>
          </cell>
          <cell r="G362">
            <v>0</v>
          </cell>
          <cell r="H362">
            <v>-1611237.55</v>
          </cell>
          <cell r="I362">
            <v>0</v>
          </cell>
          <cell r="J362">
            <v>-1611237.55</v>
          </cell>
          <cell r="K362">
            <v>-1611237.55</v>
          </cell>
          <cell r="L362">
            <v>0</v>
          </cell>
          <cell r="M362">
            <v>0</v>
          </cell>
          <cell r="N362">
            <v>0</v>
          </cell>
          <cell r="O362">
            <v>0</v>
          </cell>
        </row>
        <row r="363">
          <cell r="A363" t="str">
            <v>800-20-010</v>
          </cell>
          <cell r="B363" t="str">
            <v>API CREDITORS</v>
          </cell>
          <cell r="C363">
            <v>-8368</v>
          </cell>
          <cell r="D363">
            <v>0</v>
          </cell>
          <cell r="E363">
            <v>-8368</v>
          </cell>
          <cell r="F363">
            <v>-8368</v>
          </cell>
          <cell r="G363">
            <v>0</v>
          </cell>
          <cell r="H363">
            <v>-8368</v>
          </cell>
          <cell r="I363">
            <v>0</v>
          </cell>
          <cell r="J363">
            <v>-8368</v>
          </cell>
          <cell r="K363">
            <v>-8368</v>
          </cell>
          <cell r="L363">
            <v>0</v>
          </cell>
          <cell r="M363">
            <v>0</v>
          </cell>
          <cell r="N363">
            <v>0</v>
          </cell>
          <cell r="O363">
            <v>0</v>
          </cell>
        </row>
        <row r="364">
          <cell r="A364" t="str">
            <v>800-25-010</v>
          </cell>
          <cell r="B364" t="str">
            <v>LEASE LEGAL</v>
          </cell>
          <cell r="C364">
            <v>-1531101.4</v>
          </cell>
          <cell r="D364">
            <v>0</v>
          </cell>
          <cell r="E364">
            <v>-1531101.4</v>
          </cell>
          <cell r="F364">
            <v>-1531101.4</v>
          </cell>
          <cell r="G364">
            <v>0</v>
          </cell>
          <cell r="H364">
            <v>-1531101.4</v>
          </cell>
          <cell r="I364">
            <v>0</v>
          </cell>
          <cell r="J364">
            <v>-1531101.4</v>
          </cell>
          <cell r="K364">
            <v>-1531101.4</v>
          </cell>
          <cell r="L364">
            <v>0</v>
          </cell>
          <cell r="M364">
            <v>0</v>
          </cell>
          <cell r="N364">
            <v>0</v>
          </cell>
          <cell r="O364">
            <v>0</v>
          </cell>
        </row>
        <row r="365">
          <cell r="A365" t="str">
            <v>800-25-015</v>
          </cell>
          <cell r="B365" t="str">
            <v>DEPOSITS RECEIVED(BUILDINGS)</v>
          </cell>
          <cell r="C365">
            <v>-4184380.6</v>
          </cell>
          <cell r="D365">
            <v>0</v>
          </cell>
          <cell r="E365">
            <v>-4184380.6</v>
          </cell>
          <cell r="F365">
            <v>-4184380.6</v>
          </cell>
          <cell r="G365">
            <v>0</v>
          </cell>
          <cell r="H365">
            <v>-4184380.6</v>
          </cell>
          <cell r="I365">
            <v>0</v>
          </cell>
          <cell r="J365">
            <v>-4184380.6</v>
          </cell>
          <cell r="K365">
            <v>-4184380.6</v>
          </cell>
          <cell r="L365">
            <v>0</v>
          </cell>
          <cell r="M365">
            <v>0</v>
          </cell>
          <cell r="N365">
            <v>0</v>
          </cell>
          <cell r="O365">
            <v>0</v>
          </cell>
        </row>
        <row r="366">
          <cell r="A366" t="str">
            <v>800-25-020</v>
          </cell>
          <cell r="B366" t="str">
            <v>RENT RECEIVED IN ADVANCE-ANNUITY</v>
          </cell>
          <cell r="C366">
            <v>-9828000</v>
          </cell>
          <cell r="D366">
            <v>175500</v>
          </cell>
          <cell r="E366">
            <v>-9652500</v>
          </cell>
          <cell r="F366">
            <v>-9652500</v>
          </cell>
          <cell r="G366">
            <v>0</v>
          </cell>
          <cell r="H366">
            <v>-9652500</v>
          </cell>
          <cell r="I366">
            <v>0</v>
          </cell>
          <cell r="J366">
            <v>-9652500</v>
          </cell>
          <cell r="K366">
            <v>-9652500</v>
          </cell>
          <cell r="L366">
            <v>0</v>
          </cell>
          <cell r="M366">
            <v>0</v>
          </cell>
          <cell r="N366">
            <v>0</v>
          </cell>
          <cell r="O366">
            <v>0</v>
          </cell>
        </row>
        <row r="367">
          <cell r="A367" t="str">
            <v>800-25-030</v>
          </cell>
          <cell r="B367" t="str">
            <v>RENTAL ACCRUALS</v>
          </cell>
          <cell r="C367">
            <v>0</v>
          </cell>
          <cell r="D367">
            <v>0</v>
          </cell>
          <cell r="E367">
            <v>0</v>
          </cell>
          <cell r="F367">
            <v>0</v>
          </cell>
          <cell r="G367">
            <v>0</v>
          </cell>
          <cell r="H367">
            <v>0</v>
          </cell>
          <cell r="I367">
            <v>0</v>
          </cell>
          <cell r="J367">
            <v>0</v>
          </cell>
          <cell r="K367">
            <v>0</v>
          </cell>
          <cell r="L367">
            <v>0</v>
          </cell>
          <cell r="M367">
            <v>0</v>
          </cell>
          <cell r="N367">
            <v>0</v>
          </cell>
          <cell r="O367">
            <v>0</v>
          </cell>
        </row>
        <row r="368">
          <cell r="A368" t="str">
            <v>800-30-010</v>
          </cell>
          <cell r="B368" t="str">
            <v>OUTPUT VAT</v>
          </cell>
          <cell r="C368">
            <v>-427900.53</v>
          </cell>
          <cell r="D368">
            <v>-138578.70000000001</v>
          </cell>
          <cell r="E368">
            <v>-566479.23</v>
          </cell>
          <cell r="F368">
            <v>-566479.23</v>
          </cell>
          <cell r="G368">
            <v>0</v>
          </cell>
          <cell r="H368">
            <v>-566479.23</v>
          </cell>
          <cell r="I368">
            <v>0</v>
          </cell>
          <cell r="J368">
            <v>-566479.23</v>
          </cell>
          <cell r="K368">
            <v>-535552.63</v>
          </cell>
          <cell r="L368">
            <v>-10464</v>
          </cell>
          <cell r="M368">
            <v>0</v>
          </cell>
          <cell r="N368">
            <v>-10382.6</v>
          </cell>
          <cell r="O368">
            <v>-10080</v>
          </cell>
        </row>
        <row r="369">
          <cell r="A369" t="str">
            <v>800-30-015</v>
          </cell>
          <cell r="B369" t="str">
            <v>CASH-IN-LIEU LEAVE</v>
          </cell>
          <cell r="C369">
            <v>-4394344.47</v>
          </cell>
          <cell r="D369">
            <v>29322</v>
          </cell>
          <cell r="E369">
            <v>-4365022.47</v>
          </cell>
          <cell r="F369">
            <v>-4365022.47</v>
          </cell>
          <cell r="G369">
            <v>0</v>
          </cell>
          <cell r="H369">
            <v>-4365022.47</v>
          </cell>
          <cell r="I369">
            <v>0</v>
          </cell>
          <cell r="J369">
            <v>-4365022.47</v>
          </cell>
          <cell r="K369">
            <v>-4363391.47</v>
          </cell>
          <cell r="L369">
            <v>0</v>
          </cell>
          <cell r="M369">
            <v>0</v>
          </cell>
          <cell r="N369">
            <v>-1631</v>
          </cell>
          <cell r="O369">
            <v>0</v>
          </cell>
        </row>
        <row r="370">
          <cell r="A370" t="str">
            <v>800-30-016</v>
          </cell>
          <cell r="B370" t="str">
            <v>OTHER ACCRUALS</v>
          </cell>
          <cell r="C370">
            <v>-705650</v>
          </cell>
          <cell r="D370">
            <v>0</v>
          </cell>
          <cell r="E370">
            <v>-705650</v>
          </cell>
          <cell r="F370">
            <v>-705650</v>
          </cell>
          <cell r="G370">
            <v>0</v>
          </cell>
          <cell r="H370">
            <v>-705650</v>
          </cell>
          <cell r="I370">
            <v>0</v>
          </cell>
          <cell r="J370">
            <v>-705650</v>
          </cell>
          <cell r="K370">
            <v>-705650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</row>
        <row r="371">
          <cell r="A371" t="str">
            <v>800-30-017</v>
          </cell>
          <cell r="B371" t="str">
            <v>CUSTODY FEES</v>
          </cell>
          <cell r="C371">
            <v>-111875.15</v>
          </cell>
          <cell r="D371">
            <v>45856.91</v>
          </cell>
          <cell r="E371">
            <v>-66018.240000000005</v>
          </cell>
          <cell r="F371">
            <v>-66018.240000000005</v>
          </cell>
          <cell r="G371">
            <v>0</v>
          </cell>
          <cell r="H371">
            <v>-66018.240000000005</v>
          </cell>
          <cell r="I371">
            <v>0</v>
          </cell>
          <cell r="J371">
            <v>-66018.240000000005</v>
          </cell>
          <cell r="K371">
            <v>-90969.91</v>
          </cell>
          <cell r="L371">
            <v>0</v>
          </cell>
          <cell r="M371">
            <v>0</v>
          </cell>
          <cell r="N371">
            <v>24951.67</v>
          </cell>
          <cell r="O371">
            <v>0</v>
          </cell>
        </row>
        <row r="372">
          <cell r="A372" t="str">
            <v>800-30-018</v>
          </cell>
          <cell r="B372" t="str">
            <v>O/S TAX</v>
          </cell>
          <cell r="C372">
            <v>-5767236</v>
          </cell>
          <cell r="D372">
            <v>0</v>
          </cell>
          <cell r="E372">
            <v>-5767236</v>
          </cell>
          <cell r="F372">
            <v>-5767236</v>
          </cell>
          <cell r="G372">
            <v>0</v>
          </cell>
          <cell r="H372">
            <v>-5767236</v>
          </cell>
          <cell r="I372">
            <v>0</v>
          </cell>
          <cell r="J372">
            <v>-5767236</v>
          </cell>
          <cell r="K372">
            <v>-5767236</v>
          </cell>
          <cell r="L372">
            <v>0</v>
          </cell>
          <cell r="M372">
            <v>0</v>
          </cell>
          <cell r="N372">
            <v>0</v>
          </cell>
          <cell r="O372">
            <v>0</v>
          </cell>
        </row>
        <row r="373">
          <cell r="A373" t="str">
            <v>800-30-020</v>
          </cell>
          <cell r="B373" t="str">
            <v>TRADE CREDITORS</v>
          </cell>
          <cell r="C373">
            <v>-291161.15000000002</v>
          </cell>
          <cell r="D373">
            <v>251331.15</v>
          </cell>
          <cell r="E373">
            <v>-39830</v>
          </cell>
          <cell r="F373">
            <v>-39830</v>
          </cell>
          <cell r="G373">
            <v>0</v>
          </cell>
          <cell r="H373">
            <v>-39830</v>
          </cell>
          <cell r="I373">
            <v>0</v>
          </cell>
          <cell r="J373">
            <v>-39830</v>
          </cell>
          <cell r="K373">
            <v>-39830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</row>
        <row r="374">
          <cell r="A374" t="str">
            <v>800-30-025</v>
          </cell>
          <cell r="B374" t="str">
            <v>PROVISIONS FOR EXPENSES</v>
          </cell>
          <cell r="C374">
            <v>-17000540.489999998</v>
          </cell>
          <cell r="D374">
            <v>-10962959.369999999</v>
          </cell>
          <cell r="E374">
            <v>-27963499.859999999</v>
          </cell>
          <cell r="F374">
            <v>-27963499.859999999</v>
          </cell>
          <cell r="G374">
            <v>5203213</v>
          </cell>
          <cell r="H374">
            <v>-22760286.859999999</v>
          </cell>
          <cell r="I374">
            <v>0</v>
          </cell>
          <cell r="J374">
            <v>-27963499.859999996</v>
          </cell>
          <cell r="K374">
            <v>-21776137.629999999</v>
          </cell>
          <cell r="L374">
            <v>0</v>
          </cell>
          <cell r="M374">
            <v>0</v>
          </cell>
          <cell r="N374">
            <v>-984149.33</v>
          </cell>
          <cell r="O374">
            <v>0.1</v>
          </cell>
        </row>
        <row r="375">
          <cell r="A375" t="str">
            <v>800-30-029</v>
          </cell>
          <cell r="B375" t="str">
            <v>APA INSURANCE</v>
          </cell>
          <cell r="C375">
            <v>-980625</v>
          </cell>
          <cell r="D375">
            <v>-695625</v>
          </cell>
          <cell r="E375">
            <v>-1676250</v>
          </cell>
          <cell r="F375">
            <v>-1676250</v>
          </cell>
          <cell r="G375">
            <v>0</v>
          </cell>
          <cell r="H375">
            <v>-1676250</v>
          </cell>
          <cell r="I375">
            <v>0</v>
          </cell>
          <cell r="J375">
            <v>-1676250</v>
          </cell>
          <cell r="K375">
            <v>-1676250</v>
          </cell>
          <cell r="L375">
            <v>0</v>
          </cell>
          <cell r="M375">
            <v>0</v>
          </cell>
          <cell r="N375">
            <v>0</v>
          </cell>
          <cell r="O375">
            <v>0</v>
          </cell>
        </row>
        <row r="376">
          <cell r="A376" t="str">
            <v>800-30-030</v>
          </cell>
          <cell r="B376" t="str">
            <v>ALA TZ</v>
          </cell>
          <cell r="C376">
            <v>0</v>
          </cell>
          <cell r="D376">
            <v>0</v>
          </cell>
          <cell r="E376">
            <v>0</v>
          </cell>
          <cell r="F376">
            <v>0</v>
          </cell>
          <cell r="G376">
            <v>0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</row>
        <row r="377">
          <cell r="A377" t="str">
            <v>800-30-031</v>
          </cell>
          <cell r="B377" t="str">
            <v>PA SECURITIES</v>
          </cell>
          <cell r="C377">
            <v>-3875346.34</v>
          </cell>
          <cell r="D377">
            <v>-216018.96</v>
          </cell>
          <cell r="E377">
            <v>-4091365.3</v>
          </cell>
          <cell r="F377">
            <v>-4091365.3</v>
          </cell>
          <cell r="G377">
            <v>0</v>
          </cell>
          <cell r="H377">
            <v>-4091365.3</v>
          </cell>
          <cell r="I377">
            <v>0</v>
          </cell>
          <cell r="J377">
            <v>-4091365.3</v>
          </cell>
          <cell r="K377">
            <v>-4091365.3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</row>
        <row r="378">
          <cell r="A378" t="str">
            <v>800-30-032</v>
          </cell>
          <cell r="B378" t="str">
            <v>EXECUTIVE CONTRA</v>
          </cell>
          <cell r="C378">
            <v>97966.45</v>
          </cell>
          <cell r="D378">
            <v>6222.93</v>
          </cell>
          <cell r="E378">
            <v>104189.38</v>
          </cell>
          <cell r="F378">
            <v>104189.38</v>
          </cell>
          <cell r="G378">
            <v>0</v>
          </cell>
          <cell r="H378">
            <v>104189.38</v>
          </cell>
          <cell r="I378">
            <v>0</v>
          </cell>
          <cell r="J378">
            <v>104189.38</v>
          </cell>
          <cell r="K378">
            <v>104189.38</v>
          </cell>
          <cell r="L378">
            <v>0</v>
          </cell>
          <cell r="M378">
            <v>0</v>
          </cell>
          <cell r="N378">
            <v>0</v>
          </cell>
          <cell r="O378">
            <v>0</v>
          </cell>
        </row>
        <row r="379">
          <cell r="A379" t="str">
            <v>800-30-033</v>
          </cell>
          <cell r="B379" t="str">
            <v>DELOITTE(ACTUARY)</v>
          </cell>
          <cell r="C379">
            <v>42999.199999999997</v>
          </cell>
          <cell r="D379">
            <v>0</v>
          </cell>
          <cell r="E379">
            <v>42999.199999999997</v>
          </cell>
          <cell r="F379">
            <v>42999.199999999997</v>
          </cell>
          <cell r="G379">
            <v>0</v>
          </cell>
          <cell r="H379">
            <v>42999.199999999997</v>
          </cell>
          <cell r="I379">
            <v>0</v>
          </cell>
          <cell r="J379">
            <v>42999.199999999997</v>
          </cell>
          <cell r="K379">
            <v>42999.199999999997</v>
          </cell>
          <cell r="L379">
            <v>0</v>
          </cell>
          <cell r="M379">
            <v>0</v>
          </cell>
          <cell r="N379">
            <v>0</v>
          </cell>
          <cell r="O379">
            <v>0</v>
          </cell>
        </row>
        <row r="380">
          <cell r="A380" t="str">
            <v>800-30-034</v>
          </cell>
          <cell r="B380" t="str">
            <v>PAIC HOLDINGS</v>
          </cell>
          <cell r="C380">
            <v>17270617.969999999</v>
          </cell>
          <cell r="D380">
            <v>926195.75</v>
          </cell>
          <cell r="E380">
            <v>18196813.719999999</v>
          </cell>
          <cell r="F380">
            <v>18196813.719999999</v>
          </cell>
          <cell r="G380">
            <v>0</v>
          </cell>
          <cell r="H380">
            <v>18196813.719999999</v>
          </cell>
          <cell r="I380">
            <v>0</v>
          </cell>
          <cell r="J380">
            <v>18196813.719999999</v>
          </cell>
          <cell r="K380">
            <v>18736064.469999999</v>
          </cell>
          <cell r="L380">
            <v>0</v>
          </cell>
          <cell r="M380">
            <v>0</v>
          </cell>
          <cell r="N380">
            <v>-539250.75</v>
          </cell>
          <cell r="O380">
            <v>0</v>
          </cell>
        </row>
        <row r="381">
          <cell r="A381" t="str">
            <v>800-30-035</v>
          </cell>
          <cell r="B381" t="str">
            <v>ALA-PAYABLE</v>
          </cell>
          <cell r="C381">
            <v>11416598.52</v>
          </cell>
          <cell r="D381">
            <v>-5574560.1399999997</v>
          </cell>
          <cell r="E381">
            <v>5842038.3799999999</v>
          </cell>
          <cell r="F381">
            <v>5842038.3799999999</v>
          </cell>
          <cell r="G381">
            <v>0</v>
          </cell>
          <cell r="H381">
            <v>5842038.3799999999</v>
          </cell>
          <cell r="I381">
            <v>0</v>
          </cell>
          <cell r="J381">
            <v>5842038.3799999999</v>
          </cell>
          <cell r="K381">
            <v>6354537.6600000001</v>
          </cell>
          <cell r="L381">
            <v>0</v>
          </cell>
          <cell r="M381">
            <v>0</v>
          </cell>
          <cell r="N381">
            <v>-512499.28</v>
          </cell>
          <cell r="O381">
            <v>0</v>
          </cell>
        </row>
        <row r="382">
          <cell r="A382" t="str">
            <v>800-30-036</v>
          </cell>
          <cell r="B382" t="str">
            <v>POLICY LOANS ON UNIT LINK</v>
          </cell>
          <cell r="C382">
            <v>-2074</v>
          </cell>
          <cell r="D382">
            <v>-246917</v>
          </cell>
          <cell r="E382">
            <v>-248991</v>
          </cell>
          <cell r="F382">
            <v>-248991</v>
          </cell>
          <cell r="G382">
            <v>0</v>
          </cell>
          <cell r="H382">
            <v>-248991</v>
          </cell>
          <cell r="I382">
            <v>0</v>
          </cell>
          <cell r="J382">
            <v>-248991</v>
          </cell>
          <cell r="K382">
            <v>-2074</v>
          </cell>
          <cell r="L382">
            <v>-246917</v>
          </cell>
          <cell r="M382">
            <v>0</v>
          </cell>
          <cell r="N382">
            <v>0</v>
          </cell>
          <cell r="O382">
            <v>0</v>
          </cell>
        </row>
        <row r="383">
          <cell r="A383" t="str">
            <v>800-30-040</v>
          </cell>
          <cell r="B383" t="str">
            <v>NET PAY</v>
          </cell>
          <cell r="C383">
            <v>73187.8</v>
          </cell>
          <cell r="D383">
            <v>0</v>
          </cell>
          <cell r="E383">
            <v>73187.8</v>
          </cell>
          <cell r="F383">
            <v>73187.8</v>
          </cell>
          <cell r="G383">
            <v>0</v>
          </cell>
          <cell r="H383">
            <v>73187.8</v>
          </cell>
          <cell r="I383">
            <v>0</v>
          </cell>
          <cell r="J383">
            <v>73187.8</v>
          </cell>
          <cell r="K383">
            <v>73187.8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</row>
        <row r="384">
          <cell r="A384" t="str">
            <v>800-30-045</v>
          </cell>
          <cell r="B384" t="str">
            <v>CO-OP SAVING - STAFF</v>
          </cell>
          <cell r="C384">
            <v>0</v>
          </cell>
          <cell r="D384">
            <v>0</v>
          </cell>
          <cell r="E384">
            <v>0</v>
          </cell>
          <cell r="F384">
            <v>0</v>
          </cell>
          <cell r="G384">
            <v>0</v>
          </cell>
          <cell r="H384">
            <v>0</v>
          </cell>
          <cell r="I384">
            <v>0</v>
          </cell>
          <cell r="J384">
            <v>0</v>
          </cell>
          <cell r="K384">
            <v>0</v>
          </cell>
          <cell r="L384">
            <v>0</v>
          </cell>
          <cell r="M384">
            <v>0</v>
          </cell>
          <cell r="N384">
            <v>0</v>
          </cell>
          <cell r="O384">
            <v>0</v>
          </cell>
        </row>
        <row r="385">
          <cell r="A385" t="str">
            <v>800-30-050</v>
          </cell>
          <cell r="B385" t="str">
            <v>PAYROLL CREDITORS - STAFF</v>
          </cell>
          <cell r="C385">
            <v>0</v>
          </cell>
          <cell r="D385">
            <v>13000</v>
          </cell>
          <cell r="E385">
            <v>13000</v>
          </cell>
          <cell r="F385">
            <v>13000</v>
          </cell>
          <cell r="G385">
            <v>0</v>
          </cell>
          <cell r="H385">
            <v>13000</v>
          </cell>
          <cell r="I385">
            <v>0</v>
          </cell>
          <cell r="J385">
            <v>13000</v>
          </cell>
          <cell r="K385">
            <v>13000</v>
          </cell>
          <cell r="L385">
            <v>0</v>
          </cell>
          <cell r="M385">
            <v>0</v>
          </cell>
          <cell r="N385">
            <v>0</v>
          </cell>
          <cell r="O385">
            <v>0</v>
          </cell>
        </row>
        <row r="386">
          <cell r="A386" t="str">
            <v>800-30-055</v>
          </cell>
          <cell r="B386" t="str">
            <v>PENSION - STAFF</v>
          </cell>
          <cell r="C386">
            <v>-5735062.5</v>
          </cell>
          <cell r="D386">
            <v>5735062.5</v>
          </cell>
          <cell r="E386">
            <v>0</v>
          </cell>
          <cell r="F386">
            <v>0</v>
          </cell>
          <cell r="G386">
            <v>0</v>
          </cell>
          <cell r="H386">
            <v>0</v>
          </cell>
          <cell r="I386">
            <v>0</v>
          </cell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</row>
        <row r="387">
          <cell r="A387" t="str">
            <v>800-30-060</v>
          </cell>
          <cell r="B387" t="str">
            <v>N .H .I. F</v>
          </cell>
          <cell r="C387">
            <v>0</v>
          </cell>
          <cell r="D387">
            <v>0</v>
          </cell>
          <cell r="E387">
            <v>0</v>
          </cell>
          <cell r="F387">
            <v>0</v>
          </cell>
          <cell r="G387">
            <v>0</v>
          </cell>
          <cell r="H387">
            <v>0</v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</row>
        <row r="388">
          <cell r="A388" t="str">
            <v>800-30-065</v>
          </cell>
          <cell r="B388" t="str">
            <v>N.S.S.F</v>
          </cell>
          <cell r="C388">
            <v>0</v>
          </cell>
          <cell r="D388">
            <v>0</v>
          </cell>
          <cell r="E388">
            <v>0</v>
          </cell>
          <cell r="F388">
            <v>0</v>
          </cell>
          <cell r="G388">
            <v>0</v>
          </cell>
          <cell r="H388">
            <v>0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</row>
        <row r="389">
          <cell r="A389" t="str">
            <v>800-30-070</v>
          </cell>
          <cell r="B389" t="str">
            <v>ACTUARIAL FEES</v>
          </cell>
          <cell r="C389">
            <v>-14172601.439999999</v>
          </cell>
          <cell r="D389">
            <v>-333333.34000000003</v>
          </cell>
          <cell r="E389">
            <v>-14505934.779999999</v>
          </cell>
          <cell r="F389">
            <v>-14505934.779999999</v>
          </cell>
          <cell r="G389">
            <v>0</v>
          </cell>
          <cell r="H389">
            <v>-14505934.779999999</v>
          </cell>
          <cell r="I389">
            <v>0</v>
          </cell>
          <cell r="J389">
            <v>-14505934.780000001</v>
          </cell>
          <cell r="K389">
            <v>-14305935.380000001</v>
          </cell>
          <cell r="L389">
            <v>0</v>
          </cell>
          <cell r="M389">
            <v>0</v>
          </cell>
          <cell r="N389">
            <v>-199999.4</v>
          </cell>
          <cell r="O389">
            <v>0</v>
          </cell>
        </row>
        <row r="390">
          <cell r="A390" t="str">
            <v>800-30-071</v>
          </cell>
          <cell r="B390" t="str">
            <v>GRATUITY</v>
          </cell>
          <cell r="C390">
            <v>-8625774.1500000004</v>
          </cell>
          <cell r="D390">
            <v>-594883</v>
          </cell>
          <cell r="E390">
            <v>-9220657.1500000004</v>
          </cell>
          <cell r="F390">
            <v>-9220657.1500000004</v>
          </cell>
          <cell r="G390">
            <v>0</v>
          </cell>
          <cell r="H390">
            <v>-9220657.1500000004</v>
          </cell>
          <cell r="I390">
            <v>0</v>
          </cell>
          <cell r="J390">
            <v>-9220657.1500000004</v>
          </cell>
          <cell r="K390">
            <v>-9220657.1500000004</v>
          </cell>
          <cell r="L390">
            <v>0</v>
          </cell>
          <cell r="M390">
            <v>0</v>
          </cell>
          <cell r="N390">
            <v>0</v>
          </cell>
          <cell r="O390">
            <v>0</v>
          </cell>
        </row>
        <row r="391">
          <cell r="A391" t="str">
            <v>800-30-072</v>
          </cell>
          <cell r="B391" t="str">
            <v>AIG FEES</v>
          </cell>
          <cell r="C391">
            <v>-2722773</v>
          </cell>
          <cell r="D391">
            <v>-177639.15</v>
          </cell>
          <cell r="E391">
            <v>-2900412.15</v>
          </cell>
          <cell r="F391">
            <v>-2900412.15</v>
          </cell>
          <cell r="G391">
            <v>0</v>
          </cell>
          <cell r="H391">
            <v>-2900412.15</v>
          </cell>
          <cell r="I391">
            <v>0</v>
          </cell>
          <cell r="J391">
            <v>-2900412.15</v>
          </cell>
          <cell r="K391">
            <v>-657227.93999999994</v>
          </cell>
          <cell r="L391">
            <v>-740822.25</v>
          </cell>
          <cell r="M391">
            <v>-389850.6</v>
          </cell>
          <cell r="N391">
            <v>-965435.46</v>
          </cell>
          <cell r="O391">
            <v>-147075.9</v>
          </cell>
        </row>
        <row r="392">
          <cell r="A392" t="str">
            <v>800-30-073</v>
          </cell>
          <cell r="B392" t="str">
            <v>CUSTODY FEES</v>
          </cell>
          <cell r="C392">
            <v>-260331.23</v>
          </cell>
          <cell r="D392">
            <v>64047.4</v>
          </cell>
          <cell r="E392">
            <v>-196283.83</v>
          </cell>
          <cell r="F392">
            <v>-196283.83</v>
          </cell>
          <cell r="G392">
            <v>0</v>
          </cell>
          <cell r="H392">
            <v>-196283.83</v>
          </cell>
          <cell r="I392">
            <v>0</v>
          </cell>
          <cell r="J392">
            <v>-196283.83</v>
          </cell>
          <cell r="K392">
            <v>-39063.47</v>
          </cell>
          <cell r="L392">
            <v>-38400.339999999997</v>
          </cell>
          <cell r="M392">
            <v>-25064.14</v>
          </cell>
          <cell r="N392">
            <v>-72879.28</v>
          </cell>
          <cell r="O392">
            <v>-20876.599999999999</v>
          </cell>
        </row>
        <row r="393">
          <cell r="A393" t="str">
            <v>800-30-075</v>
          </cell>
          <cell r="B393" t="str">
            <v>AUDIT FEES</v>
          </cell>
          <cell r="C393">
            <v>-992904.97</v>
          </cell>
          <cell r="D393">
            <v>507576.67</v>
          </cell>
          <cell r="E393">
            <v>-485328.3</v>
          </cell>
          <cell r="F393">
            <v>-485328.3</v>
          </cell>
          <cell r="G393">
            <v>0</v>
          </cell>
          <cell r="H393">
            <v>-485328.3</v>
          </cell>
          <cell r="I393">
            <v>0</v>
          </cell>
          <cell r="J393">
            <v>-485328.3</v>
          </cell>
          <cell r="K393">
            <v>-485328.3</v>
          </cell>
          <cell r="L393">
            <v>0</v>
          </cell>
          <cell r="M393">
            <v>0</v>
          </cell>
          <cell r="N393">
            <v>0</v>
          </cell>
          <cell r="O393">
            <v>0</v>
          </cell>
        </row>
        <row r="394">
          <cell r="A394" t="str">
            <v>800-30-080</v>
          </cell>
          <cell r="B394" t="str">
            <v>STAFF BONUS</v>
          </cell>
          <cell r="C394">
            <v>-24750000</v>
          </cell>
          <cell r="F394">
            <v>-20000000</v>
          </cell>
          <cell r="G394">
            <v>0</v>
          </cell>
          <cell r="H394">
            <v>-20000000</v>
          </cell>
          <cell r="I394">
            <v>0</v>
          </cell>
          <cell r="J394">
            <v>-20000000</v>
          </cell>
          <cell r="K394">
            <v>-20444766</v>
          </cell>
          <cell r="L394">
            <v>0</v>
          </cell>
          <cell r="M394">
            <v>0</v>
          </cell>
          <cell r="N394">
            <v>444766</v>
          </cell>
          <cell r="O394">
            <v>0</v>
          </cell>
        </row>
        <row r="395">
          <cell r="A395" t="str">
            <v>800-30-085</v>
          </cell>
          <cell r="B395" t="str">
            <v>W/TAX-AGENTS</v>
          </cell>
          <cell r="C395">
            <v>-3655006.65</v>
          </cell>
          <cell r="F395">
            <v>-144089.51999999999</v>
          </cell>
          <cell r="G395">
            <v>0</v>
          </cell>
          <cell r="H395">
            <v>-144089.51999999999</v>
          </cell>
          <cell r="I395">
            <v>0</v>
          </cell>
          <cell r="J395">
            <v>-144089.51999999999</v>
          </cell>
          <cell r="K395">
            <v>-144089.51999999999</v>
          </cell>
          <cell r="L395">
            <v>0</v>
          </cell>
          <cell r="M395">
            <v>0</v>
          </cell>
          <cell r="N395">
            <v>0</v>
          </cell>
          <cell r="O395">
            <v>0</v>
          </cell>
        </row>
        <row r="396">
          <cell r="A396" t="str">
            <v>800-30-090</v>
          </cell>
          <cell r="B396" t="str">
            <v>RETAINED COMMISSION</v>
          </cell>
          <cell r="C396">
            <v>-21916552.52</v>
          </cell>
          <cell r="F396">
            <v>-22211562.199999999</v>
          </cell>
          <cell r="G396">
            <v>0</v>
          </cell>
          <cell r="H396">
            <v>-22211562.199999999</v>
          </cell>
          <cell r="I396">
            <v>0</v>
          </cell>
          <cell r="J396">
            <v>-22211562.199999999</v>
          </cell>
          <cell r="K396">
            <v>-22211562.199999999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</row>
        <row r="397">
          <cell r="A397" t="str">
            <v>800-30-095</v>
          </cell>
          <cell r="B397" t="str">
            <v>KNIGHT FRANK</v>
          </cell>
          <cell r="C397">
            <v>0</v>
          </cell>
          <cell r="F397">
            <v>0</v>
          </cell>
          <cell r="G397">
            <v>0</v>
          </cell>
          <cell r="H397">
            <v>0</v>
          </cell>
          <cell r="I397">
            <v>0</v>
          </cell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</row>
        <row r="398">
          <cell r="A398" t="str">
            <v>800-30-100</v>
          </cell>
          <cell r="B398" t="str">
            <v>PAYE</v>
          </cell>
          <cell r="C398">
            <v>-288532</v>
          </cell>
          <cell r="F398">
            <v>-288532</v>
          </cell>
          <cell r="G398">
            <v>0</v>
          </cell>
          <cell r="H398">
            <v>-288532</v>
          </cell>
          <cell r="I398">
            <v>0</v>
          </cell>
          <cell r="J398">
            <v>-288532</v>
          </cell>
          <cell r="K398">
            <v>-288532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</row>
        <row r="399">
          <cell r="A399" t="str">
            <v>800-30-110</v>
          </cell>
          <cell r="B399" t="str">
            <v>AGENTS PAYROLL CREDITORS</v>
          </cell>
          <cell r="C399">
            <v>-18632</v>
          </cell>
          <cell r="F399">
            <v>-300.25</v>
          </cell>
          <cell r="G399">
            <v>0</v>
          </cell>
          <cell r="H399">
            <v>-300.25</v>
          </cell>
          <cell r="I399">
            <v>0</v>
          </cell>
          <cell r="J399">
            <v>-300.25</v>
          </cell>
          <cell r="K399">
            <v>-300.25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</row>
        <row r="400">
          <cell r="A400" t="str">
            <v>800-30-115</v>
          </cell>
          <cell r="B400" t="str">
            <v>AGENCY PENSION</v>
          </cell>
          <cell r="C400">
            <v>-410108</v>
          </cell>
          <cell r="F400">
            <v>204372</v>
          </cell>
          <cell r="G400">
            <v>0</v>
          </cell>
          <cell r="H400">
            <v>204372</v>
          </cell>
          <cell r="I400">
            <v>0</v>
          </cell>
          <cell r="J400">
            <v>204372</v>
          </cell>
          <cell r="K400">
            <v>204372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</row>
        <row r="401">
          <cell r="A401" t="str">
            <v>800-30-120</v>
          </cell>
          <cell r="B401" t="str">
            <v>AGENTS CO-OP SAVINGS</v>
          </cell>
          <cell r="C401">
            <v>-1244806.8</v>
          </cell>
          <cell r="F401">
            <v>200.2</v>
          </cell>
          <cell r="G401">
            <v>0</v>
          </cell>
          <cell r="H401">
            <v>200.2</v>
          </cell>
          <cell r="I401">
            <v>0</v>
          </cell>
          <cell r="J401">
            <v>200.2</v>
          </cell>
          <cell r="K401">
            <v>200.2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</row>
        <row r="402">
          <cell r="A402" t="str">
            <v>800-30-125</v>
          </cell>
          <cell r="B402" t="str">
            <v>STALE CHEQUES - 5039035</v>
          </cell>
          <cell r="C402">
            <v>-61353.1</v>
          </cell>
          <cell r="F402">
            <v>-61353.1</v>
          </cell>
          <cell r="G402">
            <v>0</v>
          </cell>
          <cell r="H402">
            <v>-61353.1</v>
          </cell>
          <cell r="I402">
            <v>0</v>
          </cell>
          <cell r="J402">
            <v>-61353.1</v>
          </cell>
          <cell r="K402">
            <v>-61353.1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</row>
        <row r="403">
          <cell r="A403" t="str">
            <v>800-30-130</v>
          </cell>
          <cell r="B403" t="str">
            <v>STALE CHEQUES - CBA</v>
          </cell>
          <cell r="C403">
            <v>-125908.85</v>
          </cell>
          <cell r="F403">
            <v>-125908.85</v>
          </cell>
          <cell r="G403">
            <v>0</v>
          </cell>
          <cell r="H403">
            <v>-125908.85</v>
          </cell>
          <cell r="I403">
            <v>0</v>
          </cell>
          <cell r="J403">
            <v>-125908.85</v>
          </cell>
          <cell r="K403">
            <v>-125908.85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</row>
        <row r="404">
          <cell r="A404" t="str">
            <v>800-30-135</v>
          </cell>
          <cell r="B404" t="str">
            <v>STALE CHEQUES - INDOSUEZ</v>
          </cell>
          <cell r="C404">
            <v>-162810.29999999999</v>
          </cell>
          <cell r="F404">
            <v>-162810.29999999999</v>
          </cell>
          <cell r="G404">
            <v>0</v>
          </cell>
          <cell r="H404">
            <v>-162810.29999999999</v>
          </cell>
          <cell r="I404">
            <v>0</v>
          </cell>
          <cell r="J404">
            <v>-162810.29999999999</v>
          </cell>
          <cell r="K404">
            <v>-162810.29999999999</v>
          </cell>
          <cell r="L404">
            <v>0</v>
          </cell>
          <cell r="M404">
            <v>0</v>
          </cell>
          <cell r="N404">
            <v>0</v>
          </cell>
          <cell r="O404">
            <v>0</v>
          </cell>
        </row>
        <row r="405">
          <cell r="A405" t="str">
            <v>800-30-140</v>
          </cell>
          <cell r="B405" t="str">
            <v>STALE CHEQUES -5776688</v>
          </cell>
          <cell r="C405">
            <v>-3862507.03</v>
          </cell>
          <cell r="F405">
            <v>-3501994.48</v>
          </cell>
          <cell r="G405">
            <v>0</v>
          </cell>
          <cell r="H405">
            <v>-3501994.48</v>
          </cell>
          <cell r="I405">
            <v>0</v>
          </cell>
          <cell r="J405">
            <v>-3501994.48</v>
          </cell>
          <cell r="K405">
            <v>-3501994.48</v>
          </cell>
          <cell r="L405">
            <v>0</v>
          </cell>
          <cell r="M405">
            <v>0</v>
          </cell>
          <cell r="N405">
            <v>0</v>
          </cell>
          <cell r="O405">
            <v>0</v>
          </cell>
        </row>
        <row r="406">
          <cell r="A406" t="str">
            <v>800-30-145</v>
          </cell>
          <cell r="B406" t="str">
            <v>STALE CHEQUES -5039027</v>
          </cell>
          <cell r="C406">
            <v>-3708331.3</v>
          </cell>
          <cell r="F406">
            <v>-4058525.15</v>
          </cell>
          <cell r="G406">
            <v>0</v>
          </cell>
          <cell r="H406">
            <v>-4058525.15</v>
          </cell>
          <cell r="I406">
            <v>0</v>
          </cell>
          <cell r="J406">
            <v>-4058525.15</v>
          </cell>
          <cell r="K406">
            <v>-4058525.15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</row>
        <row r="407">
          <cell r="A407" t="str">
            <v>800-30-150</v>
          </cell>
          <cell r="B407" t="str">
            <v>STALE CHEQUES-5776793</v>
          </cell>
          <cell r="C407">
            <v>-1321261.8400000001</v>
          </cell>
          <cell r="F407">
            <v>-1321261.8400000001</v>
          </cell>
          <cell r="G407">
            <v>0</v>
          </cell>
          <cell r="H407">
            <v>-1321261.8400000001</v>
          </cell>
          <cell r="I407">
            <v>0</v>
          </cell>
          <cell r="J407">
            <v>-1321261.8400000001</v>
          </cell>
          <cell r="K407">
            <v>0</v>
          </cell>
          <cell r="L407">
            <v>0</v>
          </cell>
          <cell r="M407">
            <v>0</v>
          </cell>
          <cell r="N407">
            <v>-1321261.8400000001</v>
          </cell>
          <cell r="O407">
            <v>0</v>
          </cell>
        </row>
        <row r="408">
          <cell r="A408" t="str">
            <v>800-30-155</v>
          </cell>
          <cell r="B408" t="str">
            <v>STALE CHEQUES - MOMBASA</v>
          </cell>
          <cell r="C408">
            <v>-345578.85</v>
          </cell>
          <cell r="F408">
            <v>-288091.15000000002</v>
          </cell>
          <cell r="G408">
            <v>0</v>
          </cell>
          <cell r="H408">
            <v>-288091.15000000002</v>
          </cell>
          <cell r="I408">
            <v>0</v>
          </cell>
          <cell r="J408">
            <v>-288091.15000000002</v>
          </cell>
          <cell r="K408">
            <v>-288091.15000000002</v>
          </cell>
          <cell r="L408">
            <v>0</v>
          </cell>
          <cell r="M408">
            <v>0</v>
          </cell>
          <cell r="N408">
            <v>0</v>
          </cell>
          <cell r="O408">
            <v>0</v>
          </cell>
        </row>
        <row r="409">
          <cell r="A409" t="str">
            <v>800-30-160</v>
          </cell>
          <cell r="B409" t="str">
            <v>BROKERAGE W/TAX</v>
          </cell>
          <cell r="C409">
            <v>-215538.96</v>
          </cell>
          <cell r="F409">
            <v>-443009.6</v>
          </cell>
          <cell r="G409">
            <v>0</v>
          </cell>
          <cell r="H409">
            <v>-443009.6</v>
          </cell>
          <cell r="I409">
            <v>0</v>
          </cell>
          <cell r="J409">
            <v>-443009.6</v>
          </cell>
          <cell r="K409">
            <v>0</v>
          </cell>
          <cell r="L409">
            <v>0</v>
          </cell>
          <cell r="M409">
            <v>0</v>
          </cell>
          <cell r="N409">
            <v>-443009.6</v>
          </cell>
          <cell r="O409">
            <v>0</v>
          </cell>
        </row>
        <row r="410">
          <cell r="A410" t="str">
            <v>800-30-165</v>
          </cell>
          <cell r="B410" t="str">
            <v>GROUP CREDITORS</v>
          </cell>
          <cell r="C410">
            <v>-582356.69999999995</v>
          </cell>
          <cell r="F410">
            <v>-2416356.7000000002</v>
          </cell>
          <cell r="G410">
            <v>0</v>
          </cell>
          <cell r="H410">
            <v>-2416356.7000000002</v>
          </cell>
          <cell r="I410">
            <v>0</v>
          </cell>
          <cell r="J410">
            <v>-2416356.7000000002</v>
          </cell>
          <cell r="K410">
            <v>0</v>
          </cell>
          <cell r="L410">
            <v>0</v>
          </cell>
          <cell r="M410">
            <v>0</v>
          </cell>
          <cell r="N410">
            <v>-2416356.7000000002</v>
          </cell>
          <cell r="O410">
            <v>0</v>
          </cell>
        </row>
        <row r="411">
          <cell r="A411" t="str">
            <v>800-30-170</v>
          </cell>
          <cell r="B411" t="str">
            <v>UNEARNED INTEREST</v>
          </cell>
          <cell r="C411">
            <v>0.37</v>
          </cell>
          <cell r="F411">
            <v>0.37</v>
          </cell>
          <cell r="G411">
            <v>0</v>
          </cell>
          <cell r="H411">
            <v>0.37</v>
          </cell>
          <cell r="I411">
            <v>-1.1175871339474952E-10</v>
          </cell>
          <cell r="J411">
            <v>0.37000000011175871</v>
          </cell>
          <cell r="K411">
            <v>3933799.22</v>
          </cell>
          <cell r="L411">
            <v>0</v>
          </cell>
          <cell r="M411">
            <v>0</v>
          </cell>
          <cell r="N411">
            <v>-3933798.85</v>
          </cell>
          <cell r="O411">
            <v>0</v>
          </cell>
        </row>
        <row r="412">
          <cell r="A412" t="str">
            <v>800-30-174</v>
          </cell>
          <cell r="B412" t="str">
            <v>DEPOSIT ON MORTGAGE</v>
          </cell>
          <cell r="C412">
            <v>0</v>
          </cell>
          <cell r="F412">
            <v>0</v>
          </cell>
          <cell r="G412">
            <v>0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</row>
        <row r="413">
          <cell r="A413" t="str">
            <v>800-30-175</v>
          </cell>
          <cell r="B413" t="str">
            <v>CONTRA ACCOUNT(COST CENTRES)</v>
          </cell>
          <cell r="C413">
            <v>0</v>
          </cell>
          <cell r="F413">
            <v>943197.7</v>
          </cell>
          <cell r="G413">
            <v>0</v>
          </cell>
          <cell r="H413">
            <v>943197.7</v>
          </cell>
          <cell r="I413">
            <v>-9.3132257461547852E-9</v>
          </cell>
          <cell r="J413">
            <v>943197.70000000927</v>
          </cell>
          <cell r="K413">
            <v>112958609.54000001</v>
          </cell>
          <cell r="L413">
            <v>-102129375.55</v>
          </cell>
          <cell r="M413">
            <v>-8105408.3600000003</v>
          </cell>
          <cell r="N413">
            <v>-2987960.42</v>
          </cell>
          <cell r="O413">
            <v>1207332.49</v>
          </cell>
        </row>
        <row r="414">
          <cell r="A414" t="str">
            <v>800-30-180</v>
          </cell>
          <cell r="B414" t="str">
            <v>W/TAX - OTHERS</v>
          </cell>
          <cell r="C414">
            <v>-1548513.05</v>
          </cell>
          <cell r="F414">
            <v>-2041055.4</v>
          </cell>
          <cell r="G414">
            <v>0</v>
          </cell>
          <cell r="H414">
            <v>-2041055.4</v>
          </cell>
          <cell r="I414">
            <v>0</v>
          </cell>
          <cell r="J414">
            <v>-2041055.4</v>
          </cell>
          <cell r="K414">
            <v>-1520956.05</v>
          </cell>
          <cell r="L414">
            <v>0</v>
          </cell>
          <cell r="M414">
            <v>0</v>
          </cell>
          <cell r="N414">
            <v>-485716.35</v>
          </cell>
          <cell r="O414">
            <v>-34383</v>
          </cell>
        </row>
        <row r="415">
          <cell r="A415" t="str">
            <v>800-40-010</v>
          </cell>
          <cell r="B415" t="str">
            <v>REINSURANCE PAYABLE</v>
          </cell>
          <cell r="C415">
            <v>-63821382.289999999</v>
          </cell>
          <cell r="F415">
            <v>-83267923.290000007</v>
          </cell>
          <cell r="G415">
            <v>0</v>
          </cell>
          <cell r="H415">
            <v>-83267923.290000007</v>
          </cell>
          <cell r="I415">
            <v>0</v>
          </cell>
          <cell r="J415">
            <v>-83267923.289999992</v>
          </cell>
          <cell r="K415">
            <v>-1150107.1000000001</v>
          </cell>
          <cell r="L415">
            <v>0</v>
          </cell>
          <cell r="M415">
            <v>0</v>
          </cell>
          <cell r="N415">
            <v>-82117816.189999998</v>
          </cell>
          <cell r="O415">
            <v>0</v>
          </cell>
        </row>
        <row r="416">
          <cell r="A416" t="str">
            <v>800-50-010</v>
          </cell>
          <cell r="B416" t="str">
            <v>O/S MATURITY CLAIMS</v>
          </cell>
          <cell r="C416">
            <v>-14697402.15</v>
          </cell>
          <cell r="F416">
            <v>-16389396.35</v>
          </cell>
          <cell r="G416">
            <v>0</v>
          </cell>
          <cell r="H416">
            <v>-16389396.35</v>
          </cell>
          <cell r="I416">
            <v>0</v>
          </cell>
          <cell r="J416">
            <v>-16389396.35</v>
          </cell>
          <cell r="K416">
            <v>-16389396.35</v>
          </cell>
          <cell r="L416">
            <v>0</v>
          </cell>
          <cell r="M416">
            <v>0</v>
          </cell>
          <cell r="N416">
            <v>0</v>
          </cell>
          <cell r="O416">
            <v>0</v>
          </cell>
        </row>
        <row r="417">
          <cell r="A417" t="str">
            <v>800-50-020</v>
          </cell>
          <cell r="B417" t="str">
            <v>O/S CLAIMS ENDOWMENT</v>
          </cell>
          <cell r="C417">
            <v>-3027455.4</v>
          </cell>
          <cell r="F417">
            <v>-2733015.4</v>
          </cell>
          <cell r="G417">
            <v>0</v>
          </cell>
          <cell r="H417">
            <v>-2733015.4</v>
          </cell>
          <cell r="I417">
            <v>0</v>
          </cell>
          <cell r="J417">
            <v>-2733015.4</v>
          </cell>
          <cell r="K417">
            <v>-2733015.4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</row>
        <row r="418">
          <cell r="A418" t="str">
            <v>800-50-030</v>
          </cell>
          <cell r="B418" t="str">
            <v>O/S DEATH CLAIMS -ORDINARY</v>
          </cell>
          <cell r="C418">
            <v>-19397471.149999999</v>
          </cell>
          <cell r="F418">
            <v>-19397471.149999999</v>
          </cell>
          <cell r="G418">
            <v>0</v>
          </cell>
          <cell r="H418">
            <v>-19397471.149999999</v>
          </cell>
          <cell r="I418">
            <v>0</v>
          </cell>
          <cell r="J418">
            <v>-19397471.149999999</v>
          </cell>
          <cell r="K418">
            <v>-19397471.149999999</v>
          </cell>
          <cell r="L418">
            <v>0</v>
          </cell>
          <cell r="M418">
            <v>0</v>
          </cell>
          <cell r="N418">
            <v>0</v>
          </cell>
          <cell r="O418">
            <v>0</v>
          </cell>
        </row>
        <row r="419">
          <cell r="A419" t="str">
            <v>800-50-040</v>
          </cell>
          <cell r="B419" t="str">
            <v>O/S ANNUITY CLAIMS</v>
          </cell>
          <cell r="C419">
            <v>-6952104.5499999998</v>
          </cell>
          <cell r="F419">
            <v>-7232856.9500000002</v>
          </cell>
          <cell r="G419">
            <v>0</v>
          </cell>
          <cell r="H419">
            <v>-7232856.9500000002</v>
          </cell>
          <cell r="I419">
            <v>0</v>
          </cell>
          <cell r="J419">
            <v>-7232856.9500000002</v>
          </cell>
          <cell r="K419">
            <v>-7232856.9500000002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</row>
        <row r="420">
          <cell r="A420" t="str">
            <v>800-50-050</v>
          </cell>
          <cell r="B420" t="str">
            <v>O/S DEATH-TANZANIA</v>
          </cell>
          <cell r="C420">
            <v>-13031.61</v>
          </cell>
          <cell r="F420">
            <v>-13031.61</v>
          </cell>
          <cell r="G420">
            <v>0</v>
          </cell>
          <cell r="H420">
            <v>-13031.61</v>
          </cell>
          <cell r="I420">
            <v>0</v>
          </cell>
          <cell r="J420">
            <v>-13031.61</v>
          </cell>
          <cell r="K420">
            <v>-13031.61</v>
          </cell>
          <cell r="L420">
            <v>0</v>
          </cell>
          <cell r="M420">
            <v>0</v>
          </cell>
          <cell r="N420">
            <v>0</v>
          </cell>
          <cell r="O420">
            <v>0</v>
          </cell>
        </row>
        <row r="421">
          <cell r="A421" t="str">
            <v>800-50-060</v>
          </cell>
          <cell r="B421" t="str">
            <v>O/S MATURIRT CLMS-TANZANIA</v>
          </cell>
          <cell r="C421">
            <v>-569049.39</v>
          </cell>
          <cell r="F421">
            <v>-569049.39</v>
          </cell>
          <cell r="G421">
            <v>0</v>
          </cell>
          <cell r="H421">
            <v>-569049.39</v>
          </cell>
          <cell r="I421">
            <v>0</v>
          </cell>
          <cell r="J421">
            <v>-569049.39</v>
          </cell>
          <cell r="K421">
            <v>-569049.39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</row>
        <row r="422">
          <cell r="A422" t="str">
            <v>800-50-070</v>
          </cell>
          <cell r="B422" t="str">
            <v>O/S FFFP DEATH CLAIMS</v>
          </cell>
          <cell r="C422">
            <v>-296469.69</v>
          </cell>
          <cell r="F422">
            <v>-248342.69</v>
          </cell>
          <cell r="G422">
            <v>0</v>
          </cell>
          <cell r="H422">
            <v>-248342.69</v>
          </cell>
          <cell r="I422">
            <v>0</v>
          </cell>
          <cell r="J422">
            <v>-248342.69</v>
          </cell>
          <cell r="K422">
            <v>0</v>
          </cell>
          <cell r="L422">
            <v>-248342.69</v>
          </cell>
          <cell r="M422">
            <v>0</v>
          </cell>
          <cell r="N422">
            <v>0</v>
          </cell>
          <cell r="O422">
            <v>0</v>
          </cell>
        </row>
        <row r="423">
          <cell r="A423" t="str">
            <v>800-50-080</v>
          </cell>
          <cell r="B423" t="str">
            <v>O/S WP CLAIMS</v>
          </cell>
          <cell r="C423">
            <v>-1285140</v>
          </cell>
          <cell r="F423">
            <v>-1285140</v>
          </cell>
          <cell r="G423">
            <v>0</v>
          </cell>
          <cell r="H423">
            <v>-1285140</v>
          </cell>
          <cell r="I423">
            <v>0</v>
          </cell>
          <cell r="J423">
            <v>-1285140</v>
          </cell>
          <cell r="K423">
            <v>0</v>
          </cell>
          <cell r="L423">
            <v>-1285140</v>
          </cell>
          <cell r="M423">
            <v>0</v>
          </cell>
          <cell r="N423">
            <v>0</v>
          </cell>
          <cell r="O423">
            <v>0</v>
          </cell>
        </row>
        <row r="424">
          <cell r="A424" t="str">
            <v>800-50-085</v>
          </cell>
          <cell r="B424" t="str">
            <v>O/S PENSIONS</v>
          </cell>
          <cell r="C424">
            <v>-1047019</v>
          </cell>
          <cell r="F424">
            <v>-3278016</v>
          </cell>
          <cell r="G424">
            <v>0</v>
          </cell>
          <cell r="H424">
            <v>-3278016</v>
          </cell>
          <cell r="I424">
            <v>0</v>
          </cell>
          <cell r="J424">
            <v>-3278016</v>
          </cell>
          <cell r="K424">
            <v>0</v>
          </cell>
          <cell r="L424">
            <v>0</v>
          </cell>
          <cell r="M424">
            <v>0</v>
          </cell>
          <cell r="N424">
            <v>0</v>
          </cell>
          <cell r="O424">
            <v>-3278016</v>
          </cell>
        </row>
        <row r="425">
          <cell r="A425" t="str">
            <v>800-50-090</v>
          </cell>
          <cell r="B425" t="str">
            <v>O/S GROUP DEATH CLAIMS</v>
          </cell>
          <cell r="C425">
            <v>-74310967</v>
          </cell>
          <cell r="F425">
            <v>-57531748</v>
          </cell>
          <cell r="H425">
            <v>-57531748</v>
          </cell>
          <cell r="I425">
            <v>0</v>
          </cell>
          <cell r="J425">
            <v>-57531748</v>
          </cell>
          <cell r="K425">
            <v>0</v>
          </cell>
          <cell r="M425">
            <v>0</v>
          </cell>
          <cell r="N425">
            <v>-57531748</v>
          </cell>
          <cell r="O425">
            <v>0</v>
          </cell>
        </row>
        <row r="426">
          <cell r="A426" t="str">
            <v>800-50-095</v>
          </cell>
          <cell r="B426" t="str">
            <v>O/S GROUP MATURITIES</v>
          </cell>
          <cell r="C426">
            <v>-10876</v>
          </cell>
          <cell r="F426">
            <v>-0.4</v>
          </cell>
          <cell r="H426">
            <v>-0.4</v>
          </cell>
          <cell r="I426">
            <v>0</v>
          </cell>
          <cell r="J426">
            <v>-0.4</v>
          </cell>
          <cell r="K426">
            <v>0</v>
          </cell>
          <cell r="L426">
            <v>0</v>
          </cell>
          <cell r="M426">
            <v>0</v>
          </cell>
          <cell r="N426">
            <v>-0.4</v>
          </cell>
          <cell r="O426">
            <v>0</v>
          </cell>
        </row>
        <row r="427">
          <cell r="A427" t="str">
            <v>800-50-100</v>
          </cell>
          <cell r="B427" t="str">
            <v>O/S GROUP ANTICIPATED</v>
          </cell>
          <cell r="C427">
            <v>-76904.75</v>
          </cell>
          <cell r="F427">
            <v>-76904.75</v>
          </cell>
          <cell r="H427">
            <v>-76904.75</v>
          </cell>
          <cell r="I427">
            <v>0</v>
          </cell>
          <cell r="J427">
            <v>-76904.75</v>
          </cell>
          <cell r="K427">
            <v>0</v>
          </cell>
          <cell r="L427">
            <v>0</v>
          </cell>
          <cell r="M427">
            <v>0</v>
          </cell>
          <cell r="N427">
            <v>-76904.75</v>
          </cell>
          <cell r="O427">
            <v>0</v>
          </cell>
        </row>
        <row r="428">
          <cell r="A428" t="str">
            <v>800-50-110</v>
          </cell>
          <cell r="B428" t="str">
            <v>O/S RETIREMENT ANNUITIES</v>
          </cell>
          <cell r="C428">
            <v>-1507140.1</v>
          </cell>
          <cell r="F428">
            <v>-1771251.95</v>
          </cell>
          <cell r="H428">
            <v>-1771251.95</v>
          </cell>
          <cell r="I428">
            <v>0</v>
          </cell>
          <cell r="J428">
            <v>-1771251.95</v>
          </cell>
          <cell r="K428">
            <v>0</v>
          </cell>
          <cell r="L428">
            <v>0</v>
          </cell>
          <cell r="M428">
            <v>0</v>
          </cell>
          <cell r="N428">
            <v>-1771251.95</v>
          </cell>
          <cell r="O428">
            <v>0</v>
          </cell>
        </row>
        <row r="429">
          <cell r="A429" t="str">
            <v>800-50-115</v>
          </cell>
          <cell r="B429" t="str">
            <v>GROUP HARAMBEE SURRENDERS</v>
          </cell>
          <cell r="C429">
            <v>-22712.45</v>
          </cell>
          <cell r="F429">
            <v>0</v>
          </cell>
          <cell r="H429">
            <v>0</v>
          </cell>
          <cell r="I429">
            <v>0</v>
          </cell>
          <cell r="J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</row>
        <row r="430">
          <cell r="A430" t="str">
            <v>800-60-010</v>
          </cell>
          <cell r="B430" t="str">
            <v>PREMIUM TAX</v>
          </cell>
          <cell r="C430">
            <v>0</v>
          </cell>
          <cell r="F430">
            <v>0</v>
          </cell>
          <cell r="H430">
            <v>0</v>
          </cell>
          <cell r="I430">
            <v>0</v>
          </cell>
          <cell r="J430">
            <v>0</v>
          </cell>
          <cell r="K430">
            <v>0</v>
          </cell>
          <cell r="L430">
            <v>0</v>
          </cell>
          <cell r="M430">
            <v>0</v>
          </cell>
          <cell r="N430">
            <v>0</v>
          </cell>
          <cell r="O430">
            <v>0</v>
          </cell>
        </row>
        <row r="431">
          <cell r="A431" t="str">
            <v>800-65-010</v>
          </cell>
          <cell r="B431" t="str">
            <v>RESIDENTIAL HOUSE-LORESHO</v>
          </cell>
          <cell r="C431">
            <v>-1041675.5</v>
          </cell>
          <cell r="F431">
            <v>-1059406.5</v>
          </cell>
          <cell r="H431">
            <v>-1059406.5</v>
          </cell>
          <cell r="I431">
            <v>0</v>
          </cell>
          <cell r="J431">
            <v>-1059406.5</v>
          </cell>
          <cell r="K431">
            <v>0</v>
          </cell>
          <cell r="L431">
            <v>0</v>
          </cell>
          <cell r="M431">
            <v>-1059406.5</v>
          </cell>
          <cell r="N431">
            <v>0</v>
          </cell>
          <cell r="O431">
            <v>0</v>
          </cell>
        </row>
        <row r="432">
          <cell r="A432" t="str">
            <v>800-65-015</v>
          </cell>
          <cell r="B432" t="str">
            <v>REVALUATION SURPLUS</v>
          </cell>
          <cell r="C432">
            <v>0</v>
          </cell>
          <cell r="F432">
            <v>0</v>
          </cell>
          <cell r="H432">
            <v>0</v>
          </cell>
          <cell r="I432">
            <v>0</v>
          </cell>
          <cell r="J432">
            <v>0</v>
          </cell>
          <cell r="K432">
            <v>0</v>
          </cell>
          <cell r="L432">
            <v>0</v>
          </cell>
          <cell r="M432">
            <v>0</v>
          </cell>
          <cell r="N432">
            <v>0</v>
          </cell>
          <cell r="O432">
            <v>0</v>
          </cell>
        </row>
        <row r="433">
          <cell r="A433" t="str">
            <v>800-68-010</v>
          </cell>
          <cell r="B433" t="str">
            <v>RESIDENTIAL -LORESHO HSE</v>
          </cell>
          <cell r="C433">
            <v>-867859.25</v>
          </cell>
          <cell r="F433">
            <v>-882043.25</v>
          </cell>
          <cell r="H433">
            <v>-882043.25</v>
          </cell>
          <cell r="I433">
            <v>0</v>
          </cell>
          <cell r="J433">
            <v>-882043.25</v>
          </cell>
          <cell r="K433">
            <v>0</v>
          </cell>
          <cell r="L433">
            <v>0</v>
          </cell>
          <cell r="M433">
            <v>-882043.25</v>
          </cell>
          <cell r="N433">
            <v>0</v>
          </cell>
          <cell r="O433">
            <v>0</v>
          </cell>
        </row>
        <row r="434">
          <cell r="A434" t="str">
            <v>800-68-015</v>
          </cell>
          <cell r="B434" t="str">
            <v>REVALUATION SURPLUS</v>
          </cell>
          <cell r="C434">
            <v>0</v>
          </cell>
          <cell r="F434">
            <v>-194223.25</v>
          </cell>
          <cell r="H434">
            <v>-194223.25</v>
          </cell>
          <cell r="I434">
            <v>0</v>
          </cell>
          <cell r="J434">
            <v>0</v>
          </cell>
          <cell r="K434">
            <v>0</v>
          </cell>
          <cell r="L434">
            <v>0</v>
          </cell>
          <cell r="M434">
            <v>-194223.25</v>
          </cell>
          <cell r="N434">
            <v>0</v>
          </cell>
          <cell r="O434">
            <v>0</v>
          </cell>
        </row>
        <row r="435">
          <cell r="A435" t="str">
            <v>800-70-010</v>
          </cell>
          <cell r="B435" t="str">
            <v>ACC.DEP-MOTOR</v>
          </cell>
          <cell r="C435">
            <v>-5938914.4500000002</v>
          </cell>
          <cell r="F435">
            <v>-6205168.2400000002</v>
          </cell>
          <cell r="H435">
            <v>-6205168.2400000002</v>
          </cell>
          <cell r="I435">
            <v>0</v>
          </cell>
          <cell r="J435">
            <v>-6205168.2400000002</v>
          </cell>
          <cell r="K435">
            <v>-6205168.2400000002</v>
          </cell>
          <cell r="L435">
            <v>0</v>
          </cell>
          <cell r="M435">
            <v>0</v>
          </cell>
          <cell r="N435">
            <v>0</v>
          </cell>
          <cell r="O435">
            <v>0</v>
          </cell>
        </row>
        <row r="436">
          <cell r="A436" t="str">
            <v>800-70-020</v>
          </cell>
          <cell r="B436" t="str">
            <v>ACC.DEP-COMPUTER</v>
          </cell>
          <cell r="C436">
            <v>-26191369.579999998</v>
          </cell>
          <cell r="F436">
            <v>-26185495.039999999</v>
          </cell>
          <cell r="H436">
            <v>-26185495.039999999</v>
          </cell>
          <cell r="I436">
            <v>0</v>
          </cell>
          <cell r="J436">
            <v>-26185495.039999999</v>
          </cell>
          <cell r="K436">
            <v>-26185495.039999999</v>
          </cell>
          <cell r="L436">
            <v>0</v>
          </cell>
          <cell r="M436">
            <v>0</v>
          </cell>
          <cell r="N436">
            <v>0</v>
          </cell>
          <cell r="O436">
            <v>0</v>
          </cell>
        </row>
        <row r="437">
          <cell r="A437" t="str">
            <v>800-70-025</v>
          </cell>
          <cell r="B437" t="str">
            <v>AMORTISATION-INTANGIBLE ASSETS</v>
          </cell>
          <cell r="C437">
            <v>0</v>
          </cell>
          <cell r="F437">
            <v>-1216066</v>
          </cell>
          <cell r="H437">
            <v>-1216066</v>
          </cell>
          <cell r="I437">
            <v>0</v>
          </cell>
          <cell r="J437">
            <v>0</v>
          </cell>
          <cell r="K437">
            <v>-1216066</v>
          </cell>
          <cell r="L437">
            <v>0</v>
          </cell>
          <cell r="M437">
            <v>0</v>
          </cell>
          <cell r="N437">
            <v>0</v>
          </cell>
          <cell r="O437">
            <v>0</v>
          </cell>
        </row>
        <row r="438">
          <cell r="A438" t="str">
            <v>800-70-030</v>
          </cell>
          <cell r="B438" t="str">
            <v>FURNITURE &amp; FITTING</v>
          </cell>
          <cell r="C438">
            <v>-44065332.810000002</v>
          </cell>
          <cell r="F438">
            <v>-44512980.240000002</v>
          </cell>
          <cell r="H438">
            <v>-44512980.240000002</v>
          </cell>
          <cell r="I438">
            <v>0</v>
          </cell>
          <cell r="J438">
            <v>-44512980.240000002</v>
          </cell>
          <cell r="K438">
            <v>-44512980.240000002</v>
          </cell>
          <cell r="L438">
            <v>0</v>
          </cell>
          <cell r="M438">
            <v>0</v>
          </cell>
          <cell r="N438">
            <v>0</v>
          </cell>
          <cell r="O438">
            <v>0</v>
          </cell>
        </row>
        <row r="439">
          <cell r="A439" t="str">
            <v>900-05-010</v>
          </cell>
          <cell r="B439" t="str">
            <v>SHARE CAPITAL</v>
          </cell>
          <cell r="C439">
            <v>-126600000</v>
          </cell>
          <cell r="F439">
            <v>-126600000</v>
          </cell>
          <cell r="H439">
            <v>-126600000</v>
          </cell>
          <cell r="I439">
            <v>0</v>
          </cell>
          <cell r="J439">
            <v>-126600000</v>
          </cell>
          <cell r="K439">
            <v>0</v>
          </cell>
          <cell r="L439">
            <v>0</v>
          </cell>
          <cell r="M439">
            <v>-126600000</v>
          </cell>
          <cell r="N439">
            <v>0</v>
          </cell>
          <cell r="O439">
            <v>0</v>
          </cell>
        </row>
        <row r="440">
          <cell r="A440" t="str">
            <v>900-05-015</v>
          </cell>
          <cell r="B440" t="str">
            <v>SHARE PREMIUM</v>
          </cell>
          <cell r="C440">
            <v>-103661000</v>
          </cell>
          <cell r="F440">
            <v>-103661000</v>
          </cell>
          <cell r="H440">
            <v>-103661000</v>
          </cell>
          <cell r="I440">
            <v>0</v>
          </cell>
          <cell r="J440">
            <v>-103661000</v>
          </cell>
          <cell r="K440">
            <v>0</v>
          </cell>
          <cell r="L440">
            <v>0</v>
          </cell>
          <cell r="M440">
            <v>-103661000</v>
          </cell>
          <cell r="N440">
            <v>0</v>
          </cell>
          <cell r="O440">
            <v>0</v>
          </cell>
        </row>
        <row r="441">
          <cell r="A441" t="str">
            <v>900-05-020</v>
          </cell>
          <cell r="B441" t="str">
            <v>RETAINED EARNINGS</v>
          </cell>
          <cell r="C441">
            <v>0</v>
          </cell>
          <cell r="F441">
            <v>0</v>
          </cell>
          <cell r="G441">
            <v>0</v>
          </cell>
          <cell r="H441">
            <v>-5.3644180297851563E-7</v>
          </cell>
          <cell r="I441">
            <v>0</v>
          </cell>
          <cell r="J441">
            <v>0</v>
          </cell>
          <cell r="K441">
            <v>0</v>
          </cell>
          <cell r="L441">
            <v>0</v>
          </cell>
          <cell r="M441">
            <v>0</v>
          </cell>
          <cell r="N441">
            <v>0</v>
          </cell>
          <cell r="O441">
            <v>0</v>
          </cell>
        </row>
      </sheetData>
      <sheetData sheetId="14"/>
      <sheetData sheetId="15"/>
      <sheetData sheetId="16"/>
      <sheetData sheetId="17"/>
      <sheetData sheetId="18"/>
      <sheetData sheetId="19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contents"/>
      <sheetName val="Group P&amp;L"/>
      <sheetName val="Group &amp; Co. Bal sheet"/>
      <sheetName val="Socie"/>
      <sheetName val="Cashflow"/>
      <sheetName val="Notes"/>
      <sheetName val="Life income statement"/>
      <sheetName val="P&amp;L Consolidation workings"/>
      <sheetName val="Group BS Consolidation workings"/>
      <sheetName val="Criteria"/>
      <sheetName val="TB"/>
      <sheetName val="prior yea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463">
          <cell r="B463" t="str">
            <v>Account</v>
          </cell>
          <cell r="C463" t="str">
            <v>Particulars</v>
          </cell>
          <cell r="D463" t="str">
            <v>Aims TB</v>
          </cell>
          <cell r="E463" t="str">
            <v>Closing</v>
          </cell>
        </row>
        <row r="464">
          <cell r="B464" t="str">
            <v>040-10</v>
          </cell>
        </row>
        <row r="465">
          <cell r="B465" t="str">
            <v>040-15</v>
          </cell>
        </row>
        <row r="466">
          <cell r="B466" t="str">
            <v>530-40</v>
          </cell>
        </row>
        <row r="467">
          <cell r="B467" t="str">
            <v>530-45</v>
          </cell>
        </row>
        <row r="468">
          <cell r="B468" t="str">
            <v>Account</v>
          </cell>
          <cell r="C468" t="str">
            <v>Particulars</v>
          </cell>
          <cell r="D468" t="str">
            <v>Aims TB</v>
          </cell>
          <cell r="E468" t="str">
            <v>Closing</v>
          </cell>
        </row>
        <row r="469">
          <cell r="B469" t="str">
            <v>030-30</v>
          </cell>
        </row>
        <row r="470">
          <cell r="B470" t="str">
            <v>030-31</v>
          </cell>
        </row>
        <row r="471">
          <cell r="B471" t="str">
            <v>030-45-020</v>
          </cell>
        </row>
        <row r="472">
          <cell r="B472" t="str">
            <v>030-46-010</v>
          </cell>
        </row>
        <row r="473">
          <cell r="B473" t="str">
            <v>530-75-020</v>
          </cell>
        </row>
        <row r="474">
          <cell r="B474" t="str">
            <v>530-70-020</v>
          </cell>
        </row>
        <row r="475">
          <cell r="B475" t="str">
            <v>530-30</v>
          </cell>
        </row>
        <row r="476">
          <cell r="B476" t="str">
            <v>530-35</v>
          </cell>
        </row>
        <row r="495">
          <cell r="B495" t="str">
            <v>Account</v>
          </cell>
          <cell r="C495" t="str">
            <v>Particulars</v>
          </cell>
          <cell r="D495" t="str">
            <v>Aims TB</v>
          </cell>
          <cell r="E495" t="str">
            <v>Closing</v>
          </cell>
        </row>
        <row r="496">
          <cell r="B496" t="str">
            <v>020-51</v>
          </cell>
        </row>
        <row r="497">
          <cell r="B497" t="str">
            <v>020-56</v>
          </cell>
        </row>
        <row r="498">
          <cell r="B498" t="str">
            <v>510-12</v>
          </cell>
        </row>
        <row r="499">
          <cell r="B499" t="str">
            <v>510-20</v>
          </cell>
        </row>
      </sheetData>
      <sheetData sheetId="11"/>
      <sheetData sheetId="12">
        <row r="1">
          <cell r="A1" t="str">
            <v>Account</v>
          </cell>
          <cell r="B1" t="str">
            <v>Particulars</v>
          </cell>
          <cell r="C1" t="str">
            <v>Opening</v>
          </cell>
          <cell r="D1" t="str">
            <v>Month</v>
          </cell>
          <cell r="E1" t="str">
            <v>year</v>
          </cell>
          <cell r="F1" t="str">
            <v>Aims TB</v>
          </cell>
          <cell r="G1" t="str">
            <v>Adjustment</v>
          </cell>
          <cell r="H1" t="str">
            <v>Closing</v>
          </cell>
        </row>
        <row r="2">
          <cell r="A2" t="str">
            <v>010-10-001</v>
          </cell>
          <cell r="B2" t="str">
            <v>SHARE CAPITAL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0</v>
          </cell>
          <cell r="H2">
            <v>0</v>
          </cell>
        </row>
        <row r="3">
          <cell r="A3" t="str">
            <v>010-20-003</v>
          </cell>
          <cell r="B3" t="str">
            <v>INDIVIDUAL LIFE FUND</v>
          </cell>
          <cell r="C3">
            <v>-899065898</v>
          </cell>
          <cell r="D3">
            <v>0</v>
          </cell>
          <cell r="E3">
            <v>-899065898</v>
          </cell>
          <cell r="F3">
            <v>-899065898</v>
          </cell>
          <cell r="G3">
            <v>0</v>
          </cell>
          <cell r="H3">
            <v>-899065898</v>
          </cell>
        </row>
        <row r="4">
          <cell r="A4" t="str">
            <v>010-20-004</v>
          </cell>
          <cell r="B4" t="str">
            <v>GROUP LIFE FUNDS</v>
          </cell>
          <cell r="C4">
            <v>-90295896.900000006</v>
          </cell>
          <cell r="D4">
            <v>0</v>
          </cell>
          <cell r="E4">
            <v>-90295896.900000006</v>
          </cell>
          <cell r="F4">
            <v>-90295896.900000006</v>
          </cell>
          <cell r="G4">
            <v>0</v>
          </cell>
          <cell r="H4">
            <v>-90295896.900000006</v>
          </cell>
        </row>
        <row r="5">
          <cell r="A5" t="str">
            <v>010-20-005</v>
          </cell>
          <cell r="B5" t="str">
            <v>GENERAL FUND</v>
          </cell>
          <cell r="C5">
            <v>-81007167.709999993</v>
          </cell>
          <cell r="D5">
            <v>0</v>
          </cell>
          <cell r="E5">
            <v>-81007167.709999993</v>
          </cell>
          <cell r="F5">
            <v>-81007167.709999993</v>
          </cell>
          <cell r="G5">
            <v>0</v>
          </cell>
          <cell r="H5">
            <v>-81007167.709999993</v>
          </cell>
        </row>
        <row r="6">
          <cell r="A6" t="str">
            <v>010-20-006</v>
          </cell>
          <cell r="B6" t="str">
            <v>DEPOSIT ADMINISTRATION</v>
          </cell>
          <cell r="C6">
            <v>-108865122.83</v>
          </cell>
          <cell r="D6">
            <v>0</v>
          </cell>
          <cell r="E6">
            <v>-108865122.83</v>
          </cell>
          <cell r="F6">
            <v>-108865122.83</v>
          </cell>
          <cell r="G6">
            <v>0</v>
          </cell>
          <cell r="H6">
            <v>-108865122.83</v>
          </cell>
        </row>
        <row r="7">
          <cell r="A7" t="str">
            <v>010-20-007</v>
          </cell>
          <cell r="B7" t="str">
            <v>RELEASE OF O/S CLAIMS</v>
          </cell>
          <cell r="C7">
            <v>-695321.59999999998</v>
          </cell>
          <cell r="D7">
            <v>-627547.05000000005</v>
          </cell>
          <cell r="E7">
            <v>-1322868.6499999999</v>
          </cell>
          <cell r="F7">
            <v>-1322868.6499999999</v>
          </cell>
          <cell r="G7">
            <v>0</v>
          </cell>
          <cell r="H7">
            <v>-1322868.6499999999</v>
          </cell>
        </row>
        <row r="8">
          <cell r="A8" t="str">
            <v>010-20-008</v>
          </cell>
          <cell r="B8" t="str">
            <v>UNIT LINK FUNDS</v>
          </cell>
          <cell r="C8">
            <v>-5350422</v>
          </cell>
          <cell r="D8">
            <v>0</v>
          </cell>
          <cell r="E8">
            <v>-5350422</v>
          </cell>
          <cell r="F8">
            <v>-5350422</v>
          </cell>
          <cell r="G8">
            <v>0</v>
          </cell>
          <cell r="H8">
            <v>-5350422</v>
          </cell>
        </row>
        <row r="9">
          <cell r="A9" t="str">
            <v>010-25-010</v>
          </cell>
          <cell r="B9" t="str">
            <v>LAND-WRITE OFF</v>
          </cell>
          <cell r="C9">
            <v>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</row>
        <row r="10">
          <cell r="A10" t="str">
            <v>010-25-020</v>
          </cell>
          <cell r="B10" t="str">
            <v>DEFFERED TAX</v>
          </cell>
          <cell r="C10">
            <v>0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</row>
        <row r="11">
          <cell r="A11" t="str">
            <v>010-30-001</v>
          </cell>
          <cell r="B11" t="str">
            <v>ASSIGNED SHARE CAPITAL</v>
          </cell>
          <cell r="C11">
            <v>-230261000</v>
          </cell>
          <cell r="D11">
            <v>0</v>
          </cell>
          <cell r="E11">
            <v>-230261000</v>
          </cell>
          <cell r="F11">
            <v>-230261000</v>
          </cell>
          <cell r="G11">
            <v>0</v>
          </cell>
          <cell r="H11">
            <v>-230261000</v>
          </cell>
        </row>
        <row r="12">
          <cell r="A12" t="str">
            <v>020-00-010</v>
          </cell>
          <cell r="B12" t="str">
            <v>PAN AFRICA HOUSE NAIROBI</v>
          </cell>
          <cell r="C12">
            <v>87200000</v>
          </cell>
          <cell r="D12">
            <v>0</v>
          </cell>
          <cell r="E12">
            <v>87200000</v>
          </cell>
          <cell r="F12">
            <v>87200000</v>
          </cell>
          <cell r="G12">
            <v>0</v>
          </cell>
          <cell r="H12">
            <v>87200000</v>
          </cell>
        </row>
        <row r="13">
          <cell r="A13" t="str">
            <v>020-00-020</v>
          </cell>
          <cell r="B13" t="str">
            <v>RESIDENTIAL HOUSE -LORESHO</v>
          </cell>
          <cell r="C13">
            <v>8687820</v>
          </cell>
          <cell r="D13">
            <v>0</v>
          </cell>
          <cell r="E13">
            <v>8687820</v>
          </cell>
          <cell r="F13">
            <v>8687820</v>
          </cell>
          <cell r="G13">
            <v>0</v>
          </cell>
          <cell r="H13">
            <v>8687820</v>
          </cell>
        </row>
        <row r="14">
          <cell r="A14" t="str">
            <v>020-00-030</v>
          </cell>
          <cell r="B14" t="str">
            <v>RESIDENTIAL HOUSE -RETREAT VILLAS</v>
          </cell>
          <cell r="C14">
            <v>13022208.6</v>
          </cell>
          <cell r="D14">
            <v>0</v>
          </cell>
          <cell r="E14">
            <v>13022208.6</v>
          </cell>
          <cell r="F14">
            <v>13022208.6</v>
          </cell>
          <cell r="G14">
            <v>0</v>
          </cell>
          <cell r="H14">
            <v>13022208.6</v>
          </cell>
        </row>
        <row r="15">
          <cell r="A15" t="str">
            <v>020-05-010</v>
          </cell>
          <cell r="B15" t="str">
            <v>MOTOR VEHICLES HEAD OFFICE</v>
          </cell>
          <cell r="C15">
            <v>3032210</v>
          </cell>
          <cell r="D15">
            <v>0</v>
          </cell>
          <cell r="E15">
            <v>3032210</v>
          </cell>
          <cell r="F15">
            <v>3032210</v>
          </cell>
          <cell r="G15">
            <v>0</v>
          </cell>
          <cell r="H15">
            <v>3032210</v>
          </cell>
        </row>
        <row r="16">
          <cell r="A16" t="str">
            <v>020-05-020</v>
          </cell>
          <cell r="B16" t="str">
            <v>MOTOR VEHICLES LIFE MARKETING</v>
          </cell>
          <cell r="C16">
            <v>1750000</v>
          </cell>
          <cell r="D16">
            <v>0</v>
          </cell>
          <cell r="E16">
            <v>1750000</v>
          </cell>
          <cell r="F16">
            <v>1750000</v>
          </cell>
          <cell r="G16">
            <v>0</v>
          </cell>
          <cell r="H16">
            <v>1750000</v>
          </cell>
        </row>
        <row r="17">
          <cell r="A17" t="str">
            <v>020-06-010</v>
          </cell>
          <cell r="B17" t="str">
            <v>PAN AFRICA HOUSE NAIROBI</v>
          </cell>
          <cell r="C17">
            <v>100000000</v>
          </cell>
          <cell r="D17">
            <v>-910778</v>
          </cell>
          <cell r="E17">
            <v>99089222</v>
          </cell>
          <cell r="F17">
            <v>99089222</v>
          </cell>
          <cell r="G17">
            <v>0</v>
          </cell>
          <cell r="H17">
            <v>99089222</v>
          </cell>
        </row>
        <row r="18">
          <cell r="A18" t="str">
            <v>020-06-020</v>
          </cell>
          <cell r="B18" t="str">
            <v>RESIDENTIAL HOUSE -LORESHO</v>
          </cell>
          <cell r="C18">
            <v>10000000</v>
          </cell>
          <cell r="D18">
            <v>212766</v>
          </cell>
          <cell r="E18">
            <v>10212766</v>
          </cell>
          <cell r="F18">
            <v>10212766</v>
          </cell>
          <cell r="G18">
            <v>0</v>
          </cell>
          <cell r="H18">
            <v>10212766</v>
          </cell>
        </row>
        <row r="19">
          <cell r="A19" t="str">
            <v>020-06-030</v>
          </cell>
          <cell r="B19" t="str">
            <v>RESIDENTIAL HOUSE-RETREAT VILLAS</v>
          </cell>
          <cell r="C19">
            <v>3000000</v>
          </cell>
          <cell r="D19">
            <v>3012</v>
          </cell>
          <cell r="E19">
            <v>3003012</v>
          </cell>
          <cell r="F19">
            <v>3003012</v>
          </cell>
          <cell r="G19">
            <v>0</v>
          </cell>
          <cell r="H19">
            <v>3003012</v>
          </cell>
        </row>
        <row r="20">
          <cell r="A20" t="str">
            <v>020-10-010</v>
          </cell>
          <cell r="B20" t="str">
            <v>COMPUTER EQUIPMENT-CITY CENTRE</v>
          </cell>
          <cell r="C20">
            <v>211220</v>
          </cell>
          <cell r="D20">
            <v>0</v>
          </cell>
          <cell r="E20">
            <v>211220</v>
          </cell>
          <cell r="F20">
            <v>211220</v>
          </cell>
          <cell r="G20">
            <v>0</v>
          </cell>
          <cell r="H20">
            <v>211220</v>
          </cell>
        </row>
        <row r="21">
          <cell r="A21" t="str">
            <v>020-10-020</v>
          </cell>
          <cell r="B21" t="str">
            <v>COMPUTER EQUIPMENT-HURLINGHAM</v>
          </cell>
          <cell r="C21">
            <v>221950</v>
          </cell>
          <cell r="D21">
            <v>0</v>
          </cell>
          <cell r="E21">
            <v>221950</v>
          </cell>
          <cell r="F21">
            <v>221950</v>
          </cell>
          <cell r="G21">
            <v>0</v>
          </cell>
          <cell r="H21">
            <v>221950</v>
          </cell>
        </row>
        <row r="22">
          <cell r="A22" t="str">
            <v>020-10-030</v>
          </cell>
          <cell r="B22" t="str">
            <v>COMPUTER EQUIPMENT-MOMBASA</v>
          </cell>
          <cell r="C22">
            <v>666221.35</v>
          </cell>
          <cell r="D22">
            <v>0</v>
          </cell>
          <cell r="E22">
            <v>666221.35</v>
          </cell>
          <cell r="F22">
            <v>666221.35</v>
          </cell>
          <cell r="G22">
            <v>0</v>
          </cell>
          <cell r="H22">
            <v>666221.35</v>
          </cell>
        </row>
        <row r="23">
          <cell r="A23" t="str">
            <v>020-10-040</v>
          </cell>
          <cell r="B23" t="str">
            <v>COMPUTER EQUPIMENT-NYERI</v>
          </cell>
          <cell r="C23">
            <v>176100</v>
          </cell>
          <cell r="D23">
            <v>0</v>
          </cell>
          <cell r="E23">
            <v>176100</v>
          </cell>
          <cell r="F23">
            <v>176100</v>
          </cell>
          <cell r="G23">
            <v>0</v>
          </cell>
          <cell r="H23">
            <v>176100</v>
          </cell>
        </row>
        <row r="24">
          <cell r="A24" t="str">
            <v>020-10-050</v>
          </cell>
          <cell r="B24" t="str">
            <v>COMPUTER EQUIPMENT-KISUMU</v>
          </cell>
          <cell r="C24">
            <v>176100</v>
          </cell>
          <cell r="D24">
            <v>0</v>
          </cell>
          <cell r="E24">
            <v>176100</v>
          </cell>
          <cell r="F24">
            <v>176100</v>
          </cell>
          <cell r="G24">
            <v>0</v>
          </cell>
          <cell r="H24">
            <v>176100</v>
          </cell>
        </row>
        <row r="25">
          <cell r="A25" t="str">
            <v>020-10-060</v>
          </cell>
          <cell r="B25" t="str">
            <v>COMPUTER EQUIPMENT MACHAKOS</v>
          </cell>
          <cell r="C25">
            <v>141010</v>
          </cell>
          <cell r="D25">
            <v>0</v>
          </cell>
          <cell r="E25">
            <v>141010</v>
          </cell>
          <cell r="F25">
            <v>141010</v>
          </cell>
          <cell r="G25">
            <v>0</v>
          </cell>
          <cell r="H25">
            <v>141010</v>
          </cell>
        </row>
        <row r="26">
          <cell r="A26" t="str">
            <v>020-10-070</v>
          </cell>
          <cell r="B26" t="str">
            <v>COMPUTER EQUIPMENT THIKA</v>
          </cell>
          <cell r="C26">
            <v>141009.5</v>
          </cell>
          <cell r="D26">
            <v>0</v>
          </cell>
          <cell r="E26">
            <v>141009.5</v>
          </cell>
          <cell r="F26">
            <v>141009.5</v>
          </cell>
          <cell r="G26">
            <v>0</v>
          </cell>
          <cell r="H26">
            <v>141009.5</v>
          </cell>
        </row>
        <row r="27">
          <cell r="A27" t="str">
            <v>020-10-080</v>
          </cell>
          <cell r="B27" t="str">
            <v>COMPUTER EQUIPMENT KISII</v>
          </cell>
          <cell r="C27">
            <v>123000</v>
          </cell>
          <cell r="D27">
            <v>0</v>
          </cell>
          <cell r="E27">
            <v>123000</v>
          </cell>
          <cell r="F27">
            <v>123000</v>
          </cell>
          <cell r="G27">
            <v>0</v>
          </cell>
          <cell r="H27">
            <v>123000</v>
          </cell>
        </row>
        <row r="28">
          <cell r="A28" t="str">
            <v>020-10-090</v>
          </cell>
          <cell r="B28" t="str">
            <v>COMPUTER EQUIPMENT LIFE MARKETING</v>
          </cell>
          <cell r="C28">
            <v>987042.4</v>
          </cell>
          <cell r="D28">
            <v>0</v>
          </cell>
          <cell r="E28">
            <v>987042.4</v>
          </cell>
          <cell r="F28">
            <v>987042.4</v>
          </cell>
          <cell r="G28">
            <v>0</v>
          </cell>
          <cell r="H28">
            <v>987042.4</v>
          </cell>
        </row>
        <row r="29">
          <cell r="A29" t="str">
            <v>020-10-100</v>
          </cell>
          <cell r="B29" t="str">
            <v>COMPUTER EQUIPMENT HEADOFFICE</v>
          </cell>
          <cell r="C29">
            <v>19772644.149999999</v>
          </cell>
          <cell r="D29">
            <v>0</v>
          </cell>
          <cell r="E29">
            <v>19772644.149999999</v>
          </cell>
          <cell r="F29">
            <v>19772644.149999999</v>
          </cell>
          <cell r="G29">
            <v>0</v>
          </cell>
          <cell r="H29">
            <v>19772644.149999999</v>
          </cell>
        </row>
        <row r="30">
          <cell r="A30" t="str">
            <v>020-10-110</v>
          </cell>
          <cell r="B30" t="str">
            <v>COMPUTER EQUIPMENT ELDORET</v>
          </cell>
          <cell r="C30">
            <v>158710</v>
          </cell>
          <cell r="D30">
            <v>0</v>
          </cell>
          <cell r="E30">
            <v>158710</v>
          </cell>
          <cell r="F30">
            <v>158710</v>
          </cell>
          <cell r="G30">
            <v>0</v>
          </cell>
          <cell r="H30">
            <v>158710</v>
          </cell>
        </row>
        <row r="31">
          <cell r="A31" t="str">
            <v>020-10-120</v>
          </cell>
          <cell r="B31" t="str">
            <v>COMPUTER EQUIPMENT EMBU</v>
          </cell>
          <cell r="C31">
            <v>158710</v>
          </cell>
          <cell r="D31">
            <v>0</v>
          </cell>
          <cell r="E31">
            <v>158710</v>
          </cell>
          <cell r="F31">
            <v>158710</v>
          </cell>
          <cell r="G31">
            <v>0</v>
          </cell>
          <cell r="H31">
            <v>158710</v>
          </cell>
        </row>
        <row r="32">
          <cell r="A32" t="str">
            <v>020-10-130</v>
          </cell>
          <cell r="B32" t="str">
            <v>COMPUTER EQUIPMENT NAKURU</v>
          </cell>
          <cell r="C32">
            <v>161306</v>
          </cell>
          <cell r="D32">
            <v>0</v>
          </cell>
          <cell r="E32">
            <v>161306</v>
          </cell>
          <cell r="F32">
            <v>161306</v>
          </cell>
          <cell r="G32">
            <v>0</v>
          </cell>
          <cell r="H32">
            <v>161306</v>
          </cell>
        </row>
        <row r="33">
          <cell r="A33" t="str">
            <v>020-10-140</v>
          </cell>
          <cell r="B33" t="str">
            <v>COMPUTER EQUIPMENT-MERU</v>
          </cell>
          <cell r="C33">
            <v>103840</v>
          </cell>
          <cell r="D33">
            <v>0</v>
          </cell>
          <cell r="E33">
            <v>103840</v>
          </cell>
          <cell r="F33">
            <v>103840</v>
          </cell>
          <cell r="G33">
            <v>0</v>
          </cell>
          <cell r="H33">
            <v>103840</v>
          </cell>
        </row>
        <row r="34">
          <cell r="A34" t="str">
            <v>020-15-010</v>
          </cell>
          <cell r="B34" t="str">
            <v>FIXTURES &amp; FITTINGS-HURLINGHAM</v>
          </cell>
          <cell r="C34">
            <v>1072267.25</v>
          </cell>
          <cell r="D34">
            <v>0</v>
          </cell>
          <cell r="E34">
            <v>1072267.25</v>
          </cell>
          <cell r="F34">
            <v>1072267.25</v>
          </cell>
          <cell r="G34">
            <v>0</v>
          </cell>
          <cell r="H34">
            <v>1072267.25</v>
          </cell>
        </row>
        <row r="35">
          <cell r="A35" t="str">
            <v>020-15-020</v>
          </cell>
          <cell r="B35" t="str">
            <v>FIXTURES ,FURNITURE &amp; FITTINGS -MOMBASA</v>
          </cell>
          <cell r="C35">
            <v>5148306</v>
          </cell>
          <cell r="D35">
            <v>0</v>
          </cell>
          <cell r="E35">
            <v>5148306</v>
          </cell>
          <cell r="F35">
            <v>5148306</v>
          </cell>
          <cell r="G35">
            <v>0</v>
          </cell>
          <cell r="H35">
            <v>5148306</v>
          </cell>
        </row>
        <row r="36">
          <cell r="A36" t="str">
            <v>020-15-030</v>
          </cell>
          <cell r="B36" t="str">
            <v>FURNITURE,FIXTURES &amp; FITTINGS-MERU</v>
          </cell>
          <cell r="C36">
            <v>928068.25</v>
          </cell>
          <cell r="D36">
            <v>426500</v>
          </cell>
          <cell r="E36">
            <v>1354568.25</v>
          </cell>
          <cell r="F36">
            <v>1354568.25</v>
          </cell>
          <cell r="G36">
            <v>0</v>
          </cell>
          <cell r="H36">
            <v>1354568.25</v>
          </cell>
        </row>
        <row r="37">
          <cell r="A37" t="str">
            <v>020-15-040</v>
          </cell>
          <cell r="B37" t="str">
            <v>FURNITURES ,FIXTURES &amp; FITTINGS-NYERI</v>
          </cell>
          <cell r="C37">
            <v>1669817.33</v>
          </cell>
          <cell r="D37">
            <v>0</v>
          </cell>
          <cell r="E37">
            <v>1669817.33</v>
          </cell>
          <cell r="F37">
            <v>1669817.33</v>
          </cell>
          <cell r="G37">
            <v>0</v>
          </cell>
          <cell r="H37">
            <v>1669817.33</v>
          </cell>
        </row>
        <row r="38">
          <cell r="A38" t="str">
            <v>020-15-050</v>
          </cell>
          <cell r="B38" t="str">
            <v>FURNITURE,FIXTURES &amp; FITTINGS -KISUMU</v>
          </cell>
          <cell r="C38">
            <v>4532431.57</v>
          </cell>
          <cell r="D38">
            <v>0</v>
          </cell>
          <cell r="E38">
            <v>4532431.57</v>
          </cell>
          <cell r="F38">
            <v>4532431.57</v>
          </cell>
          <cell r="G38">
            <v>0</v>
          </cell>
          <cell r="H38">
            <v>4532431.57</v>
          </cell>
        </row>
        <row r="39">
          <cell r="A39" t="str">
            <v>020-15-060</v>
          </cell>
          <cell r="B39" t="str">
            <v>FURNITURE,FIXTURES &amp; FITTINGS KISII</v>
          </cell>
          <cell r="C39">
            <v>3903085.19</v>
          </cell>
          <cell r="D39">
            <v>0</v>
          </cell>
          <cell r="E39">
            <v>3903085.19</v>
          </cell>
          <cell r="F39">
            <v>3903085.19</v>
          </cell>
          <cell r="G39">
            <v>0</v>
          </cell>
          <cell r="H39">
            <v>3903085.19</v>
          </cell>
        </row>
        <row r="40">
          <cell r="A40" t="str">
            <v>020-15-070</v>
          </cell>
          <cell r="B40" t="str">
            <v>F&amp;F HEAD OFFICE</v>
          </cell>
          <cell r="C40">
            <v>21787397.940000001</v>
          </cell>
          <cell r="D40">
            <v>0</v>
          </cell>
          <cell r="E40">
            <v>21787397.940000001</v>
          </cell>
          <cell r="F40">
            <v>21787397.940000001</v>
          </cell>
          <cell r="G40">
            <v>0</v>
          </cell>
          <cell r="H40">
            <v>21787397.940000001</v>
          </cell>
        </row>
        <row r="41">
          <cell r="A41" t="str">
            <v>020-15-080</v>
          </cell>
          <cell r="B41" t="str">
            <v>F&amp;F CENTRAL AIR CONDITIONING UNIT</v>
          </cell>
          <cell r="C41">
            <v>6840500</v>
          </cell>
          <cell r="D41">
            <v>0</v>
          </cell>
          <cell r="E41">
            <v>6840500</v>
          </cell>
          <cell r="F41">
            <v>6840500</v>
          </cell>
          <cell r="G41">
            <v>0</v>
          </cell>
          <cell r="H41">
            <v>6840500</v>
          </cell>
        </row>
        <row r="42">
          <cell r="A42" t="str">
            <v>020-15-090</v>
          </cell>
          <cell r="B42" t="str">
            <v>ELECTRIC GENERATING SETS</v>
          </cell>
          <cell r="C42">
            <v>1106000</v>
          </cell>
          <cell r="D42">
            <v>0</v>
          </cell>
          <cell r="E42">
            <v>1106000</v>
          </cell>
          <cell r="F42">
            <v>1106000</v>
          </cell>
          <cell r="G42">
            <v>0</v>
          </cell>
          <cell r="H42">
            <v>1106000</v>
          </cell>
        </row>
        <row r="43">
          <cell r="A43" t="str">
            <v>020-15-100</v>
          </cell>
          <cell r="B43" t="str">
            <v>BOREHOLE EQUIPMENT</v>
          </cell>
          <cell r="C43">
            <v>843015</v>
          </cell>
          <cell r="D43">
            <v>0</v>
          </cell>
          <cell r="E43">
            <v>843015</v>
          </cell>
          <cell r="F43">
            <v>843015</v>
          </cell>
          <cell r="G43">
            <v>0</v>
          </cell>
          <cell r="H43">
            <v>843015</v>
          </cell>
        </row>
        <row r="44">
          <cell r="A44" t="str">
            <v>020-15-110</v>
          </cell>
          <cell r="B44" t="str">
            <v>AIR CONDITIONING &amp; ELECTRICAL REHABILATI</v>
          </cell>
          <cell r="C44">
            <v>78310109</v>
          </cell>
          <cell r="D44">
            <v>0</v>
          </cell>
          <cell r="E44">
            <v>78310109</v>
          </cell>
          <cell r="F44">
            <v>78310109</v>
          </cell>
          <cell r="G44">
            <v>0</v>
          </cell>
          <cell r="H44">
            <v>78310109</v>
          </cell>
        </row>
        <row r="45">
          <cell r="A45" t="str">
            <v>020-15-120</v>
          </cell>
          <cell r="B45" t="str">
            <v>F&amp;F ELDORET</v>
          </cell>
          <cell r="C45">
            <v>4220484</v>
          </cell>
          <cell r="D45">
            <v>0</v>
          </cell>
          <cell r="E45">
            <v>4220484</v>
          </cell>
          <cell r="F45">
            <v>4220484</v>
          </cell>
          <cell r="G45">
            <v>0</v>
          </cell>
          <cell r="H45">
            <v>4220484</v>
          </cell>
        </row>
        <row r="46">
          <cell r="A46" t="str">
            <v>020-15-130</v>
          </cell>
          <cell r="B46" t="str">
            <v>F&amp;F LORESHO HOUSE</v>
          </cell>
          <cell r="C46">
            <v>826159</v>
          </cell>
          <cell r="D46">
            <v>0</v>
          </cell>
          <cell r="E46">
            <v>826159</v>
          </cell>
          <cell r="F46">
            <v>826159</v>
          </cell>
          <cell r="G46">
            <v>0</v>
          </cell>
          <cell r="H46">
            <v>826159</v>
          </cell>
        </row>
        <row r="47">
          <cell r="A47" t="str">
            <v>020-15-140</v>
          </cell>
          <cell r="B47" t="str">
            <v>F&amp;F AMBALAL HOUSE</v>
          </cell>
          <cell r="C47">
            <v>1843231</v>
          </cell>
          <cell r="D47">
            <v>0</v>
          </cell>
          <cell r="E47">
            <v>1843231</v>
          </cell>
          <cell r="F47">
            <v>1843231</v>
          </cell>
          <cell r="G47">
            <v>0</v>
          </cell>
          <cell r="H47">
            <v>1843231</v>
          </cell>
        </row>
        <row r="48">
          <cell r="A48" t="str">
            <v>020-15-150</v>
          </cell>
          <cell r="B48" t="str">
            <v>F&amp;F RETREAT VILLAS</v>
          </cell>
          <cell r="C48">
            <v>1252849.3999999999</v>
          </cell>
          <cell r="D48">
            <v>0</v>
          </cell>
          <cell r="E48">
            <v>1252849.3999999999</v>
          </cell>
          <cell r="F48">
            <v>1252849.3999999999</v>
          </cell>
          <cell r="G48">
            <v>0</v>
          </cell>
          <cell r="H48">
            <v>1252849.3999999999</v>
          </cell>
        </row>
        <row r="49">
          <cell r="A49" t="str">
            <v>020-15-160</v>
          </cell>
          <cell r="B49" t="str">
            <v>F&amp;F THIKA</v>
          </cell>
          <cell r="C49">
            <v>856633</v>
          </cell>
          <cell r="D49">
            <v>0</v>
          </cell>
          <cell r="E49">
            <v>856633</v>
          </cell>
          <cell r="F49">
            <v>856633</v>
          </cell>
          <cell r="G49">
            <v>0</v>
          </cell>
          <cell r="H49">
            <v>856633</v>
          </cell>
        </row>
        <row r="50">
          <cell r="A50" t="str">
            <v>020-15-170</v>
          </cell>
          <cell r="B50" t="str">
            <v>F&amp;F MACHAKOS</v>
          </cell>
          <cell r="C50">
            <v>712000</v>
          </cell>
          <cell r="D50">
            <v>0</v>
          </cell>
          <cell r="E50">
            <v>712000</v>
          </cell>
          <cell r="F50">
            <v>712000</v>
          </cell>
          <cell r="G50">
            <v>0</v>
          </cell>
          <cell r="H50">
            <v>712000</v>
          </cell>
        </row>
        <row r="51">
          <cell r="A51" t="str">
            <v>020-15-180</v>
          </cell>
          <cell r="B51" t="str">
            <v>FIXTURES &amp; FITTINGS LIFE MRKT</v>
          </cell>
          <cell r="C51">
            <v>1303340</v>
          </cell>
          <cell r="D51">
            <v>0</v>
          </cell>
          <cell r="E51">
            <v>1303340</v>
          </cell>
          <cell r="F51">
            <v>1303340</v>
          </cell>
          <cell r="G51">
            <v>0</v>
          </cell>
          <cell r="H51">
            <v>1303340</v>
          </cell>
        </row>
        <row r="52">
          <cell r="A52" t="str">
            <v>020-16-010</v>
          </cell>
          <cell r="B52" t="str">
            <v>PAN AFRICA HOUSE NAIROBI</v>
          </cell>
          <cell r="C52">
            <v>-11291666.5</v>
          </cell>
          <cell r="D52">
            <v>-1041666.5</v>
          </cell>
          <cell r="E52">
            <v>-12333333</v>
          </cell>
          <cell r="F52">
            <v>-12333333</v>
          </cell>
          <cell r="G52">
            <v>0</v>
          </cell>
          <cell r="H52">
            <v>-12333333</v>
          </cell>
        </row>
        <row r="53">
          <cell r="A53" t="str">
            <v>020-16-020</v>
          </cell>
          <cell r="B53" t="str">
            <v>RESIDENTIAL HOUSE LORESHO</v>
          </cell>
          <cell r="C53">
            <v>-580673.5</v>
          </cell>
          <cell r="D53">
            <v>-53191.5</v>
          </cell>
          <cell r="E53">
            <v>-633865</v>
          </cell>
          <cell r="F53">
            <v>-633865</v>
          </cell>
          <cell r="G53">
            <v>0</v>
          </cell>
          <cell r="H53">
            <v>-633865</v>
          </cell>
        </row>
        <row r="54">
          <cell r="A54" t="str">
            <v>020-16-030</v>
          </cell>
          <cell r="B54" t="str">
            <v>RESIDENTIAL HOUSE RETREAT</v>
          </cell>
          <cell r="C54">
            <v>-8269.5</v>
          </cell>
          <cell r="D54">
            <v>-752.5</v>
          </cell>
          <cell r="E54">
            <v>-9022</v>
          </cell>
          <cell r="F54">
            <v>-9022</v>
          </cell>
          <cell r="G54">
            <v>0</v>
          </cell>
          <cell r="H54">
            <v>-9022</v>
          </cell>
        </row>
        <row r="55">
          <cell r="A55" t="str">
            <v>020-17-010</v>
          </cell>
          <cell r="B55" t="str">
            <v>PAN AFRICA HOUSE NAIROBI</v>
          </cell>
          <cell r="C55">
            <v>-9033332.75</v>
          </cell>
          <cell r="D55">
            <v>-978261.25</v>
          </cell>
          <cell r="E55">
            <v>-10011594</v>
          </cell>
          <cell r="F55">
            <v>-10011594</v>
          </cell>
          <cell r="G55">
            <v>0</v>
          </cell>
          <cell r="H55">
            <v>-10011594</v>
          </cell>
        </row>
        <row r="56">
          <cell r="A56" t="str">
            <v>020-17-020</v>
          </cell>
          <cell r="B56" t="str">
            <v>RESIDENTIAL HOUSE -LORESHO</v>
          </cell>
          <cell r="C56">
            <v>-495372.75</v>
          </cell>
          <cell r="D56">
            <v>-46253.25</v>
          </cell>
          <cell r="E56">
            <v>-541626</v>
          </cell>
          <cell r="F56">
            <v>-541626</v>
          </cell>
          <cell r="G56">
            <v>0</v>
          </cell>
          <cell r="H56">
            <v>-541626</v>
          </cell>
        </row>
        <row r="57">
          <cell r="A57" t="str">
            <v>020-17-030</v>
          </cell>
          <cell r="B57" t="str">
            <v>RESIDENTIAL HOUSE -RETREAT VILLAS</v>
          </cell>
          <cell r="C57">
            <v>-273907</v>
          </cell>
          <cell r="D57">
            <v>-3021</v>
          </cell>
          <cell r="E57">
            <v>-276928</v>
          </cell>
          <cell r="F57">
            <v>-276928</v>
          </cell>
          <cell r="G57">
            <v>0</v>
          </cell>
          <cell r="H57">
            <v>-276928</v>
          </cell>
        </row>
        <row r="58">
          <cell r="A58" t="str">
            <v>020-20-010</v>
          </cell>
          <cell r="B58" t="str">
            <v>ACC.DEPRECIATION F&amp;F MOMBASA</v>
          </cell>
          <cell r="C58">
            <v>-4685797.43</v>
          </cell>
          <cell r="D58">
            <v>-14957.04</v>
          </cell>
          <cell r="E58">
            <v>-4700754.47</v>
          </cell>
          <cell r="F58">
            <v>-4700754.47</v>
          </cell>
          <cell r="G58">
            <v>0</v>
          </cell>
          <cell r="H58">
            <v>-4700754.47</v>
          </cell>
        </row>
        <row r="59">
          <cell r="A59" t="str">
            <v>020-20-020</v>
          </cell>
          <cell r="B59" t="str">
            <v>ACC. DEPRECIATION -HURLINGHAM F&amp;F</v>
          </cell>
          <cell r="C59">
            <v>-356631.68</v>
          </cell>
          <cell r="D59">
            <v>-11169.45</v>
          </cell>
          <cell r="E59">
            <v>-367801.13</v>
          </cell>
          <cell r="F59">
            <v>-367801.13</v>
          </cell>
          <cell r="G59">
            <v>0</v>
          </cell>
          <cell r="H59">
            <v>-367801.13</v>
          </cell>
        </row>
        <row r="60">
          <cell r="A60" t="str">
            <v>020-20-030</v>
          </cell>
          <cell r="B60" t="str">
            <v>ACC.DEPRECIATION F &amp; F MERU</v>
          </cell>
          <cell r="C60">
            <v>-401082.9</v>
          </cell>
          <cell r="D60">
            <v>-16584.89</v>
          </cell>
          <cell r="E60">
            <v>-417667.79</v>
          </cell>
          <cell r="F60">
            <v>-417667.79</v>
          </cell>
          <cell r="G60">
            <v>0</v>
          </cell>
          <cell r="H60">
            <v>-417667.79</v>
          </cell>
        </row>
        <row r="61">
          <cell r="A61" t="str">
            <v>020-20-040</v>
          </cell>
          <cell r="B61" t="str">
            <v>ACC.DEPRECIATION F&amp;F NYERI</v>
          </cell>
          <cell r="C61">
            <v>-801531.63</v>
          </cell>
          <cell r="D61">
            <v>-16665.29</v>
          </cell>
          <cell r="E61">
            <v>-818196.92</v>
          </cell>
          <cell r="F61">
            <v>-818196.92</v>
          </cell>
          <cell r="G61">
            <v>0</v>
          </cell>
          <cell r="H61">
            <v>-818196.92</v>
          </cell>
        </row>
        <row r="62">
          <cell r="A62" t="str">
            <v>020-20-050</v>
          </cell>
          <cell r="B62" t="str">
            <v>ACC.DEPRECIATION F &amp;F KISUMU</v>
          </cell>
          <cell r="C62">
            <v>-3646268.24</v>
          </cell>
          <cell r="D62">
            <v>-44701.16</v>
          </cell>
          <cell r="E62">
            <v>-3690969.4</v>
          </cell>
          <cell r="F62">
            <v>-3690969.4</v>
          </cell>
          <cell r="G62">
            <v>0</v>
          </cell>
          <cell r="H62">
            <v>-3690969.4</v>
          </cell>
        </row>
        <row r="63">
          <cell r="A63" t="str">
            <v>020-20-060</v>
          </cell>
          <cell r="B63" t="str">
            <v>ACC.DEPRECIATION F &amp; F KISII</v>
          </cell>
          <cell r="C63">
            <v>-3808907.99</v>
          </cell>
          <cell r="D63">
            <v>-3689.75</v>
          </cell>
          <cell r="E63">
            <v>-3812597.74</v>
          </cell>
          <cell r="F63">
            <v>-3812597.74</v>
          </cell>
          <cell r="G63">
            <v>0</v>
          </cell>
          <cell r="H63">
            <v>-3812597.74</v>
          </cell>
        </row>
        <row r="64">
          <cell r="A64" t="str">
            <v>020-20-070</v>
          </cell>
          <cell r="B64" t="str">
            <v>ACC.DEPRECIATION F &amp; F HEAD OFFICE</v>
          </cell>
          <cell r="C64">
            <v>-9754371.8599999994</v>
          </cell>
          <cell r="D64">
            <v>-173291.08</v>
          </cell>
          <cell r="E64">
            <v>-9927662.9399999995</v>
          </cell>
          <cell r="F64">
            <v>-9927662.9399999995</v>
          </cell>
          <cell r="G64">
            <v>0</v>
          </cell>
          <cell r="H64">
            <v>-9927662.9399999995</v>
          </cell>
        </row>
        <row r="65">
          <cell r="A65" t="str">
            <v>020-20-080</v>
          </cell>
          <cell r="B65" t="str">
            <v>ACC DEPRECIATION F &amp; F ELDORET AGENCY</v>
          </cell>
          <cell r="C65">
            <v>-4095627.02</v>
          </cell>
          <cell r="D65">
            <v>-4388.88</v>
          </cell>
          <cell r="E65">
            <v>-4100015.9</v>
          </cell>
          <cell r="F65">
            <v>-4100015.9</v>
          </cell>
          <cell r="G65">
            <v>0</v>
          </cell>
          <cell r="H65">
            <v>-4100015.9</v>
          </cell>
        </row>
        <row r="66">
          <cell r="A66" t="str">
            <v>020-20-090</v>
          </cell>
          <cell r="B66" t="str">
            <v>ACC.DEPRECIATION AMBALAL HSE-PARTITION</v>
          </cell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</row>
        <row r="67">
          <cell r="A67" t="str">
            <v>020-20-100</v>
          </cell>
          <cell r="B67" t="str">
            <v>ACC.DEPRECIATION F &amp; F LORESHO HSE</v>
          </cell>
          <cell r="C67">
            <v>-301203.71000000002</v>
          </cell>
          <cell r="D67">
            <v>-8605.82</v>
          </cell>
          <cell r="E67">
            <v>-309809.53000000003</v>
          </cell>
          <cell r="F67">
            <v>-309809.53000000003</v>
          </cell>
          <cell r="G67">
            <v>0</v>
          </cell>
          <cell r="H67">
            <v>-309809.53000000003</v>
          </cell>
        </row>
        <row r="68">
          <cell r="A68" t="str">
            <v>020-20-110</v>
          </cell>
          <cell r="B68" t="str">
            <v>ACC.DEPRECIATION F &amp; F AMBALAL</v>
          </cell>
          <cell r="C68">
            <v>-1815876.31</v>
          </cell>
          <cell r="D68">
            <v>-448.44</v>
          </cell>
          <cell r="E68">
            <v>-1816324.75</v>
          </cell>
          <cell r="F68">
            <v>-1816324.75</v>
          </cell>
          <cell r="G68">
            <v>0</v>
          </cell>
          <cell r="H68">
            <v>-1816324.75</v>
          </cell>
        </row>
        <row r="69">
          <cell r="A69" t="str">
            <v>020-20-120</v>
          </cell>
          <cell r="B69" t="str">
            <v>ACC.DEPRECIATION F &amp; F RETREAT VILLAS</v>
          </cell>
          <cell r="C69">
            <v>-456768.05</v>
          </cell>
          <cell r="D69">
            <v>-13050.52</v>
          </cell>
          <cell r="E69">
            <v>-469818.57</v>
          </cell>
          <cell r="F69">
            <v>-469818.57</v>
          </cell>
          <cell r="G69">
            <v>0</v>
          </cell>
          <cell r="H69">
            <v>-469818.57</v>
          </cell>
        </row>
        <row r="70">
          <cell r="A70" t="str">
            <v>020-20-130</v>
          </cell>
          <cell r="B70" t="str">
            <v>ACC.DEPRECIATION F &amp; F THIKA</v>
          </cell>
          <cell r="C70">
            <v>-302154.99</v>
          </cell>
          <cell r="D70">
            <v>-8923.26</v>
          </cell>
          <cell r="E70">
            <v>-311078.25</v>
          </cell>
          <cell r="F70">
            <v>-311078.25</v>
          </cell>
          <cell r="G70">
            <v>0</v>
          </cell>
          <cell r="H70">
            <v>-311078.25</v>
          </cell>
        </row>
        <row r="71">
          <cell r="A71" t="str">
            <v>020-20-140</v>
          </cell>
          <cell r="B71" t="str">
            <v>ACC.DEPRECIATION F &amp; F MACHAKOS</v>
          </cell>
          <cell r="C71">
            <v>-252583.33</v>
          </cell>
          <cell r="D71">
            <v>-7416.67</v>
          </cell>
          <cell r="E71">
            <v>-260000</v>
          </cell>
          <cell r="F71">
            <v>-260000</v>
          </cell>
          <cell r="G71">
            <v>0</v>
          </cell>
          <cell r="H71">
            <v>-260000</v>
          </cell>
        </row>
        <row r="72">
          <cell r="A72" t="str">
            <v>020-20-150</v>
          </cell>
          <cell r="B72" t="str">
            <v>ACC. DEPRECIATION BOREHOLE EQUIP</v>
          </cell>
          <cell r="C72">
            <v>-843014.9</v>
          </cell>
          <cell r="D72">
            <v>0</v>
          </cell>
          <cell r="E72">
            <v>-843014.9</v>
          </cell>
          <cell r="F72">
            <v>-843014.9</v>
          </cell>
          <cell r="G72">
            <v>0</v>
          </cell>
          <cell r="H72">
            <v>-843014.9</v>
          </cell>
        </row>
        <row r="73">
          <cell r="A73" t="str">
            <v>020-20-160</v>
          </cell>
          <cell r="B73" t="str">
            <v>ACC.DEP. CENTRAL AIR CONDITIONING</v>
          </cell>
          <cell r="C73">
            <v>-6840500</v>
          </cell>
          <cell r="D73">
            <v>0</v>
          </cell>
          <cell r="E73">
            <v>-6840500</v>
          </cell>
          <cell r="F73">
            <v>-6840500</v>
          </cell>
          <cell r="G73">
            <v>0</v>
          </cell>
          <cell r="H73">
            <v>-6840500</v>
          </cell>
        </row>
        <row r="74">
          <cell r="A74" t="str">
            <v>020-20-170</v>
          </cell>
          <cell r="B74" t="str">
            <v>ACC.DEP. ELETRIC GENERATING SETS</v>
          </cell>
          <cell r="C74">
            <v>-1106000</v>
          </cell>
          <cell r="D74">
            <v>0</v>
          </cell>
          <cell r="E74">
            <v>-1106000</v>
          </cell>
          <cell r="F74">
            <v>-1106000</v>
          </cell>
          <cell r="G74">
            <v>0</v>
          </cell>
          <cell r="H74">
            <v>-1106000</v>
          </cell>
        </row>
        <row r="75">
          <cell r="A75" t="str">
            <v>020-20-180</v>
          </cell>
          <cell r="B75" t="str">
            <v>ACC.DEP AIR CONDITIONING &amp; ELECTRICAL</v>
          </cell>
          <cell r="C75">
            <v>-78310112</v>
          </cell>
          <cell r="D75">
            <v>0</v>
          </cell>
          <cell r="E75">
            <v>-78310112</v>
          </cell>
          <cell r="F75">
            <v>-78310112</v>
          </cell>
          <cell r="G75">
            <v>0</v>
          </cell>
          <cell r="H75">
            <v>-78310112</v>
          </cell>
        </row>
        <row r="76">
          <cell r="A76" t="str">
            <v>020-20-190</v>
          </cell>
          <cell r="B76" t="str">
            <v>ACCUMULATED DEP F&amp; F LIFE MRKT</v>
          </cell>
          <cell r="C76">
            <v>-182638.04</v>
          </cell>
          <cell r="D76">
            <v>-13576.46</v>
          </cell>
          <cell r="E76">
            <v>-196214.5</v>
          </cell>
          <cell r="F76">
            <v>-196214.5</v>
          </cell>
          <cell r="G76">
            <v>0</v>
          </cell>
          <cell r="H76">
            <v>-196214.5</v>
          </cell>
        </row>
        <row r="77">
          <cell r="A77" t="str">
            <v>020-25-010</v>
          </cell>
          <cell r="B77" t="str">
            <v>ACC.DEPRECIATION CITY CENTRE COMPUTERS</v>
          </cell>
          <cell r="C77">
            <v>-154014.57999999999</v>
          </cell>
          <cell r="D77">
            <v>-4400.42</v>
          </cell>
          <cell r="E77">
            <v>-158415</v>
          </cell>
          <cell r="F77">
            <v>-158415</v>
          </cell>
          <cell r="G77">
            <v>0</v>
          </cell>
          <cell r="H77">
            <v>-158415</v>
          </cell>
        </row>
        <row r="78">
          <cell r="A78" t="str">
            <v>020-25-020</v>
          </cell>
          <cell r="B78" t="str">
            <v>ACC.DEPRECIATION COMPUTERS-HURLINGHAM</v>
          </cell>
          <cell r="C78">
            <v>-109918.34</v>
          </cell>
          <cell r="D78">
            <v>-4623.96</v>
          </cell>
          <cell r="E78">
            <v>-114542.3</v>
          </cell>
          <cell r="F78">
            <v>-114542.3</v>
          </cell>
          <cell r="G78">
            <v>0</v>
          </cell>
          <cell r="H78">
            <v>-114542.3</v>
          </cell>
        </row>
        <row r="79">
          <cell r="A79" t="str">
            <v>020-25-030</v>
          </cell>
          <cell r="B79" t="str">
            <v>ACC.DEPRECIATION -COMPUTERS -MACHAKOS</v>
          </cell>
          <cell r="C79">
            <v>-102819.79</v>
          </cell>
          <cell r="D79">
            <v>-2937.71</v>
          </cell>
          <cell r="E79">
            <v>-105757.5</v>
          </cell>
          <cell r="F79">
            <v>-105757.5</v>
          </cell>
          <cell r="G79">
            <v>0</v>
          </cell>
          <cell r="H79">
            <v>-105757.5</v>
          </cell>
        </row>
        <row r="80">
          <cell r="A80" t="str">
            <v>020-25-040</v>
          </cell>
          <cell r="B80" t="str">
            <v>ACC.DEPRECIATION COMPUTERS MOMBASA</v>
          </cell>
          <cell r="C80">
            <v>-566950.52</v>
          </cell>
          <cell r="D80">
            <v>-6762.5</v>
          </cell>
          <cell r="E80">
            <v>-573713.02</v>
          </cell>
          <cell r="F80">
            <v>-573713.02</v>
          </cell>
          <cell r="G80">
            <v>0</v>
          </cell>
          <cell r="H80">
            <v>-573713.02</v>
          </cell>
        </row>
        <row r="81">
          <cell r="A81" t="str">
            <v>020-25-050</v>
          </cell>
          <cell r="B81" t="str">
            <v>ACC.DEPRECIATION COMPUTER-THIKA</v>
          </cell>
          <cell r="C81">
            <v>-102819.99</v>
          </cell>
          <cell r="D81">
            <v>-2937.71</v>
          </cell>
          <cell r="E81">
            <v>-105757.7</v>
          </cell>
          <cell r="F81">
            <v>-105757.7</v>
          </cell>
          <cell r="G81">
            <v>0</v>
          </cell>
          <cell r="H81">
            <v>-105757.7</v>
          </cell>
        </row>
        <row r="82">
          <cell r="A82" t="str">
            <v>020-25-060</v>
          </cell>
          <cell r="B82" t="str">
            <v>ACC.DEPRECIATION -COMPUTERS NYERI</v>
          </cell>
          <cell r="C82">
            <v>-115131.25</v>
          </cell>
          <cell r="D82">
            <v>-3668.75</v>
          </cell>
          <cell r="E82">
            <v>-118800</v>
          </cell>
          <cell r="F82">
            <v>-118800</v>
          </cell>
          <cell r="G82">
            <v>0</v>
          </cell>
          <cell r="H82">
            <v>-118800</v>
          </cell>
        </row>
        <row r="83">
          <cell r="A83" t="str">
            <v>020-25-070</v>
          </cell>
          <cell r="B83" t="str">
            <v>ACC.DEPRECIATION COMPUTERS-KISUMU</v>
          </cell>
          <cell r="C83">
            <v>-115131.25</v>
          </cell>
          <cell r="D83">
            <v>-3668.75</v>
          </cell>
          <cell r="E83">
            <v>-118800</v>
          </cell>
          <cell r="F83">
            <v>-118800</v>
          </cell>
          <cell r="G83">
            <v>0</v>
          </cell>
          <cell r="H83">
            <v>-118800</v>
          </cell>
        </row>
        <row r="84">
          <cell r="A84" t="str">
            <v>020-25-080</v>
          </cell>
          <cell r="B84" t="str">
            <v>ACC.DEPRECIATION COMPUTERS KISII</v>
          </cell>
          <cell r="C84">
            <v>-89687.5</v>
          </cell>
          <cell r="D84">
            <v>-2562.5</v>
          </cell>
          <cell r="E84">
            <v>-92250</v>
          </cell>
          <cell r="F84">
            <v>-92250</v>
          </cell>
          <cell r="G84">
            <v>0</v>
          </cell>
          <cell r="H84">
            <v>-92250</v>
          </cell>
        </row>
        <row r="85">
          <cell r="A85" t="str">
            <v>020-25-090</v>
          </cell>
          <cell r="B85" t="str">
            <v>ACC.DEPRECIATION COMPUTER-LIFE MARKETING</v>
          </cell>
          <cell r="C85">
            <v>-467676.4</v>
          </cell>
          <cell r="D85">
            <v>-20563.38</v>
          </cell>
          <cell r="E85">
            <v>-488239.78</v>
          </cell>
          <cell r="F85">
            <v>-488239.78</v>
          </cell>
          <cell r="G85">
            <v>0</v>
          </cell>
          <cell r="H85">
            <v>-488239.78</v>
          </cell>
        </row>
        <row r="86">
          <cell r="A86" t="str">
            <v>020-25-100</v>
          </cell>
          <cell r="B86" t="str">
            <v>ACC.DEPRECIATION COMPUTERSB H/OFFICE</v>
          </cell>
          <cell r="C86">
            <v>-13462709.58</v>
          </cell>
          <cell r="D86">
            <v>-330425.07</v>
          </cell>
          <cell r="E86">
            <v>-13793134.65</v>
          </cell>
          <cell r="F86">
            <v>-13793134.65</v>
          </cell>
          <cell r="G86">
            <v>0</v>
          </cell>
          <cell r="H86">
            <v>-13793134.65</v>
          </cell>
        </row>
        <row r="87">
          <cell r="A87" t="str">
            <v>020-25-110</v>
          </cell>
          <cell r="B87" t="str">
            <v>ACC.DEPRECIATION COMPUTERS ELDORET</v>
          </cell>
          <cell r="C87">
            <v>-102451.04</v>
          </cell>
          <cell r="D87">
            <v>-3306.46</v>
          </cell>
          <cell r="E87">
            <v>-105757.5</v>
          </cell>
          <cell r="F87">
            <v>-105757.5</v>
          </cell>
          <cell r="G87">
            <v>0</v>
          </cell>
          <cell r="H87">
            <v>-105757.5</v>
          </cell>
        </row>
        <row r="88">
          <cell r="A88" t="str">
            <v>020-25-120</v>
          </cell>
          <cell r="B88" t="str">
            <v>ACC DEPRECIATION COMPUTERS EMBU</v>
          </cell>
          <cell r="C88">
            <v>-102451.04</v>
          </cell>
          <cell r="D88">
            <v>-3306.46</v>
          </cell>
          <cell r="E88">
            <v>-105757.5</v>
          </cell>
          <cell r="F88">
            <v>-105757.5</v>
          </cell>
          <cell r="G88">
            <v>0</v>
          </cell>
          <cell r="H88">
            <v>-105757.5</v>
          </cell>
        </row>
        <row r="89">
          <cell r="A89" t="str">
            <v>020-25-130</v>
          </cell>
          <cell r="B89" t="str">
            <v>ACC DEPRECIATION COMPS. NAKURU</v>
          </cell>
          <cell r="C89">
            <v>-66020.97</v>
          </cell>
          <cell r="D89">
            <v>-3360.54</v>
          </cell>
          <cell r="E89">
            <v>-69381.509999999995</v>
          </cell>
          <cell r="F89">
            <v>-69381.509999999995</v>
          </cell>
          <cell r="G89">
            <v>0</v>
          </cell>
          <cell r="H89">
            <v>-69381.509999999995</v>
          </cell>
        </row>
        <row r="90">
          <cell r="A90" t="str">
            <v>020-25-140</v>
          </cell>
          <cell r="B90" t="str">
            <v>ACC. DEPRECIATION COMPUTERS MERU</v>
          </cell>
          <cell r="C90">
            <v>-19470</v>
          </cell>
          <cell r="D90">
            <v>-2163.33</v>
          </cell>
          <cell r="E90">
            <v>-21633.33</v>
          </cell>
          <cell r="F90">
            <v>-21633.33</v>
          </cell>
          <cell r="G90">
            <v>0</v>
          </cell>
          <cell r="H90">
            <v>-21633.33</v>
          </cell>
        </row>
        <row r="91">
          <cell r="A91" t="str">
            <v>020-28-010</v>
          </cell>
          <cell r="B91" t="str">
            <v>M/VEHICLES DEPRECIATION-H/OFFICE</v>
          </cell>
          <cell r="C91">
            <v>-758333.34</v>
          </cell>
          <cell r="D91">
            <v>-37916.67</v>
          </cell>
          <cell r="E91">
            <v>-796250.01</v>
          </cell>
          <cell r="F91">
            <v>-796250.01</v>
          </cell>
          <cell r="G91">
            <v>0</v>
          </cell>
          <cell r="H91">
            <v>-796250.01</v>
          </cell>
        </row>
        <row r="92">
          <cell r="A92" t="str">
            <v>020-28-020</v>
          </cell>
          <cell r="B92" t="str">
            <v>M/VEHICLES DEPRECIATION LIFE MARKETING</v>
          </cell>
          <cell r="C92">
            <v>-2900497.3</v>
          </cell>
          <cell r="D92">
            <v>-61712.7</v>
          </cell>
          <cell r="E92">
            <v>-2962210</v>
          </cell>
          <cell r="F92">
            <v>-2962210</v>
          </cell>
          <cell r="G92">
            <v>0</v>
          </cell>
          <cell r="H92">
            <v>-2962210</v>
          </cell>
        </row>
        <row r="93">
          <cell r="A93" t="str">
            <v>020-30-010</v>
          </cell>
          <cell r="B93" t="str">
            <v>AMBALAL HOUSE PHASE 1</v>
          </cell>
          <cell r="C93">
            <v>250000000</v>
          </cell>
          <cell r="D93">
            <v>0</v>
          </cell>
          <cell r="E93">
            <v>250000000</v>
          </cell>
          <cell r="F93">
            <v>250000000</v>
          </cell>
          <cell r="G93">
            <v>0</v>
          </cell>
          <cell r="H93">
            <v>250000000</v>
          </cell>
        </row>
        <row r="94">
          <cell r="A94" t="str">
            <v>020-30-020</v>
          </cell>
          <cell r="B94" t="str">
            <v>AMBALAL HOUSE PHASE 2</v>
          </cell>
          <cell r="C94">
            <v>0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</row>
        <row r="95">
          <cell r="A95" t="str">
            <v>020-30-030</v>
          </cell>
          <cell r="B95" t="str">
            <v>RUNDA PLOT</v>
          </cell>
          <cell r="C95">
            <v>2265600</v>
          </cell>
          <cell r="D95">
            <v>234400</v>
          </cell>
          <cell r="E95">
            <v>2500000</v>
          </cell>
          <cell r="F95">
            <v>2500000</v>
          </cell>
          <cell r="G95">
            <v>0</v>
          </cell>
          <cell r="H95">
            <v>2500000</v>
          </cell>
        </row>
        <row r="96">
          <cell r="A96" t="str">
            <v>020-30-040</v>
          </cell>
          <cell r="B96" t="str">
            <v>PAN AFRICA HOUSE NAIROBI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</row>
        <row r="97">
          <cell r="A97" t="str">
            <v>020-30-050</v>
          </cell>
          <cell r="B97" t="str">
            <v>PAN AFRICA INS.ARCADE PETROL STATION</v>
          </cell>
          <cell r="C97">
            <v>22500000</v>
          </cell>
          <cell r="D97">
            <v>0</v>
          </cell>
          <cell r="E97">
            <v>22500000</v>
          </cell>
          <cell r="F97">
            <v>22500000</v>
          </cell>
          <cell r="G97">
            <v>0</v>
          </cell>
          <cell r="H97">
            <v>22500000</v>
          </cell>
        </row>
        <row r="98">
          <cell r="A98" t="str">
            <v>020-30-060</v>
          </cell>
          <cell r="B98" t="str">
            <v>RESIDENTIAL HOUSE (LORESHO)</v>
          </cell>
          <cell r="C98">
            <v>0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</row>
        <row r="99">
          <cell r="A99" t="str">
            <v>020-30-070</v>
          </cell>
          <cell r="B99" t="str">
            <v>RESIDENTIAL HOUSE (RETREAT VILLAS)</v>
          </cell>
          <cell r="C99">
            <v>0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</row>
        <row r="100">
          <cell r="A100" t="str">
            <v>020-40-010</v>
          </cell>
          <cell r="B100" t="str">
            <v>TREASURY BILLS</v>
          </cell>
          <cell r="C100">
            <v>43500000</v>
          </cell>
          <cell r="D100">
            <v>-30000000</v>
          </cell>
          <cell r="E100">
            <v>13500000</v>
          </cell>
          <cell r="F100">
            <v>13500000</v>
          </cell>
          <cell r="G100">
            <v>0</v>
          </cell>
          <cell r="H100">
            <v>13500000</v>
          </cell>
        </row>
        <row r="101">
          <cell r="A101" t="str">
            <v>020-40-030</v>
          </cell>
          <cell r="B101" t="str">
            <v>PREMIUMS ON BONDS</v>
          </cell>
          <cell r="C101">
            <v>10544475.6</v>
          </cell>
          <cell r="D101">
            <v>-1469473.29</v>
          </cell>
          <cell r="E101">
            <v>9075002.3100000005</v>
          </cell>
          <cell r="F101">
            <v>9075002.3100000005</v>
          </cell>
          <cell r="G101">
            <v>0</v>
          </cell>
          <cell r="H101">
            <v>9075002.3100000005</v>
          </cell>
        </row>
        <row r="102">
          <cell r="A102" t="str">
            <v>020-40-040</v>
          </cell>
          <cell r="B102" t="str">
            <v>TREASURY BONDS</v>
          </cell>
          <cell r="C102">
            <v>384500000</v>
          </cell>
          <cell r="D102">
            <v>-3850000</v>
          </cell>
          <cell r="E102">
            <v>380650000</v>
          </cell>
          <cell r="F102">
            <v>380650000</v>
          </cell>
          <cell r="G102">
            <v>0</v>
          </cell>
          <cell r="H102">
            <v>380650000</v>
          </cell>
        </row>
        <row r="103">
          <cell r="A103" t="str">
            <v>020-45-010</v>
          </cell>
          <cell r="B103" t="str">
            <v>TREASURY BILLS</v>
          </cell>
          <cell r="C103">
            <v>7200000</v>
          </cell>
          <cell r="D103">
            <v>-4200000</v>
          </cell>
          <cell r="E103">
            <v>3000000</v>
          </cell>
          <cell r="F103">
            <v>3000000</v>
          </cell>
          <cell r="G103">
            <v>0</v>
          </cell>
          <cell r="H103">
            <v>3000000</v>
          </cell>
        </row>
        <row r="104">
          <cell r="A104" t="str">
            <v>020-45-015</v>
          </cell>
          <cell r="B104" t="str">
            <v>TREASURY BOND</v>
          </cell>
          <cell r="C104">
            <v>16877532.699999999</v>
          </cell>
          <cell r="D104">
            <v>522467.3</v>
          </cell>
          <cell r="E104">
            <v>17400000</v>
          </cell>
          <cell r="F104">
            <v>17400000</v>
          </cell>
          <cell r="G104">
            <v>0</v>
          </cell>
          <cell r="H104">
            <v>17400000</v>
          </cell>
        </row>
        <row r="105">
          <cell r="A105" t="str">
            <v>020-45-020</v>
          </cell>
          <cell r="B105" t="str">
            <v>PREMIUMS ON BONDS</v>
          </cell>
          <cell r="C105">
            <v>61030</v>
          </cell>
          <cell r="D105">
            <v>1952861.55</v>
          </cell>
          <cell r="E105">
            <v>2013891.55</v>
          </cell>
          <cell r="F105">
            <v>2013891.55</v>
          </cell>
          <cell r="G105">
            <v>0</v>
          </cell>
          <cell r="H105">
            <v>2013891.55</v>
          </cell>
        </row>
        <row r="106">
          <cell r="A106" t="str">
            <v>020-50-010</v>
          </cell>
          <cell r="B106" t="str">
            <v>BROOKE BOND LEIGBIG</v>
          </cell>
          <cell r="C106">
            <v>295372</v>
          </cell>
          <cell r="D106">
            <v>-10780</v>
          </cell>
          <cell r="E106">
            <v>284592</v>
          </cell>
          <cell r="F106">
            <v>284592</v>
          </cell>
          <cell r="G106">
            <v>0</v>
          </cell>
          <cell r="H106">
            <v>284592</v>
          </cell>
        </row>
        <row r="107">
          <cell r="A107" t="str">
            <v>020-50-020</v>
          </cell>
          <cell r="B107" t="str">
            <v>CREDIT FINANCE CORPORATION</v>
          </cell>
          <cell r="C107">
            <v>0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</row>
        <row r="108">
          <cell r="A108" t="str">
            <v>020-50-030</v>
          </cell>
          <cell r="B108" t="str">
            <v>LIMURU TEA CO.LTD.</v>
          </cell>
          <cell r="C108">
            <v>319680</v>
          </cell>
          <cell r="D108">
            <v>0</v>
          </cell>
          <cell r="E108">
            <v>319680</v>
          </cell>
          <cell r="F108">
            <v>319680</v>
          </cell>
          <cell r="G108">
            <v>0</v>
          </cell>
          <cell r="H108">
            <v>319680</v>
          </cell>
        </row>
        <row r="109">
          <cell r="A109" t="str">
            <v>020-50-040</v>
          </cell>
          <cell r="B109" t="str">
            <v>SASINI TEA &amp; COFFEE LTD.</v>
          </cell>
          <cell r="C109">
            <v>2025000</v>
          </cell>
          <cell r="D109">
            <v>0</v>
          </cell>
          <cell r="E109">
            <v>2025000</v>
          </cell>
          <cell r="F109">
            <v>2025000</v>
          </cell>
          <cell r="G109">
            <v>0</v>
          </cell>
          <cell r="H109">
            <v>2025000</v>
          </cell>
        </row>
        <row r="110">
          <cell r="A110" t="str">
            <v>020-50-050</v>
          </cell>
          <cell r="B110" t="str">
            <v>E.A. BREWERIES</v>
          </cell>
          <cell r="C110">
            <v>94492864</v>
          </cell>
          <cell r="D110">
            <v>-2998864</v>
          </cell>
          <cell r="E110">
            <v>91494000</v>
          </cell>
          <cell r="F110">
            <v>91494000</v>
          </cell>
          <cell r="G110">
            <v>0</v>
          </cell>
          <cell r="H110">
            <v>91494000</v>
          </cell>
        </row>
        <row r="111">
          <cell r="A111" t="str">
            <v>020-50-060</v>
          </cell>
          <cell r="B111" t="str">
            <v>UNGA GROUP LTD</v>
          </cell>
          <cell r="C111">
            <v>3666637.5</v>
          </cell>
          <cell r="D111">
            <v>-254220.2</v>
          </cell>
          <cell r="E111">
            <v>3412417.3</v>
          </cell>
          <cell r="F111">
            <v>3412417.3</v>
          </cell>
          <cell r="G111">
            <v>0</v>
          </cell>
          <cell r="H111">
            <v>3412417.3</v>
          </cell>
        </row>
        <row r="112">
          <cell r="A112" t="str">
            <v>020-50-070</v>
          </cell>
          <cell r="B112" t="str">
            <v>NATIONAL IND. CREDIT BANK</v>
          </cell>
          <cell r="C112">
            <v>10093363</v>
          </cell>
          <cell r="D112">
            <v>-720954.5</v>
          </cell>
          <cell r="E112">
            <v>9372408.5</v>
          </cell>
          <cell r="F112">
            <v>9372408.5</v>
          </cell>
          <cell r="G112">
            <v>0</v>
          </cell>
          <cell r="H112">
            <v>9372408.5</v>
          </cell>
        </row>
        <row r="113">
          <cell r="A113" t="str">
            <v>020-50-080</v>
          </cell>
          <cell r="B113" t="str">
            <v>BRITISH AMERICAN TOBACCO</v>
          </cell>
          <cell r="C113">
            <v>33262500</v>
          </cell>
          <cell r="D113">
            <v>3994740</v>
          </cell>
          <cell r="E113">
            <v>37257240</v>
          </cell>
          <cell r="F113">
            <v>37257240</v>
          </cell>
          <cell r="G113">
            <v>0</v>
          </cell>
          <cell r="H113">
            <v>37257240</v>
          </cell>
        </row>
        <row r="114">
          <cell r="A114" t="str">
            <v>020-50-090</v>
          </cell>
          <cell r="B114" t="str">
            <v>UCHUMI SUPERMARKETS</v>
          </cell>
          <cell r="C114">
            <v>2371750</v>
          </cell>
          <cell r="D114">
            <v>134250</v>
          </cell>
          <cell r="E114">
            <v>2506000</v>
          </cell>
          <cell r="F114">
            <v>2506000</v>
          </cell>
          <cell r="G114">
            <v>0</v>
          </cell>
          <cell r="H114">
            <v>2506000</v>
          </cell>
        </row>
        <row r="115">
          <cell r="A115" t="str">
            <v>020-50-095</v>
          </cell>
          <cell r="B115" t="str">
            <v>KENYA OIL COMPANY LTD</v>
          </cell>
          <cell r="C115">
            <v>3493456</v>
          </cell>
          <cell r="D115">
            <v>-73456</v>
          </cell>
          <cell r="E115">
            <v>3420000</v>
          </cell>
          <cell r="F115">
            <v>3420000</v>
          </cell>
          <cell r="G115">
            <v>0</v>
          </cell>
          <cell r="H115">
            <v>3420000</v>
          </cell>
        </row>
        <row r="116">
          <cell r="A116" t="str">
            <v>020-50-100</v>
          </cell>
          <cell r="B116" t="str">
            <v>FIRESTONE EAST AFRICA</v>
          </cell>
          <cell r="C116">
            <v>6033177</v>
          </cell>
          <cell r="D116">
            <v>-1868177</v>
          </cell>
          <cell r="E116">
            <v>4165000</v>
          </cell>
          <cell r="F116">
            <v>4165000</v>
          </cell>
          <cell r="G116">
            <v>0</v>
          </cell>
          <cell r="H116">
            <v>4165000</v>
          </cell>
        </row>
        <row r="117">
          <cell r="A117" t="str">
            <v>020-50-120</v>
          </cell>
          <cell r="B117" t="str">
            <v>BARCLAYS BANK KENYA LTD</v>
          </cell>
          <cell r="C117">
            <v>10121351</v>
          </cell>
          <cell r="D117">
            <v>-978511</v>
          </cell>
          <cell r="E117">
            <v>9142840</v>
          </cell>
          <cell r="F117">
            <v>9142840</v>
          </cell>
          <cell r="G117">
            <v>0</v>
          </cell>
          <cell r="H117">
            <v>9142840</v>
          </cell>
        </row>
        <row r="118">
          <cell r="A118" t="str">
            <v>020-50-125</v>
          </cell>
          <cell r="B118" t="str">
            <v>EAST AFRICA PORTLAND CEMENT</v>
          </cell>
          <cell r="C118">
            <v>2982400</v>
          </cell>
          <cell r="D118">
            <v>-279600</v>
          </cell>
          <cell r="E118">
            <v>2702800</v>
          </cell>
          <cell r="F118">
            <v>2702800</v>
          </cell>
          <cell r="G118">
            <v>0</v>
          </cell>
          <cell r="H118">
            <v>2702800</v>
          </cell>
        </row>
        <row r="119">
          <cell r="A119" t="str">
            <v>020-50-130</v>
          </cell>
          <cell r="B119" t="str">
            <v>NATION MEDIA GROUP LTD</v>
          </cell>
          <cell r="C119">
            <v>2073259</v>
          </cell>
          <cell r="D119">
            <v>-545259</v>
          </cell>
          <cell r="E119">
            <v>1528000</v>
          </cell>
          <cell r="F119">
            <v>1528000</v>
          </cell>
          <cell r="G119">
            <v>0</v>
          </cell>
          <cell r="H119">
            <v>1528000</v>
          </cell>
        </row>
        <row r="120">
          <cell r="A120" t="str">
            <v>020-50-135</v>
          </cell>
          <cell r="B120" t="str">
            <v>ICDC INVESTMENTS SHARES LTD</v>
          </cell>
          <cell r="C120">
            <v>-172949</v>
          </cell>
          <cell r="D120">
            <v>585857</v>
          </cell>
          <cell r="E120">
            <v>412908</v>
          </cell>
          <cell r="F120">
            <v>412908</v>
          </cell>
          <cell r="G120">
            <v>0</v>
          </cell>
          <cell r="H120">
            <v>412908</v>
          </cell>
        </row>
        <row r="121">
          <cell r="A121" t="str">
            <v>020-50-140</v>
          </cell>
          <cell r="B121" t="str">
            <v>KENYA COMMERCIAL BANK LTD</v>
          </cell>
          <cell r="C121">
            <v>2352448</v>
          </cell>
          <cell r="D121">
            <v>340640</v>
          </cell>
          <cell r="E121">
            <v>2693088</v>
          </cell>
          <cell r="F121">
            <v>2693088</v>
          </cell>
          <cell r="G121">
            <v>0</v>
          </cell>
          <cell r="H121">
            <v>2693088</v>
          </cell>
        </row>
        <row r="122">
          <cell r="A122" t="str">
            <v>020-50-145</v>
          </cell>
          <cell r="B122" t="str">
            <v>TOTAL KENYA LTD</v>
          </cell>
          <cell r="C122">
            <v>0</v>
          </cell>
          <cell r="D122">
            <v>397500</v>
          </cell>
          <cell r="E122">
            <v>397500</v>
          </cell>
          <cell r="F122">
            <v>397500</v>
          </cell>
          <cell r="G122">
            <v>0</v>
          </cell>
          <cell r="H122">
            <v>397500</v>
          </cell>
        </row>
        <row r="123">
          <cell r="A123" t="str">
            <v>020-55-010</v>
          </cell>
          <cell r="B123" t="str">
            <v>NATION MEDIA GROUP LTD</v>
          </cell>
          <cell r="C123">
            <v>190000</v>
          </cell>
          <cell r="D123">
            <v>1000</v>
          </cell>
          <cell r="E123">
            <v>191000</v>
          </cell>
          <cell r="F123">
            <v>191000</v>
          </cell>
          <cell r="G123">
            <v>0</v>
          </cell>
          <cell r="H123">
            <v>191000</v>
          </cell>
        </row>
        <row r="124">
          <cell r="A124" t="str">
            <v>020-55-015</v>
          </cell>
          <cell r="B124" t="str">
            <v>ICDC INVESTMENTS LTD</v>
          </cell>
          <cell r="C124">
            <v>105000</v>
          </cell>
          <cell r="D124">
            <v>9000</v>
          </cell>
          <cell r="E124">
            <v>114000</v>
          </cell>
          <cell r="F124">
            <v>114000</v>
          </cell>
          <cell r="G124">
            <v>0</v>
          </cell>
          <cell r="H124">
            <v>114000</v>
          </cell>
        </row>
        <row r="125">
          <cell r="A125" t="str">
            <v>020-55-020</v>
          </cell>
          <cell r="B125" t="str">
            <v>E.A. PORTLAND CEMENT LTD</v>
          </cell>
          <cell r="C125">
            <v>89600</v>
          </cell>
          <cell r="D125">
            <v>-8400</v>
          </cell>
          <cell r="E125">
            <v>81200</v>
          </cell>
          <cell r="F125">
            <v>81200</v>
          </cell>
          <cell r="G125">
            <v>0</v>
          </cell>
          <cell r="H125">
            <v>81200</v>
          </cell>
        </row>
        <row r="126">
          <cell r="A126" t="str">
            <v>020-55-025</v>
          </cell>
          <cell r="B126" t="str">
            <v>BAT (K) LTD</v>
          </cell>
          <cell r="C126">
            <v>918580</v>
          </cell>
          <cell r="D126">
            <v>56528</v>
          </cell>
          <cell r="E126">
            <v>975108</v>
          </cell>
          <cell r="F126">
            <v>975108</v>
          </cell>
          <cell r="G126">
            <v>0</v>
          </cell>
          <cell r="H126">
            <v>975108</v>
          </cell>
        </row>
        <row r="127">
          <cell r="A127" t="str">
            <v>020-55-030</v>
          </cell>
          <cell r="B127" t="str">
            <v>BARCLAYS BANK OF KENYA LTD</v>
          </cell>
          <cell r="C127">
            <v>1188951</v>
          </cell>
          <cell r="D127">
            <v>57889</v>
          </cell>
          <cell r="E127">
            <v>1246840</v>
          </cell>
          <cell r="F127">
            <v>1246840</v>
          </cell>
          <cell r="G127">
            <v>0</v>
          </cell>
          <cell r="H127">
            <v>1246840</v>
          </cell>
        </row>
        <row r="128">
          <cell r="A128" t="str">
            <v>020-55-035</v>
          </cell>
          <cell r="B128" t="str">
            <v>FIRESTONE EA LTD</v>
          </cell>
          <cell r="C128">
            <v>67200</v>
          </cell>
          <cell r="D128">
            <v>-560</v>
          </cell>
          <cell r="E128">
            <v>66640</v>
          </cell>
          <cell r="F128">
            <v>66640</v>
          </cell>
          <cell r="G128">
            <v>0</v>
          </cell>
          <cell r="H128">
            <v>66640</v>
          </cell>
        </row>
        <row r="129">
          <cell r="A129" t="str">
            <v>020-55-040</v>
          </cell>
          <cell r="B129" t="str">
            <v>KENYA COMMERCIAL BANK LTD</v>
          </cell>
          <cell r="C129">
            <v>143922</v>
          </cell>
          <cell r="D129">
            <v>1878</v>
          </cell>
          <cell r="E129">
            <v>145800</v>
          </cell>
          <cell r="F129">
            <v>145800</v>
          </cell>
          <cell r="G129">
            <v>0</v>
          </cell>
          <cell r="H129">
            <v>145800</v>
          </cell>
        </row>
        <row r="130">
          <cell r="A130" t="str">
            <v>020-55-045</v>
          </cell>
          <cell r="B130" t="str">
            <v>KENYA AIRWAYS</v>
          </cell>
          <cell r="C130">
            <v>71820</v>
          </cell>
          <cell r="D130">
            <v>840</v>
          </cell>
          <cell r="E130">
            <v>72660</v>
          </cell>
          <cell r="F130">
            <v>72660</v>
          </cell>
          <cell r="G130">
            <v>0</v>
          </cell>
          <cell r="H130">
            <v>72660</v>
          </cell>
        </row>
        <row r="131">
          <cell r="A131" t="str">
            <v>020-55-050</v>
          </cell>
          <cell r="B131" t="str">
            <v>TOTAL KENYA LTD</v>
          </cell>
          <cell r="C131">
            <v>0</v>
          </cell>
          <cell r="D131">
            <v>174900</v>
          </cell>
          <cell r="E131">
            <v>174900</v>
          </cell>
          <cell r="F131">
            <v>174900</v>
          </cell>
          <cell r="G131">
            <v>0</v>
          </cell>
          <cell r="H131">
            <v>174900</v>
          </cell>
        </row>
        <row r="132">
          <cell r="A132" t="str">
            <v>020-60-010</v>
          </cell>
          <cell r="B132" t="str">
            <v>LOAN ON MORTGAGE THIRD PARTY</v>
          </cell>
          <cell r="C132">
            <v>13906734.619999999</v>
          </cell>
          <cell r="D132">
            <v>-9349.2199999999993</v>
          </cell>
          <cell r="E132">
            <v>13897385.4</v>
          </cell>
          <cell r="F132">
            <v>13897385.4</v>
          </cell>
          <cell r="G132">
            <v>0</v>
          </cell>
          <cell r="H132">
            <v>13897385.4</v>
          </cell>
        </row>
        <row r="133">
          <cell r="A133" t="str">
            <v>020-60-020</v>
          </cell>
          <cell r="B133" t="str">
            <v>LOAN ON MORTGAGE SHAREHOLDERS</v>
          </cell>
          <cell r="C133">
            <v>0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</row>
        <row r="134">
          <cell r="A134" t="str">
            <v>020-60-030</v>
          </cell>
          <cell r="B134" t="str">
            <v>LOAN ON MORTGAGE STAFF</v>
          </cell>
          <cell r="C134">
            <v>41885066.560000002</v>
          </cell>
          <cell r="D134">
            <v>-210953.05</v>
          </cell>
          <cell r="E134">
            <v>41674113.509999998</v>
          </cell>
          <cell r="F134">
            <v>41674113.509999998</v>
          </cell>
          <cell r="G134">
            <v>0</v>
          </cell>
          <cell r="H134">
            <v>41674113.509999998</v>
          </cell>
        </row>
        <row r="135">
          <cell r="A135" t="str">
            <v>020-70-010</v>
          </cell>
          <cell r="B135" t="str">
            <v>LOAN ON POLICY W/S/V</v>
          </cell>
          <cell r="C135">
            <v>60851902.659999996</v>
          </cell>
          <cell r="D135">
            <v>860336.2</v>
          </cell>
          <cell r="E135">
            <v>61712238.859999999</v>
          </cell>
          <cell r="F135">
            <v>61712238.859999999</v>
          </cell>
          <cell r="G135">
            <v>0</v>
          </cell>
          <cell r="H135">
            <v>61712238.859999999</v>
          </cell>
        </row>
        <row r="136">
          <cell r="A136" t="str">
            <v>020-70-020</v>
          </cell>
          <cell r="B136" t="str">
            <v>LOAN ON POLICY -TANZANIA</v>
          </cell>
          <cell r="C136">
            <v>106294.2</v>
          </cell>
          <cell r="D136">
            <v>-382</v>
          </cell>
          <cell r="E136">
            <v>105912.2</v>
          </cell>
          <cell r="F136">
            <v>105912.2</v>
          </cell>
          <cell r="G136">
            <v>0</v>
          </cell>
          <cell r="H136">
            <v>105912.2</v>
          </cell>
        </row>
        <row r="137">
          <cell r="A137" t="str">
            <v>020-70-030</v>
          </cell>
          <cell r="B137" t="str">
            <v>LOAN ON POLICY REPAYMENT</v>
          </cell>
          <cell r="C137">
            <v>3886.5</v>
          </cell>
          <cell r="D137">
            <v>-225308.34</v>
          </cell>
          <cell r="E137">
            <v>-221421.84</v>
          </cell>
          <cell r="F137">
            <v>-221421.84</v>
          </cell>
          <cell r="G137">
            <v>0</v>
          </cell>
          <cell r="H137">
            <v>-221421.84</v>
          </cell>
        </row>
        <row r="138">
          <cell r="A138" t="str">
            <v>020-70-040</v>
          </cell>
          <cell r="B138" t="str">
            <v>O/S INTEREST ON LOAN ON POLICY</v>
          </cell>
          <cell r="C138">
            <v>13597778.16</v>
          </cell>
          <cell r="D138">
            <v>-437228.86</v>
          </cell>
          <cell r="E138">
            <v>13160549.300000001</v>
          </cell>
          <cell r="F138">
            <v>13160549.300000001</v>
          </cell>
          <cell r="G138">
            <v>0</v>
          </cell>
          <cell r="H138">
            <v>13160549.300000001</v>
          </cell>
        </row>
        <row r="139">
          <cell r="A139" t="str">
            <v>020-70-050</v>
          </cell>
          <cell r="B139" t="str">
            <v>PROVISION FOR DOUBTFUL LOAN BALANCES</v>
          </cell>
          <cell r="C139">
            <v>-855768.31</v>
          </cell>
          <cell r="D139">
            <v>-4878</v>
          </cell>
          <cell r="E139">
            <v>-860646.31</v>
          </cell>
          <cell r="F139">
            <v>-860646.31</v>
          </cell>
          <cell r="G139">
            <v>0</v>
          </cell>
          <cell r="H139">
            <v>-860646.31</v>
          </cell>
        </row>
        <row r="140">
          <cell r="A140" t="str">
            <v>030-10-010</v>
          </cell>
          <cell r="B140" t="str">
            <v>BANK OF BARODA</v>
          </cell>
          <cell r="C140">
            <v>37916.400000000001</v>
          </cell>
          <cell r="D140">
            <v>4790.3500000000004</v>
          </cell>
          <cell r="E140">
            <v>42706.75</v>
          </cell>
          <cell r="F140">
            <v>42706.75</v>
          </cell>
          <cell r="G140">
            <v>0</v>
          </cell>
          <cell r="H140">
            <v>42706.75</v>
          </cell>
        </row>
        <row r="141">
          <cell r="A141" t="str">
            <v>030-10-020</v>
          </cell>
          <cell r="B141" t="str">
            <v>CREDIT AGRICOLE INDOSUEZ</v>
          </cell>
          <cell r="C141">
            <v>452916.16</v>
          </cell>
          <cell r="D141">
            <v>-600</v>
          </cell>
          <cell r="E141">
            <v>452316.15999999997</v>
          </cell>
          <cell r="F141">
            <v>452316.15999999997</v>
          </cell>
          <cell r="G141">
            <v>0</v>
          </cell>
          <cell r="H141">
            <v>452316.15999999997</v>
          </cell>
        </row>
        <row r="142">
          <cell r="A142" t="str">
            <v>030-10-030</v>
          </cell>
          <cell r="B142" t="str">
            <v>CBA WABERA STREET</v>
          </cell>
          <cell r="C142">
            <v>7167394.4900000002</v>
          </cell>
          <cell r="D142">
            <v>-4030222.41</v>
          </cell>
          <cell r="E142">
            <v>3137172.08</v>
          </cell>
          <cell r="F142">
            <v>3137172.08</v>
          </cell>
          <cell r="G142">
            <v>0</v>
          </cell>
          <cell r="H142">
            <v>3137172.08</v>
          </cell>
        </row>
        <row r="143">
          <cell r="A143" t="str">
            <v>030-10-040</v>
          </cell>
          <cell r="B143" t="str">
            <v>BBK-MSA (16-1396-834</v>
          </cell>
          <cell r="C143">
            <v>1012264.45</v>
          </cell>
          <cell r="D143">
            <v>457547.4</v>
          </cell>
          <cell r="E143">
            <v>1469811.85</v>
          </cell>
          <cell r="F143">
            <v>1469811.85</v>
          </cell>
          <cell r="G143">
            <v>0</v>
          </cell>
          <cell r="H143">
            <v>1469811.85</v>
          </cell>
        </row>
        <row r="144">
          <cell r="A144" t="str">
            <v>030-10-050</v>
          </cell>
          <cell r="B144" t="str">
            <v>SCB COLLECTION A/C (0104021198701)</v>
          </cell>
          <cell r="C144">
            <v>170756</v>
          </cell>
          <cell r="D144">
            <v>77384</v>
          </cell>
          <cell r="E144">
            <v>248140</v>
          </cell>
          <cell r="F144">
            <v>248140</v>
          </cell>
          <cell r="G144">
            <v>0</v>
          </cell>
          <cell r="H144">
            <v>248140</v>
          </cell>
        </row>
        <row r="145">
          <cell r="A145" t="str">
            <v>030-10-060</v>
          </cell>
          <cell r="B145" t="str">
            <v>CO-OP UKULIMA BRANCH</v>
          </cell>
          <cell r="C145">
            <v>1374231</v>
          </cell>
          <cell r="D145">
            <v>-948828</v>
          </cell>
          <cell r="E145">
            <v>425403</v>
          </cell>
          <cell r="F145">
            <v>425403</v>
          </cell>
          <cell r="G145">
            <v>0</v>
          </cell>
          <cell r="H145">
            <v>425403</v>
          </cell>
        </row>
        <row r="146">
          <cell r="A146" t="str">
            <v>030-10-080</v>
          </cell>
          <cell r="B146" t="str">
            <v>BBK MERU</v>
          </cell>
          <cell r="C146">
            <v>-15402.8</v>
          </cell>
          <cell r="D146">
            <v>117573.15</v>
          </cell>
          <cell r="E146">
            <v>102170.35</v>
          </cell>
          <cell r="F146">
            <v>102170.35</v>
          </cell>
          <cell r="G146">
            <v>0</v>
          </cell>
          <cell r="H146">
            <v>102170.35</v>
          </cell>
        </row>
        <row r="147">
          <cell r="A147" t="str">
            <v>030-10-090</v>
          </cell>
          <cell r="B147" t="str">
            <v>BBK NYERI</v>
          </cell>
          <cell r="C147">
            <v>199986.35</v>
          </cell>
          <cell r="D147">
            <v>-9316.65</v>
          </cell>
          <cell r="E147">
            <v>190669.7</v>
          </cell>
          <cell r="F147">
            <v>190669.7</v>
          </cell>
          <cell r="G147">
            <v>0</v>
          </cell>
          <cell r="H147">
            <v>190669.7</v>
          </cell>
        </row>
        <row r="148">
          <cell r="A148" t="str">
            <v>030-10-100</v>
          </cell>
          <cell r="B148" t="str">
            <v>BBK NBI (5776890)</v>
          </cell>
          <cell r="C148">
            <v>-68067.100000000006</v>
          </cell>
          <cell r="D148">
            <v>237901.5</v>
          </cell>
          <cell r="E148">
            <v>169834.39999999851</v>
          </cell>
          <cell r="F148">
            <v>169834.4</v>
          </cell>
          <cell r="G148">
            <v>0</v>
          </cell>
          <cell r="H148">
            <v>169834.4</v>
          </cell>
        </row>
        <row r="149">
          <cell r="A149" t="str">
            <v>030-10-110</v>
          </cell>
          <cell r="B149" t="str">
            <v>BBK KAKAMEGA</v>
          </cell>
          <cell r="C149">
            <v>0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</row>
        <row r="150">
          <cell r="A150" t="str">
            <v>030-10-120</v>
          </cell>
          <cell r="B150" t="str">
            <v>BBK NBI (5776688)</v>
          </cell>
          <cell r="C150">
            <v>-7523040.8600000003</v>
          </cell>
          <cell r="D150">
            <v>5415709.5399999991</v>
          </cell>
          <cell r="E150">
            <v>-2107331.3200000077</v>
          </cell>
          <cell r="F150">
            <v>-2107331.3199999998</v>
          </cell>
          <cell r="G150">
            <v>0</v>
          </cell>
          <cell r="H150">
            <v>-2107331.3199999998</v>
          </cell>
        </row>
        <row r="151">
          <cell r="A151" t="str">
            <v>030-10-140</v>
          </cell>
          <cell r="B151" t="str">
            <v>BBK KISII</v>
          </cell>
          <cell r="C151">
            <v>179139.8</v>
          </cell>
          <cell r="D151">
            <v>239846.39999999999</v>
          </cell>
          <cell r="E151">
            <v>418986.2</v>
          </cell>
          <cell r="F151">
            <v>418986.2</v>
          </cell>
          <cell r="G151">
            <v>0</v>
          </cell>
          <cell r="H151">
            <v>418986.2</v>
          </cell>
        </row>
        <row r="152">
          <cell r="A152" t="str">
            <v>030-10-150</v>
          </cell>
          <cell r="B152" t="str">
            <v>BBK KISUMU</v>
          </cell>
          <cell r="C152">
            <v>152391.95000000001</v>
          </cell>
          <cell r="D152">
            <v>-20141.150000000001</v>
          </cell>
          <cell r="E152">
            <v>132250.79999999999</v>
          </cell>
          <cell r="F152">
            <v>132250.79999999999</v>
          </cell>
          <cell r="G152">
            <v>0</v>
          </cell>
          <cell r="H152">
            <v>132250.79999999999</v>
          </cell>
        </row>
        <row r="153">
          <cell r="A153" t="str">
            <v>030-10-160</v>
          </cell>
          <cell r="B153" t="str">
            <v>BBK NAKURU</v>
          </cell>
          <cell r="C153">
            <v>558802.5</v>
          </cell>
          <cell r="D153">
            <v>-547726.35</v>
          </cell>
          <cell r="E153">
            <v>11076.15</v>
          </cell>
          <cell r="F153">
            <v>11076.15</v>
          </cell>
          <cell r="G153">
            <v>0</v>
          </cell>
          <cell r="H153">
            <v>11076.15</v>
          </cell>
        </row>
        <row r="154">
          <cell r="A154" t="str">
            <v>030-10-170</v>
          </cell>
          <cell r="B154" t="str">
            <v>BBK ELDORET</v>
          </cell>
          <cell r="C154">
            <v>391780.8</v>
          </cell>
          <cell r="D154">
            <v>-132603.54999999999</v>
          </cell>
          <cell r="E154">
            <v>259177.25</v>
          </cell>
          <cell r="F154">
            <v>259177.25</v>
          </cell>
          <cell r="G154">
            <v>0</v>
          </cell>
          <cell r="H154">
            <v>259177.25</v>
          </cell>
        </row>
        <row r="155">
          <cell r="A155" t="str">
            <v>030-10-180</v>
          </cell>
          <cell r="B155" t="str">
            <v>BBK CHUKA</v>
          </cell>
          <cell r="C155">
            <v>0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</row>
        <row r="156">
          <cell r="A156" t="str">
            <v>030-10-190</v>
          </cell>
          <cell r="B156" t="str">
            <v>BBK EMBU</v>
          </cell>
          <cell r="C156">
            <v>53992</v>
          </cell>
          <cell r="D156">
            <v>12127</v>
          </cell>
          <cell r="E156">
            <v>66119</v>
          </cell>
          <cell r="F156">
            <v>66119</v>
          </cell>
          <cell r="G156">
            <v>0</v>
          </cell>
          <cell r="H156">
            <v>66119</v>
          </cell>
        </row>
        <row r="157">
          <cell r="A157" t="str">
            <v>030-10-200</v>
          </cell>
          <cell r="B157" t="str">
            <v>CO-OP CHUKA</v>
          </cell>
          <cell r="C157">
            <v>44295.3</v>
          </cell>
          <cell r="D157">
            <v>0</v>
          </cell>
          <cell r="E157">
            <v>44295.3</v>
          </cell>
          <cell r="F157">
            <v>44295.3</v>
          </cell>
          <cell r="G157">
            <v>0</v>
          </cell>
          <cell r="H157">
            <v>44295.3</v>
          </cell>
        </row>
        <row r="158">
          <cell r="A158" t="str">
            <v>030-10-210</v>
          </cell>
          <cell r="B158" t="str">
            <v>STANBIC NBI</v>
          </cell>
          <cell r="C158">
            <v>5083710.91</v>
          </cell>
          <cell r="D158">
            <v>-3886380.24</v>
          </cell>
          <cell r="E158">
            <v>1197330.67</v>
          </cell>
          <cell r="F158">
            <v>1197330.67</v>
          </cell>
          <cell r="G158">
            <v>0</v>
          </cell>
          <cell r="H158">
            <v>1197330.67</v>
          </cell>
        </row>
        <row r="159">
          <cell r="A159" t="str">
            <v>030-10-220</v>
          </cell>
          <cell r="B159" t="str">
            <v>HOLDCO</v>
          </cell>
          <cell r="C159">
            <v>0</v>
          </cell>
          <cell r="D159">
            <v>0</v>
          </cell>
          <cell r="E159">
            <v>0</v>
          </cell>
          <cell r="F159">
            <v>0</v>
          </cell>
          <cell r="G159">
            <v>0</v>
          </cell>
          <cell r="H159">
            <v>0</v>
          </cell>
        </row>
        <row r="160">
          <cell r="A160" t="str">
            <v>030-10-230</v>
          </cell>
          <cell r="B160" t="str">
            <v>GRATUITY US DOLLAR (101930505)</v>
          </cell>
          <cell r="C160">
            <v>3769802.43</v>
          </cell>
          <cell r="D160">
            <v>2763773.28</v>
          </cell>
          <cell r="E160">
            <v>6533575.71</v>
          </cell>
          <cell r="F160">
            <v>6533575.71</v>
          </cell>
          <cell r="G160">
            <v>0</v>
          </cell>
          <cell r="H160">
            <v>6533575.71</v>
          </cell>
        </row>
        <row r="161">
          <cell r="A161" t="str">
            <v>030-10-240</v>
          </cell>
          <cell r="B161" t="str">
            <v>BARCLAYS BANK THIKA</v>
          </cell>
          <cell r="C161">
            <v>540459.80000000005</v>
          </cell>
          <cell r="D161">
            <v>-476431.15</v>
          </cell>
          <cell r="E161">
            <v>64028.65</v>
          </cell>
          <cell r="F161">
            <v>64028.65</v>
          </cell>
          <cell r="G161">
            <v>0</v>
          </cell>
          <cell r="H161">
            <v>64028.65</v>
          </cell>
        </row>
        <row r="162">
          <cell r="A162" t="str">
            <v>030-10-250</v>
          </cell>
          <cell r="B162" t="str">
            <v>CBA USD ACCOUNT</v>
          </cell>
          <cell r="C162">
            <v>0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</row>
        <row r="163">
          <cell r="A163" t="str">
            <v>030-10-260</v>
          </cell>
          <cell r="B163" t="str">
            <v>BARCLAYS BANK B-A/C 5039027</v>
          </cell>
          <cell r="C163">
            <v>100000</v>
          </cell>
          <cell r="D163">
            <v>-1140</v>
          </cell>
          <cell r="E163">
            <v>98860</v>
          </cell>
          <cell r="F163">
            <v>98860</v>
          </cell>
          <cell r="G163">
            <v>0</v>
          </cell>
          <cell r="H163">
            <v>98860</v>
          </cell>
        </row>
        <row r="164">
          <cell r="A164" t="str">
            <v>030-10-270</v>
          </cell>
          <cell r="B164" t="str">
            <v>BARCLAYS BANK COLLECTIONS 5039051</v>
          </cell>
          <cell r="C164">
            <v>100000</v>
          </cell>
          <cell r="D164">
            <v>-1040</v>
          </cell>
          <cell r="E164">
            <v>98960</v>
          </cell>
          <cell r="F164">
            <v>98960</v>
          </cell>
          <cell r="G164">
            <v>0</v>
          </cell>
          <cell r="H164">
            <v>98960</v>
          </cell>
        </row>
        <row r="165">
          <cell r="A165" t="str">
            <v>030-10-280</v>
          </cell>
          <cell r="B165" t="str">
            <v>BARCLAYS BANK EXPENSES 5039035</v>
          </cell>
          <cell r="C165">
            <v>100000</v>
          </cell>
          <cell r="D165">
            <v>-1040</v>
          </cell>
          <cell r="E165">
            <v>98960</v>
          </cell>
          <cell r="F165">
            <v>98960</v>
          </cell>
          <cell r="G165">
            <v>0</v>
          </cell>
          <cell r="H165">
            <v>98960</v>
          </cell>
        </row>
        <row r="166">
          <cell r="A166" t="str">
            <v>030-20-010</v>
          </cell>
          <cell r="B166" t="str">
            <v>PETTY CASH HEADOFFICE</v>
          </cell>
          <cell r="C166">
            <v>20000</v>
          </cell>
          <cell r="D166">
            <v>0</v>
          </cell>
          <cell r="E166">
            <v>20000</v>
          </cell>
          <cell r="F166">
            <v>20000</v>
          </cell>
          <cell r="G166">
            <v>0</v>
          </cell>
          <cell r="H166">
            <v>20000</v>
          </cell>
        </row>
        <row r="167">
          <cell r="A167" t="str">
            <v>030-20-020</v>
          </cell>
          <cell r="B167" t="str">
            <v>PETTY CASH MOMBASA</v>
          </cell>
          <cell r="C167">
            <v>10000</v>
          </cell>
          <cell r="D167">
            <v>0</v>
          </cell>
          <cell r="E167">
            <v>10000</v>
          </cell>
          <cell r="F167">
            <v>10000</v>
          </cell>
          <cell r="G167">
            <v>0</v>
          </cell>
          <cell r="H167">
            <v>10000</v>
          </cell>
        </row>
        <row r="168">
          <cell r="A168" t="str">
            <v>030-20-030</v>
          </cell>
          <cell r="B168" t="str">
            <v>PETTY CASH MERU</v>
          </cell>
          <cell r="C168">
            <v>10000</v>
          </cell>
          <cell r="D168">
            <v>0</v>
          </cell>
          <cell r="E168">
            <v>10000</v>
          </cell>
          <cell r="F168">
            <v>10000</v>
          </cell>
          <cell r="G168">
            <v>0</v>
          </cell>
          <cell r="H168">
            <v>10000</v>
          </cell>
        </row>
        <row r="169">
          <cell r="A169" t="str">
            <v>030-20-040</v>
          </cell>
          <cell r="B169" t="str">
            <v>PETTY CASH NYERI</v>
          </cell>
          <cell r="C169">
            <v>15000</v>
          </cell>
          <cell r="D169">
            <v>0</v>
          </cell>
          <cell r="E169">
            <v>15000</v>
          </cell>
          <cell r="F169">
            <v>15000</v>
          </cell>
          <cell r="G169">
            <v>0</v>
          </cell>
          <cell r="H169">
            <v>15000</v>
          </cell>
        </row>
        <row r="170">
          <cell r="A170" t="str">
            <v>030-20-050</v>
          </cell>
          <cell r="B170" t="str">
            <v>PETTY CASH KISUMU</v>
          </cell>
          <cell r="C170">
            <v>10000</v>
          </cell>
          <cell r="D170">
            <v>0</v>
          </cell>
          <cell r="E170">
            <v>10000</v>
          </cell>
          <cell r="F170">
            <v>10000</v>
          </cell>
          <cell r="G170">
            <v>0</v>
          </cell>
          <cell r="H170">
            <v>10000</v>
          </cell>
        </row>
        <row r="171">
          <cell r="A171" t="str">
            <v>030-20-060</v>
          </cell>
          <cell r="B171" t="str">
            <v>PETTY CASH HURLINGHAM</v>
          </cell>
          <cell r="C171">
            <v>5615</v>
          </cell>
          <cell r="D171">
            <v>0</v>
          </cell>
          <cell r="E171">
            <v>5615</v>
          </cell>
          <cell r="F171">
            <v>5615</v>
          </cell>
          <cell r="G171">
            <v>0</v>
          </cell>
          <cell r="H171">
            <v>5615</v>
          </cell>
        </row>
        <row r="172">
          <cell r="A172" t="str">
            <v>030-20-070</v>
          </cell>
          <cell r="B172" t="str">
            <v>PETTY CASH ELDORET</v>
          </cell>
          <cell r="C172">
            <v>10000</v>
          </cell>
          <cell r="D172">
            <v>0</v>
          </cell>
          <cell r="E172">
            <v>10000</v>
          </cell>
          <cell r="F172">
            <v>10000</v>
          </cell>
          <cell r="G172">
            <v>0</v>
          </cell>
          <cell r="H172">
            <v>10000</v>
          </cell>
        </row>
        <row r="173">
          <cell r="A173" t="str">
            <v>030-20-080</v>
          </cell>
          <cell r="B173" t="str">
            <v>PETTY CASH KISII</v>
          </cell>
          <cell r="C173">
            <v>10000</v>
          </cell>
          <cell r="D173">
            <v>0</v>
          </cell>
          <cell r="E173">
            <v>10000</v>
          </cell>
          <cell r="F173">
            <v>10000</v>
          </cell>
          <cell r="G173">
            <v>0</v>
          </cell>
          <cell r="H173">
            <v>10000</v>
          </cell>
        </row>
        <row r="174">
          <cell r="A174" t="str">
            <v>030-20-090</v>
          </cell>
          <cell r="B174" t="str">
            <v>PETTY CASH CHUKA</v>
          </cell>
          <cell r="C174">
            <v>0</v>
          </cell>
          <cell r="D174">
            <v>0</v>
          </cell>
          <cell r="E174">
            <v>0</v>
          </cell>
          <cell r="F174">
            <v>0</v>
          </cell>
          <cell r="G174">
            <v>0</v>
          </cell>
          <cell r="H174">
            <v>0</v>
          </cell>
        </row>
        <row r="175">
          <cell r="A175" t="str">
            <v>030-20-100</v>
          </cell>
          <cell r="B175" t="str">
            <v>PETTY CASH EMBU</v>
          </cell>
          <cell r="C175">
            <v>10000</v>
          </cell>
          <cell r="D175">
            <v>0</v>
          </cell>
          <cell r="E175">
            <v>10000</v>
          </cell>
          <cell r="F175">
            <v>10000</v>
          </cell>
          <cell r="G175">
            <v>0</v>
          </cell>
          <cell r="H175">
            <v>10000</v>
          </cell>
        </row>
        <row r="176">
          <cell r="A176" t="str">
            <v>030-20-110</v>
          </cell>
          <cell r="B176" t="str">
            <v>PETTY CASH NAKURU</v>
          </cell>
          <cell r="C176">
            <v>10000</v>
          </cell>
          <cell r="D176">
            <v>0</v>
          </cell>
          <cell r="E176">
            <v>10000</v>
          </cell>
          <cell r="F176">
            <v>10000</v>
          </cell>
          <cell r="G176">
            <v>0</v>
          </cell>
          <cell r="H176">
            <v>10000</v>
          </cell>
        </row>
        <row r="177">
          <cell r="A177" t="str">
            <v>030-20-120</v>
          </cell>
          <cell r="B177" t="str">
            <v>PETTY CASH THIKA</v>
          </cell>
          <cell r="C177">
            <v>10000</v>
          </cell>
          <cell r="D177">
            <v>0</v>
          </cell>
          <cell r="E177">
            <v>10000</v>
          </cell>
          <cell r="F177">
            <v>10000</v>
          </cell>
          <cell r="G177">
            <v>0</v>
          </cell>
          <cell r="H177">
            <v>10000</v>
          </cell>
        </row>
        <row r="178">
          <cell r="A178" t="str">
            <v>030-20-130</v>
          </cell>
          <cell r="B178" t="str">
            <v>PETTY CASH CITY CENTRE</v>
          </cell>
          <cell r="C178">
            <v>10000</v>
          </cell>
          <cell r="D178">
            <v>0</v>
          </cell>
          <cell r="E178">
            <v>10000</v>
          </cell>
          <cell r="F178">
            <v>10000</v>
          </cell>
          <cell r="G178">
            <v>0</v>
          </cell>
          <cell r="H178">
            <v>10000</v>
          </cell>
        </row>
        <row r="179">
          <cell r="A179" t="str">
            <v>030-20-140</v>
          </cell>
          <cell r="B179" t="str">
            <v>PETTY CASH MACHAKOS</v>
          </cell>
          <cell r="C179">
            <v>10000</v>
          </cell>
          <cell r="D179">
            <v>0</v>
          </cell>
          <cell r="E179">
            <v>10000</v>
          </cell>
          <cell r="F179">
            <v>10000</v>
          </cell>
          <cell r="G179">
            <v>0</v>
          </cell>
          <cell r="H179">
            <v>10000</v>
          </cell>
        </row>
        <row r="180">
          <cell r="A180" t="str">
            <v>030-20-150</v>
          </cell>
          <cell r="B180" t="str">
            <v>CASH FLOAT -LIFE MARKETING</v>
          </cell>
          <cell r="C180">
            <v>50000</v>
          </cell>
          <cell r="D180">
            <v>0</v>
          </cell>
          <cell r="E180">
            <v>50000</v>
          </cell>
          <cell r="F180">
            <v>50000</v>
          </cell>
          <cell r="G180">
            <v>0</v>
          </cell>
          <cell r="H180">
            <v>50000</v>
          </cell>
        </row>
        <row r="181">
          <cell r="A181" t="str">
            <v>030-30-010</v>
          </cell>
          <cell r="B181" t="str">
            <v>FIXED DEPOSIT -CBA (RIGHTS ISSUE)</v>
          </cell>
          <cell r="C181">
            <v>1985588.22</v>
          </cell>
          <cell r="D181">
            <v>42964.56</v>
          </cell>
          <cell r="E181">
            <v>2028552.78</v>
          </cell>
          <cell r="F181">
            <v>2028552.78</v>
          </cell>
          <cell r="G181">
            <v>0</v>
          </cell>
          <cell r="H181">
            <v>2028552.78</v>
          </cell>
        </row>
        <row r="182">
          <cell r="A182" t="str">
            <v>030-30-030</v>
          </cell>
          <cell r="B182" t="str">
            <v>OTHERS FIXED DEPOSITS</v>
          </cell>
          <cell r="C182">
            <v>25000000</v>
          </cell>
          <cell r="D182">
            <v>48423970.840000004</v>
          </cell>
          <cell r="E182">
            <v>73423970.840000004</v>
          </cell>
          <cell r="F182">
            <v>73423970.840000004</v>
          </cell>
          <cell r="G182">
            <v>0</v>
          </cell>
          <cell r="H182">
            <v>73423970.840000004</v>
          </cell>
        </row>
        <row r="183">
          <cell r="A183" t="str">
            <v>030-30-040</v>
          </cell>
          <cell r="B183" t="str">
            <v>FIXED DEPOSIT -DELPHIS</v>
          </cell>
          <cell r="C183">
            <v>33755</v>
          </cell>
          <cell r="D183">
            <v>0</v>
          </cell>
          <cell r="E183">
            <v>33755</v>
          </cell>
          <cell r="F183">
            <v>33755</v>
          </cell>
          <cell r="G183">
            <v>0</v>
          </cell>
          <cell r="H183">
            <v>33755</v>
          </cell>
        </row>
        <row r="184">
          <cell r="A184" t="str">
            <v>030-30-050</v>
          </cell>
          <cell r="B184" t="str">
            <v>FIXED DEPOSIT -STANBIC BANK</v>
          </cell>
          <cell r="C184">
            <v>0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</row>
        <row r="185">
          <cell r="A185" t="str">
            <v>030-30-060</v>
          </cell>
          <cell r="B185" t="str">
            <v>FIXED DEPOSIT -BARCLAYS RIGHTS</v>
          </cell>
          <cell r="C185">
            <v>0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</row>
        <row r="186">
          <cell r="A186" t="str">
            <v>030-30-070</v>
          </cell>
          <cell r="B186" t="str">
            <v>FIXED DEPOSIT -TANZANIA</v>
          </cell>
          <cell r="C186">
            <v>344594.38</v>
          </cell>
          <cell r="D186">
            <v>0</v>
          </cell>
          <cell r="E186">
            <v>344594.38</v>
          </cell>
          <cell r="F186">
            <v>344594.38</v>
          </cell>
          <cell r="G186">
            <v>0</v>
          </cell>
          <cell r="H186">
            <v>344594.38</v>
          </cell>
        </row>
        <row r="187">
          <cell r="A187" t="str">
            <v>030-30-080</v>
          </cell>
          <cell r="B187" t="str">
            <v>DELPHIS BANK-PROVISION</v>
          </cell>
          <cell r="C187">
            <v>-33754</v>
          </cell>
          <cell r="D187">
            <v>0</v>
          </cell>
          <cell r="E187">
            <v>-33754</v>
          </cell>
          <cell r="F187">
            <v>-33754</v>
          </cell>
          <cell r="G187">
            <v>0</v>
          </cell>
          <cell r="H187">
            <v>-33754</v>
          </cell>
        </row>
        <row r="188">
          <cell r="A188" t="str">
            <v>030-30-090</v>
          </cell>
          <cell r="B188" t="str">
            <v>STANBIC CUSTODIAN SERVICES</v>
          </cell>
          <cell r="C188">
            <v>16304567.08</v>
          </cell>
          <cell r="D188">
            <v>-13888404.34</v>
          </cell>
          <cell r="E188">
            <v>2416162.7400000002</v>
          </cell>
          <cell r="F188">
            <v>2416162.7400000002</v>
          </cell>
          <cell r="G188">
            <v>0</v>
          </cell>
          <cell r="H188">
            <v>2416162.7400000002</v>
          </cell>
        </row>
        <row r="189">
          <cell r="A189" t="str">
            <v>030-31-010</v>
          </cell>
          <cell r="B189" t="str">
            <v>STANBIC CUSTODIAN SERVICES</v>
          </cell>
          <cell r="C189">
            <v>10218074.68</v>
          </cell>
          <cell r="D189">
            <v>-8493010.6500000004</v>
          </cell>
          <cell r="E189">
            <v>1725064.03</v>
          </cell>
          <cell r="F189">
            <v>1725064.03</v>
          </cell>
          <cell r="G189">
            <v>0</v>
          </cell>
          <cell r="H189">
            <v>1725064.03</v>
          </cell>
        </row>
        <row r="190">
          <cell r="A190" t="str">
            <v>030-31-020</v>
          </cell>
          <cell r="B190" t="str">
            <v>OTHER FIXED DEPOSITS</v>
          </cell>
          <cell r="C190">
            <v>12500000</v>
          </cell>
          <cell r="D190">
            <v>16443106.800000001</v>
          </cell>
          <cell r="E190">
            <v>28943106.800000001</v>
          </cell>
          <cell r="F190">
            <v>28943106.800000001</v>
          </cell>
          <cell r="G190">
            <v>0</v>
          </cell>
          <cell r="H190">
            <v>28943106.800000001</v>
          </cell>
        </row>
        <row r="191">
          <cell r="A191" t="str">
            <v>030-33-010</v>
          </cell>
          <cell r="B191" t="str">
            <v>OUSTANDING PREMIUM - API</v>
          </cell>
          <cell r="C191">
            <v>94808004</v>
          </cell>
          <cell r="D191">
            <v>88328929</v>
          </cell>
          <cell r="E191">
            <v>183136932.81</v>
          </cell>
          <cell r="F191">
            <v>183136932.81</v>
          </cell>
          <cell r="G191">
            <v>0</v>
          </cell>
          <cell r="H191">
            <v>183136932.81</v>
          </cell>
        </row>
        <row r="192">
          <cell r="A192" t="str">
            <v>030-35-010</v>
          </cell>
          <cell r="B192" t="str">
            <v>CONTRA BSO</v>
          </cell>
          <cell r="C192">
            <v>36729015.07</v>
          </cell>
          <cell r="D192">
            <v>-36729015.07</v>
          </cell>
          <cell r="E192">
            <v>0</v>
          </cell>
          <cell r="F192">
            <v>0</v>
          </cell>
          <cell r="G192">
            <v>0</v>
          </cell>
          <cell r="H192">
            <v>0</v>
          </cell>
        </row>
        <row r="193">
          <cell r="A193" t="str">
            <v>030-35-020</v>
          </cell>
          <cell r="B193" t="str">
            <v>CONTRA GSO</v>
          </cell>
          <cell r="C193">
            <v>-28451826.870000001</v>
          </cell>
          <cell r="D193">
            <v>28451826.870000001</v>
          </cell>
          <cell r="E193">
            <v>0</v>
          </cell>
          <cell r="F193">
            <v>0</v>
          </cell>
          <cell r="G193">
            <v>0</v>
          </cell>
          <cell r="H193">
            <v>0</v>
          </cell>
        </row>
        <row r="194">
          <cell r="A194" t="str">
            <v>030-35-030</v>
          </cell>
          <cell r="B194" t="str">
            <v>CONTRA CASH</v>
          </cell>
          <cell r="C194">
            <v>-6815961.2400000002</v>
          </cell>
          <cell r="D194">
            <v>6815961.2400000002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</row>
        <row r="195">
          <cell r="A195" t="str">
            <v>030-35-040</v>
          </cell>
          <cell r="B195" t="str">
            <v>CONTRA DD</v>
          </cell>
          <cell r="C195">
            <v>86970</v>
          </cell>
          <cell r="D195">
            <v>-86970</v>
          </cell>
          <cell r="E195">
            <v>0</v>
          </cell>
          <cell r="F195">
            <v>0</v>
          </cell>
          <cell r="G195">
            <v>0</v>
          </cell>
          <cell r="H195">
            <v>0</v>
          </cell>
        </row>
        <row r="196">
          <cell r="A196" t="str">
            <v>030-35-050</v>
          </cell>
          <cell r="B196" t="str">
            <v>PREMIUMS IN ARREARS</v>
          </cell>
          <cell r="C196">
            <v>7778153.9500000002</v>
          </cell>
          <cell r="D196">
            <v>7973396.0700000003</v>
          </cell>
          <cell r="E196">
            <v>15751550.02</v>
          </cell>
          <cell r="F196">
            <v>15751550.02</v>
          </cell>
          <cell r="G196">
            <v>0</v>
          </cell>
          <cell r="H196">
            <v>15751550.02</v>
          </cell>
        </row>
        <row r="197">
          <cell r="A197" t="str">
            <v>030-40-010</v>
          </cell>
          <cell r="B197" t="str">
            <v>SAFARICOM</v>
          </cell>
          <cell r="C197">
            <v>0</v>
          </cell>
          <cell r="D197">
            <v>0</v>
          </cell>
          <cell r="E197">
            <v>0</v>
          </cell>
          <cell r="F197">
            <v>0</v>
          </cell>
          <cell r="G197">
            <v>0</v>
          </cell>
          <cell r="H197">
            <v>0</v>
          </cell>
        </row>
        <row r="198">
          <cell r="A198" t="str">
            <v>030-40-015</v>
          </cell>
          <cell r="B198" t="str">
            <v>KENYA OIL CO. LTD</v>
          </cell>
          <cell r="C198">
            <v>0</v>
          </cell>
          <cell r="D198">
            <v>0</v>
          </cell>
          <cell r="E198">
            <v>0</v>
          </cell>
          <cell r="F198">
            <v>0</v>
          </cell>
          <cell r="G198">
            <v>0</v>
          </cell>
          <cell r="H198">
            <v>0</v>
          </cell>
        </row>
        <row r="199">
          <cell r="A199" t="str">
            <v>030-45-010</v>
          </cell>
          <cell r="B199" t="str">
            <v>O/S INTEREST ON COMMERCIAL PAPER</v>
          </cell>
          <cell r="C199">
            <v>143451.13</v>
          </cell>
          <cell r="D199">
            <v>-75444.08</v>
          </cell>
          <cell r="E199">
            <v>68007.05</v>
          </cell>
          <cell r="F199">
            <v>68007.05</v>
          </cell>
          <cell r="G199">
            <v>0</v>
          </cell>
          <cell r="H199">
            <v>68007.05</v>
          </cell>
        </row>
        <row r="200">
          <cell r="A200" t="str">
            <v>030-45-020</v>
          </cell>
          <cell r="B200" t="str">
            <v>O/S INTEREST ON FIXED DEPOSIT</v>
          </cell>
          <cell r="C200">
            <v>68106.67</v>
          </cell>
          <cell r="D200">
            <v>84097.45</v>
          </cell>
          <cell r="E200">
            <v>152204.12</v>
          </cell>
          <cell r="F200">
            <v>152204.12</v>
          </cell>
          <cell r="G200">
            <v>0</v>
          </cell>
          <cell r="H200">
            <v>152204.12</v>
          </cell>
        </row>
        <row r="201">
          <cell r="A201" t="str">
            <v>030-45-030</v>
          </cell>
          <cell r="B201" t="str">
            <v>O/S INTEREST ON TB'S</v>
          </cell>
          <cell r="C201">
            <v>6528662.0199999996</v>
          </cell>
          <cell r="D201">
            <v>-577001.15</v>
          </cell>
          <cell r="E201">
            <v>5951660.8700000001</v>
          </cell>
          <cell r="F201">
            <v>5951660.8700000001</v>
          </cell>
          <cell r="G201">
            <v>0</v>
          </cell>
          <cell r="H201">
            <v>5951660.8700000001</v>
          </cell>
        </row>
        <row r="202">
          <cell r="A202" t="str">
            <v>030-46-010</v>
          </cell>
          <cell r="B202" t="str">
            <v>O/S INTEREST FD</v>
          </cell>
          <cell r="C202">
            <v>125182.18</v>
          </cell>
          <cell r="D202">
            <v>-52250.66</v>
          </cell>
          <cell r="E202">
            <v>72931.520000000004</v>
          </cell>
          <cell r="F202">
            <v>72931.520000000004</v>
          </cell>
          <cell r="G202">
            <v>0</v>
          </cell>
          <cell r="H202">
            <v>72931.520000000004</v>
          </cell>
        </row>
        <row r="203">
          <cell r="A203" t="str">
            <v>030-46-020</v>
          </cell>
          <cell r="B203" t="str">
            <v>O/S INTEREST TB</v>
          </cell>
          <cell r="C203">
            <v>2239470.67</v>
          </cell>
          <cell r="D203">
            <v>-1732479.04</v>
          </cell>
          <cell r="E203">
            <v>506991.63</v>
          </cell>
          <cell r="F203">
            <v>506991.63</v>
          </cell>
          <cell r="G203">
            <v>0</v>
          </cell>
          <cell r="H203">
            <v>506991.63</v>
          </cell>
        </row>
        <row r="204">
          <cell r="A204" t="str">
            <v>030-46-030</v>
          </cell>
          <cell r="B204" t="str">
            <v>O/S INTEREST C/P</v>
          </cell>
          <cell r="C204">
            <v>35376.730000000003</v>
          </cell>
          <cell r="D204">
            <v>-27038.63</v>
          </cell>
          <cell r="E204">
            <v>8338.1</v>
          </cell>
          <cell r="F204">
            <v>8338.1</v>
          </cell>
          <cell r="G204">
            <v>0</v>
          </cell>
          <cell r="H204">
            <v>8338.1</v>
          </cell>
        </row>
        <row r="205">
          <cell r="A205" t="str">
            <v>030-50-010</v>
          </cell>
          <cell r="B205" t="str">
            <v>AGENTS LOANS</v>
          </cell>
          <cell r="C205">
            <v>5244756.2300000004</v>
          </cell>
          <cell r="D205">
            <v>-1927429</v>
          </cell>
          <cell r="E205">
            <v>3317327.23</v>
          </cell>
          <cell r="F205">
            <v>3317327.23</v>
          </cell>
          <cell r="G205">
            <v>0</v>
          </cell>
          <cell r="H205">
            <v>3317327.23</v>
          </cell>
        </row>
        <row r="206">
          <cell r="A206" t="str">
            <v>030-50-020</v>
          </cell>
          <cell r="B206" t="str">
            <v>AGENTS COMMISSION CONTROL ACCOUNT</v>
          </cell>
          <cell r="C206">
            <v>-12573582.32</v>
          </cell>
          <cell r="D206">
            <v>5684779.7199999997</v>
          </cell>
          <cell r="E206">
            <v>-6888802.5999999996</v>
          </cell>
          <cell r="F206">
            <v>-6888802.5999999996</v>
          </cell>
          <cell r="G206">
            <v>0</v>
          </cell>
          <cell r="H206">
            <v>-6888802.5999999996</v>
          </cell>
        </row>
        <row r="207">
          <cell r="A207" t="str">
            <v>030-50-030</v>
          </cell>
          <cell r="B207" t="str">
            <v>STAFF ADVANCES</v>
          </cell>
          <cell r="C207">
            <v>747118.65</v>
          </cell>
          <cell r="D207">
            <v>250941.95</v>
          </cell>
          <cell r="E207">
            <v>998060.6</v>
          </cell>
          <cell r="F207">
            <v>998060.6</v>
          </cell>
          <cell r="G207">
            <v>0</v>
          </cell>
          <cell r="H207">
            <v>998060.6</v>
          </cell>
        </row>
        <row r="208">
          <cell r="A208" t="str">
            <v>030-50-040</v>
          </cell>
          <cell r="B208" t="str">
            <v>STAFF CAR LOANS</v>
          </cell>
          <cell r="C208">
            <v>5120978.28</v>
          </cell>
          <cell r="D208">
            <v>-437026.85</v>
          </cell>
          <cell r="E208">
            <v>4683951.43</v>
          </cell>
          <cell r="F208">
            <v>4683951.43</v>
          </cell>
          <cell r="G208">
            <v>0</v>
          </cell>
          <cell r="H208">
            <v>4683951.43</v>
          </cell>
        </row>
        <row r="209">
          <cell r="A209" t="str">
            <v>030-50-050</v>
          </cell>
          <cell r="B209" t="str">
            <v>STAFF DEBTORS MEDICALS</v>
          </cell>
          <cell r="C209">
            <v>108318.97</v>
          </cell>
          <cell r="D209">
            <v>-75640.97</v>
          </cell>
          <cell r="E209">
            <v>32678</v>
          </cell>
          <cell r="F209">
            <v>32678</v>
          </cell>
          <cell r="G209">
            <v>0</v>
          </cell>
          <cell r="H209">
            <v>32678</v>
          </cell>
        </row>
        <row r="210">
          <cell r="A210" t="str">
            <v>030-50-060</v>
          </cell>
          <cell r="B210" t="str">
            <v>AGENTS CAR LOANS</v>
          </cell>
          <cell r="C210">
            <v>11547625.699999999</v>
          </cell>
          <cell r="D210">
            <v>625664.19999999995</v>
          </cell>
          <cell r="E210">
            <v>12173289.9</v>
          </cell>
          <cell r="F210">
            <v>12173289.9</v>
          </cell>
          <cell r="G210">
            <v>0</v>
          </cell>
          <cell r="H210">
            <v>12173289.9</v>
          </cell>
        </row>
        <row r="211">
          <cell r="A211" t="str">
            <v>030-50-070</v>
          </cell>
          <cell r="B211" t="str">
            <v>STAFF DEBTORS(INSURANCE)</v>
          </cell>
          <cell r="C211">
            <v>363905.63</v>
          </cell>
          <cell r="D211">
            <v>-127575.65</v>
          </cell>
          <cell r="E211">
            <v>236329.98</v>
          </cell>
          <cell r="F211">
            <v>236329.98</v>
          </cell>
          <cell r="G211">
            <v>0</v>
          </cell>
          <cell r="H211">
            <v>236329.98</v>
          </cell>
        </row>
        <row r="212">
          <cell r="A212" t="str">
            <v>030-55-010</v>
          </cell>
          <cell r="B212" t="str">
            <v>DUE FROM GROUP SCHEMES</v>
          </cell>
          <cell r="C212">
            <v>0</v>
          </cell>
          <cell r="D212">
            <v>0</v>
          </cell>
          <cell r="E212">
            <v>0</v>
          </cell>
          <cell r="F212">
            <v>0</v>
          </cell>
          <cell r="G212">
            <v>0</v>
          </cell>
          <cell r="H212">
            <v>0</v>
          </cell>
        </row>
        <row r="213">
          <cell r="A213" t="str">
            <v>030-55-020</v>
          </cell>
          <cell r="B213" t="str">
            <v>W/TAX RECOVERABLE</v>
          </cell>
          <cell r="C213">
            <v>0</v>
          </cell>
          <cell r="D213">
            <v>0</v>
          </cell>
          <cell r="E213">
            <v>0</v>
          </cell>
          <cell r="F213">
            <v>0</v>
          </cell>
          <cell r="G213">
            <v>0</v>
          </cell>
          <cell r="H213">
            <v>0</v>
          </cell>
        </row>
        <row r="214">
          <cell r="A214" t="str">
            <v>030-55-030</v>
          </cell>
          <cell r="B214" t="str">
            <v>SUNDRY DEBTORS</v>
          </cell>
          <cell r="C214">
            <v>0</v>
          </cell>
          <cell r="D214">
            <v>0</v>
          </cell>
          <cell r="E214">
            <v>0</v>
          </cell>
          <cell r="F214">
            <v>0</v>
          </cell>
          <cell r="G214">
            <v>0</v>
          </cell>
          <cell r="H214">
            <v>0</v>
          </cell>
        </row>
        <row r="215">
          <cell r="A215" t="str">
            <v>030-55-040</v>
          </cell>
          <cell r="B215" t="str">
            <v>PAN AFRICA GENERAL(DUE TO LIFE)</v>
          </cell>
          <cell r="C215">
            <v>2828199.88</v>
          </cell>
          <cell r="D215">
            <v>-2455971.85</v>
          </cell>
          <cell r="E215">
            <v>372228.03</v>
          </cell>
          <cell r="F215">
            <v>372228.03</v>
          </cell>
          <cell r="G215">
            <v>0</v>
          </cell>
          <cell r="H215">
            <v>372228.03</v>
          </cell>
        </row>
        <row r="216">
          <cell r="A216" t="str">
            <v>030-55-050</v>
          </cell>
          <cell r="B216" t="str">
            <v>CORPORATION TAX -TANZANIA</v>
          </cell>
          <cell r="C216">
            <v>86855</v>
          </cell>
          <cell r="D216">
            <v>0</v>
          </cell>
          <cell r="E216">
            <v>86855</v>
          </cell>
          <cell r="F216">
            <v>86855</v>
          </cell>
          <cell r="G216">
            <v>0</v>
          </cell>
          <cell r="H216">
            <v>86855</v>
          </cell>
        </row>
        <row r="217">
          <cell r="A217" t="str">
            <v>030-70-010</v>
          </cell>
          <cell r="B217" t="str">
            <v>RENT DEPOSITS</v>
          </cell>
          <cell r="C217">
            <v>109418.7</v>
          </cell>
          <cell r="D217">
            <v>0</v>
          </cell>
          <cell r="E217">
            <v>109418.7</v>
          </cell>
          <cell r="F217">
            <v>109418.7</v>
          </cell>
          <cell r="G217">
            <v>0</v>
          </cell>
          <cell r="H217">
            <v>109418.7</v>
          </cell>
        </row>
        <row r="218">
          <cell r="A218" t="str">
            <v>030-70-020</v>
          </cell>
          <cell r="B218" t="str">
            <v>CASH IN TRANSIT</v>
          </cell>
          <cell r="C218">
            <v>0</v>
          </cell>
          <cell r="D218">
            <v>3000000</v>
          </cell>
          <cell r="E218">
            <v>3000000</v>
          </cell>
          <cell r="F218">
            <v>3000000</v>
          </cell>
          <cell r="G218">
            <v>0</v>
          </cell>
          <cell r="H218">
            <v>3000000</v>
          </cell>
        </row>
        <row r="219">
          <cell r="A219" t="str">
            <v>030-70-030</v>
          </cell>
          <cell r="B219" t="str">
            <v>RENT LEASE FEES RECOVERABLE</v>
          </cell>
          <cell r="C219">
            <v>0</v>
          </cell>
          <cell r="D219">
            <v>0</v>
          </cell>
          <cell r="E219">
            <v>0</v>
          </cell>
          <cell r="F219">
            <v>0</v>
          </cell>
          <cell r="G219">
            <v>0</v>
          </cell>
          <cell r="H219">
            <v>0</v>
          </cell>
        </row>
        <row r="220">
          <cell r="A220" t="str">
            <v>030-70-040</v>
          </cell>
          <cell r="B220" t="str">
            <v>DEFFERAL SERVICE CHARGE&amp; RENT</v>
          </cell>
          <cell r="C220">
            <v>-5751144.1600000001</v>
          </cell>
          <cell r="D220">
            <v>5751144.1699999999</v>
          </cell>
          <cell r="E220">
            <v>0.01</v>
          </cell>
          <cell r="F220">
            <v>0.01</v>
          </cell>
          <cell r="G220">
            <v>0</v>
          </cell>
          <cell r="H220">
            <v>0.01</v>
          </cell>
        </row>
        <row r="221">
          <cell r="A221" t="str">
            <v>030-70-050</v>
          </cell>
          <cell r="B221" t="str">
            <v>O/S SERVICE CHARGE (AMBALAL )</v>
          </cell>
          <cell r="C221">
            <v>0</v>
          </cell>
          <cell r="D221">
            <v>0</v>
          </cell>
          <cell r="E221">
            <v>0</v>
          </cell>
          <cell r="F221">
            <v>0</v>
          </cell>
          <cell r="G221">
            <v>0</v>
          </cell>
          <cell r="H221">
            <v>0</v>
          </cell>
        </row>
        <row r="222">
          <cell r="A222" t="str">
            <v>030-70-060</v>
          </cell>
          <cell r="B222" t="str">
            <v>O/S SERVICE CHARGE (MOMBASA)</v>
          </cell>
          <cell r="C222">
            <v>0</v>
          </cell>
          <cell r="D222">
            <v>0</v>
          </cell>
          <cell r="E222">
            <v>0</v>
          </cell>
          <cell r="F222">
            <v>0</v>
          </cell>
          <cell r="G222">
            <v>0</v>
          </cell>
          <cell r="H222">
            <v>0</v>
          </cell>
        </row>
        <row r="223">
          <cell r="A223" t="str">
            <v>030-70-070</v>
          </cell>
          <cell r="B223" t="str">
            <v>O/S SERVICE CHARGE PAN HSE NBI</v>
          </cell>
          <cell r="C223">
            <v>0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</row>
        <row r="224">
          <cell r="A224" t="str">
            <v>030-70-080</v>
          </cell>
          <cell r="B224" t="str">
            <v>O/S INTEREST ON O/O INTEREST</v>
          </cell>
          <cell r="C224">
            <v>0</v>
          </cell>
          <cell r="D224">
            <v>0</v>
          </cell>
          <cell r="E224">
            <v>0</v>
          </cell>
          <cell r="F224">
            <v>0</v>
          </cell>
          <cell r="G224">
            <v>0</v>
          </cell>
          <cell r="H224">
            <v>0</v>
          </cell>
        </row>
        <row r="225">
          <cell r="A225" t="str">
            <v>030-70-090</v>
          </cell>
          <cell r="B225" t="str">
            <v>O/S VAT</v>
          </cell>
          <cell r="C225">
            <v>0</v>
          </cell>
          <cell r="D225">
            <v>0</v>
          </cell>
          <cell r="E225">
            <v>0</v>
          </cell>
          <cell r="F225">
            <v>0</v>
          </cell>
          <cell r="G225">
            <v>0</v>
          </cell>
          <cell r="H225">
            <v>0</v>
          </cell>
        </row>
        <row r="226">
          <cell r="A226" t="str">
            <v>030-70-100</v>
          </cell>
          <cell r="B226" t="str">
            <v>O/S EXCESS SERVICE CHARGE</v>
          </cell>
          <cell r="C226">
            <v>0</v>
          </cell>
          <cell r="D226">
            <v>0</v>
          </cell>
          <cell r="E226">
            <v>0</v>
          </cell>
          <cell r="F226">
            <v>0</v>
          </cell>
          <cell r="G226">
            <v>0</v>
          </cell>
          <cell r="H226">
            <v>0</v>
          </cell>
        </row>
        <row r="227">
          <cell r="A227" t="str">
            <v>030-70-110</v>
          </cell>
          <cell r="B227" t="str">
            <v>BAD DEBTS PROVISION</v>
          </cell>
          <cell r="C227">
            <v>-7914088.9000000004</v>
          </cell>
          <cell r="D227">
            <v>0</v>
          </cell>
          <cell r="E227">
            <v>-7914088.9000000004</v>
          </cell>
          <cell r="F227">
            <v>-7914088.9000000004</v>
          </cell>
          <cell r="G227">
            <v>0</v>
          </cell>
          <cell r="H227">
            <v>-7914088.9000000004</v>
          </cell>
        </row>
        <row r="228">
          <cell r="A228" t="str">
            <v>030-70-120</v>
          </cell>
          <cell r="B228" t="str">
            <v>DEPOSITS RECEIVED -SHREHOLDERS</v>
          </cell>
          <cell r="C228">
            <v>0</v>
          </cell>
          <cell r="D228">
            <v>0</v>
          </cell>
          <cell r="E228">
            <v>0</v>
          </cell>
          <cell r="F228">
            <v>0</v>
          </cell>
          <cell r="G228">
            <v>0</v>
          </cell>
          <cell r="H228">
            <v>0</v>
          </cell>
        </row>
        <row r="229">
          <cell r="A229" t="str">
            <v>030-70-130</v>
          </cell>
          <cell r="B229" t="str">
            <v>KNIGHT FRANK</v>
          </cell>
          <cell r="C229">
            <v>34930491.229999997</v>
          </cell>
          <cell r="D229">
            <v>-5112846.88</v>
          </cell>
          <cell r="E229">
            <v>29817644.350000001</v>
          </cell>
          <cell r="F229">
            <v>29817644.350000001</v>
          </cell>
          <cell r="G229">
            <v>0</v>
          </cell>
          <cell r="H229">
            <v>29817644.350000001</v>
          </cell>
        </row>
        <row r="230">
          <cell r="A230" t="str">
            <v>030-70-135</v>
          </cell>
          <cell r="B230" t="str">
            <v>PAN AFRICA HOUSE NAIROBI</v>
          </cell>
          <cell r="C230">
            <v>0</v>
          </cell>
          <cell r="D230">
            <v>0</v>
          </cell>
          <cell r="E230">
            <v>0</v>
          </cell>
          <cell r="F230">
            <v>0</v>
          </cell>
          <cell r="G230">
            <v>0</v>
          </cell>
          <cell r="H230">
            <v>0</v>
          </cell>
        </row>
        <row r="231">
          <cell r="A231" t="str">
            <v>030-70-140</v>
          </cell>
          <cell r="B231" t="str">
            <v>PAN AFRICA HOUSE MOMBASA</v>
          </cell>
          <cell r="C231">
            <v>0</v>
          </cell>
          <cell r="D231">
            <v>0</v>
          </cell>
          <cell r="E231">
            <v>0</v>
          </cell>
          <cell r="F231">
            <v>0</v>
          </cell>
          <cell r="G231">
            <v>0</v>
          </cell>
          <cell r="H231">
            <v>0</v>
          </cell>
        </row>
        <row r="232">
          <cell r="A232" t="str">
            <v>030-70-145</v>
          </cell>
          <cell r="B232" t="str">
            <v>AMBALAL HOUSE MOMBASA</v>
          </cell>
          <cell r="C232">
            <v>0</v>
          </cell>
          <cell r="D232">
            <v>0</v>
          </cell>
          <cell r="E232">
            <v>0</v>
          </cell>
          <cell r="F232">
            <v>0</v>
          </cell>
          <cell r="G232">
            <v>0</v>
          </cell>
          <cell r="H232">
            <v>0</v>
          </cell>
        </row>
        <row r="233">
          <cell r="A233" t="str">
            <v>030-75-010</v>
          </cell>
          <cell r="B233" t="str">
            <v>O/S INTEREST ON STAFF MORTAGES</v>
          </cell>
          <cell r="C233">
            <v>0</v>
          </cell>
          <cell r="D233">
            <v>0</v>
          </cell>
          <cell r="E233">
            <v>0</v>
          </cell>
          <cell r="F233">
            <v>0</v>
          </cell>
          <cell r="G233">
            <v>0</v>
          </cell>
          <cell r="H233">
            <v>0</v>
          </cell>
        </row>
        <row r="234">
          <cell r="A234" t="str">
            <v>030-75-020</v>
          </cell>
          <cell r="B234" t="str">
            <v>O/S INTEREST ON MORTGAGE (THIRD PARTY)</v>
          </cell>
          <cell r="C234">
            <v>186049.21</v>
          </cell>
          <cell r="D234">
            <v>-18913.63</v>
          </cell>
          <cell r="E234">
            <v>167135.57999999999</v>
          </cell>
          <cell r="F234">
            <v>167135.57999999999</v>
          </cell>
          <cell r="G234">
            <v>0</v>
          </cell>
          <cell r="H234">
            <v>167135.57999999999</v>
          </cell>
        </row>
        <row r="235">
          <cell r="A235" t="str">
            <v>030-75-030</v>
          </cell>
          <cell r="B235" t="str">
            <v>PROVISION FOR DOUBTFUL MORTGAGE BALS</v>
          </cell>
          <cell r="C235">
            <v>0</v>
          </cell>
          <cell r="D235">
            <v>0</v>
          </cell>
          <cell r="E235">
            <v>0</v>
          </cell>
          <cell r="F235">
            <v>0</v>
          </cell>
          <cell r="G235">
            <v>0</v>
          </cell>
          <cell r="H235">
            <v>0</v>
          </cell>
        </row>
        <row r="236">
          <cell r="A236" t="str">
            <v>030-85-010</v>
          </cell>
          <cell r="B236" t="str">
            <v>DEPOSITS ACCOUNTS</v>
          </cell>
          <cell r="C236">
            <v>1542339.15</v>
          </cell>
          <cell r="D236">
            <v>0</v>
          </cell>
          <cell r="E236">
            <v>1542339.15</v>
          </cell>
          <cell r="F236">
            <v>1542339.15</v>
          </cell>
          <cell r="G236">
            <v>0</v>
          </cell>
          <cell r="H236">
            <v>1542339.15</v>
          </cell>
        </row>
        <row r="237">
          <cell r="A237" t="str">
            <v>030-85-020</v>
          </cell>
          <cell r="B237" t="str">
            <v>HMS (DEPOSITS)</v>
          </cell>
          <cell r="C237">
            <v>0</v>
          </cell>
          <cell r="D237">
            <v>0</v>
          </cell>
          <cell r="E237">
            <v>0</v>
          </cell>
          <cell r="F237">
            <v>0</v>
          </cell>
          <cell r="G237">
            <v>0</v>
          </cell>
          <cell r="H237">
            <v>0</v>
          </cell>
        </row>
        <row r="238">
          <cell r="A238" t="str">
            <v>030-85-030</v>
          </cell>
          <cell r="B238" t="str">
            <v>LEGAL FEE PAID</v>
          </cell>
          <cell r="C238">
            <v>0</v>
          </cell>
          <cell r="D238">
            <v>0</v>
          </cell>
          <cell r="E238">
            <v>0</v>
          </cell>
          <cell r="F238">
            <v>0</v>
          </cell>
          <cell r="G238">
            <v>0</v>
          </cell>
          <cell r="H238">
            <v>0</v>
          </cell>
        </row>
        <row r="239">
          <cell r="A239" t="str">
            <v>030-85-040</v>
          </cell>
          <cell r="B239" t="str">
            <v>PREPAYMENTS (EXPENSES)</v>
          </cell>
          <cell r="C239">
            <v>2357938.1800000002</v>
          </cell>
          <cell r="D239">
            <v>-411049.18</v>
          </cell>
          <cell r="E239">
            <v>1946889</v>
          </cell>
          <cell r="F239">
            <v>1946889</v>
          </cell>
          <cell r="G239">
            <v>0</v>
          </cell>
          <cell r="H239">
            <v>1946889</v>
          </cell>
        </row>
        <row r="240">
          <cell r="A240" t="str">
            <v>030-90-010</v>
          </cell>
          <cell r="B240" t="str">
            <v>LEGAL FEE PAID</v>
          </cell>
          <cell r="C240">
            <v>0</v>
          </cell>
          <cell r="D240">
            <v>0</v>
          </cell>
          <cell r="E240">
            <v>0</v>
          </cell>
          <cell r="F240">
            <v>0</v>
          </cell>
          <cell r="G240">
            <v>0</v>
          </cell>
          <cell r="H240">
            <v>0</v>
          </cell>
        </row>
        <row r="241">
          <cell r="A241" t="str">
            <v>030-90-020</v>
          </cell>
          <cell r="B241" t="str">
            <v>PREPAYMENTS (EXPENSES)</v>
          </cell>
          <cell r="C241">
            <v>0</v>
          </cell>
          <cell r="D241">
            <v>0</v>
          </cell>
          <cell r="E241">
            <v>0</v>
          </cell>
          <cell r="F241">
            <v>0</v>
          </cell>
          <cell r="G241">
            <v>0</v>
          </cell>
          <cell r="H241">
            <v>0</v>
          </cell>
        </row>
        <row r="242">
          <cell r="A242" t="str">
            <v>040-10-010</v>
          </cell>
          <cell r="B242" t="str">
            <v>SHELTER AFRIQUE</v>
          </cell>
          <cell r="C242">
            <v>2500000</v>
          </cell>
          <cell r="D242">
            <v>-2500000</v>
          </cell>
          <cell r="E242">
            <v>0</v>
          </cell>
          <cell r="F242">
            <v>0</v>
          </cell>
          <cell r="G242">
            <v>0</v>
          </cell>
          <cell r="H242">
            <v>0</v>
          </cell>
        </row>
        <row r="243">
          <cell r="A243" t="str">
            <v>040-10-020</v>
          </cell>
          <cell r="B243" t="str">
            <v>E.A.DEVELOPMENT BAK</v>
          </cell>
          <cell r="C243">
            <v>6500000</v>
          </cell>
          <cell r="D243">
            <v>0</v>
          </cell>
          <cell r="E243">
            <v>6500000</v>
          </cell>
          <cell r="F243">
            <v>6500000</v>
          </cell>
          <cell r="G243">
            <v>0</v>
          </cell>
          <cell r="H243">
            <v>6500000</v>
          </cell>
        </row>
        <row r="244">
          <cell r="A244" t="str">
            <v>040-10-030</v>
          </cell>
          <cell r="B244" t="str">
            <v>SAFARICOM</v>
          </cell>
          <cell r="C244">
            <v>11700000</v>
          </cell>
          <cell r="D244">
            <v>0</v>
          </cell>
          <cell r="E244">
            <v>11700000</v>
          </cell>
          <cell r="F244">
            <v>11700000</v>
          </cell>
          <cell r="G244">
            <v>0</v>
          </cell>
          <cell r="H244">
            <v>11700000</v>
          </cell>
        </row>
        <row r="245">
          <cell r="A245" t="str">
            <v>040-10-040</v>
          </cell>
          <cell r="B245" t="str">
            <v>KENYA OIL LTD</v>
          </cell>
          <cell r="C245">
            <v>12000000</v>
          </cell>
          <cell r="D245">
            <v>-4000000</v>
          </cell>
          <cell r="E245">
            <v>8000000</v>
          </cell>
          <cell r="F245">
            <v>8000000</v>
          </cell>
          <cell r="G245">
            <v>0</v>
          </cell>
          <cell r="H245">
            <v>8000000</v>
          </cell>
        </row>
        <row r="246">
          <cell r="A246" t="str">
            <v>040-10-050</v>
          </cell>
          <cell r="B246" t="str">
            <v>MABATI ROLLING MILLS</v>
          </cell>
          <cell r="C246">
            <v>15000000</v>
          </cell>
          <cell r="D246">
            <v>0</v>
          </cell>
          <cell r="E246">
            <v>15000000</v>
          </cell>
          <cell r="F246">
            <v>15000000</v>
          </cell>
          <cell r="G246">
            <v>0</v>
          </cell>
          <cell r="H246">
            <v>15000000</v>
          </cell>
        </row>
        <row r="247">
          <cell r="A247" t="str">
            <v>040-15-010</v>
          </cell>
          <cell r="B247" t="str">
            <v>KENOL</v>
          </cell>
          <cell r="C247">
            <v>1000000</v>
          </cell>
          <cell r="D247">
            <v>3000000</v>
          </cell>
          <cell r="E247">
            <v>4000000</v>
          </cell>
          <cell r="F247">
            <v>4000000</v>
          </cell>
          <cell r="G247">
            <v>0</v>
          </cell>
          <cell r="H247">
            <v>4000000</v>
          </cell>
        </row>
        <row r="248">
          <cell r="A248" t="str">
            <v>050-10-010</v>
          </cell>
          <cell r="B248" t="str">
            <v>TRADE CREDITORS CONTROL ACCOUNT</v>
          </cell>
          <cell r="C248">
            <v>-1369203.27</v>
          </cell>
          <cell r="D248">
            <v>1213152.53</v>
          </cell>
          <cell r="E248">
            <v>-156050.74</v>
          </cell>
          <cell r="F248">
            <v>-156050.74</v>
          </cell>
          <cell r="G248">
            <v>0</v>
          </cell>
          <cell r="H248">
            <v>-156050.74</v>
          </cell>
        </row>
        <row r="249">
          <cell r="A249" t="str">
            <v>050-10-020</v>
          </cell>
          <cell r="B249" t="str">
            <v>STALE CHEQUES BBK NAIROBI</v>
          </cell>
          <cell r="C249">
            <v>-4780875.08</v>
          </cell>
          <cell r="D249">
            <v>413837.6</v>
          </cell>
          <cell r="E249">
            <v>-4367037.4800000004</v>
          </cell>
          <cell r="F249">
            <v>-4367037.4800000004</v>
          </cell>
          <cell r="G249">
            <v>0</v>
          </cell>
          <cell r="H249">
            <v>-4367037.4800000004</v>
          </cell>
        </row>
        <row r="250">
          <cell r="A250" t="str">
            <v>050-10-030</v>
          </cell>
          <cell r="B250" t="str">
            <v>STALE CHEQUES BBK MOMBASA</v>
          </cell>
          <cell r="C250">
            <v>-457200.75</v>
          </cell>
          <cell r="D250">
            <v>28912</v>
          </cell>
          <cell r="E250">
            <v>-428288.75</v>
          </cell>
          <cell r="F250">
            <v>-428288.75</v>
          </cell>
          <cell r="G250">
            <v>0</v>
          </cell>
          <cell r="H250">
            <v>-428288.75</v>
          </cell>
        </row>
        <row r="251">
          <cell r="A251" t="str">
            <v>050-10-040</v>
          </cell>
          <cell r="B251" t="str">
            <v>STALE CHEQUES CBA</v>
          </cell>
          <cell r="C251">
            <v>-83603.399999999994</v>
          </cell>
          <cell r="D251">
            <v>16281</v>
          </cell>
          <cell r="E251">
            <v>-67322.399999999994</v>
          </cell>
          <cell r="F251">
            <v>-67322.399999999994</v>
          </cell>
          <cell r="G251">
            <v>0</v>
          </cell>
          <cell r="H251">
            <v>-67322.399999999994</v>
          </cell>
        </row>
        <row r="252">
          <cell r="A252" t="str">
            <v>050-10-050</v>
          </cell>
          <cell r="B252" t="str">
            <v>STALE CHEQUES BANK INDOSUEZ</v>
          </cell>
          <cell r="C252">
            <v>-162810.29999999999</v>
          </cell>
          <cell r="D252">
            <v>0</v>
          </cell>
          <cell r="E252">
            <v>-162810.29999999999</v>
          </cell>
          <cell r="F252">
            <v>-162810.29999999999</v>
          </cell>
          <cell r="G252">
            <v>0</v>
          </cell>
          <cell r="H252">
            <v>-162810.29999999999</v>
          </cell>
        </row>
        <row r="253">
          <cell r="A253" t="str">
            <v>050-10-060</v>
          </cell>
          <cell r="B253" t="str">
            <v>STALE CHEQUES 5776793</v>
          </cell>
          <cell r="C253">
            <v>-190190</v>
          </cell>
          <cell r="D253">
            <v>0</v>
          </cell>
          <cell r="E253">
            <v>-190190</v>
          </cell>
          <cell r="F253">
            <v>-190190</v>
          </cell>
          <cell r="G253">
            <v>0</v>
          </cell>
          <cell r="H253">
            <v>-190190</v>
          </cell>
        </row>
        <row r="254">
          <cell r="A254" t="str">
            <v>050-20-010</v>
          </cell>
          <cell r="B254" t="str">
            <v>REINSURANCE PREMIUM TAX</v>
          </cell>
          <cell r="C254">
            <v>-8153.07</v>
          </cell>
          <cell r="D254">
            <v>0</v>
          </cell>
          <cell r="E254">
            <v>-8153.07</v>
          </cell>
          <cell r="F254">
            <v>-8153.07</v>
          </cell>
          <cell r="G254">
            <v>0</v>
          </cell>
          <cell r="H254">
            <v>-8153.07</v>
          </cell>
        </row>
        <row r="255">
          <cell r="A255" t="str">
            <v>050-20-020</v>
          </cell>
          <cell r="B255" t="str">
            <v>REINSURANCE CREDITORS(GROUP LIFE)</v>
          </cell>
          <cell r="C255">
            <v>683810.36</v>
          </cell>
          <cell r="D255">
            <v>-4799919.29</v>
          </cell>
          <cell r="E255">
            <v>-4116108.93</v>
          </cell>
          <cell r="F255">
            <v>-4116108.93</v>
          </cell>
          <cell r="G255">
            <v>0</v>
          </cell>
          <cell r="H255">
            <v>-4116108.93</v>
          </cell>
        </row>
        <row r="256">
          <cell r="A256" t="str">
            <v>050-20-030</v>
          </cell>
          <cell r="B256" t="str">
            <v>REINSURANCE DEBTORS (GROUP LIFE)</v>
          </cell>
          <cell r="C256">
            <v>21117546.629999999</v>
          </cell>
          <cell r="D256">
            <v>15123352.289999999</v>
          </cell>
          <cell r="E256">
            <v>36240898.920000002</v>
          </cell>
          <cell r="F256">
            <v>36240898.920000002</v>
          </cell>
          <cell r="G256">
            <v>0</v>
          </cell>
          <cell r="H256">
            <v>36240898.920000002</v>
          </cell>
        </row>
        <row r="257">
          <cell r="A257" t="str">
            <v>050-20-040</v>
          </cell>
          <cell r="B257" t="str">
            <v>REINSURANCE CREDITORS(INDIVIDUAL LIFE)</v>
          </cell>
          <cell r="C257">
            <v>-329522.44</v>
          </cell>
          <cell r="D257">
            <v>-200790.66</v>
          </cell>
          <cell r="E257">
            <v>-530313.1</v>
          </cell>
          <cell r="F257">
            <v>-530313.1</v>
          </cell>
          <cell r="G257">
            <v>0</v>
          </cell>
          <cell r="H257">
            <v>-530313.1</v>
          </cell>
        </row>
        <row r="258">
          <cell r="A258" t="str">
            <v>050-20-050</v>
          </cell>
          <cell r="B258" t="str">
            <v>REINSURANCE DEBTORS (INDIVIDUAL LIFE)</v>
          </cell>
          <cell r="C258">
            <v>0</v>
          </cell>
          <cell r="D258">
            <v>0</v>
          </cell>
          <cell r="E258">
            <v>0</v>
          </cell>
          <cell r="F258">
            <v>0</v>
          </cell>
          <cell r="G258">
            <v>0</v>
          </cell>
          <cell r="H258">
            <v>0</v>
          </cell>
        </row>
        <row r="259">
          <cell r="A259" t="str">
            <v>050-30-010</v>
          </cell>
          <cell r="B259" t="str">
            <v>O/S MATURITY CLAIMS (FULL MATURITY)</v>
          </cell>
          <cell r="C259">
            <v>-13979975.6</v>
          </cell>
          <cell r="D259">
            <v>317788.05</v>
          </cell>
          <cell r="E259">
            <v>-13662187.550000001</v>
          </cell>
          <cell r="F259">
            <v>-13662187.550000001</v>
          </cell>
          <cell r="G259">
            <v>0</v>
          </cell>
          <cell r="H259">
            <v>-13662187.550000001</v>
          </cell>
        </row>
        <row r="260">
          <cell r="A260" t="str">
            <v>050-30-020</v>
          </cell>
          <cell r="B260" t="str">
            <v>O/S MATURITY CLAIMS ENDOWNMENT</v>
          </cell>
          <cell r="C260">
            <v>-3651288.45</v>
          </cell>
          <cell r="D260">
            <v>38548.21</v>
          </cell>
          <cell r="E260">
            <v>-3612740.24</v>
          </cell>
          <cell r="F260">
            <v>-3612740.24</v>
          </cell>
          <cell r="G260">
            <v>0</v>
          </cell>
          <cell r="H260">
            <v>-3612740.24</v>
          </cell>
        </row>
        <row r="261">
          <cell r="A261" t="str">
            <v>050-30-030</v>
          </cell>
          <cell r="B261" t="str">
            <v>O/S DEATH CLAIMS -ORDINARY LIFE</v>
          </cell>
          <cell r="C261">
            <v>-28072596.449999999</v>
          </cell>
          <cell r="D261">
            <v>164147.9</v>
          </cell>
          <cell r="E261">
            <v>-27908448.550000001</v>
          </cell>
          <cell r="F261">
            <v>-27908448.550000001</v>
          </cell>
          <cell r="G261">
            <v>0</v>
          </cell>
          <cell r="H261">
            <v>-27908448.550000001</v>
          </cell>
        </row>
        <row r="262">
          <cell r="A262" t="str">
            <v>050-30-040</v>
          </cell>
          <cell r="B262" t="str">
            <v>O/S CASH SURRENDER VALUE</v>
          </cell>
          <cell r="C262">
            <v>0</v>
          </cell>
          <cell r="D262">
            <v>0</v>
          </cell>
          <cell r="E262">
            <v>0</v>
          </cell>
          <cell r="F262">
            <v>0</v>
          </cell>
          <cell r="G262">
            <v>0</v>
          </cell>
          <cell r="H262">
            <v>0</v>
          </cell>
        </row>
        <row r="263">
          <cell r="A263" t="str">
            <v>050-30-050</v>
          </cell>
          <cell r="B263" t="str">
            <v>O/S ANNUITY CLAIMS</v>
          </cell>
          <cell r="C263">
            <v>-6186590.4000000004</v>
          </cell>
          <cell r="D263">
            <v>-50617.45</v>
          </cell>
          <cell r="E263">
            <v>-6237207.8499999996</v>
          </cell>
          <cell r="F263">
            <v>-6237207.8499999996</v>
          </cell>
          <cell r="G263">
            <v>0</v>
          </cell>
          <cell r="H263">
            <v>-6237207.8499999996</v>
          </cell>
        </row>
        <row r="264">
          <cell r="A264" t="str">
            <v>050-30-060</v>
          </cell>
          <cell r="B264" t="str">
            <v>O/S DEATH -TANZANIA</v>
          </cell>
          <cell r="C264">
            <v>-13031.61</v>
          </cell>
          <cell r="D264">
            <v>0</v>
          </cell>
          <cell r="E264">
            <v>-13031.61</v>
          </cell>
          <cell r="F264">
            <v>-13031.61</v>
          </cell>
          <cell r="G264">
            <v>0</v>
          </cell>
          <cell r="H264">
            <v>-13031.61</v>
          </cell>
        </row>
        <row r="265">
          <cell r="A265" t="str">
            <v>050-30-070</v>
          </cell>
          <cell r="B265" t="str">
            <v>O/S MATIRITY CLAIMS-TANZANIA</v>
          </cell>
          <cell r="C265">
            <v>-569049.39</v>
          </cell>
          <cell r="D265">
            <v>0</v>
          </cell>
          <cell r="E265">
            <v>-569049.39</v>
          </cell>
          <cell r="F265">
            <v>-569049.39</v>
          </cell>
          <cell r="G265">
            <v>0</v>
          </cell>
          <cell r="H265">
            <v>-569049.39</v>
          </cell>
        </row>
        <row r="266">
          <cell r="A266" t="str">
            <v>050-30-080</v>
          </cell>
          <cell r="B266" t="str">
            <v>O/S FFFP DEATH CLAIMS</v>
          </cell>
          <cell r="C266">
            <v>-54000</v>
          </cell>
          <cell r="D266">
            <v>-37000</v>
          </cell>
          <cell r="E266">
            <v>-91000</v>
          </cell>
          <cell r="F266">
            <v>-91000</v>
          </cell>
          <cell r="G266">
            <v>0</v>
          </cell>
          <cell r="H266">
            <v>-91000</v>
          </cell>
        </row>
        <row r="267">
          <cell r="A267" t="str">
            <v>050-30-090</v>
          </cell>
          <cell r="B267" t="str">
            <v>O/S WP CLAIMS</v>
          </cell>
          <cell r="C267">
            <v>-457500</v>
          </cell>
          <cell r="D267">
            <v>-155000</v>
          </cell>
          <cell r="E267">
            <v>-612500</v>
          </cell>
          <cell r="F267">
            <v>-612500</v>
          </cell>
          <cell r="G267">
            <v>0</v>
          </cell>
          <cell r="H267">
            <v>-612500</v>
          </cell>
        </row>
        <row r="268">
          <cell r="A268" t="str">
            <v>050-40-010</v>
          </cell>
          <cell r="B268" t="str">
            <v>PAYROLL CREDITORS</v>
          </cell>
          <cell r="C268">
            <v>-144975.07999999999</v>
          </cell>
          <cell r="D268">
            <v>144975.07999999999</v>
          </cell>
          <cell r="E268">
            <v>0</v>
          </cell>
          <cell r="F268">
            <v>0</v>
          </cell>
          <cell r="G268">
            <v>0</v>
          </cell>
          <cell r="H268">
            <v>0</v>
          </cell>
        </row>
        <row r="269">
          <cell r="A269" t="str">
            <v>050-40-020</v>
          </cell>
          <cell r="B269" t="str">
            <v>NET PAY</v>
          </cell>
          <cell r="C269">
            <v>-42879.56</v>
          </cell>
          <cell r="D269">
            <v>42879.559999999939</v>
          </cell>
          <cell r="E269">
            <v>0</v>
          </cell>
          <cell r="F269">
            <v>0</v>
          </cell>
          <cell r="G269">
            <v>0</v>
          </cell>
          <cell r="H269">
            <v>0</v>
          </cell>
        </row>
        <row r="270">
          <cell r="A270" t="str">
            <v>050-40-030</v>
          </cell>
          <cell r="B270" t="str">
            <v>NSSF &amp; NHIF</v>
          </cell>
          <cell r="C270">
            <v>-53120</v>
          </cell>
          <cell r="D270">
            <v>53120</v>
          </cell>
          <cell r="E270">
            <v>0</v>
          </cell>
          <cell r="F270">
            <v>0</v>
          </cell>
          <cell r="G270">
            <v>0</v>
          </cell>
          <cell r="H270">
            <v>0</v>
          </cell>
        </row>
        <row r="271">
          <cell r="A271" t="str">
            <v>050-40-040</v>
          </cell>
          <cell r="B271" t="str">
            <v>PAYE</v>
          </cell>
          <cell r="C271">
            <v>-1495627</v>
          </cell>
          <cell r="D271">
            <v>1296923</v>
          </cell>
          <cell r="E271">
            <v>-198704</v>
          </cell>
          <cell r="F271">
            <v>-198704</v>
          </cell>
          <cell r="G271">
            <v>0</v>
          </cell>
          <cell r="H271">
            <v>-198704</v>
          </cell>
        </row>
        <row r="272">
          <cell r="A272" t="str">
            <v>050-40-050</v>
          </cell>
          <cell r="B272" t="str">
            <v>PENSION FUND</v>
          </cell>
          <cell r="C272">
            <v>53635.5</v>
          </cell>
          <cell r="D272">
            <v>-53635.5</v>
          </cell>
          <cell r="E272">
            <v>0</v>
          </cell>
          <cell r="F272">
            <v>0</v>
          </cell>
          <cell r="G272">
            <v>0</v>
          </cell>
          <cell r="H272">
            <v>0</v>
          </cell>
        </row>
        <row r="273">
          <cell r="A273" t="str">
            <v>050-40-060</v>
          </cell>
          <cell r="B273" t="str">
            <v>STAFF CO-OPERATIVES</v>
          </cell>
          <cell r="C273">
            <v>-577288.55000000005</v>
          </cell>
          <cell r="D273">
            <v>577288.55000000005</v>
          </cell>
          <cell r="E273">
            <v>0</v>
          </cell>
          <cell r="F273">
            <v>0</v>
          </cell>
          <cell r="G273">
            <v>0</v>
          </cell>
          <cell r="H273">
            <v>0</v>
          </cell>
        </row>
        <row r="274">
          <cell r="A274" t="str">
            <v>050-40-070</v>
          </cell>
          <cell r="B274" t="str">
            <v>GRATUITY</v>
          </cell>
          <cell r="C274">
            <v>-5961263.5499999998</v>
          </cell>
          <cell r="D274">
            <v>-462020.1</v>
          </cell>
          <cell r="E274">
            <v>-6423283.6500000004</v>
          </cell>
          <cell r="F274">
            <v>-6423283.6500000004</v>
          </cell>
          <cell r="G274">
            <v>0</v>
          </cell>
          <cell r="H274">
            <v>-6423283.6500000004</v>
          </cell>
        </row>
        <row r="275">
          <cell r="A275" t="str">
            <v>050-40-080</v>
          </cell>
          <cell r="B275" t="str">
            <v>AGENTS PAYROLL CREDITORS</v>
          </cell>
          <cell r="C275">
            <v>-160418</v>
          </cell>
          <cell r="D275">
            <v>160418</v>
          </cell>
          <cell r="E275">
            <v>0</v>
          </cell>
          <cell r="F275">
            <v>0</v>
          </cell>
          <cell r="G275">
            <v>0</v>
          </cell>
          <cell r="H275">
            <v>0</v>
          </cell>
        </row>
        <row r="276">
          <cell r="A276" t="str">
            <v>050-40-090</v>
          </cell>
          <cell r="B276" t="str">
            <v>AGENTS SACCO CONTRIBUTIONS</v>
          </cell>
          <cell r="C276">
            <v>-1341845.75</v>
          </cell>
          <cell r="D276">
            <v>1341845.6499999999</v>
          </cell>
          <cell r="E276">
            <v>-0.10000000009313226</v>
          </cell>
          <cell r="F276">
            <v>-0.1</v>
          </cell>
          <cell r="G276">
            <v>0</v>
          </cell>
          <cell r="H276">
            <v>-0.1</v>
          </cell>
        </row>
        <row r="277">
          <cell r="A277" t="str">
            <v>050-40-100</v>
          </cell>
          <cell r="B277" t="str">
            <v>AGENTS PENSION FUND</v>
          </cell>
          <cell r="C277">
            <v>-2094029.73</v>
          </cell>
          <cell r="D277">
            <v>2094029.73</v>
          </cell>
          <cell r="E277">
            <v>0</v>
          </cell>
          <cell r="F277">
            <v>0</v>
          </cell>
          <cell r="G277">
            <v>0</v>
          </cell>
          <cell r="H277">
            <v>0</v>
          </cell>
        </row>
        <row r="278">
          <cell r="A278" t="str">
            <v>050-40-110</v>
          </cell>
          <cell r="B278" t="str">
            <v>KNIGHT FRANK</v>
          </cell>
          <cell r="C278">
            <v>-180000</v>
          </cell>
          <cell r="D278">
            <v>180000</v>
          </cell>
          <cell r="E278">
            <v>0</v>
          </cell>
          <cell r="F278">
            <v>0</v>
          </cell>
          <cell r="G278">
            <v>0</v>
          </cell>
          <cell r="H278">
            <v>0</v>
          </cell>
        </row>
        <row r="279">
          <cell r="A279" t="str">
            <v>050-40-115</v>
          </cell>
          <cell r="B279" t="str">
            <v>RETAINED COMMISSION</v>
          </cell>
          <cell r="C279">
            <v>0</v>
          </cell>
          <cell r="D279">
            <v>-2346829.02</v>
          </cell>
          <cell r="E279">
            <v>-2346829.02</v>
          </cell>
          <cell r="F279">
            <v>-2346829.02</v>
          </cell>
          <cell r="G279">
            <v>0</v>
          </cell>
          <cell r="H279">
            <v>-2346829.02</v>
          </cell>
        </row>
        <row r="280">
          <cell r="A280" t="str">
            <v>050-50-010</v>
          </cell>
          <cell r="B280" t="str">
            <v>LEASE LEGAL FEE</v>
          </cell>
          <cell r="C280">
            <v>-1531101.4</v>
          </cell>
          <cell r="D280">
            <v>0</v>
          </cell>
          <cell r="E280">
            <v>-1531101.4</v>
          </cell>
          <cell r="F280">
            <v>-1531101.4</v>
          </cell>
          <cell r="G280">
            <v>0</v>
          </cell>
          <cell r="H280">
            <v>-1531101.4</v>
          </cell>
        </row>
        <row r="281">
          <cell r="A281" t="str">
            <v>050-50-020</v>
          </cell>
          <cell r="B281" t="str">
            <v>OUTPUT VAT</v>
          </cell>
          <cell r="C281">
            <v>0</v>
          </cell>
          <cell r="D281">
            <v>0</v>
          </cell>
          <cell r="E281">
            <v>0</v>
          </cell>
          <cell r="F281">
            <v>0</v>
          </cell>
          <cell r="G281">
            <v>0</v>
          </cell>
          <cell r="H281">
            <v>0</v>
          </cell>
        </row>
        <row r="282">
          <cell r="A282" t="str">
            <v>050-50-030</v>
          </cell>
          <cell r="B282" t="str">
            <v>DEPOSITS RECEIVED (BUILDINGS)</v>
          </cell>
          <cell r="C282">
            <v>-7279590.5</v>
          </cell>
          <cell r="D282">
            <v>0</v>
          </cell>
          <cell r="E282">
            <v>-7279590.5</v>
          </cell>
          <cell r="F282">
            <v>-7279590.5</v>
          </cell>
          <cell r="G282">
            <v>0</v>
          </cell>
          <cell r="H282">
            <v>-7279590.5</v>
          </cell>
        </row>
        <row r="283">
          <cell r="A283" t="str">
            <v>050-50-040</v>
          </cell>
          <cell r="B283" t="str">
            <v>RENT RECIVED IN ADVANCE -ANNUITY</v>
          </cell>
          <cell r="C283">
            <v>-3150000</v>
          </cell>
          <cell r="D283">
            <v>300000</v>
          </cell>
          <cell r="E283">
            <v>-2850000</v>
          </cell>
          <cell r="F283">
            <v>-2850000</v>
          </cell>
          <cell r="G283">
            <v>0</v>
          </cell>
          <cell r="H283">
            <v>-2850000</v>
          </cell>
        </row>
        <row r="284">
          <cell r="A284" t="str">
            <v>050-60-010</v>
          </cell>
          <cell r="B284" t="str">
            <v>AUDIT FEES</v>
          </cell>
          <cell r="C284">
            <v>-1113008</v>
          </cell>
          <cell r="D284">
            <v>-742992</v>
          </cell>
          <cell r="E284">
            <v>-1856000</v>
          </cell>
          <cell r="F284">
            <v>-1856000</v>
          </cell>
          <cell r="G284">
            <v>0</v>
          </cell>
          <cell r="H284">
            <v>-1856000</v>
          </cell>
        </row>
        <row r="285">
          <cell r="A285" t="str">
            <v>050-60-020</v>
          </cell>
          <cell r="B285" t="str">
            <v>ACTUARIAL FEES</v>
          </cell>
          <cell r="C285">
            <v>-4532081.84</v>
          </cell>
          <cell r="D285">
            <v>1217078.29</v>
          </cell>
          <cell r="E285">
            <v>-3315003.55</v>
          </cell>
          <cell r="F285">
            <v>-3315003.55</v>
          </cell>
          <cell r="G285">
            <v>0</v>
          </cell>
          <cell r="H285">
            <v>-3315003.55</v>
          </cell>
        </row>
        <row r="286">
          <cell r="A286" t="str">
            <v>050-60-030</v>
          </cell>
          <cell r="B286" t="str">
            <v>CASH IN LIEU OF LEAVE</v>
          </cell>
          <cell r="C286">
            <v>-4441719.2</v>
          </cell>
          <cell r="D286">
            <v>1034421.73</v>
          </cell>
          <cell r="E286">
            <v>-3407297.47</v>
          </cell>
          <cell r="F286">
            <v>-3407297.47</v>
          </cell>
          <cell r="G286">
            <v>0</v>
          </cell>
          <cell r="H286">
            <v>-3407297.47</v>
          </cell>
        </row>
        <row r="287">
          <cell r="A287" t="str">
            <v>050-60-040</v>
          </cell>
          <cell r="B287" t="str">
            <v>RETRECHMENT COSTS</v>
          </cell>
          <cell r="C287">
            <v>0</v>
          </cell>
          <cell r="D287">
            <v>0</v>
          </cell>
          <cell r="E287">
            <v>0</v>
          </cell>
          <cell r="F287">
            <v>0</v>
          </cell>
          <cell r="G287">
            <v>0</v>
          </cell>
          <cell r="H287">
            <v>0</v>
          </cell>
        </row>
        <row r="288">
          <cell r="A288" t="str">
            <v>050-60-050</v>
          </cell>
          <cell r="B288" t="str">
            <v>OTHERS ACCRUALS</v>
          </cell>
          <cell r="C288">
            <v>-354700</v>
          </cell>
          <cell r="D288">
            <v>-350950</v>
          </cell>
          <cell r="E288">
            <v>-705650</v>
          </cell>
          <cell r="F288">
            <v>-705650</v>
          </cell>
          <cell r="G288">
            <v>0</v>
          </cell>
          <cell r="H288">
            <v>-705650</v>
          </cell>
        </row>
        <row r="289">
          <cell r="A289" t="str">
            <v>050-60-060</v>
          </cell>
          <cell r="B289" t="str">
            <v>AIG MANAGEMENT FEES</v>
          </cell>
          <cell r="C289">
            <v>-395024.75</v>
          </cell>
          <cell r="D289">
            <v>-26331.05</v>
          </cell>
          <cell r="E289">
            <v>-421355.8</v>
          </cell>
          <cell r="F289">
            <v>-421355.8</v>
          </cell>
          <cell r="G289">
            <v>0</v>
          </cell>
          <cell r="H289">
            <v>-421355.8</v>
          </cell>
        </row>
        <row r="290">
          <cell r="A290" t="str">
            <v>050-60-065</v>
          </cell>
          <cell r="B290" t="str">
            <v>CUSTODY FEES</v>
          </cell>
          <cell r="C290">
            <v>0</v>
          </cell>
          <cell r="D290">
            <v>-82806.759999999995</v>
          </cell>
          <cell r="E290">
            <v>-82806.759999999995</v>
          </cell>
          <cell r="F290">
            <v>-82806.759999999995</v>
          </cell>
          <cell r="G290">
            <v>0</v>
          </cell>
          <cell r="H290">
            <v>-82806.759999999995</v>
          </cell>
        </row>
        <row r="291">
          <cell r="A291" t="str">
            <v>050-60-070</v>
          </cell>
          <cell r="B291" t="str">
            <v>AGENCY BALANCES (API)</v>
          </cell>
          <cell r="C291">
            <v>-41793999</v>
          </cell>
          <cell r="D291">
            <v>-42578650</v>
          </cell>
          <cell r="E291">
            <v>-84372649</v>
          </cell>
          <cell r="F291">
            <v>-84372649</v>
          </cell>
          <cell r="G291">
            <v>0.59200000123382779</v>
          </cell>
          <cell r="H291">
            <v>-84372648.407999992</v>
          </cell>
        </row>
        <row r="292">
          <cell r="A292" t="str">
            <v>050-60-075</v>
          </cell>
          <cell r="B292" t="str">
            <v>UNEARNED INTEREST</v>
          </cell>
          <cell r="C292">
            <v>-34461.599999999999</v>
          </cell>
          <cell r="D292">
            <v>-12455.81</v>
          </cell>
          <cell r="E292">
            <v>-46917.41</v>
          </cell>
          <cell r="F292">
            <v>-46917.41</v>
          </cell>
          <cell r="G292">
            <v>0</v>
          </cell>
          <cell r="H292">
            <v>-46917.41</v>
          </cell>
        </row>
        <row r="293">
          <cell r="A293" t="str">
            <v>050-60-080</v>
          </cell>
          <cell r="B293" t="str">
            <v>STAFF BONUS</v>
          </cell>
          <cell r="C293">
            <v>-1802232.06</v>
          </cell>
          <cell r="D293">
            <v>-21197767.940000001</v>
          </cell>
          <cell r="E293">
            <v>-23000000</v>
          </cell>
          <cell r="F293">
            <v>-23000000</v>
          </cell>
          <cell r="G293">
            <v>0</v>
          </cell>
          <cell r="H293">
            <v>-23000000</v>
          </cell>
        </row>
        <row r="294">
          <cell r="A294" t="str">
            <v>050-60-085</v>
          </cell>
          <cell r="B294" t="str">
            <v>TAX</v>
          </cell>
          <cell r="C294">
            <v>-5525524.4000000004</v>
          </cell>
          <cell r="D294">
            <v>-285361.59999999998</v>
          </cell>
          <cell r="E294">
            <v>-5810886</v>
          </cell>
          <cell r="F294">
            <v>-5810886</v>
          </cell>
          <cell r="G294">
            <v>0</v>
          </cell>
          <cell r="H294">
            <v>-5810886</v>
          </cell>
        </row>
        <row r="295">
          <cell r="A295" t="str">
            <v>050-70-010</v>
          </cell>
          <cell r="B295" t="str">
            <v>UNPROCESSED PREMIUM BSO</v>
          </cell>
          <cell r="C295">
            <v>-565923.35</v>
          </cell>
          <cell r="D295">
            <v>565923.35</v>
          </cell>
          <cell r="E295">
            <v>0</v>
          </cell>
          <cell r="F295">
            <v>0</v>
          </cell>
          <cell r="G295">
            <v>0</v>
          </cell>
          <cell r="H295">
            <v>0</v>
          </cell>
        </row>
        <row r="296">
          <cell r="A296" t="str">
            <v>050-70-020</v>
          </cell>
          <cell r="B296" t="str">
            <v>UNPROCESSED PREMIUM GSO</v>
          </cell>
          <cell r="C296">
            <v>-2629745.83</v>
          </cell>
          <cell r="D296">
            <v>2629745.83</v>
          </cell>
          <cell r="E296">
            <v>0</v>
          </cell>
          <cell r="F296">
            <v>0</v>
          </cell>
          <cell r="G296">
            <v>0</v>
          </cell>
          <cell r="H296">
            <v>0</v>
          </cell>
        </row>
        <row r="297">
          <cell r="A297" t="str">
            <v>050-70-030</v>
          </cell>
          <cell r="B297" t="str">
            <v>UNPROCESSED PREMIUM CASH</v>
          </cell>
          <cell r="C297">
            <v>3827718.11</v>
          </cell>
          <cell r="D297">
            <v>-3827718.11</v>
          </cell>
          <cell r="E297">
            <v>0</v>
          </cell>
          <cell r="F297">
            <v>0</v>
          </cell>
          <cell r="G297">
            <v>0</v>
          </cell>
          <cell r="H297">
            <v>0</v>
          </cell>
        </row>
        <row r="298">
          <cell r="A298" t="str">
            <v>050-70-040</v>
          </cell>
          <cell r="B298" t="str">
            <v>UNPROCESSED DD</v>
          </cell>
          <cell r="C298">
            <v>0</v>
          </cell>
          <cell r="D298">
            <v>0</v>
          </cell>
          <cell r="E298">
            <v>0</v>
          </cell>
          <cell r="F298">
            <v>0</v>
          </cell>
          <cell r="G298">
            <v>0</v>
          </cell>
          <cell r="H298">
            <v>0</v>
          </cell>
        </row>
        <row r="299">
          <cell r="A299" t="str">
            <v>050-70-050</v>
          </cell>
          <cell r="B299" t="str">
            <v>UNALLOCATED PREMIUMS</v>
          </cell>
          <cell r="C299">
            <v>-7981120.8700000001</v>
          </cell>
          <cell r="D299">
            <v>-14299950.67</v>
          </cell>
          <cell r="E299">
            <v>-22281071.539999999</v>
          </cell>
          <cell r="F299">
            <v>-22281071.539999999</v>
          </cell>
          <cell r="G299">
            <v>0</v>
          </cell>
          <cell r="H299">
            <v>-22281071.539999999</v>
          </cell>
        </row>
        <row r="300">
          <cell r="A300" t="str">
            <v>050-70-060</v>
          </cell>
          <cell r="B300" t="str">
            <v>POLICY SUSPENSE</v>
          </cell>
          <cell r="C300">
            <v>0</v>
          </cell>
          <cell r="D300">
            <v>0</v>
          </cell>
          <cell r="E300">
            <v>0</v>
          </cell>
          <cell r="F300">
            <v>0</v>
          </cell>
          <cell r="G300">
            <v>0</v>
          </cell>
          <cell r="H300">
            <v>0</v>
          </cell>
        </row>
        <row r="301">
          <cell r="A301" t="str">
            <v>050-80-010</v>
          </cell>
          <cell r="B301" t="str">
            <v>AGENTS W/TAX</v>
          </cell>
          <cell r="C301">
            <v>-1562232.9</v>
          </cell>
          <cell r="D301">
            <v>1562232.9</v>
          </cell>
          <cell r="E301">
            <v>0</v>
          </cell>
          <cell r="F301">
            <v>0</v>
          </cell>
          <cell r="G301">
            <v>0</v>
          </cell>
          <cell r="H301">
            <v>0</v>
          </cell>
        </row>
        <row r="302">
          <cell r="A302" t="str">
            <v>050-80-020</v>
          </cell>
          <cell r="B302" t="str">
            <v>PROVISION FOR EXPENSES</v>
          </cell>
          <cell r="C302">
            <v>-229446.35</v>
          </cell>
          <cell r="D302">
            <v>-9625259.9800000004</v>
          </cell>
          <cell r="E302">
            <v>-9854706.3300000001</v>
          </cell>
          <cell r="F302">
            <v>-9188706.3300000001</v>
          </cell>
          <cell r="G302">
            <v>0</v>
          </cell>
          <cell r="H302">
            <v>-9188706.3300000001</v>
          </cell>
        </row>
        <row r="303">
          <cell r="A303" t="str">
            <v>050-80-030</v>
          </cell>
          <cell r="B303" t="str">
            <v>HOLDINGS  LOANS BALANCES</v>
          </cell>
          <cell r="C303">
            <v>-1384362.8</v>
          </cell>
          <cell r="D303">
            <v>0</v>
          </cell>
          <cell r="E303">
            <v>-1384362.8</v>
          </cell>
          <cell r="F303">
            <v>-1384362.8</v>
          </cell>
          <cell r="G303">
            <v>0</v>
          </cell>
          <cell r="H303">
            <v>-1384362.8</v>
          </cell>
        </row>
        <row r="304">
          <cell r="A304" t="str">
            <v>050-90-010</v>
          </cell>
          <cell r="B304" t="str">
            <v>PAN AFRICA HOUSE</v>
          </cell>
          <cell r="C304">
            <v>0</v>
          </cell>
          <cell r="D304">
            <v>0</v>
          </cell>
          <cell r="E304">
            <v>0</v>
          </cell>
          <cell r="F304">
            <v>0</v>
          </cell>
          <cell r="G304">
            <v>0</v>
          </cell>
          <cell r="H304">
            <v>0</v>
          </cell>
        </row>
        <row r="305">
          <cell r="A305" t="str">
            <v>050-90-020</v>
          </cell>
          <cell r="B305" t="str">
            <v>LORESHO RIDGE</v>
          </cell>
          <cell r="C305">
            <v>0</v>
          </cell>
          <cell r="D305">
            <v>0</v>
          </cell>
          <cell r="E305">
            <v>0</v>
          </cell>
          <cell r="F305">
            <v>0</v>
          </cell>
          <cell r="G305">
            <v>0</v>
          </cell>
          <cell r="H305">
            <v>0</v>
          </cell>
        </row>
        <row r="306">
          <cell r="A306" t="str">
            <v>050-90-030</v>
          </cell>
          <cell r="B306" t="str">
            <v>RETREAT VILLAS</v>
          </cell>
          <cell r="C306">
            <v>0</v>
          </cell>
          <cell r="D306">
            <v>0</v>
          </cell>
          <cell r="E306">
            <v>0</v>
          </cell>
          <cell r="F306">
            <v>0</v>
          </cell>
          <cell r="G306">
            <v>0</v>
          </cell>
          <cell r="H306">
            <v>0</v>
          </cell>
        </row>
        <row r="307">
          <cell r="A307" t="str">
            <v>050-90-040</v>
          </cell>
          <cell r="B307" t="str">
            <v>AMBALAL HOUSE</v>
          </cell>
          <cell r="C307">
            <v>0</v>
          </cell>
          <cell r="D307">
            <v>0</v>
          </cell>
          <cell r="E307">
            <v>0</v>
          </cell>
          <cell r="F307">
            <v>0</v>
          </cell>
          <cell r="G307">
            <v>0</v>
          </cell>
          <cell r="H307">
            <v>0</v>
          </cell>
        </row>
        <row r="308">
          <cell r="A308" t="str">
            <v>060-10-010</v>
          </cell>
          <cell r="B308" t="str">
            <v>ALA -PAIC (DUE FROM)</v>
          </cell>
          <cell r="C308">
            <v>2697213.36</v>
          </cell>
          <cell r="D308">
            <v>-113465</v>
          </cell>
          <cell r="E308">
            <v>2583748.36</v>
          </cell>
          <cell r="F308">
            <v>2583748.36</v>
          </cell>
          <cell r="G308">
            <v>0</v>
          </cell>
          <cell r="H308">
            <v>2583748.36</v>
          </cell>
        </row>
        <row r="309">
          <cell r="A309" t="str">
            <v>060-10-020</v>
          </cell>
          <cell r="B309" t="str">
            <v>ALA -PAIC (DUE TO)</v>
          </cell>
          <cell r="C309">
            <v>-18443584.550000001</v>
          </cell>
          <cell r="D309">
            <v>-820821</v>
          </cell>
          <cell r="E309">
            <v>-19264405.550000001</v>
          </cell>
          <cell r="F309">
            <v>-19264405.550000001</v>
          </cell>
          <cell r="G309">
            <v>5128477.8499999996</v>
          </cell>
          <cell r="H309">
            <v>-14135927.700000001</v>
          </cell>
        </row>
        <row r="310">
          <cell r="A310" t="str">
            <v>060-10-030</v>
          </cell>
          <cell r="B310" t="str">
            <v>PIAC GENERAL (ALA CHARGES)</v>
          </cell>
          <cell r="C310">
            <v>4271001.8499999996</v>
          </cell>
          <cell r="D310">
            <v>0</v>
          </cell>
          <cell r="E310">
            <v>4271001.8499999996</v>
          </cell>
          <cell r="F310">
            <v>4271001.8499999996</v>
          </cell>
          <cell r="G310">
            <v>-5128477.8499999996</v>
          </cell>
          <cell r="H310">
            <v>-857476</v>
          </cell>
        </row>
        <row r="311">
          <cell r="A311" t="str">
            <v>060-10-040</v>
          </cell>
          <cell r="B311" t="str">
            <v>PAIC GENERAL ACCOUNT</v>
          </cell>
          <cell r="C311">
            <v>0</v>
          </cell>
          <cell r="D311">
            <v>0</v>
          </cell>
          <cell r="E311">
            <v>0</v>
          </cell>
          <cell r="F311">
            <v>0</v>
          </cell>
          <cell r="G311">
            <v>0</v>
          </cell>
          <cell r="H311">
            <v>0</v>
          </cell>
        </row>
        <row r="312">
          <cell r="A312" t="str">
            <v>060-10-050</v>
          </cell>
          <cell r="B312" t="str">
            <v>TANZANIA ACCOUNT</v>
          </cell>
          <cell r="C312">
            <v>30750</v>
          </cell>
          <cell r="D312">
            <v>0</v>
          </cell>
          <cell r="E312">
            <v>30750</v>
          </cell>
          <cell r="F312">
            <v>30750</v>
          </cell>
          <cell r="G312">
            <v>0</v>
          </cell>
          <cell r="H312">
            <v>30750</v>
          </cell>
        </row>
        <row r="313">
          <cell r="A313" t="str">
            <v>060-10-060</v>
          </cell>
          <cell r="B313" t="str">
            <v>EXECUTIVE DIRECTOR ACCOUNT</v>
          </cell>
          <cell r="C313">
            <v>-71406.77</v>
          </cell>
          <cell r="D313">
            <v>-9064.1</v>
          </cell>
          <cell r="E313">
            <v>-80470.87</v>
          </cell>
          <cell r="F313">
            <v>-80470.87</v>
          </cell>
          <cell r="G313">
            <v>0</v>
          </cell>
          <cell r="H313">
            <v>-80470.87</v>
          </cell>
        </row>
        <row r="314">
          <cell r="A314" t="str">
            <v>060-10-065</v>
          </cell>
          <cell r="B314" t="str">
            <v>STAFF CONTRA</v>
          </cell>
          <cell r="C314">
            <v>908557.52</v>
          </cell>
          <cell r="D314">
            <v>-908557.52</v>
          </cell>
          <cell r="E314">
            <v>0</v>
          </cell>
          <cell r="F314">
            <v>0</v>
          </cell>
          <cell r="G314">
            <v>0</v>
          </cell>
          <cell r="H314">
            <v>0</v>
          </cell>
        </row>
        <row r="315">
          <cell r="A315" t="str">
            <v>060-10-070</v>
          </cell>
          <cell r="B315" t="str">
            <v>HUBRIS HOLDINGS LTD</v>
          </cell>
          <cell r="C315">
            <v>717857</v>
          </cell>
          <cell r="D315">
            <v>0</v>
          </cell>
          <cell r="E315">
            <v>717857</v>
          </cell>
          <cell r="F315">
            <v>717857</v>
          </cell>
          <cell r="G315">
            <v>0</v>
          </cell>
          <cell r="H315">
            <v>717857</v>
          </cell>
        </row>
        <row r="316">
          <cell r="A316" t="str">
            <v>060-10-075</v>
          </cell>
          <cell r="B316" t="str">
            <v>NAMIMBIA LIFE</v>
          </cell>
          <cell r="C316">
            <v>10556.2</v>
          </cell>
          <cell r="D316">
            <v>0</v>
          </cell>
          <cell r="E316">
            <v>10556.2</v>
          </cell>
          <cell r="F316">
            <v>10556.2</v>
          </cell>
          <cell r="G316">
            <v>0</v>
          </cell>
          <cell r="H316">
            <v>10556.2</v>
          </cell>
        </row>
        <row r="317">
          <cell r="A317" t="str">
            <v>060-10-080</v>
          </cell>
          <cell r="B317" t="str">
            <v>HOLDINGS  DIVISION</v>
          </cell>
          <cell r="C317">
            <v>4270091.25</v>
          </cell>
          <cell r="D317">
            <v>1995166</v>
          </cell>
          <cell r="E317">
            <v>6265257.25</v>
          </cell>
          <cell r="F317">
            <v>6265257.25</v>
          </cell>
          <cell r="G317">
            <v>0</v>
          </cell>
          <cell r="H317">
            <v>6265257.25</v>
          </cell>
        </row>
        <row r="318">
          <cell r="A318" t="str">
            <v>060-10-090</v>
          </cell>
          <cell r="B318" t="str">
            <v>MAE PROPERTIES</v>
          </cell>
          <cell r="C318">
            <v>0</v>
          </cell>
          <cell r="D318">
            <v>0</v>
          </cell>
          <cell r="E318">
            <v>0</v>
          </cell>
          <cell r="F318">
            <v>0</v>
          </cell>
          <cell r="G318">
            <v>0</v>
          </cell>
          <cell r="H318">
            <v>0</v>
          </cell>
        </row>
        <row r="319">
          <cell r="A319" t="str">
            <v>070-10-010</v>
          </cell>
          <cell r="B319" t="str">
            <v>NEW BUSINESS PREMIUM-PAIC SERIES</v>
          </cell>
          <cell r="C319">
            <v>-1867531.1</v>
          </cell>
          <cell r="D319">
            <v>-63533</v>
          </cell>
          <cell r="E319">
            <v>-1931064.1</v>
          </cell>
          <cell r="F319">
            <v>-1931064.1</v>
          </cell>
          <cell r="G319">
            <v>0</v>
          </cell>
          <cell r="H319">
            <v>-1931064.1</v>
          </cell>
        </row>
        <row r="320">
          <cell r="A320" t="str">
            <v>070-10-020</v>
          </cell>
          <cell r="B320" t="str">
            <v>N/BUSSINESS -FFFP</v>
          </cell>
          <cell r="C320">
            <v>-5933630</v>
          </cell>
          <cell r="D320">
            <v>-873792</v>
          </cell>
          <cell r="E320">
            <v>-6807422</v>
          </cell>
          <cell r="F320">
            <v>-6807422</v>
          </cell>
          <cell r="G320">
            <v>0</v>
          </cell>
          <cell r="H320">
            <v>-6807422</v>
          </cell>
        </row>
        <row r="321">
          <cell r="A321" t="str">
            <v>070-10-030</v>
          </cell>
          <cell r="B321" t="str">
            <v>N/BUSINESS-W/P</v>
          </cell>
          <cell r="C321">
            <v>-86776072.340000004</v>
          </cell>
          <cell r="D321">
            <v>-8006882.21</v>
          </cell>
          <cell r="E321">
            <v>-94782954.549999997</v>
          </cell>
          <cell r="F321">
            <v>-94782954.549999997</v>
          </cell>
          <cell r="G321">
            <v>0</v>
          </cell>
          <cell r="H321">
            <v>-94782954.549999997</v>
          </cell>
        </row>
        <row r="322">
          <cell r="A322" t="str">
            <v>070-10-040</v>
          </cell>
          <cell r="C322">
            <v>0</v>
          </cell>
          <cell r="D322">
            <v>0</v>
          </cell>
          <cell r="E322">
            <v>0</v>
          </cell>
          <cell r="F322">
            <v>0</v>
          </cell>
          <cell r="G322">
            <v>0</v>
          </cell>
          <cell r="H322">
            <v>0</v>
          </cell>
        </row>
        <row r="323">
          <cell r="A323" t="str">
            <v>070-10-045</v>
          </cell>
          <cell r="C323">
            <v>0</v>
          </cell>
          <cell r="D323">
            <v>0</v>
          </cell>
          <cell r="E323">
            <v>0</v>
          </cell>
          <cell r="F323">
            <v>0</v>
          </cell>
          <cell r="G323">
            <v>0</v>
          </cell>
          <cell r="H323">
            <v>0</v>
          </cell>
        </row>
        <row r="324">
          <cell r="A324" t="str">
            <v>070-10-050</v>
          </cell>
          <cell r="B324" t="str">
            <v>API OPENING BALANCE VADJUSTMENTS</v>
          </cell>
          <cell r="C324">
            <v>2100</v>
          </cell>
          <cell r="D324">
            <v>-183139033</v>
          </cell>
          <cell r="E324">
            <v>-183136933</v>
          </cell>
          <cell r="F324">
            <v>0</v>
          </cell>
          <cell r="G324">
            <v>0</v>
          </cell>
          <cell r="H324">
            <v>0</v>
          </cell>
        </row>
        <row r="325">
          <cell r="A325" t="str">
            <v>070-15-010</v>
          </cell>
          <cell r="C325">
            <v>0</v>
          </cell>
          <cell r="D325">
            <v>0</v>
          </cell>
          <cell r="E325">
            <v>0</v>
          </cell>
          <cell r="G325">
            <v>-117069541.80000003</v>
          </cell>
          <cell r="H325">
            <v>-117069541.80000003</v>
          </cell>
        </row>
        <row r="326">
          <cell r="A326" t="str">
            <v>070-15-020</v>
          </cell>
          <cell r="C326">
            <v>0</v>
          </cell>
          <cell r="D326">
            <v>0</v>
          </cell>
          <cell r="E326">
            <v>0</v>
          </cell>
          <cell r="F326">
            <v>0</v>
          </cell>
          <cell r="G326">
            <v>0</v>
          </cell>
          <cell r="H326">
            <v>0</v>
          </cell>
        </row>
        <row r="327">
          <cell r="A327" t="str">
            <v>070-15-030</v>
          </cell>
          <cell r="C327">
            <v>0</v>
          </cell>
          <cell r="D327">
            <v>0</v>
          </cell>
          <cell r="E327">
            <v>0</v>
          </cell>
          <cell r="F327">
            <v>0</v>
          </cell>
          <cell r="G327">
            <v>-66067391.00999999</v>
          </cell>
          <cell r="H327">
            <v>-66067391.00999999</v>
          </cell>
        </row>
        <row r="328">
          <cell r="A328" t="str">
            <v>070-15-040</v>
          </cell>
          <cell r="C328">
            <v>0</v>
          </cell>
          <cell r="D328">
            <v>0</v>
          </cell>
          <cell r="E328">
            <v>0</v>
          </cell>
          <cell r="F328">
            <v>0</v>
          </cell>
          <cell r="G328">
            <v>0</v>
          </cell>
          <cell r="H328">
            <v>0</v>
          </cell>
        </row>
        <row r="329">
          <cell r="A329" t="str">
            <v>070-16-010</v>
          </cell>
          <cell r="C329">
            <v>0</v>
          </cell>
          <cell r="D329">
            <v>0</v>
          </cell>
          <cell r="E329">
            <v>0</v>
          </cell>
          <cell r="F329">
            <v>0</v>
          </cell>
          <cell r="G329">
            <v>0</v>
          </cell>
          <cell r="H329">
            <v>0</v>
          </cell>
        </row>
        <row r="330">
          <cell r="A330" t="str">
            <v>070-16-020</v>
          </cell>
          <cell r="B330" t="str">
            <v>NEW BUSINESS UPDATES</v>
          </cell>
          <cell r="C330">
            <v>-687835.2</v>
          </cell>
          <cell r="D330">
            <v>-91816</v>
          </cell>
          <cell r="E330">
            <v>-779651.2</v>
          </cell>
          <cell r="F330">
            <v>-779651.2</v>
          </cell>
          <cell r="G330">
            <v>0</v>
          </cell>
          <cell r="H330">
            <v>-779651.2</v>
          </cell>
        </row>
        <row r="331">
          <cell r="A331" t="str">
            <v>070-16-030</v>
          </cell>
          <cell r="C331">
            <v>0</v>
          </cell>
          <cell r="D331">
            <v>0</v>
          </cell>
          <cell r="E331">
            <v>0</v>
          </cell>
          <cell r="F331">
            <v>0</v>
          </cell>
          <cell r="G331">
            <v>0</v>
          </cell>
          <cell r="H331">
            <v>0</v>
          </cell>
        </row>
        <row r="332">
          <cell r="A332" t="str">
            <v>070-16-040</v>
          </cell>
          <cell r="C332">
            <v>0</v>
          </cell>
          <cell r="D332">
            <v>0</v>
          </cell>
          <cell r="E332">
            <v>0</v>
          </cell>
          <cell r="F332">
            <v>0</v>
          </cell>
          <cell r="G332">
            <v>0</v>
          </cell>
          <cell r="H332">
            <v>0</v>
          </cell>
        </row>
        <row r="333">
          <cell r="A333" t="str">
            <v>070-20-010</v>
          </cell>
          <cell r="B333" t="str">
            <v>FFFP PREMIUM WAIVER</v>
          </cell>
          <cell r="C333">
            <v>-134436</v>
          </cell>
          <cell r="D333">
            <v>-14074</v>
          </cell>
          <cell r="E333">
            <v>-148510</v>
          </cell>
          <cell r="F333">
            <v>-148510</v>
          </cell>
          <cell r="G333">
            <v>0</v>
          </cell>
          <cell r="H333">
            <v>-148510</v>
          </cell>
        </row>
        <row r="334">
          <cell r="A334" t="str">
            <v>070-20-020</v>
          </cell>
          <cell r="B334" t="str">
            <v>W/P PREMIUM WAIVER</v>
          </cell>
          <cell r="C334">
            <v>0</v>
          </cell>
          <cell r="D334">
            <v>0</v>
          </cell>
          <cell r="E334">
            <v>0</v>
          </cell>
          <cell r="F334">
            <v>0</v>
          </cell>
          <cell r="G334">
            <v>0</v>
          </cell>
          <cell r="H334">
            <v>0</v>
          </cell>
        </row>
        <row r="335">
          <cell r="A335" t="str">
            <v>070-20-030</v>
          </cell>
          <cell r="B335" t="str">
            <v>PAIC SERIES PREMIUM WAIVER</v>
          </cell>
          <cell r="C335">
            <v>-471010.6</v>
          </cell>
          <cell r="D335">
            <v>-37956.1</v>
          </cell>
          <cell r="E335">
            <v>-508966.7</v>
          </cell>
          <cell r="F335">
            <v>-508966.7</v>
          </cell>
          <cell r="G335">
            <v>0</v>
          </cell>
          <cell r="H335">
            <v>-508966.7</v>
          </cell>
        </row>
        <row r="336">
          <cell r="A336" t="str">
            <v>070-40-010</v>
          </cell>
          <cell r="B336" t="str">
            <v>RENEWAL PREMIUM PIAC SERIES</v>
          </cell>
          <cell r="C336">
            <v>-244888989.66999999</v>
          </cell>
          <cell r="D336">
            <v>74517514.129999995</v>
          </cell>
          <cell r="E336">
            <v>-170371475.53999999</v>
          </cell>
          <cell r="F336">
            <v>-170371475.53999999</v>
          </cell>
          <cell r="G336">
            <v>0</v>
          </cell>
          <cell r="H336">
            <v>-170371475.53999999</v>
          </cell>
        </row>
        <row r="337">
          <cell r="A337" t="str">
            <v>070-40-020</v>
          </cell>
          <cell r="B337" t="str">
            <v>RENEWAL BUSINESS PREMIUM-FFFP</v>
          </cell>
          <cell r="C337">
            <v>-22229677.300000001</v>
          </cell>
          <cell r="D337">
            <v>-1688047</v>
          </cell>
          <cell r="E337">
            <v>-23917724.300000001</v>
          </cell>
          <cell r="F337">
            <v>-23917724.300000001</v>
          </cell>
          <cell r="G337">
            <v>0</v>
          </cell>
          <cell r="H337">
            <v>-23917724.300000001</v>
          </cell>
        </row>
        <row r="338">
          <cell r="A338" t="str">
            <v>070-40-030</v>
          </cell>
          <cell r="B338" t="str">
            <v>RENEWAL BUSINESS PREMIUM-W/P</v>
          </cell>
          <cell r="C338">
            <v>-29307778.5</v>
          </cell>
          <cell r="D338">
            <v>-2499265</v>
          </cell>
          <cell r="E338">
            <v>-31807043.5</v>
          </cell>
          <cell r="F338">
            <v>-31807043.5</v>
          </cell>
          <cell r="G338">
            <v>0</v>
          </cell>
          <cell r="H338">
            <v>-31807043.5</v>
          </cell>
        </row>
        <row r="339">
          <cell r="A339" t="str">
            <v>070-60-010</v>
          </cell>
          <cell r="B339" t="str">
            <v>SINGLE PREMIUM INCOME</v>
          </cell>
          <cell r="C339">
            <v>-50050</v>
          </cell>
          <cell r="D339">
            <v>0</v>
          </cell>
          <cell r="E339">
            <v>-50050</v>
          </cell>
          <cell r="F339">
            <v>-50050</v>
          </cell>
          <cell r="G339">
            <v>0</v>
          </cell>
          <cell r="H339">
            <v>-50050</v>
          </cell>
        </row>
        <row r="340">
          <cell r="A340" t="str">
            <v>080-10-010</v>
          </cell>
          <cell r="B340" t="str">
            <v>LORESHO HOUSE</v>
          </cell>
          <cell r="C340">
            <v>-1000000</v>
          </cell>
          <cell r="D340">
            <v>-200000</v>
          </cell>
          <cell r="E340">
            <v>-1200000</v>
          </cell>
          <cell r="F340">
            <v>-1200000</v>
          </cell>
          <cell r="G340">
            <v>0</v>
          </cell>
          <cell r="H340">
            <v>-1200000</v>
          </cell>
        </row>
        <row r="341">
          <cell r="A341" t="str">
            <v>080-10-015</v>
          </cell>
          <cell r="B341" t="str">
            <v>GAIN/LOSS FOREX</v>
          </cell>
          <cell r="C341">
            <v>0</v>
          </cell>
          <cell r="D341">
            <v>0</v>
          </cell>
          <cell r="E341">
            <v>0</v>
          </cell>
          <cell r="F341">
            <v>0</v>
          </cell>
          <cell r="G341">
            <v>0</v>
          </cell>
          <cell r="H341">
            <v>0</v>
          </cell>
        </row>
        <row r="342">
          <cell r="A342" t="str">
            <v>080-10-020</v>
          </cell>
          <cell r="B342" t="str">
            <v>RETREAT VILLAS</v>
          </cell>
          <cell r="C342">
            <v>-800000</v>
          </cell>
          <cell r="D342">
            <v>-160000</v>
          </cell>
          <cell r="E342">
            <v>-960000</v>
          </cell>
          <cell r="F342">
            <v>-960000</v>
          </cell>
          <cell r="G342">
            <v>0</v>
          </cell>
          <cell r="H342">
            <v>-960000</v>
          </cell>
        </row>
        <row r="343">
          <cell r="A343" t="str">
            <v>080-10-030</v>
          </cell>
          <cell r="B343" t="str">
            <v>ARCADE PETROL STATION</v>
          </cell>
          <cell r="C343">
            <v>-1500000</v>
          </cell>
          <cell r="D343">
            <v>-300000</v>
          </cell>
          <cell r="E343">
            <v>-1800000</v>
          </cell>
          <cell r="F343">
            <v>-1800000</v>
          </cell>
          <cell r="G343">
            <v>0</v>
          </cell>
          <cell r="H343">
            <v>-1800000</v>
          </cell>
        </row>
        <row r="344">
          <cell r="A344" t="str">
            <v>080-10-040</v>
          </cell>
          <cell r="B344" t="str">
            <v>PAN AFRICA HOUSE MOMBASA</v>
          </cell>
          <cell r="C344">
            <v>0</v>
          </cell>
          <cell r="D344">
            <v>0</v>
          </cell>
          <cell r="E344">
            <v>0</v>
          </cell>
          <cell r="F344">
            <v>0</v>
          </cell>
          <cell r="G344">
            <v>0</v>
          </cell>
          <cell r="H344">
            <v>0</v>
          </cell>
        </row>
        <row r="345">
          <cell r="A345" t="str">
            <v>080-10-050</v>
          </cell>
          <cell r="B345" t="str">
            <v>AMBALAL HOUSE</v>
          </cell>
          <cell r="C345">
            <v>-26955720.850000001</v>
          </cell>
          <cell r="D345">
            <v>-3636320.16</v>
          </cell>
          <cell r="E345">
            <v>-30592041.010000002</v>
          </cell>
          <cell r="F345">
            <v>-30592041.010000002</v>
          </cell>
          <cell r="G345">
            <v>0</v>
          </cell>
          <cell r="H345">
            <v>-30592041.010000002</v>
          </cell>
        </row>
        <row r="346">
          <cell r="A346" t="str">
            <v>080-10-060</v>
          </cell>
          <cell r="B346" t="str">
            <v>PAN AFRICA HOUSE NAIROBI</v>
          </cell>
          <cell r="C346">
            <v>-12837448.34</v>
          </cell>
          <cell r="D346">
            <v>-2552812.66</v>
          </cell>
          <cell r="E346">
            <v>-15390261</v>
          </cell>
          <cell r="F346">
            <v>-15390261</v>
          </cell>
          <cell r="G346">
            <v>0</v>
          </cell>
          <cell r="H346">
            <v>-15390261</v>
          </cell>
        </row>
        <row r="347">
          <cell r="A347" t="str">
            <v>080-10-070</v>
          </cell>
          <cell r="B347" t="str">
            <v>SERVICE CHARGE PAN AFRICA MSA</v>
          </cell>
          <cell r="C347">
            <v>-7779149.1699999999</v>
          </cell>
          <cell r="D347">
            <v>-2813613.83</v>
          </cell>
          <cell r="E347">
            <v>-10592763</v>
          </cell>
          <cell r="F347">
            <v>-10592763</v>
          </cell>
          <cell r="G347">
            <v>0</v>
          </cell>
          <cell r="H347">
            <v>-10592763</v>
          </cell>
        </row>
        <row r="348">
          <cell r="A348" t="str">
            <v>080-10-080</v>
          </cell>
          <cell r="B348" t="str">
            <v>SERVICE CHARGE AMBALAL HOUSE</v>
          </cell>
          <cell r="C348">
            <v>-14312503.32</v>
          </cell>
          <cell r="D348">
            <v>-6864995.6699999999</v>
          </cell>
          <cell r="E348">
            <v>-21177498.989999998</v>
          </cell>
          <cell r="F348">
            <v>-21177498.989999998</v>
          </cell>
          <cell r="G348">
            <v>0</v>
          </cell>
          <cell r="H348">
            <v>-21177498.989999998</v>
          </cell>
        </row>
        <row r="349">
          <cell r="A349" t="str">
            <v>080-10-090</v>
          </cell>
          <cell r="B349" t="str">
            <v>SERVICE CHARGE PAN AFRICA NAIROBI</v>
          </cell>
          <cell r="C349">
            <v>0</v>
          </cell>
          <cell r="D349">
            <v>0</v>
          </cell>
          <cell r="E349">
            <v>0</v>
          </cell>
          <cell r="F349">
            <v>0</v>
          </cell>
          <cell r="G349">
            <v>0</v>
          </cell>
          <cell r="H349">
            <v>0</v>
          </cell>
        </row>
        <row r="350">
          <cell r="A350" t="str">
            <v>080-10-100</v>
          </cell>
          <cell r="B350" t="str">
            <v>INTEREST AMBALAL</v>
          </cell>
          <cell r="C350">
            <v>0</v>
          </cell>
          <cell r="D350">
            <v>0</v>
          </cell>
          <cell r="E350">
            <v>0</v>
          </cell>
          <cell r="F350">
            <v>0</v>
          </cell>
          <cell r="G350">
            <v>0</v>
          </cell>
          <cell r="H350">
            <v>0</v>
          </cell>
        </row>
        <row r="351">
          <cell r="A351" t="str">
            <v>080-10-110</v>
          </cell>
          <cell r="B351" t="str">
            <v>AMORTIZATION OF LAND &amp; BUILDINGS</v>
          </cell>
          <cell r="C351">
            <v>5923518</v>
          </cell>
          <cell r="D351">
            <v>2123146</v>
          </cell>
          <cell r="E351">
            <v>8046664</v>
          </cell>
          <cell r="F351">
            <v>8046664</v>
          </cell>
          <cell r="G351">
            <v>0</v>
          </cell>
          <cell r="H351">
            <v>8046664</v>
          </cell>
        </row>
        <row r="352">
          <cell r="A352" t="str">
            <v>080-20-010</v>
          </cell>
          <cell r="B352" t="str">
            <v>SERVICE CHARGE LOAN ON POLICY</v>
          </cell>
          <cell r="C352">
            <v>-724172</v>
          </cell>
          <cell r="D352">
            <v>-93090</v>
          </cell>
          <cell r="E352">
            <v>-817262</v>
          </cell>
          <cell r="F352">
            <v>-817262</v>
          </cell>
          <cell r="G352">
            <v>0</v>
          </cell>
          <cell r="H352">
            <v>-817262</v>
          </cell>
        </row>
        <row r="353">
          <cell r="A353" t="str">
            <v>080-20-020</v>
          </cell>
          <cell r="B353" t="str">
            <v>INTEREST ON LOAN ON POLICY</v>
          </cell>
          <cell r="C353">
            <v>-9051510.75</v>
          </cell>
          <cell r="D353">
            <v>-633414.79</v>
          </cell>
          <cell r="E353">
            <v>-9684925.5399999991</v>
          </cell>
          <cell r="F353">
            <v>-9684925.5399999991</v>
          </cell>
          <cell r="G353">
            <v>0</v>
          </cell>
          <cell r="H353">
            <v>-9684925.5399999991</v>
          </cell>
        </row>
        <row r="354">
          <cell r="A354" t="str">
            <v>080-20-030</v>
          </cell>
          <cell r="B354" t="str">
            <v>DIVIDEND INCOME</v>
          </cell>
          <cell r="C354">
            <v>-5341940.5999999996</v>
          </cell>
          <cell r="D354">
            <v>-489965</v>
          </cell>
          <cell r="E354">
            <v>-5831905.5999999996</v>
          </cell>
          <cell r="F354">
            <v>-5831905.5999999996</v>
          </cell>
          <cell r="G354">
            <v>0</v>
          </cell>
          <cell r="H354">
            <v>-5831905.5999999996</v>
          </cell>
        </row>
        <row r="355">
          <cell r="A355" t="str">
            <v>080-20-040</v>
          </cell>
          <cell r="B355" t="str">
            <v>BAD DEBTS-POLICY LOANS</v>
          </cell>
          <cell r="C355">
            <v>3787599.39</v>
          </cell>
          <cell r="D355">
            <v>53968.35</v>
          </cell>
          <cell r="E355">
            <v>3841567.74</v>
          </cell>
          <cell r="F355">
            <v>3841567.74</v>
          </cell>
          <cell r="G355">
            <v>0</v>
          </cell>
          <cell r="H355">
            <v>3841567.74</v>
          </cell>
        </row>
        <row r="356">
          <cell r="A356" t="str">
            <v>080-40-010</v>
          </cell>
          <cell r="B356" t="str">
            <v>INTEREST ON COMMERCIAL PAPER</v>
          </cell>
          <cell r="C356">
            <v>-2345820.27</v>
          </cell>
          <cell r="D356">
            <v>-102372.04</v>
          </cell>
          <cell r="E356">
            <v>-2448192.31</v>
          </cell>
          <cell r="F356">
            <v>-2448192.31</v>
          </cell>
          <cell r="G356">
            <v>0</v>
          </cell>
          <cell r="H356">
            <v>-2448192.31</v>
          </cell>
        </row>
        <row r="357">
          <cell r="A357" t="str">
            <v>080-40-020</v>
          </cell>
          <cell r="B357" t="str">
            <v>INTEREST ON FD</v>
          </cell>
          <cell r="C357">
            <v>-1204048.95</v>
          </cell>
          <cell r="D357">
            <v>-158055.82999999999</v>
          </cell>
          <cell r="E357">
            <v>-1362104.78</v>
          </cell>
          <cell r="F357">
            <v>-1362104.78</v>
          </cell>
          <cell r="G357">
            <v>0</v>
          </cell>
          <cell r="H357">
            <v>-1362104.78</v>
          </cell>
        </row>
        <row r="358">
          <cell r="A358" t="str">
            <v>080-40-025</v>
          </cell>
          <cell r="B358" t="str">
            <v>REALISED INCOME-SHARES</v>
          </cell>
          <cell r="C358">
            <v>-5488108.5</v>
          </cell>
          <cell r="D358">
            <v>-1102086</v>
          </cell>
          <cell r="E358">
            <v>-6590194.5</v>
          </cell>
          <cell r="F358">
            <v>-6590194.5</v>
          </cell>
          <cell r="G358">
            <v>0</v>
          </cell>
          <cell r="H358">
            <v>-6590194.5</v>
          </cell>
        </row>
        <row r="359">
          <cell r="A359" t="str">
            <v>080-40-030</v>
          </cell>
          <cell r="B359" t="str">
            <v>INTREST ON TB</v>
          </cell>
          <cell r="C359">
            <v>-34834401.090000004</v>
          </cell>
          <cell r="D359">
            <v>-488463.06</v>
          </cell>
          <cell r="E359">
            <v>-35322864.149999999</v>
          </cell>
          <cell r="F359">
            <v>-35322864.149999999</v>
          </cell>
          <cell r="G359">
            <v>0</v>
          </cell>
          <cell r="H359">
            <v>-35322864.149999999</v>
          </cell>
        </row>
        <row r="360">
          <cell r="A360" t="str">
            <v>080-40-035</v>
          </cell>
          <cell r="B360" t="str">
            <v>AIG MANAGEMENT FEES</v>
          </cell>
          <cell r="C360">
            <v>3235549.12</v>
          </cell>
          <cell r="D360">
            <v>745855.95</v>
          </cell>
          <cell r="E360">
            <v>3981405.07</v>
          </cell>
          <cell r="F360">
            <v>3981405.07</v>
          </cell>
          <cell r="G360">
            <v>0</v>
          </cell>
          <cell r="H360">
            <v>3981405.07</v>
          </cell>
        </row>
        <row r="361">
          <cell r="A361" t="str">
            <v>080-40-040</v>
          </cell>
          <cell r="B361" t="str">
            <v>CUSTODY FEES</v>
          </cell>
          <cell r="C361">
            <v>766051.38</v>
          </cell>
          <cell r="D361">
            <v>145277.26999999999</v>
          </cell>
          <cell r="E361">
            <v>911328.65</v>
          </cell>
          <cell r="F361">
            <v>911328.65</v>
          </cell>
          <cell r="G361">
            <v>0</v>
          </cell>
          <cell r="H361">
            <v>911328.65</v>
          </cell>
        </row>
        <row r="362">
          <cell r="A362" t="str">
            <v>080-45-010</v>
          </cell>
          <cell r="B362" t="str">
            <v>INTEREST ON CP</v>
          </cell>
          <cell r="C362">
            <v>-60656.73</v>
          </cell>
          <cell r="D362">
            <v>18894.439999999999</v>
          </cell>
          <cell r="E362">
            <v>-41762.29</v>
          </cell>
          <cell r="F362">
            <v>-41762.29</v>
          </cell>
          <cell r="G362">
            <v>0</v>
          </cell>
          <cell r="H362">
            <v>-41762.29</v>
          </cell>
        </row>
        <row r="363">
          <cell r="A363" t="str">
            <v>080-45-020</v>
          </cell>
          <cell r="B363" t="str">
            <v>INTEREST ON FD'S</v>
          </cell>
          <cell r="C363">
            <v>-170112.21</v>
          </cell>
          <cell r="D363">
            <v>25882.46</v>
          </cell>
          <cell r="E363">
            <v>-144229.75</v>
          </cell>
          <cell r="F363">
            <v>-144229.75</v>
          </cell>
          <cell r="G363">
            <v>0</v>
          </cell>
          <cell r="H363">
            <v>-144229.75</v>
          </cell>
        </row>
        <row r="364">
          <cell r="A364" t="str">
            <v>080-45-030</v>
          </cell>
          <cell r="B364" t="str">
            <v>INTEREST ON TB'S</v>
          </cell>
          <cell r="C364">
            <v>-1737639.87</v>
          </cell>
          <cell r="D364">
            <v>907394.34</v>
          </cell>
          <cell r="E364">
            <v>-830245.53</v>
          </cell>
          <cell r="F364">
            <v>-830245.53</v>
          </cell>
          <cell r="G364">
            <v>0</v>
          </cell>
          <cell r="H364">
            <v>-830245.53</v>
          </cell>
        </row>
        <row r="365">
          <cell r="A365" t="str">
            <v>080-45-035</v>
          </cell>
          <cell r="B365" t="str">
            <v>UNIT PRICE ADVERTISEMENT</v>
          </cell>
          <cell r="C365">
            <v>22968</v>
          </cell>
          <cell r="D365">
            <v>0</v>
          </cell>
          <cell r="E365">
            <v>22968</v>
          </cell>
          <cell r="F365">
            <v>22968</v>
          </cell>
          <cell r="G365">
            <v>0</v>
          </cell>
          <cell r="H365">
            <v>22968</v>
          </cell>
        </row>
        <row r="366">
          <cell r="A366" t="str">
            <v>080-45-040</v>
          </cell>
          <cell r="B366" t="str">
            <v>CUSTODY FEES &amp; BROKERAGE FEES</v>
          </cell>
          <cell r="C366">
            <v>100606.85</v>
          </cell>
          <cell r="D366">
            <v>16320.43</v>
          </cell>
          <cell r="E366">
            <v>116927.28</v>
          </cell>
          <cell r="F366">
            <v>116927.28</v>
          </cell>
          <cell r="G366">
            <v>0</v>
          </cell>
          <cell r="H366">
            <v>116927.28</v>
          </cell>
        </row>
        <row r="367">
          <cell r="A367" t="str">
            <v>080-45-050</v>
          </cell>
          <cell r="B367" t="str">
            <v>AIG MANAGEMENT FEES</v>
          </cell>
          <cell r="C367">
            <v>123877.98</v>
          </cell>
          <cell r="D367">
            <v>73554.5</v>
          </cell>
          <cell r="E367">
            <v>197432.48</v>
          </cell>
          <cell r="F367">
            <v>197432.48</v>
          </cell>
          <cell r="G367">
            <v>0</v>
          </cell>
          <cell r="H367">
            <v>197432.48</v>
          </cell>
        </row>
        <row r="368">
          <cell r="A368" t="str">
            <v>080-50-010</v>
          </cell>
          <cell r="B368" t="str">
            <v>MISC INCOMES</v>
          </cell>
          <cell r="C368">
            <v>-2285588.91</v>
          </cell>
          <cell r="D368">
            <v>-52529.2</v>
          </cell>
          <cell r="E368">
            <v>-2338118.11</v>
          </cell>
          <cell r="F368">
            <v>-2338118.11</v>
          </cell>
          <cell r="G368">
            <v>0</v>
          </cell>
          <cell r="H368">
            <v>-2338118.11</v>
          </cell>
        </row>
        <row r="369">
          <cell r="A369" t="str">
            <v>080-50-015</v>
          </cell>
          <cell r="B369" t="str">
            <v>GAIN/LOSS ON FOREX</v>
          </cell>
          <cell r="C369">
            <v>1057382.78</v>
          </cell>
          <cell r="D369">
            <v>1801.1</v>
          </cell>
          <cell r="E369">
            <v>1059183.8799999999</v>
          </cell>
          <cell r="F369">
            <v>1059183.8799999999</v>
          </cell>
          <cell r="G369">
            <v>0</v>
          </cell>
          <cell r="H369">
            <v>1059183.8799999999</v>
          </cell>
        </row>
        <row r="370">
          <cell r="A370" t="str">
            <v>080-50-020</v>
          </cell>
          <cell r="B370" t="str">
            <v>DISPOSAL OF ASSETS (PROCEEDS)</v>
          </cell>
          <cell r="C370">
            <v>-30000</v>
          </cell>
          <cell r="D370">
            <v>0</v>
          </cell>
          <cell r="E370">
            <v>-30000</v>
          </cell>
          <cell r="F370">
            <v>-30000</v>
          </cell>
          <cell r="G370">
            <v>0</v>
          </cell>
          <cell r="H370">
            <v>-30000</v>
          </cell>
        </row>
        <row r="371">
          <cell r="A371" t="str">
            <v>080-50-021</v>
          </cell>
          <cell r="B371" t="str">
            <v>GAIN/LOSS ON SHARES VALUATION</v>
          </cell>
          <cell r="C371">
            <v>-114989830.84999999</v>
          </cell>
          <cell r="D371">
            <v>1632028.7</v>
          </cell>
          <cell r="E371">
            <v>-113357802.15000001</v>
          </cell>
          <cell r="F371">
            <v>-113357802.15000001</v>
          </cell>
          <cell r="G371">
            <v>0</v>
          </cell>
          <cell r="H371">
            <v>-113357802.15000001</v>
          </cell>
        </row>
        <row r="372">
          <cell r="A372" t="str">
            <v>080-50-022</v>
          </cell>
          <cell r="B372" t="str">
            <v>GAIN/LOSS ON DISPOSAL OF FIXED ASSETS</v>
          </cell>
          <cell r="C372">
            <v>514526.98</v>
          </cell>
          <cell r="D372">
            <v>0</v>
          </cell>
          <cell r="E372">
            <v>514526.98</v>
          </cell>
          <cell r="F372">
            <v>514526.98</v>
          </cell>
          <cell r="G372">
            <v>0</v>
          </cell>
          <cell r="H372">
            <v>514526.98</v>
          </cell>
        </row>
        <row r="373">
          <cell r="A373" t="str">
            <v>080-50-024</v>
          </cell>
          <cell r="B373" t="str">
            <v>GAIN/LOSS IN BUILDINGS VALUATION</v>
          </cell>
          <cell r="C373">
            <v>0</v>
          </cell>
          <cell r="D373">
            <v>-234400</v>
          </cell>
          <cell r="E373">
            <v>-234400</v>
          </cell>
          <cell r="F373">
            <v>-234400</v>
          </cell>
          <cell r="G373">
            <v>0</v>
          </cell>
          <cell r="H373">
            <v>-234400</v>
          </cell>
        </row>
        <row r="374">
          <cell r="A374" t="str">
            <v>080-50-025</v>
          </cell>
          <cell r="B374" t="str">
            <v>GAIN/LOSS ON INVESTMENT PROPERTIES</v>
          </cell>
          <cell r="C374">
            <v>0</v>
          </cell>
          <cell r="D374">
            <v>695000</v>
          </cell>
          <cell r="E374">
            <v>695000</v>
          </cell>
          <cell r="F374">
            <v>695000</v>
          </cell>
          <cell r="G374">
            <v>0</v>
          </cell>
          <cell r="H374">
            <v>695000</v>
          </cell>
        </row>
        <row r="375">
          <cell r="A375" t="str">
            <v>080-55-010</v>
          </cell>
          <cell r="B375" t="str">
            <v>GAIN/LOSS SHARES VALUATION</v>
          </cell>
          <cell r="C375">
            <v>-1328480.7</v>
          </cell>
          <cell r="D375">
            <v>-123501</v>
          </cell>
          <cell r="E375">
            <v>-1451981.7</v>
          </cell>
          <cell r="F375">
            <v>-1451981.7</v>
          </cell>
          <cell r="G375">
            <v>0</v>
          </cell>
          <cell r="H375">
            <v>-1451981.7</v>
          </cell>
        </row>
        <row r="376">
          <cell r="A376" t="str">
            <v>080-55-020</v>
          </cell>
          <cell r="B376" t="str">
            <v>DIVIDEND INCOME</v>
          </cell>
          <cell r="C376">
            <v>-22998.5</v>
          </cell>
          <cell r="D376">
            <v>-17674.5</v>
          </cell>
          <cell r="E376">
            <v>-40673</v>
          </cell>
          <cell r="F376">
            <v>-40673</v>
          </cell>
          <cell r="G376">
            <v>0</v>
          </cell>
          <cell r="H376">
            <v>-40673</v>
          </cell>
        </row>
        <row r="377">
          <cell r="A377" t="str">
            <v>080-60-010</v>
          </cell>
          <cell r="B377" t="str">
            <v>INTEREST ON MORTGAGE LOANS</v>
          </cell>
          <cell r="C377">
            <v>-4306568.57</v>
          </cell>
          <cell r="D377">
            <v>-427512</v>
          </cell>
          <cell r="E377">
            <v>-4734080.57</v>
          </cell>
          <cell r="F377">
            <v>-4734080.57</v>
          </cell>
          <cell r="G377">
            <v>0</v>
          </cell>
          <cell r="H377">
            <v>-4734080.57</v>
          </cell>
        </row>
        <row r="378">
          <cell r="A378" t="str">
            <v>080-60-020</v>
          </cell>
          <cell r="B378" t="str">
            <v>BAD DEBTS-MORTGAGE LOANS</v>
          </cell>
          <cell r="C378">
            <v>0</v>
          </cell>
          <cell r="D378">
            <v>0</v>
          </cell>
          <cell r="E378">
            <v>0</v>
          </cell>
          <cell r="F378">
            <v>0</v>
          </cell>
          <cell r="G378">
            <v>0</v>
          </cell>
          <cell r="H378">
            <v>0</v>
          </cell>
        </row>
        <row r="379">
          <cell r="A379" t="str">
            <v>090-10-010</v>
          </cell>
          <cell r="B379" t="str">
            <v>MATURITY CLAIMS</v>
          </cell>
          <cell r="C379">
            <v>32320202.18</v>
          </cell>
          <cell r="D379">
            <v>5058954.18</v>
          </cell>
          <cell r="E379">
            <v>37379156.359999999</v>
          </cell>
          <cell r="F379">
            <v>37379156.359999999</v>
          </cell>
          <cell r="G379">
            <v>0</v>
          </cell>
          <cell r="H379">
            <v>37379156.359999999</v>
          </cell>
        </row>
        <row r="380">
          <cell r="A380" t="str">
            <v>090-10-015</v>
          </cell>
          <cell r="B380" t="str">
            <v>MATURITY CLAIMS-ENDOWNMENT</v>
          </cell>
          <cell r="C380">
            <v>26379859.649999999</v>
          </cell>
          <cell r="D380">
            <v>3453516</v>
          </cell>
          <cell r="E380">
            <v>29833375.649999999</v>
          </cell>
          <cell r="F380">
            <v>29833375.649999999</v>
          </cell>
          <cell r="G380">
            <v>0</v>
          </cell>
          <cell r="H380">
            <v>29833375.649999999</v>
          </cell>
        </row>
        <row r="381">
          <cell r="A381" t="str">
            <v>090-10-017</v>
          </cell>
          <cell r="B381" t="str">
            <v>CLAIMS EXPENSE</v>
          </cell>
          <cell r="C381">
            <v>176482.55</v>
          </cell>
          <cell r="D381">
            <v>9500</v>
          </cell>
          <cell r="E381">
            <v>185982.55</v>
          </cell>
          <cell r="F381">
            <v>185982.55</v>
          </cell>
          <cell r="G381">
            <v>0</v>
          </cell>
          <cell r="H381">
            <v>185982.55</v>
          </cell>
        </row>
        <row r="382">
          <cell r="A382" t="str">
            <v>090-10-020</v>
          </cell>
          <cell r="B382" t="str">
            <v>DEATH CLAIMS-ORDINARY</v>
          </cell>
          <cell r="C382">
            <v>12710937.6</v>
          </cell>
          <cell r="D382">
            <v>752923.45</v>
          </cell>
          <cell r="E382">
            <v>13463861.050000001</v>
          </cell>
          <cell r="F382">
            <v>13463861.050000001</v>
          </cell>
          <cell r="G382">
            <v>0</v>
          </cell>
          <cell r="H382">
            <v>13463861.050000001</v>
          </cell>
        </row>
        <row r="383">
          <cell r="A383" t="str">
            <v>090-10-025</v>
          </cell>
          <cell r="B383" t="str">
            <v>DEATH CLAIMS REC-INDIVIDUAL LIFE (REINS)</v>
          </cell>
          <cell r="C383">
            <v>0</v>
          </cell>
          <cell r="D383">
            <v>0</v>
          </cell>
          <cell r="E383">
            <v>0</v>
          </cell>
          <cell r="F383">
            <v>0</v>
          </cell>
          <cell r="G383">
            <v>0</v>
          </cell>
          <cell r="H383">
            <v>0</v>
          </cell>
        </row>
        <row r="384">
          <cell r="A384" t="str">
            <v>090-10-030</v>
          </cell>
          <cell r="B384" t="str">
            <v>PERSONAL ACCIDENTS</v>
          </cell>
          <cell r="C384">
            <v>1796670</v>
          </cell>
          <cell r="D384">
            <v>25700</v>
          </cell>
          <cell r="E384">
            <v>1822370</v>
          </cell>
          <cell r="F384">
            <v>1822370</v>
          </cell>
          <cell r="G384">
            <v>0</v>
          </cell>
          <cell r="H384">
            <v>1822370</v>
          </cell>
        </row>
        <row r="385">
          <cell r="A385" t="str">
            <v>090-10-035</v>
          </cell>
          <cell r="B385" t="str">
            <v>ANNUITY CLAIMS</v>
          </cell>
          <cell r="C385">
            <v>44913573.850000001</v>
          </cell>
          <cell r="D385">
            <v>4455094.55</v>
          </cell>
          <cell r="E385">
            <v>49368668.399999999</v>
          </cell>
          <cell r="F385">
            <v>49368668.399999999</v>
          </cell>
          <cell r="G385">
            <v>0</v>
          </cell>
          <cell r="H385">
            <v>49368668.399999999</v>
          </cell>
        </row>
        <row r="386">
          <cell r="A386" t="str">
            <v>090-10-040</v>
          </cell>
          <cell r="B386" t="str">
            <v>AUTOMATIC SURRENDERS VALUE</v>
          </cell>
          <cell r="C386">
            <v>6729224.7999999998</v>
          </cell>
          <cell r="D386">
            <v>429374.35</v>
          </cell>
          <cell r="E386">
            <v>7158599.1500000004</v>
          </cell>
          <cell r="F386">
            <v>7158599.1500000004</v>
          </cell>
          <cell r="G386">
            <v>0</v>
          </cell>
          <cell r="H386">
            <v>7158599.1500000004</v>
          </cell>
        </row>
        <row r="387">
          <cell r="A387" t="str">
            <v>090-10-045</v>
          </cell>
          <cell r="B387" t="str">
            <v>CASH SURRENDER VALUE</v>
          </cell>
          <cell r="C387">
            <v>14176186.75</v>
          </cell>
          <cell r="D387">
            <v>1911389.55</v>
          </cell>
          <cell r="E387">
            <v>16087576.300000001</v>
          </cell>
          <cell r="F387">
            <v>16087576.300000001</v>
          </cell>
          <cell r="G387">
            <v>0</v>
          </cell>
          <cell r="H387">
            <v>16087576.300000001</v>
          </cell>
        </row>
        <row r="388">
          <cell r="A388" t="str">
            <v>090-10-050</v>
          </cell>
          <cell r="B388" t="str">
            <v>FFF DEATH CLAIMS</v>
          </cell>
          <cell r="C388">
            <v>5493614.8499999996</v>
          </cell>
          <cell r="D388">
            <v>1020819</v>
          </cell>
          <cell r="E388">
            <v>6514433.8499999996</v>
          </cell>
          <cell r="F388">
            <v>6514433.8499999996</v>
          </cell>
          <cell r="G388">
            <v>0</v>
          </cell>
          <cell r="H388">
            <v>6514433.8499999996</v>
          </cell>
        </row>
        <row r="389">
          <cell r="A389" t="str">
            <v>090-10-060</v>
          </cell>
          <cell r="B389" t="str">
            <v>PREMIUMS REFUNDS</v>
          </cell>
          <cell r="C389">
            <v>7991731.3499999996</v>
          </cell>
          <cell r="D389">
            <v>1051991.3700000001</v>
          </cell>
          <cell r="E389">
            <v>9043722.7200000007</v>
          </cell>
          <cell r="F389">
            <v>9043722.7200000007</v>
          </cell>
          <cell r="G389">
            <v>0</v>
          </cell>
          <cell r="H389">
            <v>9043722.7200000007</v>
          </cell>
        </row>
        <row r="390">
          <cell r="A390" t="str">
            <v>090-10-065</v>
          </cell>
          <cell r="B390" t="str">
            <v>WAIVER OF PREMIUMS EXPENSES</v>
          </cell>
          <cell r="C390">
            <v>650425.05000000005</v>
          </cell>
          <cell r="D390">
            <v>67030.100000000006</v>
          </cell>
          <cell r="E390">
            <v>717455.15</v>
          </cell>
          <cell r="F390">
            <v>717455.15</v>
          </cell>
          <cell r="G390">
            <v>0</v>
          </cell>
          <cell r="H390">
            <v>717455.15</v>
          </cell>
        </row>
        <row r="391">
          <cell r="A391" t="str">
            <v>090-10-070</v>
          </cell>
          <cell r="B391" t="str">
            <v>CASH BONUS BENEFIT-FFFP</v>
          </cell>
          <cell r="C391">
            <v>27218</v>
          </cell>
          <cell r="D391">
            <v>19389.150000000001</v>
          </cell>
          <cell r="E391">
            <v>46607.15</v>
          </cell>
          <cell r="F391">
            <v>46607.15</v>
          </cell>
          <cell r="G391">
            <v>0</v>
          </cell>
          <cell r="H391">
            <v>46607.15</v>
          </cell>
        </row>
        <row r="392">
          <cell r="A392" t="str">
            <v>090-10-075</v>
          </cell>
          <cell r="B392" t="str">
            <v>PENALTIES RECOVERIES-FFFP</v>
          </cell>
          <cell r="C392">
            <v>0</v>
          </cell>
          <cell r="D392">
            <v>0</v>
          </cell>
          <cell r="E392">
            <v>0</v>
          </cell>
          <cell r="F392">
            <v>0</v>
          </cell>
          <cell r="G392">
            <v>0</v>
          </cell>
          <cell r="H392">
            <v>0</v>
          </cell>
        </row>
        <row r="393">
          <cell r="A393" t="str">
            <v>090-10-080</v>
          </cell>
          <cell r="B393" t="str">
            <v>UNITS ENCASHMENT/WP</v>
          </cell>
          <cell r="C393">
            <v>846</v>
          </cell>
          <cell r="D393">
            <v>0</v>
          </cell>
          <cell r="E393">
            <v>846</v>
          </cell>
          <cell r="F393">
            <v>846</v>
          </cell>
          <cell r="G393">
            <v>0</v>
          </cell>
          <cell r="H393">
            <v>846</v>
          </cell>
        </row>
        <row r="394">
          <cell r="A394" t="str">
            <v>090-10-090</v>
          </cell>
          <cell r="B394" t="str">
            <v>WP CLAIMS</v>
          </cell>
          <cell r="C394">
            <v>457500</v>
          </cell>
          <cell r="D394">
            <v>156740</v>
          </cell>
          <cell r="E394">
            <v>614240</v>
          </cell>
          <cell r="F394">
            <v>614240</v>
          </cell>
          <cell r="G394">
            <v>0</v>
          </cell>
          <cell r="H394">
            <v>614240</v>
          </cell>
        </row>
        <row r="395">
          <cell r="A395" t="str">
            <v>090-10-095</v>
          </cell>
          <cell r="B395" t="str">
            <v>PENALTY ON CASH BONUS- FFFP</v>
          </cell>
          <cell r="C395">
            <v>0</v>
          </cell>
          <cell r="D395">
            <v>-2423.65</v>
          </cell>
          <cell r="E395">
            <v>-2423.65</v>
          </cell>
          <cell r="F395">
            <v>-2423.65</v>
          </cell>
          <cell r="G395">
            <v>0</v>
          </cell>
          <cell r="H395">
            <v>-2423.65</v>
          </cell>
        </row>
        <row r="396">
          <cell r="A396" t="str">
            <v>090-20-010</v>
          </cell>
          <cell r="B396" t="str">
            <v>REASSURANCE PREMIUMS(ENDOWMENT POLICIES)</v>
          </cell>
          <cell r="C396">
            <v>40777.74</v>
          </cell>
          <cell r="D396">
            <v>-40777.74</v>
          </cell>
          <cell r="E396">
            <v>0</v>
          </cell>
          <cell r="F396">
            <v>0</v>
          </cell>
          <cell r="G396">
            <v>0</v>
          </cell>
          <cell r="H396">
            <v>0</v>
          </cell>
        </row>
        <row r="397">
          <cell r="A397" t="str">
            <v>090-20-020</v>
          </cell>
          <cell r="B397" t="str">
            <v>REASSURANCE PREMIUMS FFFP POLICIES</v>
          </cell>
          <cell r="C397">
            <v>16946.189999999999</v>
          </cell>
          <cell r="D397">
            <v>-16946.189999999999</v>
          </cell>
          <cell r="E397">
            <v>0</v>
          </cell>
          <cell r="F397">
            <v>0</v>
          </cell>
          <cell r="G397">
            <v>0</v>
          </cell>
          <cell r="H397">
            <v>0</v>
          </cell>
        </row>
        <row r="398">
          <cell r="A398" t="str">
            <v>090-20-030</v>
          </cell>
          <cell r="B398" t="str">
            <v>REASSURANCE PREMIUMS WP POLICIES</v>
          </cell>
          <cell r="C398">
            <v>381640.17</v>
          </cell>
          <cell r="D398">
            <v>430487.83</v>
          </cell>
          <cell r="E398">
            <v>812128</v>
          </cell>
          <cell r="F398">
            <v>812128</v>
          </cell>
          <cell r="G398">
            <v>0</v>
          </cell>
          <cell r="H398">
            <v>812128</v>
          </cell>
        </row>
        <row r="399">
          <cell r="A399" t="str">
            <v>090-20-040</v>
          </cell>
          <cell r="C399">
            <v>0</v>
          </cell>
          <cell r="D399">
            <v>0</v>
          </cell>
          <cell r="E399">
            <v>0</v>
          </cell>
          <cell r="F399">
            <v>0</v>
          </cell>
          <cell r="G399">
            <v>0</v>
          </cell>
          <cell r="H399">
            <v>0</v>
          </cell>
        </row>
        <row r="400">
          <cell r="A400" t="str">
            <v>090-20-050</v>
          </cell>
          <cell r="C400">
            <v>0</v>
          </cell>
          <cell r="D400">
            <v>0</v>
          </cell>
          <cell r="E400">
            <v>0</v>
          </cell>
          <cell r="F400">
            <v>0</v>
          </cell>
          <cell r="G400">
            <v>0</v>
          </cell>
          <cell r="H400">
            <v>0</v>
          </cell>
        </row>
        <row r="401">
          <cell r="A401" t="str">
            <v>090-20-060</v>
          </cell>
          <cell r="C401">
            <v>0</v>
          </cell>
          <cell r="D401">
            <v>0</v>
          </cell>
          <cell r="E401">
            <v>0</v>
          </cell>
          <cell r="F401">
            <v>0</v>
          </cell>
          <cell r="G401">
            <v>0</v>
          </cell>
          <cell r="H401">
            <v>0</v>
          </cell>
        </row>
        <row r="402">
          <cell r="A402" t="str">
            <v>090-30-040</v>
          </cell>
          <cell r="B402" t="str">
            <v>REASSURANCE COMM PAIC SERIES</v>
          </cell>
          <cell r="C402">
            <v>-10194.52</v>
          </cell>
          <cell r="D402">
            <v>10194.52</v>
          </cell>
          <cell r="E402">
            <v>0</v>
          </cell>
          <cell r="F402">
            <v>0</v>
          </cell>
          <cell r="G402">
            <v>0</v>
          </cell>
          <cell r="H402">
            <v>0</v>
          </cell>
        </row>
        <row r="403">
          <cell r="A403" t="str">
            <v>090-30-050</v>
          </cell>
          <cell r="B403" t="str">
            <v>REASSURANCE COMM WP</v>
          </cell>
          <cell r="C403">
            <v>-95410.47</v>
          </cell>
          <cell r="D403">
            <v>-186404.43</v>
          </cell>
          <cell r="E403">
            <v>-281814.90000000002</v>
          </cell>
          <cell r="F403">
            <v>-281814.90000000002</v>
          </cell>
          <cell r="G403">
            <v>0</v>
          </cell>
          <cell r="H403">
            <v>-281814.90000000002</v>
          </cell>
        </row>
        <row r="404">
          <cell r="A404" t="str">
            <v>090-30-060</v>
          </cell>
          <cell r="B404" t="str">
            <v>REASSURANCE COMM FFFP</v>
          </cell>
          <cell r="C404">
            <v>-4236.67</v>
          </cell>
          <cell r="D404">
            <v>4236.67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</row>
        <row r="405">
          <cell r="A405" t="str">
            <v>105-10-010</v>
          </cell>
          <cell r="B405" t="str">
            <v>BASIC SALARY</v>
          </cell>
          <cell r="C405">
            <v>52985915.5</v>
          </cell>
          <cell r="D405">
            <v>5049711</v>
          </cell>
          <cell r="E405">
            <v>58035626.5</v>
          </cell>
          <cell r="F405">
            <v>58035626.5</v>
          </cell>
          <cell r="G405">
            <v>0</v>
          </cell>
          <cell r="H405">
            <v>58035626.5</v>
          </cell>
        </row>
        <row r="406">
          <cell r="A406" t="str">
            <v>105-10-011</v>
          </cell>
          <cell r="B406" t="str">
            <v>PROVISION FOR EDUCATION ALLOWANCE</v>
          </cell>
          <cell r="C406">
            <v>0</v>
          </cell>
          <cell r="D406">
            <v>0</v>
          </cell>
          <cell r="E406">
            <v>0</v>
          </cell>
          <cell r="F406">
            <v>0</v>
          </cell>
          <cell r="G406">
            <v>0</v>
          </cell>
          <cell r="H406">
            <v>0</v>
          </cell>
        </row>
        <row r="407">
          <cell r="A407" t="str">
            <v>105-10-012</v>
          </cell>
          <cell r="B407" t="str">
            <v>PROVISION FOR MORT. RATE ADJUSTMENT</v>
          </cell>
          <cell r="C407">
            <v>860040</v>
          </cell>
          <cell r="D407">
            <v>95560</v>
          </cell>
          <cell r="E407">
            <v>955600</v>
          </cell>
          <cell r="F407">
            <v>955600</v>
          </cell>
          <cell r="G407">
            <v>0</v>
          </cell>
          <cell r="H407">
            <v>955600</v>
          </cell>
        </row>
        <row r="408">
          <cell r="A408" t="str">
            <v>105-10-013</v>
          </cell>
          <cell r="B408" t="str">
            <v>PROVISION FOR CAR LOAN RATE ADJUST</v>
          </cell>
          <cell r="C408">
            <v>0</v>
          </cell>
          <cell r="D408">
            <v>0</v>
          </cell>
          <cell r="E408">
            <v>0</v>
          </cell>
          <cell r="F408">
            <v>0</v>
          </cell>
          <cell r="G408">
            <v>0</v>
          </cell>
          <cell r="H408">
            <v>0</v>
          </cell>
        </row>
        <row r="409">
          <cell r="A409" t="str">
            <v>105-10-020</v>
          </cell>
          <cell r="B409" t="str">
            <v>HOUSE ALLOWANCE</v>
          </cell>
          <cell r="C409">
            <v>8015005</v>
          </cell>
          <cell r="D409">
            <v>768925</v>
          </cell>
          <cell r="E409">
            <v>8783930</v>
          </cell>
          <cell r="F409">
            <v>8783930</v>
          </cell>
          <cell r="G409">
            <v>0</v>
          </cell>
          <cell r="H409">
            <v>8783930</v>
          </cell>
        </row>
        <row r="410">
          <cell r="A410" t="str">
            <v>105-10-030</v>
          </cell>
          <cell r="B410" t="str">
            <v>TELEPHONE ALLOWANCE</v>
          </cell>
          <cell r="C410">
            <v>326500</v>
          </cell>
          <cell r="D410">
            <v>44500</v>
          </cell>
          <cell r="E410">
            <v>371000</v>
          </cell>
          <cell r="F410">
            <v>371000</v>
          </cell>
          <cell r="G410">
            <v>0</v>
          </cell>
          <cell r="H410">
            <v>371000</v>
          </cell>
        </row>
        <row r="411">
          <cell r="A411" t="str">
            <v>105-10-040</v>
          </cell>
          <cell r="B411" t="str">
            <v>SECURITY ALLOWANCE</v>
          </cell>
          <cell r="C411">
            <v>275000</v>
          </cell>
          <cell r="D411">
            <v>25000</v>
          </cell>
          <cell r="E411">
            <v>300000</v>
          </cell>
          <cell r="F411">
            <v>300000</v>
          </cell>
          <cell r="G411">
            <v>0</v>
          </cell>
          <cell r="H411">
            <v>300000</v>
          </cell>
        </row>
        <row r="412">
          <cell r="A412" t="str">
            <v>105-10-050</v>
          </cell>
          <cell r="B412" t="str">
            <v>EDUCATION ALLOWANCE</v>
          </cell>
          <cell r="C412">
            <v>2126810</v>
          </cell>
          <cell r="D412">
            <v>123227.15</v>
          </cell>
          <cell r="E412">
            <v>2250037.15</v>
          </cell>
          <cell r="F412">
            <v>2250037.15</v>
          </cell>
          <cell r="G412">
            <v>0</v>
          </cell>
          <cell r="H412">
            <v>2250037.15</v>
          </cell>
        </row>
        <row r="413">
          <cell r="A413" t="str">
            <v>105-10-060</v>
          </cell>
          <cell r="B413" t="str">
            <v>TRAVEL ALLOWANCE</v>
          </cell>
          <cell r="C413">
            <v>1581560</v>
          </cell>
          <cell r="D413">
            <v>154520</v>
          </cell>
          <cell r="E413">
            <v>1736080</v>
          </cell>
          <cell r="F413">
            <v>1736080</v>
          </cell>
          <cell r="G413">
            <v>0</v>
          </cell>
          <cell r="H413">
            <v>1736080</v>
          </cell>
        </row>
        <row r="414">
          <cell r="A414" t="str">
            <v>105-10-065</v>
          </cell>
          <cell r="B414" t="str">
            <v>PROVISION FOR 2002 SURPLUS DISTRIBUTION</v>
          </cell>
          <cell r="C414">
            <v>0</v>
          </cell>
          <cell r="D414">
            <v>0</v>
          </cell>
          <cell r="E414">
            <v>0</v>
          </cell>
          <cell r="F414">
            <v>0</v>
          </cell>
          <cell r="G414">
            <v>0</v>
          </cell>
          <cell r="H414">
            <v>0</v>
          </cell>
        </row>
        <row r="415">
          <cell r="A415" t="str">
            <v>105-10-070</v>
          </cell>
          <cell r="B415" t="str">
            <v>STAFF BONUS</v>
          </cell>
          <cell r="C415">
            <v>-154000</v>
          </cell>
          <cell r="D415">
            <v>-1802232.06</v>
          </cell>
          <cell r="E415">
            <v>-1956232.06</v>
          </cell>
          <cell r="F415">
            <v>-1956232.06</v>
          </cell>
          <cell r="G415">
            <v>0</v>
          </cell>
          <cell r="H415">
            <v>-1956232.06</v>
          </cell>
        </row>
        <row r="416">
          <cell r="A416" t="str">
            <v>105-20-010</v>
          </cell>
          <cell r="B416" t="str">
            <v>NSSF</v>
          </cell>
          <cell r="C416">
            <v>156400</v>
          </cell>
          <cell r="D416">
            <v>14400</v>
          </cell>
          <cell r="E416">
            <v>170800</v>
          </cell>
          <cell r="F416">
            <v>170800</v>
          </cell>
          <cell r="G416">
            <v>0</v>
          </cell>
          <cell r="H416">
            <v>170800</v>
          </cell>
        </row>
        <row r="417">
          <cell r="A417" t="str">
            <v>105-20-020</v>
          </cell>
          <cell r="B417" t="str">
            <v>NHIF</v>
          </cell>
          <cell r="C417">
            <v>173820</v>
          </cell>
          <cell r="D417">
            <v>15540</v>
          </cell>
          <cell r="E417">
            <v>189360</v>
          </cell>
          <cell r="F417">
            <v>189360</v>
          </cell>
          <cell r="G417">
            <v>0</v>
          </cell>
          <cell r="H417">
            <v>189360</v>
          </cell>
        </row>
        <row r="418">
          <cell r="A418" t="str">
            <v>105-30-010</v>
          </cell>
          <cell r="B418" t="str">
            <v>PENSION</v>
          </cell>
          <cell r="C418">
            <v>4532379.5</v>
          </cell>
          <cell r="D418">
            <v>386825</v>
          </cell>
          <cell r="E418">
            <v>4919204.5</v>
          </cell>
          <cell r="F418">
            <v>4919204.5</v>
          </cell>
          <cell r="G418">
            <v>0</v>
          </cell>
          <cell r="H418">
            <v>4919204.5</v>
          </cell>
        </row>
        <row r="419">
          <cell r="A419" t="str">
            <v>105-30-020</v>
          </cell>
          <cell r="B419" t="str">
            <v>LAST EXPENSE</v>
          </cell>
          <cell r="C419">
            <v>50000</v>
          </cell>
          <cell r="D419">
            <v>0</v>
          </cell>
          <cell r="E419">
            <v>50000</v>
          </cell>
          <cell r="F419">
            <v>50000</v>
          </cell>
          <cell r="G419">
            <v>0</v>
          </cell>
          <cell r="H419">
            <v>50000</v>
          </cell>
        </row>
        <row r="420">
          <cell r="A420" t="str">
            <v>105-30-030</v>
          </cell>
          <cell r="B420" t="str">
            <v>GROUP LIFE ASSURANCE</v>
          </cell>
          <cell r="C420">
            <v>821296</v>
          </cell>
          <cell r="D420">
            <v>0</v>
          </cell>
          <cell r="E420">
            <v>821296</v>
          </cell>
          <cell r="F420">
            <v>821296</v>
          </cell>
          <cell r="G420">
            <v>0</v>
          </cell>
          <cell r="H420">
            <v>821296</v>
          </cell>
        </row>
        <row r="421">
          <cell r="A421" t="str">
            <v>105-30-040</v>
          </cell>
          <cell r="B421" t="str">
            <v>STAFF MEDICAL</v>
          </cell>
          <cell r="C421">
            <v>5332426.9800000004</v>
          </cell>
          <cell r="D421">
            <v>1164989.3500000001</v>
          </cell>
          <cell r="E421">
            <v>6497416.3300000001</v>
          </cell>
          <cell r="F421">
            <v>6497416.3300000001</v>
          </cell>
          <cell r="G421">
            <v>0</v>
          </cell>
          <cell r="H421">
            <v>6497416.3300000001</v>
          </cell>
        </row>
        <row r="422">
          <cell r="A422" t="str">
            <v>105-30-050</v>
          </cell>
          <cell r="B422" t="str">
            <v>CASH IN LIEU OF LEAVE</v>
          </cell>
          <cell r="C422">
            <v>554064.55000000005</v>
          </cell>
          <cell r="D422">
            <v>-796935.53</v>
          </cell>
          <cell r="E422">
            <v>-242870.98</v>
          </cell>
          <cell r="F422">
            <v>-242870.98</v>
          </cell>
          <cell r="G422">
            <v>0</v>
          </cell>
          <cell r="H422">
            <v>-242870.98</v>
          </cell>
        </row>
        <row r="423">
          <cell r="A423" t="str">
            <v>105-30-060</v>
          </cell>
          <cell r="B423" t="str">
            <v>GRATUITY</v>
          </cell>
          <cell r="C423">
            <v>5082221.0999999996</v>
          </cell>
          <cell r="D423">
            <v>462020.1</v>
          </cell>
          <cell r="E423">
            <v>5544241.2000000002</v>
          </cell>
          <cell r="F423">
            <v>5544241.2000000002</v>
          </cell>
          <cell r="G423">
            <v>0</v>
          </cell>
          <cell r="H423">
            <v>5544241.2000000002</v>
          </cell>
        </row>
        <row r="424">
          <cell r="A424" t="str">
            <v>105-30-070</v>
          </cell>
          <cell r="B424" t="str">
            <v>LONG SERVICE AWARDS</v>
          </cell>
          <cell r="C424">
            <v>160035</v>
          </cell>
          <cell r="D424">
            <v>0</v>
          </cell>
          <cell r="E424">
            <v>160035</v>
          </cell>
          <cell r="F424">
            <v>160035</v>
          </cell>
          <cell r="G424">
            <v>0</v>
          </cell>
          <cell r="H424">
            <v>160035</v>
          </cell>
        </row>
        <row r="425">
          <cell r="A425" t="str">
            <v>105-30-080</v>
          </cell>
          <cell r="B425" t="str">
            <v>STAFF RECRUITMENT &amp; REMOVALS</v>
          </cell>
          <cell r="C425">
            <v>22315</v>
          </cell>
          <cell r="D425">
            <v>126092</v>
          </cell>
          <cell r="E425">
            <v>148407</v>
          </cell>
          <cell r="F425">
            <v>148407</v>
          </cell>
          <cell r="G425">
            <v>0</v>
          </cell>
          <cell r="H425">
            <v>148407</v>
          </cell>
        </row>
        <row r="426">
          <cell r="A426" t="str">
            <v>115-10-005</v>
          </cell>
          <cell r="B426" t="str">
            <v>AMORTIZATION ON LAND &amp; BUILDINGS</v>
          </cell>
          <cell r="C426">
            <v>0</v>
          </cell>
          <cell r="D426">
            <v>0</v>
          </cell>
          <cell r="E426">
            <v>0</v>
          </cell>
          <cell r="F426">
            <v>0</v>
          </cell>
          <cell r="G426">
            <v>0</v>
          </cell>
          <cell r="H426">
            <v>0</v>
          </cell>
        </row>
        <row r="427">
          <cell r="A427" t="str">
            <v>115-10-010</v>
          </cell>
          <cell r="B427" t="str">
            <v>DEPRECIATION-FURNITURE &amp; FITTINGS</v>
          </cell>
          <cell r="C427">
            <v>3532936.22</v>
          </cell>
          <cell r="D427">
            <v>337468.71</v>
          </cell>
          <cell r="E427">
            <v>3870404.93</v>
          </cell>
          <cell r="F427">
            <v>3870404.93</v>
          </cell>
          <cell r="G427">
            <v>0</v>
          </cell>
          <cell r="H427">
            <v>3870404.93</v>
          </cell>
        </row>
        <row r="428">
          <cell r="A428" t="str">
            <v>115-10-020</v>
          </cell>
          <cell r="B428" t="str">
            <v>DEPRECIATION-COMPUTER &amp; OTHER EQUIPMENT</v>
          </cell>
          <cell r="C428">
            <v>4433338.74</v>
          </cell>
          <cell r="D428">
            <v>394687.54</v>
          </cell>
          <cell r="E428">
            <v>4828026.28</v>
          </cell>
          <cell r="F428">
            <v>4828026.28</v>
          </cell>
          <cell r="G428">
            <v>0</v>
          </cell>
          <cell r="H428">
            <v>4828026.28</v>
          </cell>
        </row>
        <row r="429">
          <cell r="A429" t="str">
            <v>115-10-030</v>
          </cell>
          <cell r="B429" t="str">
            <v>DEPRECIATION-MOTOR VEHICLES</v>
          </cell>
          <cell r="C429">
            <v>1095923.1299999999</v>
          </cell>
          <cell r="D429">
            <v>99629.37</v>
          </cell>
          <cell r="E429">
            <v>1195552.5</v>
          </cell>
          <cell r="F429">
            <v>1195552.5</v>
          </cell>
          <cell r="G429">
            <v>0</v>
          </cell>
          <cell r="H429">
            <v>1195552.5</v>
          </cell>
        </row>
        <row r="430">
          <cell r="A430" t="str">
            <v>115-10-040</v>
          </cell>
          <cell r="B430" t="str">
            <v>OFFICE RENT</v>
          </cell>
          <cell r="C430">
            <v>8688946.1099999994</v>
          </cell>
          <cell r="D430">
            <v>3672553.82</v>
          </cell>
          <cell r="E430">
            <v>12361499.93</v>
          </cell>
          <cell r="F430">
            <v>12361499.93</v>
          </cell>
          <cell r="G430">
            <v>0</v>
          </cell>
          <cell r="H430">
            <v>12361499.93</v>
          </cell>
        </row>
        <row r="431">
          <cell r="A431" t="str">
            <v>115-10-050</v>
          </cell>
          <cell r="B431" t="str">
            <v>OFFICE CATERING,CLEANING &amp; STAFF WELFARE</v>
          </cell>
          <cell r="C431">
            <v>1329048.73</v>
          </cell>
          <cell r="D431">
            <v>601634.64</v>
          </cell>
          <cell r="E431">
            <v>1930683.37</v>
          </cell>
          <cell r="F431">
            <v>1930683.37</v>
          </cell>
          <cell r="G431">
            <v>0</v>
          </cell>
          <cell r="H431">
            <v>1930683.37</v>
          </cell>
        </row>
        <row r="432">
          <cell r="A432" t="str">
            <v>115-10-051</v>
          </cell>
          <cell r="B432" t="str">
            <v>OFFICE CLEANING</v>
          </cell>
          <cell r="C432">
            <v>500</v>
          </cell>
          <cell r="D432">
            <v>2000</v>
          </cell>
          <cell r="E432">
            <v>2500</v>
          </cell>
          <cell r="F432">
            <v>2500</v>
          </cell>
          <cell r="G432">
            <v>0</v>
          </cell>
          <cell r="H432">
            <v>2500</v>
          </cell>
        </row>
        <row r="433">
          <cell r="A433" t="str">
            <v>115-10-060</v>
          </cell>
          <cell r="B433" t="str">
            <v>OFFICE WATER</v>
          </cell>
          <cell r="C433">
            <v>51564.87</v>
          </cell>
          <cell r="D433">
            <v>563</v>
          </cell>
          <cell r="E433">
            <v>52127.87</v>
          </cell>
          <cell r="F433">
            <v>52127.87</v>
          </cell>
          <cell r="G433">
            <v>0</v>
          </cell>
          <cell r="H433">
            <v>52127.87</v>
          </cell>
        </row>
        <row r="434">
          <cell r="A434" t="str">
            <v>115-10-070</v>
          </cell>
          <cell r="B434" t="str">
            <v>OFFICE ELECTRICITY</v>
          </cell>
          <cell r="C434">
            <v>50545.599999999999</v>
          </cell>
          <cell r="D434">
            <v>6692</v>
          </cell>
          <cell r="E434">
            <v>57237.599999999999</v>
          </cell>
          <cell r="F434">
            <v>57237.599999999999</v>
          </cell>
          <cell r="G434">
            <v>0</v>
          </cell>
          <cell r="H434">
            <v>57237.599999999999</v>
          </cell>
        </row>
        <row r="435">
          <cell r="A435" t="str">
            <v>115-10-080</v>
          </cell>
          <cell r="B435" t="str">
            <v>OFFICE SECURITY</v>
          </cell>
          <cell r="C435">
            <v>90000</v>
          </cell>
          <cell r="D435">
            <v>30000</v>
          </cell>
          <cell r="E435">
            <v>120000</v>
          </cell>
          <cell r="F435">
            <v>120000</v>
          </cell>
          <cell r="G435">
            <v>0</v>
          </cell>
          <cell r="H435">
            <v>120000</v>
          </cell>
        </row>
        <row r="436">
          <cell r="A436" t="str">
            <v>125-10-010</v>
          </cell>
          <cell r="B436" t="str">
            <v>BANK CHARGES</v>
          </cell>
          <cell r="C436">
            <v>2397618.65</v>
          </cell>
          <cell r="D436">
            <v>259352.06</v>
          </cell>
          <cell r="E436">
            <v>2656970.71</v>
          </cell>
          <cell r="F436">
            <v>2656970.71</v>
          </cell>
          <cell r="G436">
            <v>0</v>
          </cell>
          <cell r="H436">
            <v>2656970.71</v>
          </cell>
        </row>
        <row r="437">
          <cell r="A437" t="str">
            <v>125-10-020</v>
          </cell>
          <cell r="B437" t="str">
            <v>BANK OVERDRAFT CHARGES</v>
          </cell>
          <cell r="C437">
            <v>0</v>
          </cell>
          <cell r="D437">
            <v>0</v>
          </cell>
          <cell r="E437">
            <v>0</v>
          </cell>
          <cell r="F437">
            <v>0</v>
          </cell>
          <cell r="G437">
            <v>0</v>
          </cell>
          <cell r="H437">
            <v>0</v>
          </cell>
        </row>
        <row r="438">
          <cell r="A438" t="str">
            <v>125-10-030</v>
          </cell>
          <cell r="B438" t="str">
            <v>CUSTODY FEES (STANBIC)</v>
          </cell>
          <cell r="C438">
            <v>0</v>
          </cell>
          <cell r="D438">
            <v>0</v>
          </cell>
          <cell r="E438">
            <v>0</v>
          </cell>
          <cell r="F438">
            <v>0</v>
          </cell>
          <cell r="G438">
            <v>0</v>
          </cell>
          <cell r="H438">
            <v>0</v>
          </cell>
        </row>
        <row r="439">
          <cell r="A439" t="str">
            <v>135-10-010</v>
          </cell>
          <cell r="B439" t="str">
            <v>STAMP DUTY-RECOVERIES</v>
          </cell>
          <cell r="C439">
            <v>5000</v>
          </cell>
          <cell r="D439">
            <v>-5000</v>
          </cell>
          <cell r="E439">
            <v>0</v>
          </cell>
          <cell r="F439">
            <v>0</v>
          </cell>
          <cell r="G439">
            <v>0</v>
          </cell>
          <cell r="H439">
            <v>0</v>
          </cell>
        </row>
        <row r="440">
          <cell r="A440" t="str">
            <v>135-10-015</v>
          </cell>
          <cell r="B440" t="str">
            <v>STAMP DUTY -PAID</v>
          </cell>
          <cell r="C440">
            <v>843670</v>
          </cell>
          <cell r="D440">
            <v>-843670</v>
          </cell>
          <cell r="E440">
            <v>0</v>
          </cell>
          <cell r="F440">
            <v>0</v>
          </cell>
          <cell r="G440">
            <v>0</v>
          </cell>
          <cell r="H440">
            <v>0</v>
          </cell>
        </row>
        <row r="441">
          <cell r="A441" t="str">
            <v>135-10-020</v>
          </cell>
          <cell r="B441" t="str">
            <v>MEDICAL FEE</v>
          </cell>
          <cell r="C441">
            <v>4700</v>
          </cell>
          <cell r="D441">
            <v>5400</v>
          </cell>
          <cell r="E441">
            <v>10100</v>
          </cell>
          <cell r="F441">
            <v>10100</v>
          </cell>
          <cell r="G441">
            <v>0</v>
          </cell>
          <cell r="H441">
            <v>10100</v>
          </cell>
        </row>
        <row r="442">
          <cell r="A442" t="str">
            <v>135-10-030</v>
          </cell>
          <cell r="B442" t="str">
            <v>ADVERTISING AND PUBLICITY</v>
          </cell>
          <cell r="C442">
            <v>0</v>
          </cell>
          <cell r="D442">
            <v>0</v>
          </cell>
          <cell r="E442">
            <v>0</v>
          </cell>
          <cell r="F442">
            <v>0</v>
          </cell>
          <cell r="G442">
            <v>0</v>
          </cell>
          <cell r="H442">
            <v>0</v>
          </cell>
        </row>
        <row r="443">
          <cell r="A443" t="str">
            <v>135-10-035</v>
          </cell>
          <cell r="B443" t="str">
            <v>BRANCH CONNECTION-EMAIL LINK-UP</v>
          </cell>
          <cell r="C443">
            <v>0</v>
          </cell>
          <cell r="D443">
            <v>0</v>
          </cell>
          <cell r="E443">
            <v>0</v>
          </cell>
          <cell r="F443">
            <v>0</v>
          </cell>
          <cell r="G443">
            <v>0</v>
          </cell>
          <cell r="H443">
            <v>0</v>
          </cell>
        </row>
        <row r="444">
          <cell r="A444" t="str">
            <v>135-20-010</v>
          </cell>
          <cell r="B444" t="str">
            <v>REINSURANCE PREMIUMS-ORDINARY LIFE</v>
          </cell>
          <cell r="C444">
            <v>0</v>
          </cell>
          <cell r="D444">
            <v>0</v>
          </cell>
          <cell r="E444">
            <v>0</v>
          </cell>
          <cell r="F444">
            <v>0</v>
          </cell>
          <cell r="G444">
            <v>0</v>
          </cell>
          <cell r="H444">
            <v>0</v>
          </cell>
        </row>
        <row r="445">
          <cell r="A445" t="str">
            <v>135-30-010</v>
          </cell>
          <cell r="B445" t="str">
            <v>NEW BUSINESS COMMISSION</v>
          </cell>
          <cell r="C445">
            <v>27254002.940000001</v>
          </cell>
          <cell r="D445">
            <v>49304801.020000003</v>
          </cell>
          <cell r="E445">
            <v>76558803.959999993</v>
          </cell>
          <cell r="F445">
            <v>76558803.959999993</v>
          </cell>
          <cell r="G445">
            <v>-1.0000003385357559E-2</v>
          </cell>
          <cell r="H445">
            <v>76558803.949999988</v>
          </cell>
        </row>
        <row r="446">
          <cell r="A446" t="str">
            <v>135-30-020</v>
          </cell>
          <cell r="B446" t="str">
            <v>RENEWAL COMMISSION</v>
          </cell>
          <cell r="C446">
            <v>42435853.93</v>
          </cell>
          <cell r="D446">
            <v>-13043899.66</v>
          </cell>
          <cell r="E446">
            <v>29391954.27</v>
          </cell>
          <cell r="F446">
            <v>29391954.27</v>
          </cell>
          <cell r="G446">
            <v>-0.39999999717110768</v>
          </cell>
          <cell r="H446">
            <v>29391953.870000001</v>
          </cell>
        </row>
        <row r="447">
          <cell r="A447" t="str">
            <v>135-30-030</v>
          </cell>
          <cell r="B447" t="str">
            <v>OVERIDE COMMISSION</v>
          </cell>
          <cell r="C447">
            <v>17306647.629999999</v>
          </cell>
          <cell r="D447">
            <v>8348260.0700000003</v>
          </cell>
          <cell r="E447">
            <v>25654907.699999999</v>
          </cell>
          <cell r="F447">
            <v>25654907.699999999</v>
          </cell>
          <cell r="G447">
            <v>-0.10250000013911631</v>
          </cell>
          <cell r="H447">
            <v>25654907.5975</v>
          </cell>
        </row>
        <row r="448">
          <cell r="A448" t="str">
            <v>135-30-035</v>
          </cell>
          <cell r="B448" t="str">
            <v>MARKETING RECOUPMENT</v>
          </cell>
          <cell r="C448">
            <v>0</v>
          </cell>
          <cell r="D448">
            <v>0</v>
          </cell>
          <cell r="E448">
            <v>0</v>
          </cell>
          <cell r="F448">
            <v>0</v>
          </cell>
          <cell r="G448">
            <v>0</v>
          </cell>
          <cell r="H448">
            <v>0</v>
          </cell>
        </row>
        <row r="449">
          <cell r="A449" t="str">
            <v>135-34-010</v>
          </cell>
          <cell r="B449" t="str">
            <v>NEW BUSINESS COMMISSION</v>
          </cell>
          <cell r="C449">
            <v>0</v>
          </cell>
          <cell r="D449">
            <v>0</v>
          </cell>
          <cell r="E449">
            <v>0</v>
          </cell>
          <cell r="F449">
            <v>0</v>
          </cell>
          <cell r="G449">
            <v>0</v>
          </cell>
          <cell r="H449">
            <v>0</v>
          </cell>
        </row>
        <row r="450">
          <cell r="A450" t="str">
            <v>135-34-020</v>
          </cell>
          <cell r="B450" t="str">
            <v>RENEWAL BUSINESS COMMISSION</v>
          </cell>
          <cell r="C450">
            <v>0</v>
          </cell>
          <cell r="D450">
            <v>0</v>
          </cell>
          <cell r="E450">
            <v>0</v>
          </cell>
          <cell r="F450">
            <v>0</v>
          </cell>
          <cell r="G450">
            <v>0</v>
          </cell>
          <cell r="H450">
            <v>0</v>
          </cell>
        </row>
        <row r="451">
          <cell r="A451" t="str">
            <v>135-34-030</v>
          </cell>
          <cell r="B451" t="str">
            <v>OVERIDE COMMISSION</v>
          </cell>
          <cell r="C451">
            <v>0</v>
          </cell>
          <cell r="D451">
            <v>0</v>
          </cell>
          <cell r="E451">
            <v>0</v>
          </cell>
          <cell r="F451">
            <v>0</v>
          </cell>
          <cell r="G451">
            <v>0</v>
          </cell>
          <cell r="H451">
            <v>0</v>
          </cell>
        </row>
        <row r="452">
          <cell r="A452" t="str">
            <v>135-38-010</v>
          </cell>
          <cell r="B452" t="str">
            <v>NEW BUSINESS COMMISSION</v>
          </cell>
          <cell r="C452">
            <v>0</v>
          </cell>
          <cell r="D452">
            <v>0</v>
          </cell>
          <cell r="E452">
            <v>0</v>
          </cell>
          <cell r="F452">
            <v>0</v>
          </cell>
          <cell r="G452">
            <v>0</v>
          </cell>
          <cell r="H452">
            <v>0</v>
          </cell>
        </row>
        <row r="453">
          <cell r="A453" t="str">
            <v>135-38-020</v>
          </cell>
          <cell r="B453" t="str">
            <v>RENEWAL BUSINESS COMMISSION</v>
          </cell>
          <cell r="C453">
            <v>0</v>
          </cell>
          <cell r="D453">
            <v>0</v>
          </cell>
          <cell r="E453">
            <v>0</v>
          </cell>
          <cell r="F453">
            <v>0</v>
          </cell>
          <cell r="G453">
            <v>0</v>
          </cell>
          <cell r="H453">
            <v>0</v>
          </cell>
        </row>
        <row r="454">
          <cell r="A454" t="str">
            <v>135-38-030</v>
          </cell>
          <cell r="B454" t="str">
            <v>OVERIDE COMMISSION</v>
          </cell>
          <cell r="C454">
            <v>0</v>
          </cell>
          <cell r="D454">
            <v>0</v>
          </cell>
          <cell r="E454">
            <v>0</v>
          </cell>
          <cell r="F454">
            <v>0</v>
          </cell>
          <cell r="G454">
            <v>0</v>
          </cell>
          <cell r="H454">
            <v>0</v>
          </cell>
        </row>
        <row r="455">
          <cell r="A455" t="str">
            <v>135-38-050</v>
          </cell>
          <cell r="B455" t="str">
            <v>ZONER OVERRIDE</v>
          </cell>
          <cell r="C455">
            <v>0</v>
          </cell>
          <cell r="D455">
            <v>1181906</v>
          </cell>
          <cell r="E455">
            <v>1181906</v>
          </cell>
          <cell r="F455">
            <v>1181906</v>
          </cell>
          <cell r="G455">
            <v>0</v>
          </cell>
          <cell r="H455">
            <v>1181906</v>
          </cell>
        </row>
        <row r="456">
          <cell r="A456" t="str">
            <v>135-40-010</v>
          </cell>
          <cell r="B456" t="str">
            <v>AGENCY SUBSIDY</v>
          </cell>
          <cell r="C456">
            <v>2254024.9</v>
          </cell>
          <cell r="D456">
            <v>134299.99</v>
          </cell>
          <cell r="E456">
            <v>2388324.89</v>
          </cell>
          <cell r="F456">
            <v>2388324.89</v>
          </cell>
          <cell r="G456">
            <v>0</v>
          </cell>
          <cell r="H456">
            <v>2388324.89</v>
          </cell>
        </row>
        <row r="457">
          <cell r="A457" t="str">
            <v>135-40-020</v>
          </cell>
          <cell r="B457" t="str">
            <v>UNIT SUBSIDY</v>
          </cell>
          <cell r="C457">
            <v>3220044.85</v>
          </cell>
          <cell r="D457">
            <v>322553</v>
          </cell>
          <cell r="E457">
            <v>3542597.85</v>
          </cell>
          <cell r="F457">
            <v>3542597.85</v>
          </cell>
          <cell r="G457">
            <v>0</v>
          </cell>
          <cell r="H457">
            <v>3542597.85</v>
          </cell>
        </row>
        <row r="458">
          <cell r="A458" t="str">
            <v>135-50-010</v>
          </cell>
          <cell r="B458" t="str">
            <v>MEDICAL EXPENSES</v>
          </cell>
          <cell r="C458">
            <v>0</v>
          </cell>
          <cell r="D458">
            <v>0</v>
          </cell>
          <cell r="E458">
            <v>0</v>
          </cell>
          <cell r="F458">
            <v>0</v>
          </cell>
          <cell r="G458">
            <v>0</v>
          </cell>
          <cell r="H458">
            <v>0</v>
          </cell>
        </row>
        <row r="459">
          <cell r="A459" t="str">
            <v>135-50-020</v>
          </cell>
          <cell r="B459" t="str">
            <v>AGENCY MANAGERS MEDICAL SCHEME</v>
          </cell>
          <cell r="C459">
            <v>0</v>
          </cell>
          <cell r="D459">
            <v>0</v>
          </cell>
          <cell r="E459">
            <v>0</v>
          </cell>
          <cell r="F459">
            <v>0</v>
          </cell>
          <cell r="G459">
            <v>0</v>
          </cell>
          <cell r="H459">
            <v>0</v>
          </cell>
        </row>
        <row r="460">
          <cell r="A460" t="str">
            <v>135-60-010</v>
          </cell>
          <cell r="B460" t="str">
            <v>PROFFESSIONAL TRAINING</v>
          </cell>
          <cell r="C460">
            <v>0</v>
          </cell>
          <cell r="D460">
            <v>0</v>
          </cell>
          <cell r="E460">
            <v>0</v>
          </cell>
          <cell r="F460">
            <v>0</v>
          </cell>
          <cell r="G460">
            <v>0</v>
          </cell>
          <cell r="H460">
            <v>0</v>
          </cell>
        </row>
        <row r="461">
          <cell r="A461" t="str">
            <v>135-60-020</v>
          </cell>
          <cell r="B461" t="str">
            <v>SEMINARS &amp; SHORT COURSES</v>
          </cell>
          <cell r="C461">
            <v>0</v>
          </cell>
          <cell r="D461">
            <v>0</v>
          </cell>
          <cell r="E461">
            <v>0</v>
          </cell>
          <cell r="F461">
            <v>0</v>
          </cell>
          <cell r="G461">
            <v>0</v>
          </cell>
          <cell r="H461">
            <v>0</v>
          </cell>
        </row>
        <row r="462">
          <cell r="A462" t="str">
            <v>135-60-030</v>
          </cell>
          <cell r="B462" t="str">
            <v>SALES PROMOTIONS &amp; COMPETITION</v>
          </cell>
          <cell r="C462">
            <v>3371021.06</v>
          </cell>
          <cell r="D462">
            <v>517252</v>
          </cell>
          <cell r="E462">
            <v>3888273.06</v>
          </cell>
          <cell r="F462">
            <v>3888273.06</v>
          </cell>
          <cell r="G462">
            <v>0</v>
          </cell>
          <cell r="H462">
            <v>3888273.06</v>
          </cell>
        </row>
        <row r="463">
          <cell r="A463" t="str">
            <v>135-70-010</v>
          </cell>
          <cell r="B463" t="str">
            <v>AGENCY PENSION</v>
          </cell>
          <cell r="C463">
            <v>1766557</v>
          </cell>
          <cell r="D463">
            <v>295303.40000000002</v>
          </cell>
          <cell r="E463">
            <v>2061860.4</v>
          </cell>
          <cell r="F463">
            <v>2061860.4</v>
          </cell>
          <cell r="G463">
            <v>0</v>
          </cell>
          <cell r="H463">
            <v>2061860.4</v>
          </cell>
        </row>
        <row r="464">
          <cell r="A464" t="str">
            <v>135-70-020</v>
          </cell>
          <cell r="B464" t="str">
            <v>AGENCY GLA</v>
          </cell>
          <cell r="C464">
            <v>241445</v>
          </cell>
          <cell r="D464">
            <v>109813.54</v>
          </cell>
          <cell r="E464">
            <v>351258.54</v>
          </cell>
          <cell r="F464">
            <v>351258.54</v>
          </cell>
          <cell r="G464">
            <v>0</v>
          </cell>
          <cell r="H464">
            <v>351258.54</v>
          </cell>
        </row>
        <row r="465">
          <cell r="A465" t="str">
            <v>135-70-030</v>
          </cell>
          <cell r="B465" t="str">
            <v>AGENCY LAST EXPENSE</v>
          </cell>
          <cell r="C465">
            <v>110300</v>
          </cell>
          <cell r="D465">
            <v>0</v>
          </cell>
          <cell r="E465">
            <v>110300</v>
          </cell>
          <cell r="F465">
            <v>110300</v>
          </cell>
          <cell r="G465">
            <v>0</v>
          </cell>
          <cell r="H465">
            <v>110300</v>
          </cell>
        </row>
        <row r="466">
          <cell r="A466" t="str">
            <v>135-70-040</v>
          </cell>
          <cell r="B466" t="str">
            <v>AGENCY MEDICAL</v>
          </cell>
          <cell r="C466">
            <v>562000</v>
          </cell>
          <cell r="D466">
            <v>0</v>
          </cell>
          <cell r="E466">
            <v>562000</v>
          </cell>
          <cell r="F466">
            <v>562000</v>
          </cell>
          <cell r="G466">
            <v>0</v>
          </cell>
          <cell r="H466">
            <v>562000</v>
          </cell>
        </row>
        <row r="467">
          <cell r="A467" t="str">
            <v>145-10-010</v>
          </cell>
          <cell r="B467" t="str">
            <v>ALA GROUP CHARGES</v>
          </cell>
          <cell r="C467">
            <v>3592007.6</v>
          </cell>
          <cell r="D467">
            <v>703640.8</v>
          </cell>
          <cell r="E467">
            <v>4295648.4000000004</v>
          </cell>
          <cell r="F467">
            <v>4295648.4000000004</v>
          </cell>
          <cell r="G467">
            <v>0</v>
          </cell>
          <cell r="H467">
            <v>4295648.4000000004</v>
          </cell>
        </row>
        <row r="468">
          <cell r="A468" t="str">
            <v>145-10-020</v>
          </cell>
          <cell r="B468" t="str">
            <v>ACTUARIAL FEES</v>
          </cell>
          <cell r="C468">
            <v>3860945</v>
          </cell>
          <cell r="D468">
            <v>-1093661.29</v>
          </cell>
          <cell r="E468">
            <v>2767283.71</v>
          </cell>
          <cell r="F468">
            <v>2767283.71</v>
          </cell>
          <cell r="G468">
            <v>0</v>
          </cell>
          <cell r="H468">
            <v>2767283.71</v>
          </cell>
        </row>
        <row r="469">
          <cell r="A469" t="str">
            <v>145-10-030</v>
          </cell>
          <cell r="B469" t="str">
            <v>AUDIT FEES</v>
          </cell>
          <cell r="C469">
            <v>870837</v>
          </cell>
          <cell r="D469">
            <v>852192</v>
          </cell>
          <cell r="E469">
            <v>1723029</v>
          </cell>
          <cell r="F469">
            <v>1057029</v>
          </cell>
          <cell r="G469">
            <v>0</v>
          </cell>
          <cell r="H469">
            <v>1057029</v>
          </cell>
        </row>
        <row r="470">
          <cell r="A470" t="str">
            <v>145-10-031</v>
          </cell>
          <cell r="B470" t="str">
            <v>TAX CONSULTANCY FEE</v>
          </cell>
          <cell r="C470">
            <v>206322</v>
          </cell>
          <cell r="D470">
            <v>0</v>
          </cell>
          <cell r="E470">
            <v>206322</v>
          </cell>
          <cell r="F470">
            <v>206322</v>
          </cell>
          <cell r="G470">
            <v>0</v>
          </cell>
          <cell r="H470">
            <v>206322</v>
          </cell>
        </row>
        <row r="471">
          <cell r="A471" t="str">
            <v>145-10-040</v>
          </cell>
          <cell r="B471" t="str">
            <v>LEGAL FEES</v>
          </cell>
          <cell r="C471">
            <v>178519.15</v>
          </cell>
          <cell r="D471">
            <v>0</v>
          </cell>
          <cell r="E471">
            <v>178519.15</v>
          </cell>
          <cell r="F471">
            <v>178519.15</v>
          </cell>
          <cell r="G471">
            <v>0</v>
          </cell>
          <cell r="H471">
            <v>178519.15</v>
          </cell>
        </row>
        <row r="472">
          <cell r="A472" t="str">
            <v>145-10-050</v>
          </cell>
          <cell r="B472" t="str">
            <v>CONSULTANCY FEES</v>
          </cell>
          <cell r="C472">
            <v>0</v>
          </cell>
          <cell r="D472">
            <v>0</v>
          </cell>
          <cell r="E472">
            <v>0</v>
          </cell>
          <cell r="F472">
            <v>0</v>
          </cell>
          <cell r="G472">
            <v>0</v>
          </cell>
          <cell r="H472">
            <v>0</v>
          </cell>
        </row>
        <row r="473">
          <cell r="A473" t="str">
            <v>145-10-060</v>
          </cell>
          <cell r="B473" t="str">
            <v>INTRA COMPANY -INDIVIDUAL LIFE</v>
          </cell>
          <cell r="C473">
            <v>5280964</v>
          </cell>
          <cell r="D473">
            <v>-406228</v>
          </cell>
          <cell r="E473">
            <v>4874736</v>
          </cell>
          <cell r="F473">
            <v>4874736</v>
          </cell>
          <cell r="G473">
            <v>0</v>
          </cell>
          <cell r="H473">
            <v>4874736</v>
          </cell>
        </row>
        <row r="474">
          <cell r="A474" t="str">
            <v>145-10-070</v>
          </cell>
          <cell r="B474" t="str">
            <v>10% RECHARGE FOR PROP DEPT.CORP.BUSINESS</v>
          </cell>
          <cell r="C474">
            <v>0</v>
          </cell>
          <cell r="D474">
            <v>0</v>
          </cell>
          <cell r="E474">
            <v>0</v>
          </cell>
          <cell r="F474">
            <v>0</v>
          </cell>
          <cell r="G474">
            <v>0</v>
          </cell>
          <cell r="H474">
            <v>0</v>
          </cell>
        </row>
        <row r="475">
          <cell r="A475" t="str">
            <v>145-10-080</v>
          </cell>
          <cell r="B475" t="str">
            <v>10 % RECHARGETO CORP BUSS. FROM FINANCE</v>
          </cell>
          <cell r="C475">
            <v>-2956030</v>
          </cell>
          <cell r="D475">
            <v>-268730</v>
          </cell>
          <cell r="E475">
            <v>-3224760</v>
          </cell>
          <cell r="F475">
            <v>-3224760</v>
          </cell>
          <cell r="G475">
            <v>0</v>
          </cell>
          <cell r="H475">
            <v>-3224760</v>
          </cell>
        </row>
        <row r="476">
          <cell r="A476" t="str">
            <v>145-10-090</v>
          </cell>
          <cell r="B476" t="str">
            <v>3.5% RECHARGE TO CORP. FROM EXECUTIVE</v>
          </cell>
          <cell r="C476">
            <v>-855547</v>
          </cell>
          <cell r="D476">
            <v>-77777</v>
          </cell>
          <cell r="E476">
            <v>-933324</v>
          </cell>
          <cell r="F476">
            <v>-933324</v>
          </cell>
          <cell r="G476">
            <v>0</v>
          </cell>
          <cell r="H476">
            <v>-933324</v>
          </cell>
        </row>
        <row r="477">
          <cell r="A477" t="str">
            <v>145-10-100</v>
          </cell>
          <cell r="B477" t="str">
            <v>5% RECHARGE FOR HOLDINGS</v>
          </cell>
          <cell r="C477">
            <v>-1486865</v>
          </cell>
          <cell r="D477">
            <v>-134785</v>
          </cell>
          <cell r="E477">
            <v>-1621650</v>
          </cell>
          <cell r="F477">
            <v>-1621650</v>
          </cell>
          <cell r="G477">
            <v>0</v>
          </cell>
          <cell r="H477">
            <v>-1621650</v>
          </cell>
        </row>
        <row r="478">
          <cell r="A478" t="str">
            <v>145-10-110</v>
          </cell>
          <cell r="B478" t="str">
            <v>PROFESSIONAL FEES</v>
          </cell>
          <cell r="C478">
            <v>0</v>
          </cell>
          <cell r="D478">
            <v>203000</v>
          </cell>
          <cell r="E478">
            <v>203000</v>
          </cell>
          <cell r="F478">
            <v>203000</v>
          </cell>
          <cell r="G478">
            <v>0</v>
          </cell>
          <cell r="H478">
            <v>203000</v>
          </cell>
        </row>
        <row r="479">
          <cell r="A479" t="str">
            <v>155-10-007</v>
          </cell>
          <cell r="B479" t="str">
            <v>NEWSPAPERS &amp; JOURNAL</v>
          </cell>
          <cell r="C479">
            <v>223540</v>
          </cell>
          <cell r="D479">
            <v>20745</v>
          </cell>
          <cell r="E479">
            <v>244285</v>
          </cell>
          <cell r="F479">
            <v>244285</v>
          </cell>
          <cell r="G479">
            <v>0</v>
          </cell>
          <cell r="H479">
            <v>244285</v>
          </cell>
        </row>
        <row r="480">
          <cell r="A480" t="str">
            <v>155-10-008</v>
          </cell>
          <cell r="B480" t="str">
            <v>ENTERTAINMENT &amp; DONATIONS</v>
          </cell>
          <cell r="C480">
            <v>479556.93</v>
          </cell>
          <cell r="D480">
            <v>117051.1</v>
          </cell>
          <cell r="E480">
            <v>596608.03</v>
          </cell>
          <cell r="F480">
            <v>596608.03</v>
          </cell>
          <cell r="G480">
            <v>0</v>
          </cell>
          <cell r="H480">
            <v>596608.03</v>
          </cell>
        </row>
        <row r="481">
          <cell r="A481" t="str">
            <v>155-10-009</v>
          </cell>
          <cell r="B481" t="str">
            <v>COURIER &amp; FREIGHT CHARGES</v>
          </cell>
          <cell r="C481">
            <v>698285.38</v>
          </cell>
          <cell r="D481">
            <v>133702.35</v>
          </cell>
          <cell r="E481">
            <v>831987.73</v>
          </cell>
          <cell r="F481">
            <v>831987.73</v>
          </cell>
          <cell r="G481">
            <v>0</v>
          </cell>
          <cell r="H481">
            <v>831987.73</v>
          </cell>
        </row>
        <row r="482">
          <cell r="A482" t="str">
            <v>155-10-010</v>
          </cell>
          <cell r="B482" t="str">
            <v>ADVERTISING &amp; PUBLICITY</v>
          </cell>
          <cell r="C482">
            <v>96046.399999999994</v>
          </cell>
          <cell r="D482">
            <v>1162457.07</v>
          </cell>
          <cell r="E482">
            <v>1258503.47</v>
          </cell>
          <cell r="F482">
            <v>1258503.47</v>
          </cell>
          <cell r="G482">
            <v>0</v>
          </cell>
          <cell r="H482">
            <v>1258503.47</v>
          </cell>
        </row>
        <row r="483">
          <cell r="A483" t="str">
            <v>155-10-012</v>
          </cell>
          <cell r="B483" t="str">
            <v>TRADE LICENCES</v>
          </cell>
          <cell r="C483">
            <v>353520.5</v>
          </cell>
          <cell r="D483">
            <v>0</v>
          </cell>
          <cell r="E483">
            <v>353520.5</v>
          </cell>
          <cell r="F483">
            <v>353520.5</v>
          </cell>
          <cell r="G483">
            <v>0</v>
          </cell>
          <cell r="H483">
            <v>353520.5</v>
          </cell>
        </row>
        <row r="484">
          <cell r="A484" t="str">
            <v>155-10-013</v>
          </cell>
          <cell r="B484" t="str">
            <v>INSURANCES</v>
          </cell>
          <cell r="C484">
            <v>778951</v>
          </cell>
          <cell r="D484">
            <v>0</v>
          </cell>
          <cell r="E484">
            <v>778951</v>
          </cell>
          <cell r="F484">
            <v>778951</v>
          </cell>
          <cell r="G484">
            <v>0</v>
          </cell>
          <cell r="H484">
            <v>778951</v>
          </cell>
        </row>
        <row r="485">
          <cell r="A485" t="str">
            <v>155-10-014</v>
          </cell>
          <cell r="B485" t="str">
            <v>PHOTOCOPY</v>
          </cell>
          <cell r="C485">
            <v>80698.009999999995</v>
          </cell>
          <cell r="D485">
            <v>1636</v>
          </cell>
          <cell r="E485">
            <v>82334.009999999995</v>
          </cell>
          <cell r="F485">
            <v>82334.009999999995</v>
          </cell>
          <cell r="G485">
            <v>0</v>
          </cell>
          <cell r="H485">
            <v>82334.009999999995</v>
          </cell>
        </row>
        <row r="486">
          <cell r="A486" t="str">
            <v>155-10-015</v>
          </cell>
          <cell r="B486" t="str">
            <v>COMPUTER MAINTENANCE</v>
          </cell>
          <cell r="C486">
            <v>216925</v>
          </cell>
          <cell r="D486">
            <v>0</v>
          </cell>
          <cell r="E486">
            <v>216925</v>
          </cell>
          <cell r="F486">
            <v>216925</v>
          </cell>
          <cell r="G486">
            <v>0</v>
          </cell>
          <cell r="H486">
            <v>216925</v>
          </cell>
        </row>
        <row r="487">
          <cell r="A487" t="str">
            <v>155-10-016</v>
          </cell>
          <cell r="B487" t="str">
            <v>EQUIPMENT MAINTENANCE</v>
          </cell>
          <cell r="C487">
            <v>386228.53</v>
          </cell>
          <cell r="D487">
            <v>45759.7</v>
          </cell>
          <cell r="E487">
            <v>431988.23</v>
          </cell>
          <cell r="F487">
            <v>431988.23</v>
          </cell>
          <cell r="G487">
            <v>0</v>
          </cell>
          <cell r="H487">
            <v>431988.23</v>
          </cell>
        </row>
        <row r="488">
          <cell r="A488" t="str">
            <v>155-10-017</v>
          </cell>
          <cell r="B488" t="str">
            <v>SEMINARS &amp; SHORT TERM COURSES</v>
          </cell>
          <cell r="C488">
            <v>188370</v>
          </cell>
          <cell r="D488">
            <v>525828.72</v>
          </cell>
          <cell r="E488">
            <v>714198.72</v>
          </cell>
          <cell r="F488">
            <v>714198.72</v>
          </cell>
          <cell r="G488">
            <v>0</v>
          </cell>
          <cell r="H488">
            <v>714198.72</v>
          </cell>
        </row>
        <row r="489">
          <cell r="A489" t="str">
            <v>155-10-018</v>
          </cell>
          <cell r="B489" t="str">
            <v>SALES PROMOTIONS &amp; COMPETITIONS</v>
          </cell>
          <cell r="C489">
            <v>231400</v>
          </cell>
          <cell r="D489">
            <v>-231400</v>
          </cell>
          <cell r="E489">
            <v>0</v>
          </cell>
          <cell r="F489">
            <v>0</v>
          </cell>
          <cell r="G489">
            <v>0</v>
          </cell>
          <cell r="H489">
            <v>0</v>
          </cell>
        </row>
        <row r="490">
          <cell r="A490" t="str">
            <v>155-10-020</v>
          </cell>
          <cell r="B490" t="str">
            <v>COMPUTER CONSUMABLES</v>
          </cell>
          <cell r="C490">
            <v>841966.15</v>
          </cell>
          <cell r="D490">
            <v>70640</v>
          </cell>
          <cell r="E490">
            <v>912606.15</v>
          </cell>
          <cell r="F490">
            <v>912606.15</v>
          </cell>
          <cell r="G490">
            <v>0</v>
          </cell>
          <cell r="H490">
            <v>912606.15</v>
          </cell>
        </row>
        <row r="491">
          <cell r="A491" t="str">
            <v>155-10-022</v>
          </cell>
          <cell r="B491" t="str">
            <v>PRINTING &amp; STATIONERY</v>
          </cell>
          <cell r="C491">
            <v>5761929.8200000003</v>
          </cell>
          <cell r="D491">
            <v>1056626</v>
          </cell>
          <cell r="E491">
            <v>6818555.8200000003</v>
          </cell>
          <cell r="F491">
            <v>6818555.8200000003</v>
          </cell>
          <cell r="G491">
            <v>0</v>
          </cell>
          <cell r="H491">
            <v>6818555.8200000003</v>
          </cell>
        </row>
        <row r="492">
          <cell r="A492" t="str">
            <v>155-10-025</v>
          </cell>
          <cell r="B492" t="str">
            <v>STRATEGIC PLANNING</v>
          </cell>
          <cell r="C492">
            <v>731761</v>
          </cell>
          <cell r="D492">
            <v>0</v>
          </cell>
          <cell r="E492">
            <v>731761</v>
          </cell>
          <cell r="F492">
            <v>731761</v>
          </cell>
          <cell r="G492">
            <v>0</v>
          </cell>
          <cell r="H492">
            <v>731761</v>
          </cell>
        </row>
        <row r="493">
          <cell r="A493" t="str">
            <v>155-10-027</v>
          </cell>
          <cell r="B493" t="str">
            <v>PROFESSIONAL SUBSCRIPTIONS</v>
          </cell>
          <cell r="C493">
            <v>120531.54</v>
          </cell>
          <cell r="D493">
            <v>0</v>
          </cell>
          <cell r="E493">
            <v>120531.54</v>
          </cell>
          <cell r="F493">
            <v>120531.54</v>
          </cell>
          <cell r="G493">
            <v>0</v>
          </cell>
          <cell r="H493">
            <v>120531.54</v>
          </cell>
        </row>
        <row r="494">
          <cell r="A494" t="str">
            <v>155-10-028</v>
          </cell>
          <cell r="B494" t="str">
            <v>SUBSCRIPTIONS-COMPANY</v>
          </cell>
          <cell r="C494">
            <v>71452.3</v>
          </cell>
          <cell r="D494">
            <v>250000</v>
          </cell>
          <cell r="E494">
            <v>321452.3</v>
          </cell>
          <cell r="F494">
            <v>321452.3</v>
          </cell>
          <cell r="G494">
            <v>0</v>
          </cell>
          <cell r="H494">
            <v>321452.3</v>
          </cell>
        </row>
        <row r="495">
          <cell r="A495" t="str">
            <v>155-10-030</v>
          </cell>
          <cell r="B495" t="str">
            <v>TRAVEL &amp; ACCOMODATION</v>
          </cell>
          <cell r="C495">
            <v>5574751.5199999996</v>
          </cell>
          <cell r="D495">
            <v>463983.64</v>
          </cell>
          <cell r="E495">
            <v>6038735.1600000001</v>
          </cell>
          <cell r="F495">
            <v>6038735.1600000001</v>
          </cell>
          <cell r="G495">
            <v>0</v>
          </cell>
          <cell r="H495">
            <v>6038735.1600000001</v>
          </cell>
        </row>
        <row r="496">
          <cell r="A496" t="str">
            <v>155-10-032</v>
          </cell>
          <cell r="B496" t="str">
            <v>MOTOR VEHICLE EXPENSES</v>
          </cell>
          <cell r="C496">
            <v>361243.75</v>
          </cell>
          <cell r="D496">
            <v>94322.05</v>
          </cell>
          <cell r="E496">
            <v>455565.8</v>
          </cell>
          <cell r="F496">
            <v>455565.8</v>
          </cell>
          <cell r="G496">
            <v>0</v>
          </cell>
          <cell r="H496">
            <v>455565.8</v>
          </cell>
        </row>
        <row r="497">
          <cell r="A497" t="str">
            <v>155-10-040</v>
          </cell>
          <cell r="B497" t="str">
            <v>POSTAGE</v>
          </cell>
          <cell r="C497">
            <v>1981593.7</v>
          </cell>
          <cell r="D497">
            <v>1498</v>
          </cell>
          <cell r="E497">
            <v>1983091.7</v>
          </cell>
          <cell r="F497">
            <v>1983091.7</v>
          </cell>
          <cell r="G497">
            <v>0</v>
          </cell>
          <cell r="H497">
            <v>1983091.7</v>
          </cell>
        </row>
        <row r="498">
          <cell r="A498" t="str">
            <v>155-10-041</v>
          </cell>
          <cell r="B498" t="str">
            <v>TELEPHONE &amp; FAX</v>
          </cell>
          <cell r="C498">
            <v>2881585.6</v>
          </cell>
          <cell r="D498">
            <v>773410.07</v>
          </cell>
          <cell r="E498">
            <v>3654995.67</v>
          </cell>
          <cell r="F498">
            <v>3654995.67</v>
          </cell>
          <cell r="G498">
            <v>0</v>
          </cell>
          <cell r="H498">
            <v>3654995.67</v>
          </cell>
        </row>
        <row r="499">
          <cell r="A499" t="str">
            <v>155-10-044</v>
          </cell>
          <cell r="B499" t="str">
            <v>PROFESSIONAL TRAINING</v>
          </cell>
          <cell r="C499">
            <v>1723270.62</v>
          </cell>
          <cell r="D499">
            <v>47554.9</v>
          </cell>
          <cell r="E499">
            <v>1770825.52</v>
          </cell>
          <cell r="F499">
            <v>1770825.52</v>
          </cell>
          <cell r="G499">
            <v>0</v>
          </cell>
          <cell r="H499">
            <v>1770825.52</v>
          </cell>
        </row>
        <row r="500">
          <cell r="A500" t="str">
            <v>155-10-046</v>
          </cell>
          <cell r="B500" t="str">
            <v>CLUB MEMBERSHIP-ANNUAL</v>
          </cell>
          <cell r="C500">
            <v>442601.93</v>
          </cell>
          <cell r="D500">
            <v>0</v>
          </cell>
          <cell r="E500">
            <v>442601.93</v>
          </cell>
          <cell r="F500">
            <v>442601.93</v>
          </cell>
          <cell r="G500">
            <v>0</v>
          </cell>
          <cell r="H500">
            <v>442601.93</v>
          </cell>
        </row>
        <row r="501">
          <cell r="A501" t="str">
            <v>155-10-054</v>
          </cell>
          <cell r="B501" t="str">
            <v>LEASED LINES-INTERNET SERVICES</v>
          </cell>
          <cell r="C501">
            <v>439403.15</v>
          </cell>
          <cell r="D501">
            <v>25752</v>
          </cell>
          <cell r="E501">
            <v>465155.15</v>
          </cell>
          <cell r="F501">
            <v>465155.15</v>
          </cell>
          <cell r="G501">
            <v>0</v>
          </cell>
          <cell r="H501">
            <v>465155.15</v>
          </cell>
        </row>
        <row r="502">
          <cell r="A502" t="str">
            <v>155-10-057</v>
          </cell>
          <cell r="B502" t="str">
            <v>SOFTWARE LICENCES</v>
          </cell>
          <cell r="C502">
            <v>144789.37</v>
          </cell>
          <cell r="D502">
            <v>0</v>
          </cell>
          <cell r="E502">
            <v>144789.37</v>
          </cell>
          <cell r="F502">
            <v>144789.37</v>
          </cell>
          <cell r="G502">
            <v>0</v>
          </cell>
          <cell r="H502">
            <v>144789.37</v>
          </cell>
        </row>
        <row r="503">
          <cell r="A503" t="str">
            <v>155-10-058</v>
          </cell>
          <cell r="B503" t="str">
            <v>BRANCH CONNECTIONS-E-MAIL LINK-UP</v>
          </cell>
          <cell r="C503">
            <v>262476.75</v>
          </cell>
          <cell r="D503">
            <v>0</v>
          </cell>
          <cell r="E503">
            <v>262476.75</v>
          </cell>
          <cell r="F503">
            <v>262476.75</v>
          </cell>
          <cell r="G503">
            <v>0</v>
          </cell>
          <cell r="H503">
            <v>262476.75</v>
          </cell>
        </row>
        <row r="504">
          <cell r="A504" t="str">
            <v>155-10-059</v>
          </cell>
          <cell r="B504" t="str">
            <v>AMORTIZATION OF LAND</v>
          </cell>
          <cell r="C504">
            <v>0</v>
          </cell>
          <cell r="D504">
            <v>0</v>
          </cell>
          <cell r="E504">
            <v>0</v>
          </cell>
          <cell r="F504">
            <v>0</v>
          </cell>
          <cell r="G504">
            <v>0</v>
          </cell>
          <cell r="H504">
            <v>0</v>
          </cell>
        </row>
        <row r="505">
          <cell r="A505" t="str">
            <v>155-10-060</v>
          </cell>
          <cell r="B505" t="str">
            <v>DEPRECIATION OF BUILDINGS</v>
          </cell>
          <cell r="C505">
            <v>0</v>
          </cell>
          <cell r="D505">
            <v>0</v>
          </cell>
          <cell r="E505">
            <v>0</v>
          </cell>
          <cell r="F505">
            <v>0</v>
          </cell>
          <cell r="G505">
            <v>0</v>
          </cell>
          <cell r="H505">
            <v>0</v>
          </cell>
        </row>
        <row r="506">
          <cell r="A506" t="str">
            <v>155-10-061</v>
          </cell>
          <cell r="B506" t="str">
            <v>RE-STRUCTURING COSTS</v>
          </cell>
          <cell r="C506">
            <v>0</v>
          </cell>
          <cell r="D506">
            <v>0</v>
          </cell>
          <cell r="E506">
            <v>0</v>
          </cell>
          <cell r="F506">
            <v>0</v>
          </cell>
          <cell r="G506">
            <v>0</v>
          </cell>
          <cell r="H506">
            <v>0</v>
          </cell>
        </row>
        <row r="507">
          <cell r="A507" t="str">
            <v>155-10-062</v>
          </cell>
          <cell r="B507" t="str">
            <v>EDUCATION EXPENSES</v>
          </cell>
          <cell r="C507">
            <v>0</v>
          </cell>
          <cell r="D507">
            <v>0</v>
          </cell>
          <cell r="E507">
            <v>0</v>
          </cell>
          <cell r="F507">
            <v>0</v>
          </cell>
          <cell r="G507">
            <v>0</v>
          </cell>
          <cell r="H507">
            <v>0</v>
          </cell>
        </row>
        <row r="508">
          <cell r="A508" t="str">
            <v>155-20-010</v>
          </cell>
          <cell r="B508" t="str">
            <v>RE-STRUCTURING COSTS</v>
          </cell>
          <cell r="C508">
            <v>1327605.3999999999</v>
          </cell>
          <cell r="D508">
            <v>777797</v>
          </cell>
          <cell r="E508">
            <v>2105402.4</v>
          </cell>
          <cell r="F508">
            <v>2105402.4</v>
          </cell>
          <cell r="G508">
            <v>0</v>
          </cell>
          <cell r="H508">
            <v>2105402.4</v>
          </cell>
        </row>
        <row r="509">
          <cell r="A509" t="str">
            <v>160-10-010</v>
          </cell>
          <cell r="B509" t="str">
            <v>PREMIUM COLLECTION CHARGES</v>
          </cell>
          <cell r="C509">
            <v>19322384.27</v>
          </cell>
          <cell r="D509">
            <v>7742210.5</v>
          </cell>
          <cell r="E509">
            <v>27064594.77</v>
          </cell>
          <cell r="F509">
            <v>27064594.77</v>
          </cell>
          <cell r="G509">
            <v>0</v>
          </cell>
          <cell r="H509">
            <v>27064594.77</v>
          </cell>
        </row>
        <row r="510">
          <cell r="A510" t="str">
            <v>165-10-010</v>
          </cell>
          <cell r="B510" t="str">
            <v>STAMP DUTY</v>
          </cell>
          <cell r="C510">
            <v>439467.75</v>
          </cell>
          <cell r="D510">
            <v>840166</v>
          </cell>
          <cell r="E510">
            <v>1279633.75</v>
          </cell>
          <cell r="F510">
            <v>1279633.75</v>
          </cell>
          <cell r="G510">
            <v>0</v>
          </cell>
          <cell r="H510">
            <v>1279633.75</v>
          </cell>
        </row>
        <row r="511">
          <cell r="A511" t="str">
            <v>165-10-020</v>
          </cell>
          <cell r="B511" t="str">
            <v>REVENUE STAMPS</v>
          </cell>
          <cell r="C511">
            <v>5000</v>
          </cell>
          <cell r="D511">
            <v>0</v>
          </cell>
          <cell r="E511">
            <v>5000</v>
          </cell>
          <cell r="F511">
            <v>5000</v>
          </cell>
          <cell r="G511">
            <v>0</v>
          </cell>
          <cell r="H511">
            <v>5000</v>
          </cell>
        </row>
        <row r="512">
          <cell r="A512" t="str">
            <v>165-10-030</v>
          </cell>
          <cell r="B512" t="str">
            <v>PREMIUM TAX (INDIVIDUAL)</v>
          </cell>
          <cell r="C512">
            <v>5087157</v>
          </cell>
          <cell r="D512">
            <v>2626470</v>
          </cell>
          <cell r="E512">
            <v>7713627</v>
          </cell>
          <cell r="F512">
            <v>7713627</v>
          </cell>
          <cell r="G512">
            <v>-7.950000053824624E-2</v>
          </cell>
          <cell r="H512">
            <v>7713626.9204999991</v>
          </cell>
        </row>
        <row r="513">
          <cell r="A513" t="str">
            <v>165-10-040</v>
          </cell>
          <cell r="B513" t="str">
            <v>EXCEPTIONAL ITEMS</v>
          </cell>
          <cell r="C513">
            <v>0</v>
          </cell>
          <cell r="D513">
            <v>0</v>
          </cell>
          <cell r="E513">
            <v>0</v>
          </cell>
          <cell r="F513">
            <v>0</v>
          </cell>
          <cell r="G513">
            <v>0</v>
          </cell>
          <cell r="H513">
            <v>0</v>
          </cell>
        </row>
        <row r="514">
          <cell r="A514" t="str">
            <v>165-10-050</v>
          </cell>
          <cell r="B514" t="str">
            <v>OTHER TAXES</v>
          </cell>
          <cell r="C514">
            <v>0</v>
          </cell>
          <cell r="D514">
            <v>0</v>
          </cell>
          <cell r="E514">
            <v>0</v>
          </cell>
          <cell r="F514">
            <v>0</v>
          </cell>
          <cell r="G514">
            <v>0</v>
          </cell>
          <cell r="H514">
            <v>0</v>
          </cell>
        </row>
        <row r="515">
          <cell r="A515" t="str">
            <v>165-10-060</v>
          </cell>
          <cell r="B515" t="str">
            <v>DEFERRED TAX CHARGE</v>
          </cell>
          <cell r="C515">
            <v>0</v>
          </cell>
          <cell r="D515">
            <v>0</v>
          </cell>
          <cell r="E515">
            <v>0</v>
          </cell>
          <cell r="F515">
            <v>0</v>
          </cell>
          <cell r="G515">
            <v>0</v>
          </cell>
          <cell r="H515">
            <v>0</v>
          </cell>
        </row>
        <row r="516">
          <cell r="A516" t="str">
            <v>165-10-070</v>
          </cell>
          <cell r="B516" t="str">
            <v>STAFF BONUS</v>
          </cell>
          <cell r="C516">
            <v>3000000</v>
          </cell>
          <cell r="D516">
            <v>20000000</v>
          </cell>
          <cell r="E516">
            <v>23000000</v>
          </cell>
          <cell r="F516">
            <v>23000000</v>
          </cell>
          <cell r="G516">
            <v>0</v>
          </cell>
          <cell r="H516">
            <v>23000000</v>
          </cell>
        </row>
        <row r="517">
          <cell r="A517" t="str">
            <v>175-10-010</v>
          </cell>
          <cell r="B517" t="str">
            <v>LORESHO RESIDENCE-RECOVERABLE</v>
          </cell>
          <cell r="C517">
            <v>0</v>
          </cell>
          <cell r="D517">
            <v>0</v>
          </cell>
          <cell r="E517">
            <v>0</v>
          </cell>
          <cell r="F517">
            <v>0</v>
          </cell>
          <cell r="G517">
            <v>0</v>
          </cell>
          <cell r="H517">
            <v>0</v>
          </cell>
        </row>
        <row r="518">
          <cell r="A518" t="str">
            <v>175-10-015</v>
          </cell>
          <cell r="B518" t="str">
            <v>LORESHO -NON RECOVERABLE</v>
          </cell>
          <cell r="C518">
            <v>898429</v>
          </cell>
          <cell r="D518">
            <v>76074</v>
          </cell>
          <cell r="E518">
            <v>974503</v>
          </cell>
          <cell r="F518">
            <v>974503</v>
          </cell>
          <cell r="G518">
            <v>0</v>
          </cell>
          <cell r="H518">
            <v>974503</v>
          </cell>
        </row>
        <row r="519">
          <cell r="A519" t="str">
            <v>175-10-020</v>
          </cell>
          <cell r="B519" t="str">
            <v>RETREAT VILLAS-RECOVERABLE</v>
          </cell>
          <cell r="C519">
            <v>0</v>
          </cell>
          <cell r="D519">
            <v>0</v>
          </cell>
          <cell r="E519">
            <v>0</v>
          </cell>
          <cell r="F519">
            <v>0</v>
          </cell>
          <cell r="G519">
            <v>0</v>
          </cell>
          <cell r="H519">
            <v>0</v>
          </cell>
        </row>
        <row r="520">
          <cell r="A520" t="str">
            <v>175-10-025</v>
          </cell>
          <cell r="B520" t="str">
            <v>RETREAT VILLA-NON RECOVERABLE</v>
          </cell>
          <cell r="C520">
            <v>192748</v>
          </cell>
          <cell r="D520">
            <v>30000</v>
          </cell>
          <cell r="E520">
            <v>222748</v>
          </cell>
          <cell r="F520">
            <v>222748</v>
          </cell>
          <cell r="G520">
            <v>0</v>
          </cell>
          <cell r="H520">
            <v>222748</v>
          </cell>
        </row>
        <row r="521">
          <cell r="A521" t="str">
            <v>175-10-030</v>
          </cell>
          <cell r="B521" t="str">
            <v>PAN AFRICA HOUSE MOMBASA</v>
          </cell>
          <cell r="C521">
            <v>15000</v>
          </cell>
          <cell r="D521">
            <v>0</v>
          </cell>
          <cell r="E521">
            <v>15000</v>
          </cell>
          <cell r="F521">
            <v>15000</v>
          </cell>
          <cell r="G521">
            <v>0</v>
          </cell>
          <cell r="H521">
            <v>15000</v>
          </cell>
        </row>
        <row r="522">
          <cell r="A522" t="str">
            <v>175-10-035</v>
          </cell>
          <cell r="B522" t="str">
            <v>AMBALAL -NON R ECOVERABLE</v>
          </cell>
          <cell r="C522">
            <v>7254691</v>
          </cell>
          <cell r="D522">
            <v>4347540.54</v>
          </cell>
          <cell r="E522">
            <v>11602231.539999999</v>
          </cell>
          <cell r="F522">
            <v>11602231.539999999</v>
          </cell>
          <cell r="G522">
            <v>0</v>
          </cell>
          <cell r="H522">
            <v>11602231.539999999</v>
          </cell>
        </row>
        <row r="523">
          <cell r="A523" t="str">
            <v>175-10-040</v>
          </cell>
          <cell r="B523" t="str">
            <v>AMBALAL HOUSE-RECOVERABLE</v>
          </cell>
          <cell r="C523">
            <v>14312503.33</v>
          </cell>
          <cell r="D523">
            <v>4931635.66</v>
          </cell>
          <cell r="E523">
            <v>19244138.989999998</v>
          </cell>
          <cell r="F523">
            <v>19244138.989999998</v>
          </cell>
          <cell r="G523">
            <v>0</v>
          </cell>
          <cell r="H523">
            <v>19244138.989999998</v>
          </cell>
        </row>
        <row r="524">
          <cell r="A524" t="str">
            <v>175-10-050</v>
          </cell>
          <cell r="B524" t="str">
            <v>ARCADE PETROL STATION</v>
          </cell>
          <cell r="C524">
            <v>2900</v>
          </cell>
          <cell r="D524">
            <v>0</v>
          </cell>
          <cell r="E524">
            <v>2900</v>
          </cell>
          <cell r="F524">
            <v>2900</v>
          </cell>
          <cell r="G524">
            <v>0</v>
          </cell>
          <cell r="H524">
            <v>2900</v>
          </cell>
        </row>
        <row r="525">
          <cell r="A525" t="str">
            <v>175-10-060</v>
          </cell>
          <cell r="B525" t="str">
            <v>PAN HOUSE NAIROBI-RECOVERABLE</v>
          </cell>
          <cell r="C525">
            <v>7779149.1699999999</v>
          </cell>
          <cell r="D525">
            <v>2813613.83</v>
          </cell>
          <cell r="E525">
            <v>10592763</v>
          </cell>
          <cell r="F525">
            <v>10592763</v>
          </cell>
          <cell r="G525">
            <v>0</v>
          </cell>
          <cell r="H525">
            <v>10592763</v>
          </cell>
        </row>
        <row r="526">
          <cell r="A526" t="str">
            <v>175-10-065</v>
          </cell>
          <cell r="B526" t="str">
            <v>PAN HOUSE NAIROBI-NON RECOVERABLE</v>
          </cell>
          <cell r="C526">
            <v>466540</v>
          </cell>
          <cell r="D526">
            <v>54640</v>
          </cell>
          <cell r="E526">
            <v>521180</v>
          </cell>
          <cell r="F526">
            <v>521180</v>
          </cell>
          <cell r="G526">
            <v>0</v>
          </cell>
          <cell r="H526">
            <v>521180</v>
          </cell>
        </row>
        <row r="527">
          <cell r="A527" t="str">
            <v>510-10-010</v>
          </cell>
          <cell r="B527" t="str">
            <v>KENYA COMMERCIAL BANK</v>
          </cell>
          <cell r="C527">
            <v>762294.3</v>
          </cell>
          <cell r="D527">
            <v>549905.69999999995</v>
          </cell>
          <cell r="E527">
            <v>1312200</v>
          </cell>
          <cell r="F527">
            <v>1312200</v>
          </cell>
          <cell r="G527">
            <v>0</v>
          </cell>
          <cell r="H527">
            <v>1312200</v>
          </cell>
        </row>
        <row r="528">
          <cell r="A528" t="str">
            <v>510-10-015</v>
          </cell>
          <cell r="B528" t="str">
            <v>STANDARD CHATERED</v>
          </cell>
          <cell r="C528">
            <v>663044.69999999995</v>
          </cell>
          <cell r="D528">
            <v>339705.3</v>
          </cell>
          <cell r="E528">
            <v>1002750</v>
          </cell>
          <cell r="F528">
            <v>1002750</v>
          </cell>
          <cell r="G528">
            <v>0</v>
          </cell>
          <cell r="H528">
            <v>1002750</v>
          </cell>
        </row>
        <row r="529">
          <cell r="A529" t="str">
            <v>510-10-020</v>
          </cell>
          <cell r="B529" t="str">
            <v>BARCLAYS BANK OF KENYA LTD</v>
          </cell>
          <cell r="C529">
            <v>2638002</v>
          </cell>
          <cell r="D529">
            <v>734100</v>
          </cell>
          <cell r="E529">
            <v>3372102</v>
          </cell>
          <cell r="F529">
            <v>3372102</v>
          </cell>
          <cell r="G529">
            <v>0</v>
          </cell>
          <cell r="H529">
            <v>3372102</v>
          </cell>
        </row>
        <row r="530">
          <cell r="A530" t="str">
            <v>510-10-025</v>
          </cell>
          <cell r="B530" t="str">
            <v>KENYA AIRWAYS LTD</v>
          </cell>
          <cell r="C530">
            <v>242712.05</v>
          </cell>
          <cell r="D530">
            <v>28404.9</v>
          </cell>
          <cell r="E530">
            <v>271116.95</v>
          </cell>
          <cell r="F530">
            <v>271116.95</v>
          </cell>
          <cell r="G530">
            <v>0</v>
          </cell>
          <cell r="H530">
            <v>271116.95</v>
          </cell>
        </row>
        <row r="531">
          <cell r="A531" t="str">
            <v>510-10-040</v>
          </cell>
          <cell r="B531" t="str">
            <v>TOTAL KENYA LTD</v>
          </cell>
          <cell r="C531">
            <v>0</v>
          </cell>
          <cell r="D531">
            <v>385398</v>
          </cell>
          <cell r="E531">
            <v>385398</v>
          </cell>
          <cell r="F531">
            <v>385398</v>
          </cell>
          <cell r="G531">
            <v>0</v>
          </cell>
          <cell r="H531">
            <v>385398</v>
          </cell>
        </row>
        <row r="532">
          <cell r="A532" t="str">
            <v>510-15-010</v>
          </cell>
          <cell r="B532" t="str">
            <v>KENYA OIL COMPANY LTD</v>
          </cell>
          <cell r="C532">
            <v>230300.6</v>
          </cell>
          <cell r="D532">
            <v>35700</v>
          </cell>
          <cell r="E532">
            <v>266000.59999999998</v>
          </cell>
          <cell r="F532">
            <v>266000.59999999998</v>
          </cell>
          <cell r="G532">
            <v>0</v>
          </cell>
          <cell r="H532">
            <v>266000.59999999998</v>
          </cell>
        </row>
        <row r="533">
          <cell r="A533" t="str">
            <v>510-15-015</v>
          </cell>
          <cell r="B533" t="str">
            <v>FIRESTONE (EA) LIMITED</v>
          </cell>
          <cell r="C533">
            <v>384000.3</v>
          </cell>
          <cell r="D533">
            <v>-3200</v>
          </cell>
          <cell r="E533">
            <v>380800.3</v>
          </cell>
          <cell r="F533">
            <v>380800.3</v>
          </cell>
          <cell r="G533">
            <v>0</v>
          </cell>
          <cell r="H533">
            <v>380800.3</v>
          </cell>
        </row>
        <row r="534">
          <cell r="A534" t="str">
            <v>510-15-020</v>
          </cell>
          <cell r="B534" t="str">
            <v>BARCLAYS BANK OF KENY LIMITED</v>
          </cell>
          <cell r="C534">
            <v>3857349.3</v>
          </cell>
          <cell r="D534">
            <v>187811</v>
          </cell>
          <cell r="E534">
            <v>4045160.3</v>
          </cell>
          <cell r="F534">
            <v>4045160.3</v>
          </cell>
          <cell r="G534">
            <v>0</v>
          </cell>
          <cell r="H534">
            <v>4045160.3</v>
          </cell>
        </row>
        <row r="535">
          <cell r="A535" t="str">
            <v>510-15-025</v>
          </cell>
          <cell r="B535" t="str">
            <v>EAST AFRICA PORTLAND CEMENT</v>
          </cell>
          <cell r="C535">
            <v>128000</v>
          </cell>
          <cell r="D535">
            <v>-12000</v>
          </cell>
          <cell r="E535">
            <v>116000</v>
          </cell>
          <cell r="F535">
            <v>116000</v>
          </cell>
          <cell r="G535">
            <v>0</v>
          </cell>
          <cell r="H535">
            <v>116000</v>
          </cell>
        </row>
        <row r="536">
          <cell r="A536" t="str">
            <v>510-15-030</v>
          </cell>
          <cell r="B536" t="str">
            <v>NATION MEDIA GROUP LTD</v>
          </cell>
          <cell r="C536">
            <v>570000</v>
          </cell>
          <cell r="D536">
            <v>3000</v>
          </cell>
          <cell r="E536">
            <v>573000</v>
          </cell>
          <cell r="F536">
            <v>573000</v>
          </cell>
          <cell r="G536">
            <v>0</v>
          </cell>
          <cell r="H536">
            <v>573000</v>
          </cell>
        </row>
        <row r="537">
          <cell r="A537" t="str">
            <v>510-15-035</v>
          </cell>
          <cell r="B537" t="str">
            <v>ICDC INVESTMENTS LTD</v>
          </cell>
          <cell r="C537">
            <v>105000</v>
          </cell>
          <cell r="D537">
            <v>9000</v>
          </cell>
          <cell r="E537">
            <v>114000</v>
          </cell>
          <cell r="F537">
            <v>114000</v>
          </cell>
          <cell r="G537">
            <v>0</v>
          </cell>
          <cell r="H537">
            <v>114000</v>
          </cell>
        </row>
        <row r="538">
          <cell r="A538" t="str">
            <v>510-15-040</v>
          </cell>
          <cell r="B538" t="str">
            <v>BAT (K) LTD</v>
          </cell>
          <cell r="C538">
            <v>1300000</v>
          </cell>
          <cell r="D538">
            <v>80000</v>
          </cell>
          <cell r="E538">
            <v>1380000</v>
          </cell>
          <cell r="F538">
            <v>1380000</v>
          </cell>
          <cell r="G538">
            <v>0</v>
          </cell>
          <cell r="H538">
            <v>1380000</v>
          </cell>
        </row>
        <row r="539">
          <cell r="A539" t="str">
            <v>510-15-045</v>
          </cell>
          <cell r="B539" t="str">
            <v>KENYA COMMERCIAL BANK LTD</v>
          </cell>
          <cell r="C539">
            <v>1239000</v>
          </cell>
          <cell r="D539">
            <v>219000</v>
          </cell>
          <cell r="E539">
            <v>1458000</v>
          </cell>
          <cell r="F539">
            <v>1458000</v>
          </cell>
          <cell r="G539">
            <v>0</v>
          </cell>
          <cell r="H539">
            <v>1458000</v>
          </cell>
        </row>
        <row r="540">
          <cell r="A540" t="str">
            <v>510-15-050</v>
          </cell>
          <cell r="B540" t="str">
            <v>KENYA AIRWAYS LTD</v>
          </cell>
          <cell r="C540">
            <v>191349</v>
          </cell>
          <cell r="D540">
            <v>2238</v>
          </cell>
          <cell r="E540">
            <v>193587</v>
          </cell>
          <cell r="F540">
            <v>193587</v>
          </cell>
          <cell r="G540">
            <v>0</v>
          </cell>
          <cell r="H540">
            <v>193587</v>
          </cell>
        </row>
        <row r="541">
          <cell r="A541" t="str">
            <v>520-10-010</v>
          </cell>
          <cell r="B541" t="str">
            <v>TREASURY BONDS</v>
          </cell>
          <cell r="C541">
            <v>98065909.400000006</v>
          </cell>
          <cell r="D541">
            <v>2584090.6</v>
          </cell>
          <cell r="E541">
            <v>100650000</v>
          </cell>
          <cell r="F541">
            <v>100650000</v>
          </cell>
          <cell r="G541">
            <v>0</v>
          </cell>
          <cell r="H541">
            <v>100650000</v>
          </cell>
        </row>
        <row r="542">
          <cell r="A542" t="str">
            <v>520-10-020</v>
          </cell>
          <cell r="B542" t="str">
            <v>SRBS TB'S</v>
          </cell>
          <cell r="C542">
            <v>0</v>
          </cell>
          <cell r="D542">
            <v>0</v>
          </cell>
          <cell r="E542">
            <v>0</v>
          </cell>
          <cell r="F542">
            <v>0</v>
          </cell>
          <cell r="G542">
            <v>0</v>
          </cell>
          <cell r="H542">
            <v>0</v>
          </cell>
        </row>
        <row r="543">
          <cell r="A543" t="str">
            <v>520-10-030</v>
          </cell>
          <cell r="B543" t="str">
            <v>TB'S</v>
          </cell>
          <cell r="C543">
            <v>24000000</v>
          </cell>
          <cell r="D543">
            <v>-20000000</v>
          </cell>
          <cell r="E543">
            <v>4000000</v>
          </cell>
          <cell r="F543">
            <v>4000000</v>
          </cell>
          <cell r="G543">
            <v>0</v>
          </cell>
          <cell r="H543">
            <v>4000000</v>
          </cell>
        </row>
        <row r="544">
          <cell r="A544" t="str">
            <v>520-10-040</v>
          </cell>
          <cell r="B544" t="str">
            <v>PREMIUMS ON BONDS</v>
          </cell>
          <cell r="C544">
            <v>5663592</v>
          </cell>
          <cell r="D544">
            <v>1053846.73</v>
          </cell>
          <cell r="E544">
            <v>6717438.7300000004</v>
          </cell>
          <cell r="F544">
            <v>6717438.7300000004</v>
          </cell>
          <cell r="G544">
            <v>0</v>
          </cell>
          <cell r="H544">
            <v>6717438.7300000004</v>
          </cell>
        </row>
        <row r="545">
          <cell r="A545" t="str">
            <v>520-20-010</v>
          </cell>
          <cell r="B545" t="str">
            <v>TREASURY BONDS</v>
          </cell>
          <cell r="C545">
            <v>58750000</v>
          </cell>
          <cell r="D545">
            <v>6000000</v>
          </cell>
          <cell r="E545">
            <v>64750000</v>
          </cell>
          <cell r="F545">
            <v>64750000</v>
          </cell>
          <cell r="G545">
            <v>0</v>
          </cell>
          <cell r="H545">
            <v>64750000</v>
          </cell>
        </row>
        <row r="546">
          <cell r="A546" t="str">
            <v>520-20-020</v>
          </cell>
          <cell r="B546" t="str">
            <v>TREASURY BILLS</v>
          </cell>
          <cell r="C546">
            <v>15100000</v>
          </cell>
          <cell r="D546">
            <v>-8000000</v>
          </cell>
          <cell r="E546">
            <v>7100000</v>
          </cell>
          <cell r="F546">
            <v>7100000</v>
          </cell>
          <cell r="G546">
            <v>0</v>
          </cell>
          <cell r="H546">
            <v>7100000</v>
          </cell>
        </row>
        <row r="547">
          <cell r="A547" t="str">
            <v>520-20-030</v>
          </cell>
          <cell r="B547" t="str">
            <v>PREMIUMS ON BONDS</v>
          </cell>
          <cell r="C547">
            <v>2982260</v>
          </cell>
          <cell r="D547">
            <v>-210619.36</v>
          </cell>
          <cell r="E547">
            <v>2771640.64</v>
          </cell>
          <cell r="F547">
            <v>2771640.64</v>
          </cell>
          <cell r="G547">
            <v>0</v>
          </cell>
          <cell r="H547">
            <v>2771640.64</v>
          </cell>
        </row>
        <row r="548">
          <cell r="A548" t="str">
            <v>530-10-010</v>
          </cell>
          <cell r="B548" t="str">
            <v>SCB -(SRBS)</v>
          </cell>
          <cell r="C548">
            <v>644</v>
          </cell>
          <cell r="D548">
            <v>0</v>
          </cell>
          <cell r="E548">
            <v>644</v>
          </cell>
          <cell r="F548">
            <v>644</v>
          </cell>
          <cell r="G548">
            <v>0</v>
          </cell>
          <cell r="H548">
            <v>644</v>
          </cell>
        </row>
        <row r="549">
          <cell r="A549" t="str">
            <v>530-10-020</v>
          </cell>
          <cell r="B549" t="str">
            <v>BBK NBI -(5776793)</v>
          </cell>
          <cell r="C549">
            <v>8014367.4000000004</v>
          </cell>
          <cell r="D549">
            <v>-7541036.6900000004</v>
          </cell>
          <cell r="E549">
            <v>473330.71</v>
          </cell>
          <cell r="F549">
            <v>473330.71</v>
          </cell>
          <cell r="G549">
            <v>0</v>
          </cell>
          <cell r="H549">
            <v>473330.71</v>
          </cell>
        </row>
        <row r="550">
          <cell r="A550" t="str">
            <v>530-10-030</v>
          </cell>
          <cell r="B550" t="str">
            <v>N.I.C BANK</v>
          </cell>
          <cell r="C550">
            <v>4462816.3499999996</v>
          </cell>
          <cell r="D550">
            <v>806542.6</v>
          </cell>
          <cell r="E550">
            <v>5269358.95</v>
          </cell>
          <cell r="F550">
            <v>5269358.95</v>
          </cell>
          <cell r="G550">
            <v>0</v>
          </cell>
          <cell r="H550">
            <v>5269358.95</v>
          </cell>
        </row>
        <row r="551">
          <cell r="A551" t="str">
            <v>530-20-010</v>
          </cell>
          <cell r="B551" t="str">
            <v>SCB-(SRBS)</v>
          </cell>
          <cell r="C551">
            <v>10381330.49</v>
          </cell>
          <cell r="D551">
            <v>2568762.96</v>
          </cell>
          <cell r="E551">
            <v>12950093.449999999</v>
          </cell>
          <cell r="F551">
            <v>12950093.449999999</v>
          </cell>
          <cell r="G551">
            <v>0</v>
          </cell>
          <cell r="H551">
            <v>12950093.449999999</v>
          </cell>
        </row>
        <row r="552">
          <cell r="A552" t="str">
            <v>530-30-010</v>
          </cell>
          <cell r="B552" t="str">
            <v>H.F.C.K</v>
          </cell>
          <cell r="C552">
            <v>0</v>
          </cell>
          <cell r="D552">
            <v>0</v>
          </cell>
          <cell r="E552">
            <v>0</v>
          </cell>
          <cell r="F552">
            <v>0</v>
          </cell>
          <cell r="G552">
            <v>0</v>
          </cell>
          <cell r="H552">
            <v>0</v>
          </cell>
        </row>
        <row r="553">
          <cell r="A553" t="str">
            <v>530-30-020</v>
          </cell>
          <cell r="B553" t="str">
            <v>OTHER FIXED DEPOSITS</v>
          </cell>
          <cell r="C553">
            <v>30000000</v>
          </cell>
          <cell r="D553">
            <v>37669187.68</v>
          </cell>
          <cell r="E553">
            <v>67669187.680000007</v>
          </cell>
          <cell r="F553">
            <v>67669187.680000007</v>
          </cell>
          <cell r="G553">
            <v>0</v>
          </cell>
          <cell r="H553">
            <v>67669187.680000007</v>
          </cell>
        </row>
        <row r="554">
          <cell r="A554" t="str">
            <v>530-30-030</v>
          </cell>
          <cell r="B554" t="str">
            <v>STANBIC CUSTODIAN SERVICES</v>
          </cell>
          <cell r="C554">
            <v>22922291.219999999</v>
          </cell>
          <cell r="D554">
            <v>-21567053.030000001</v>
          </cell>
          <cell r="E554">
            <v>1355238.19</v>
          </cell>
          <cell r="F554">
            <v>1355238.19</v>
          </cell>
          <cell r="G554">
            <v>0</v>
          </cell>
          <cell r="H554">
            <v>1355238.19</v>
          </cell>
        </row>
        <row r="555">
          <cell r="A555" t="str">
            <v>530-35-010</v>
          </cell>
          <cell r="B555" t="str">
            <v>STANBIC CUSTODIAN SERVICES ACCOUNT</v>
          </cell>
          <cell r="C555">
            <v>2451490.36</v>
          </cell>
          <cell r="D555">
            <v>-1428739.27</v>
          </cell>
          <cell r="E555">
            <v>1022751.09</v>
          </cell>
          <cell r="F555">
            <v>1022751.09</v>
          </cell>
          <cell r="G555">
            <v>0</v>
          </cell>
          <cell r="H555">
            <v>1022751.09</v>
          </cell>
        </row>
        <row r="556">
          <cell r="A556" t="str">
            <v>530-35-020</v>
          </cell>
          <cell r="B556" t="str">
            <v>OTHER DEPOSITS</v>
          </cell>
          <cell r="C556">
            <v>23500000</v>
          </cell>
          <cell r="D556">
            <v>3500000</v>
          </cell>
          <cell r="E556">
            <v>27000000</v>
          </cell>
          <cell r="F556">
            <v>27000000</v>
          </cell>
          <cell r="G556">
            <v>0</v>
          </cell>
          <cell r="H556">
            <v>27000000</v>
          </cell>
        </row>
        <row r="557">
          <cell r="A557" t="str">
            <v>530-35-030</v>
          </cell>
          <cell r="B557" t="str">
            <v>OTHER FIXED DEPOSITS</v>
          </cell>
          <cell r="C557">
            <v>0</v>
          </cell>
          <cell r="D557">
            <v>0</v>
          </cell>
          <cell r="E557">
            <v>0</v>
          </cell>
          <cell r="F557">
            <v>0</v>
          </cell>
          <cell r="G557">
            <v>0</v>
          </cell>
          <cell r="H557">
            <v>0</v>
          </cell>
        </row>
        <row r="558">
          <cell r="A558" t="str">
            <v>530-40-010</v>
          </cell>
          <cell r="B558" t="str">
            <v>SAFARICOM</v>
          </cell>
          <cell r="C558">
            <v>8100000</v>
          </cell>
          <cell r="D558">
            <v>0</v>
          </cell>
          <cell r="E558">
            <v>8100000</v>
          </cell>
          <cell r="F558">
            <v>8100000</v>
          </cell>
          <cell r="G558">
            <v>0</v>
          </cell>
          <cell r="H558">
            <v>8100000</v>
          </cell>
        </row>
        <row r="559">
          <cell r="A559" t="str">
            <v>530-45-010</v>
          </cell>
          <cell r="B559" t="str">
            <v>KENYA OIL COMPANY LTD</v>
          </cell>
          <cell r="C559">
            <v>4000000</v>
          </cell>
          <cell r="D559">
            <v>0</v>
          </cell>
          <cell r="E559">
            <v>4000000</v>
          </cell>
          <cell r="F559">
            <v>4000000</v>
          </cell>
          <cell r="G559">
            <v>0</v>
          </cell>
          <cell r="H559">
            <v>4000000</v>
          </cell>
        </row>
        <row r="560">
          <cell r="A560" t="str">
            <v>530-45-020</v>
          </cell>
          <cell r="B560" t="str">
            <v>MABATI ROLLING MILLS LTD</v>
          </cell>
          <cell r="C560">
            <v>8000000</v>
          </cell>
          <cell r="D560">
            <v>0</v>
          </cell>
          <cell r="E560">
            <v>8000000</v>
          </cell>
          <cell r="F560">
            <v>8000000</v>
          </cell>
          <cell r="G560">
            <v>0</v>
          </cell>
          <cell r="H560">
            <v>8000000</v>
          </cell>
        </row>
        <row r="561">
          <cell r="A561" t="str">
            <v>530-70-010</v>
          </cell>
          <cell r="B561" t="str">
            <v>O/S INTEREST ON CP</v>
          </cell>
          <cell r="C561">
            <v>25440.21</v>
          </cell>
          <cell r="D561">
            <v>-24906.49</v>
          </cell>
          <cell r="E561">
            <v>533.72</v>
          </cell>
          <cell r="F561">
            <v>533.72</v>
          </cell>
          <cell r="G561">
            <v>0</v>
          </cell>
          <cell r="H561">
            <v>533.72</v>
          </cell>
        </row>
        <row r="562">
          <cell r="A562" t="str">
            <v>530-70-020</v>
          </cell>
          <cell r="B562" t="str">
            <v>O/S INTEREST ON FD</v>
          </cell>
          <cell r="C562">
            <v>32020.54</v>
          </cell>
          <cell r="D562">
            <v>89965.759999999995</v>
          </cell>
          <cell r="E562">
            <v>121986.3</v>
          </cell>
          <cell r="F562">
            <v>121986.3</v>
          </cell>
          <cell r="G562">
            <v>0</v>
          </cell>
          <cell r="H562">
            <v>121986.3</v>
          </cell>
        </row>
        <row r="563">
          <cell r="A563" t="str">
            <v>530-70-030</v>
          </cell>
          <cell r="B563" t="str">
            <v>O/S INTEREST TB'S</v>
          </cell>
          <cell r="C563">
            <v>3263575.57</v>
          </cell>
          <cell r="D563">
            <v>-233844.37</v>
          </cell>
          <cell r="E563">
            <v>3029731.2</v>
          </cell>
          <cell r="F563">
            <v>3029731.2</v>
          </cell>
          <cell r="G563">
            <v>0</v>
          </cell>
          <cell r="H563">
            <v>3029731.2</v>
          </cell>
        </row>
        <row r="564">
          <cell r="A564" t="str">
            <v>530-75-010</v>
          </cell>
          <cell r="B564" t="str">
            <v>O/S INTEREST TB'S</v>
          </cell>
          <cell r="C564">
            <v>435947.38</v>
          </cell>
          <cell r="D564">
            <v>2018119.76</v>
          </cell>
          <cell r="E564">
            <v>2454067.14</v>
          </cell>
          <cell r="F564">
            <v>2454067.14</v>
          </cell>
          <cell r="G564">
            <v>0</v>
          </cell>
          <cell r="H564">
            <v>2454067.14</v>
          </cell>
        </row>
        <row r="565">
          <cell r="A565" t="str">
            <v>530-75-020</v>
          </cell>
          <cell r="B565" t="str">
            <v>O/S INTEREST ON FD</v>
          </cell>
          <cell r="C565">
            <v>43417.81</v>
          </cell>
          <cell r="D565">
            <v>139678.09</v>
          </cell>
          <cell r="E565">
            <v>183095.9</v>
          </cell>
          <cell r="F565">
            <v>183095.9</v>
          </cell>
          <cell r="G565">
            <v>0</v>
          </cell>
          <cell r="H565">
            <v>183095.9</v>
          </cell>
        </row>
        <row r="566">
          <cell r="A566" t="str">
            <v>530-75-030</v>
          </cell>
          <cell r="B566" t="str">
            <v>O/S INTEREST CP</v>
          </cell>
          <cell r="C566">
            <v>13600</v>
          </cell>
          <cell r="D566">
            <v>9010.49</v>
          </cell>
          <cell r="E566">
            <v>22610.49</v>
          </cell>
          <cell r="F566">
            <v>22610.49</v>
          </cell>
          <cell r="G566">
            <v>0</v>
          </cell>
          <cell r="H566">
            <v>22610.49</v>
          </cell>
        </row>
        <row r="567">
          <cell r="A567" t="str">
            <v>530-90-010</v>
          </cell>
          <cell r="B567" t="str">
            <v>GROUP LIFE PREMIUMS DEBTOR</v>
          </cell>
          <cell r="C567">
            <v>56217054.25</v>
          </cell>
          <cell r="D567">
            <v>-24093023.25</v>
          </cell>
          <cell r="E567">
            <v>32124031</v>
          </cell>
          <cell r="F567">
            <v>32124031</v>
          </cell>
          <cell r="G567">
            <v>0</v>
          </cell>
          <cell r="H567">
            <v>32124031</v>
          </cell>
        </row>
        <row r="568">
          <cell r="A568" t="str">
            <v>550-10-015</v>
          </cell>
          <cell r="B568" t="str">
            <v>BROKERAGE W/TAX</v>
          </cell>
          <cell r="C568">
            <v>-217672.4</v>
          </cell>
          <cell r="D568">
            <v>114913.91</v>
          </cell>
          <cell r="E568">
            <v>-102758.49</v>
          </cell>
          <cell r="F568">
            <v>-102758.49</v>
          </cell>
          <cell r="G568">
            <v>0</v>
          </cell>
          <cell r="H568">
            <v>-102758.49</v>
          </cell>
        </row>
        <row r="569">
          <cell r="A569" t="str">
            <v>550-10-020</v>
          </cell>
          <cell r="B569" t="str">
            <v>GROUP CREDITORS</v>
          </cell>
          <cell r="C569">
            <v>0</v>
          </cell>
          <cell r="D569">
            <v>-396947</v>
          </cell>
          <cell r="E569">
            <v>-396947</v>
          </cell>
          <cell r="F569">
            <v>-396947</v>
          </cell>
          <cell r="G569">
            <v>0</v>
          </cell>
          <cell r="H569">
            <v>-396947</v>
          </cell>
        </row>
        <row r="570">
          <cell r="A570" t="str">
            <v>550-25-010</v>
          </cell>
          <cell r="B570" t="str">
            <v>GROUP LIFE PREMIUMS</v>
          </cell>
          <cell r="C570">
            <v>-56217054.25</v>
          </cell>
          <cell r="D570">
            <v>24093023.25</v>
          </cell>
          <cell r="E570">
            <v>-32124031</v>
          </cell>
          <cell r="F570">
            <v>-32124031</v>
          </cell>
          <cell r="G570">
            <v>0</v>
          </cell>
          <cell r="H570">
            <v>-32124031</v>
          </cell>
        </row>
        <row r="571">
          <cell r="A571" t="str">
            <v>550-30-010</v>
          </cell>
          <cell r="B571" t="str">
            <v>O/S LAST EXPENSE CLAIMS</v>
          </cell>
          <cell r="C571">
            <v>0</v>
          </cell>
          <cell r="D571">
            <v>0</v>
          </cell>
          <cell r="E571">
            <v>0</v>
          </cell>
          <cell r="F571">
            <v>0</v>
          </cell>
          <cell r="G571">
            <v>0</v>
          </cell>
          <cell r="H571">
            <v>0</v>
          </cell>
        </row>
        <row r="572">
          <cell r="A572" t="str">
            <v>550-30-020</v>
          </cell>
          <cell r="B572" t="str">
            <v>O/S PENSION CLAIMS</v>
          </cell>
          <cell r="C572">
            <v>-400201.6</v>
          </cell>
          <cell r="D572">
            <v>-11706192.689999999</v>
          </cell>
          <cell r="E572">
            <v>-12106394.289999999</v>
          </cell>
          <cell r="F572">
            <v>-12106394.289999999</v>
          </cell>
          <cell r="G572">
            <v>0</v>
          </cell>
          <cell r="H572">
            <v>-12106394.289999999</v>
          </cell>
        </row>
        <row r="573">
          <cell r="A573" t="str">
            <v>550-30-030</v>
          </cell>
          <cell r="B573" t="str">
            <v>O/S CLAIMS BY DEATH CLAIMS</v>
          </cell>
          <cell r="C573">
            <v>-19665566</v>
          </cell>
          <cell r="D573">
            <v>-4996091</v>
          </cell>
          <cell r="E573">
            <v>-24661657</v>
          </cell>
          <cell r="F573">
            <v>-24661657</v>
          </cell>
          <cell r="G573">
            <v>0</v>
          </cell>
          <cell r="H573">
            <v>-24661657</v>
          </cell>
        </row>
        <row r="574">
          <cell r="A574" t="str">
            <v>550-30-040</v>
          </cell>
          <cell r="B574" t="str">
            <v>O/S GROUP MATURITIES CLAIMS</v>
          </cell>
          <cell r="C574">
            <v>-331417.84999999998</v>
          </cell>
          <cell r="D574">
            <v>0</v>
          </cell>
          <cell r="E574">
            <v>-331417.84999999998</v>
          </cell>
          <cell r="F574">
            <v>-331417.84999999998</v>
          </cell>
          <cell r="G574">
            <v>0</v>
          </cell>
          <cell r="H574">
            <v>-331417.84999999998</v>
          </cell>
        </row>
        <row r="575">
          <cell r="A575" t="str">
            <v>550-30-050</v>
          </cell>
          <cell r="B575" t="str">
            <v>O/S GROUP ANTICIPATED CLAIMS</v>
          </cell>
          <cell r="C575">
            <v>-48831.75</v>
          </cell>
          <cell r="D575">
            <v>0</v>
          </cell>
          <cell r="E575">
            <v>-48831.75</v>
          </cell>
          <cell r="F575">
            <v>-48831.75</v>
          </cell>
          <cell r="G575">
            <v>0</v>
          </cell>
          <cell r="H575">
            <v>-48831.75</v>
          </cell>
        </row>
        <row r="576">
          <cell r="A576" t="str">
            <v>550-30-060</v>
          </cell>
          <cell r="B576" t="str">
            <v>O/S GROUP SURENDERS CLAIMS</v>
          </cell>
          <cell r="C576">
            <v>0</v>
          </cell>
          <cell r="D576">
            <v>0</v>
          </cell>
          <cell r="E576">
            <v>0</v>
          </cell>
          <cell r="F576">
            <v>0</v>
          </cell>
          <cell r="G576">
            <v>0</v>
          </cell>
          <cell r="H576">
            <v>0</v>
          </cell>
        </row>
        <row r="577">
          <cell r="A577" t="str">
            <v>550-30-070</v>
          </cell>
          <cell r="B577" t="str">
            <v>O/S RETIREMENT ANNUITIE</v>
          </cell>
          <cell r="C577">
            <v>-1294291.6499999999</v>
          </cell>
          <cell r="D577">
            <v>0</v>
          </cell>
          <cell r="E577">
            <v>-1294291.6499999999</v>
          </cell>
          <cell r="F577">
            <v>-1294291.6499999999</v>
          </cell>
          <cell r="G577">
            <v>0</v>
          </cell>
          <cell r="H577">
            <v>-1294291.6499999999</v>
          </cell>
        </row>
        <row r="578">
          <cell r="A578" t="str">
            <v>550-60-010</v>
          </cell>
          <cell r="B578" t="str">
            <v>UNEARNED INTEREST</v>
          </cell>
          <cell r="C578">
            <v>-25561.99</v>
          </cell>
          <cell r="D578">
            <v>0</v>
          </cell>
          <cell r="E578">
            <v>-25561.99</v>
          </cell>
          <cell r="F578">
            <v>-25561.99</v>
          </cell>
          <cell r="G578">
            <v>0</v>
          </cell>
          <cell r="H578">
            <v>-25561.99</v>
          </cell>
        </row>
        <row r="579">
          <cell r="A579" t="str">
            <v>550-60-020</v>
          </cell>
          <cell r="B579" t="str">
            <v>AIG MANAGEMENT FEES</v>
          </cell>
          <cell r="C579">
            <v>-152253.25</v>
          </cell>
          <cell r="D579">
            <v>-5564.2</v>
          </cell>
          <cell r="E579">
            <v>-157817.45000000001</v>
          </cell>
          <cell r="F579">
            <v>-157817.45000000001</v>
          </cell>
          <cell r="G579">
            <v>0</v>
          </cell>
          <cell r="H579">
            <v>-157817.45000000001</v>
          </cell>
        </row>
        <row r="580">
          <cell r="A580" t="str">
            <v>550-60-025</v>
          </cell>
          <cell r="B580" t="str">
            <v>CUSTODY FEES</v>
          </cell>
          <cell r="C580">
            <v>0</v>
          </cell>
          <cell r="D580">
            <v>-38617.089999999997</v>
          </cell>
          <cell r="E580">
            <v>-38617.089999999997</v>
          </cell>
          <cell r="F580">
            <v>-38617.089999999997</v>
          </cell>
          <cell r="G580">
            <v>0</v>
          </cell>
          <cell r="H580">
            <v>-38617.089999999997</v>
          </cell>
        </row>
        <row r="581">
          <cell r="A581" t="str">
            <v>570-10-010</v>
          </cell>
          <cell r="B581" t="str">
            <v>GROUP LIFE ASSURANCE SCHEMES</v>
          </cell>
          <cell r="C581">
            <v>-140327088.34999999</v>
          </cell>
          <cell r="D581">
            <v>-11215689.869999999</v>
          </cell>
          <cell r="E581">
            <v>-151542778.22</v>
          </cell>
          <cell r="F581">
            <v>-151542778.22</v>
          </cell>
          <cell r="G581">
            <v>0</v>
          </cell>
          <cell r="H581">
            <v>-151542778.22</v>
          </cell>
        </row>
        <row r="582">
          <cell r="A582" t="str">
            <v>570-10-020</v>
          </cell>
          <cell r="B582" t="str">
            <v>GROUP DISABILITY SCHEMES</v>
          </cell>
          <cell r="C582">
            <v>-5628608.25</v>
          </cell>
          <cell r="D582">
            <v>0</v>
          </cell>
          <cell r="E582">
            <v>-5628608.25</v>
          </cell>
          <cell r="F582">
            <v>-5628608.25</v>
          </cell>
          <cell r="G582">
            <v>0</v>
          </cell>
          <cell r="H582">
            <v>-5628608.25</v>
          </cell>
        </row>
        <row r="583">
          <cell r="A583" t="str">
            <v>570-10-030</v>
          </cell>
          <cell r="B583" t="str">
            <v>GROUP CREDIT SCHEMES</v>
          </cell>
          <cell r="C583">
            <v>-102249946.40000001</v>
          </cell>
          <cell r="D583">
            <v>-4376248.5</v>
          </cell>
          <cell r="E583">
            <v>-106626194.90000001</v>
          </cell>
          <cell r="F583">
            <v>-106626194.90000001</v>
          </cell>
          <cell r="G583">
            <v>0</v>
          </cell>
          <cell r="H583">
            <v>-106626194.90000001</v>
          </cell>
        </row>
        <row r="584">
          <cell r="A584" t="str">
            <v>570-10-040</v>
          </cell>
          <cell r="B584" t="str">
            <v>GROUP FUNERAL-LAST EXPENSE</v>
          </cell>
          <cell r="C584">
            <v>-8723390.8000000007</v>
          </cell>
          <cell r="D584">
            <v>-105800</v>
          </cell>
          <cell r="E584">
            <v>-8829190.8000000007</v>
          </cell>
          <cell r="F584">
            <v>-8829190.8000000007</v>
          </cell>
          <cell r="G584">
            <v>0</v>
          </cell>
          <cell r="H584">
            <v>-8829190.8000000007</v>
          </cell>
        </row>
        <row r="585">
          <cell r="A585" t="str">
            <v>570-10-050</v>
          </cell>
          <cell r="B585" t="str">
            <v>GROUP MORTGAGE SCHEMES</v>
          </cell>
          <cell r="C585">
            <v>-6087807.0499999998</v>
          </cell>
          <cell r="D585">
            <v>-9534</v>
          </cell>
          <cell r="E585">
            <v>-6097341.0499999998</v>
          </cell>
          <cell r="F585">
            <v>-6097341.0499999998</v>
          </cell>
          <cell r="G585">
            <v>0</v>
          </cell>
          <cell r="H585">
            <v>-6097341.0499999998</v>
          </cell>
        </row>
        <row r="586">
          <cell r="A586" t="str">
            <v>570-10-060</v>
          </cell>
          <cell r="B586" t="str">
            <v>PENSION SCHEMES</v>
          </cell>
          <cell r="C586">
            <v>-23202220.98</v>
          </cell>
          <cell r="D586">
            <v>-4135983.09</v>
          </cell>
          <cell r="E586">
            <v>-27338204.07</v>
          </cell>
          <cell r="F586">
            <v>-27338204.07</v>
          </cell>
          <cell r="G586">
            <v>0</v>
          </cell>
          <cell r="H586">
            <v>-27338204.07</v>
          </cell>
        </row>
        <row r="587">
          <cell r="A587" t="str">
            <v>570-10-070</v>
          </cell>
          <cell r="B587" t="str">
            <v>GROUP PREMIUMS REFUNDS</v>
          </cell>
          <cell r="C587">
            <v>0</v>
          </cell>
          <cell r="D587">
            <v>0</v>
          </cell>
          <cell r="E587">
            <v>0</v>
          </cell>
          <cell r="F587">
            <v>0</v>
          </cell>
          <cell r="G587">
            <v>0</v>
          </cell>
          <cell r="H587">
            <v>0</v>
          </cell>
        </row>
        <row r="588">
          <cell r="A588" t="str">
            <v>570-10-080</v>
          </cell>
          <cell r="B588" t="str">
            <v>HARAMBEE SCHEMES</v>
          </cell>
          <cell r="C588">
            <v>-463650</v>
          </cell>
          <cell r="D588">
            <v>0</v>
          </cell>
          <cell r="E588">
            <v>-463650</v>
          </cell>
          <cell r="F588">
            <v>-463650</v>
          </cell>
          <cell r="G588">
            <v>0</v>
          </cell>
          <cell r="H588">
            <v>-463650</v>
          </cell>
        </row>
        <row r="589">
          <cell r="A589" t="str">
            <v>580-10-010</v>
          </cell>
          <cell r="B589" t="str">
            <v>INTEREST ON CP</v>
          </cell>
          <cell r="C589">
            <v>-587002.39</v>
          </cell>
          <cell r="D589">
            <v>-12843.21</v>
          </cell>
          <cell r="E589">
            <v>-599845.6</v>
          </cell>
          <cell r="F589">
            <v>-599845.6</v>
          </cell>
          <cell r="G589">
            <v>0</v>
          </cell>
          <cell r="H589">
            <v>-599845.6</v>
          </cell>
        </row>
        <row r="590">
          <cell r="A590" t="str">
            <v>580-10-020</v>
          </cell>
          <cell r="B590" t="str">
            <v>INTEREST ON FD</v>
          </cell>
          <cell r="C590">
            <v>-851510.28</v>
          </cell>
          <cell r="D590">
            <v>-355312.08</v>
          </cell>
          <cell r="E590">
            <v>-1206822.3600000001</v>
          </cell>
          <cell r="F590">
            <v>-1206822.3600000001</v>
          </cell>
          <cell r="G590">
            <v>0</v>
          </cell>
          <cell r="H590">
            <v>-1206822.3600000001</v>
          </cell>
        </row>
        <row r="591">
          <cell r="A591" t="str">
            <v>580-10-025</v>
          </cell>
          <cell r="B591" t="str">
            <v>AIG MANAGEMENT FEES</v>
          </cell>
          <cell r="C591">
            <v>685758.9</v>
          </cell>
          <cell r="D591">
            <v>188323.05</v>
          </cell>
          <cell r="E591">
            <v>874081.95</v>
          </cell>
          <cell r="F591">
            <v>874081.95</v>
          </cell>
          <cell r="G591">
            <v>0</v>
          </cell>
          <cell r="H591">
            <v>874081.95</v>
          </cell>
        </row>
        <row r="592">
          <cell r="A592" t="str">
            <v>580-10-030</v>
          </cell>
          <cell r="B592" t="str">
            <v>CUSTODY/BROKERAGE FEES</v>
          </cell>
          <cell r="C592">
            <v>255763.78</v>
          </cell>
          <cell r="D592">
            <v>46474.37</v>
          </cell>
          <cell r="E592">
            <v>302238.15000000002</v>
          </cell>
          <cell r="F592">
            <v>302238.15000000002</v>
          </cell>
          <cell r="G592">
            <v>0</v>
          </cell>
          <cell r="H592">
            <v>302238.15000000002</v>
          </cell>
        </row>
        <row r="593">
          <cell r="A593" t="str">
            <v>580-10-040</v>
          </cell>
          <cell r="B593" t="str">
            <v>INTEREST ON TB'S</v>
          </cell>
          <cell r="C593">
            <v>-8806179.1199999992</v>
          </cell>
          <cell r="D593">
            <v>-311568.63</v>
          </cell>
          <cell r="E593">
            <v>-9117747.75</v>
          </cell>
          <cell r="F593">
            <v>-9117747.75</v>
          </cell>
          <cell r="G593">
            <v>0</v>
          </cell>
          <cell r="H593">
            <v>-9117747.75</v>
          </cell>
        </row>
        <row r="594">
          <cell r="A594" t="str">
            <v>580-10-050</v>
          </cell>
          <cell r="B594" t="str">
            <v>GAIN/LOSS ON SHARES VALUATION</v>
          </cell>
          <cell r="C594">
            <v>-1278410.1499999999</v>
          </cell>
          <cell r="D594">
            <v>-1124719.8999999999</v>
          </cell>
          <cell r="E594">
            <v>-2403130.0499999998</v>
          </cell>
          <cell r="F594">
            <v>-2403130.0499999998</v>
          </cell>
          <cell r="G594">
            <v>0</v>
          </cell>
          <cell r="H594">
            <v>-2403130.0499999998</v>
          </cell>
        </row>
        <row r="595">
          <cell r="A595" t="str">
            <v>580-10-055</v>
          </cell>
          <cell r="B595" t="str">
            <v>DIVIDEND INCOME</v>
          </cell>
          <cell r="C595">
            <v>-31672.5</v>
          </cell>
          <cell r="D595">
            <v>-11550</v>
          </cell>
          <cell r="E595">
            <v>-43222.5</v>
          </cell>
          <cell r="F595">
            <v>-43222.5</v>
          </cell>
          <cell r="G595">
            <v>0</v>
          </cell>
          <cell r="H595">
            <v>-43222.5</v>
          </cell>
        </row>
        <row r="596">
          <cell r="A596" t="str">
            <v>580-20-010</v>
          </cell>
          <cell r="B596" t="str">
            <v>INTEREST ON TB'S</v>
          </cell>
          <cell r="C596">
            <v>-6791598.8600000003</v>
          </cell>
          <cell r="D596">
            <v>-2271250.4</v>
          </cell>
          <cell r="E596">
            <v>-9062849.2599999998</v>
          </cell>
          <cell r="F596">
            <v>-9062849.2599999998</v>
          </cell>
          <cell r="G596">
            <v>0</v>
          </cell>
          <cell r="H596">
            <v>-9062849.2599999998</v>
          </cell>
        </row>
        <row r="597">
          <cell r="A597" t="str">
            <v>580-20-020</v>
          </cell>
          <cell r="B597" t="str">
            <v>INTEREST ON FIXED DEPOSITS</v>
          </cell>
          <cell r="C597">
            <v>-410515.37</v>
          </cell>
          <cell r="D597">
            <v>-162021.07</v>
          </cell>
          <cell r="E597">
            <v>-572536.43999999994</v>
          </cell>
          <cell r="F597">
            <v>-572536.43999999994</v>
          </cell>
          <cell r="G597">
            <v>0</v>
          </cell>
          <cell r="H597">
            <v>-572536.43999999994</v>
          </cell>
        </row>
        <row r="598">
          <cell r="A598" t="str">
            <v>580-20-025</v>
          </cell>
          <cell r="B598" t="str">
            <v>CUSTODY /BROKERAGE FEES</v>
          </cell>
          <cell r="C598">
            <v>206831.89</v>
          </cell>
          <cell r="D598">
            <v>31831.98</v>
          </cell>
          <cell r="E598">
            <v>238663.87</v>
          </cell>
          <cell r="F598">
            <v>238663.87</v>
          </cell>
          <cell r="G598">
            <v>0</v>
          </cell>
          <cell r="H598">
            <v>238663.87</v>
          </cell>
        </row>
        <row r="599">
          <cell r="A599" t="str">
            <v>580-20-030</v>
          </cell>
          <cell r="B599" t="str">
            <v>INTEREST ON C/P</v>
          </cell>
          <cell r="C599">
            <v>-584615.71</v>
          </cell>
          <cell r="D599">
            <v>-51335.49</v>
          </cell>
          <cell r="E599">
            <v>-635951.19999999995</v>
          </cell>
          <cell r="F599">
            <v>-635951.19999999995</v>
          </cell>
          <cell r="G599">
            <v>0</v>
          </cell>
          <cell r="H599">
            <v>-635951.19999999995</v>
          </cell>
        </row>
        <row r="600">
          <cell r="A600" t="str">
            <v>580-20-035</v>
          </cell>
          <cell r="B600" t="str">
            <v>AIG MANAGEMENT FEES</v>
          </cell>
          <cell r="C600">
            <v>546427.05000000005</v>
          </cell>
          <cell r="D600">
            <v>120617.2</v>
          </cell>
          <cell r="E600">
            <v>667044.25</v>
          </cell>
          <cell r="F600">
            <v>667044.25</v>
          </cell>
          <cell r="G600">
            <v>0</v>
          </cell>
          <cell r="H600">
            <v>667044.25</v>
          </cell>
        </row>
        <row r="601">
          <cell r="A601" t="str">
            <v>580-20-040</v>
          </cell>
          <cell r="B601" t="str">
            <v>GAIN/LOSS ON SHARE VALUATION</v>
          </cell>
          <cell r="C601">
            <v>-3442407.6</v>
          </cell>
          <cell r="D601">
            <v>-205107</v>
          </cell>
          <cell r="E601">
            <v>-3647514.6</v>
          </cell>
          <cell r="F601">
            <v>-3647514.6</v>
          </cell>
          <cell r="G601">
            <v>0</v>
          </cell>
          <cell r="H601">
            <v>-3647514.6</v>
          </cell>
        </row>
        <row r="602">
          <cell r="A602" t="str">
            <v>580-20-050</v>
          </cell>
          <cell r="B602" t="str">
            <v>DIVIDEND INCOME</v>
          </cell>
          <cell r="C602">
            <v>-70621.45</v>
          </cell>
          <cell r="D602">
            <v>-17500</v>
          </cell>
          <cell r="E602">
            <v>-88121.45</v>
          </cell>
          <cell r="F602">
            <v>-88121.45</v>
          </cell>
          <cell r="G602">
            <v>0</v>
          </cell>
          <cell r="H602">
            <v>-88121.45</v>
          </cell>
        </row>
        <row r="603">
          <cell r="A603" t="str">
            <v>580-30-010</v>
          </cell>
          <cell r="B603" t="str">
            <v>PAN AFRICA HOUSE MOMBASA</v>
          </cell>
          <cell r="C603">
            <v>0</v>
          </cell>
          <cell r="D603">
            <v>0</v>
          </cell>
          <cell r="E603">
            <v>0</v>
          </cell>
          <cell r="F603">
            <v>0</v>
          </cell>
          <cell r="G603">
            <v>0</v>
          </cell>
          <cell r="H603">
            <v>0</v>
          </cell>
        </row>
        <row r="604">
          <cell r="A604" t="str">
            <v>580-30-020</v>
          </cell>
          <cell r="B604" t="str">
            <v>SERVICE CHARGE PAN HOUSE MOMBASA</v>
          </cell>
          <cell r="C604">
            <v>0</v>
          </cell>
          <cell r="D604">
            <v>0</v>
          </cell>
          <cell r="E604">
            <v>0</v>
          </cell>
          <cell r="F604">
            <v>0</v>
          </cell>
          <cell r="G604">
            <v>0</v>
          </cell>
          <cell r="H604">
            <v>0</v>
          </cell>
        </row>
        <row r="605">
          <cell r="A605" t="str">
            <v>590-10-010</v>
          </cell>
          <cell r="B605" t="str">
            <v>LAST EXPENSE CLAIM</v>
          </cell>
          <cell r="C605">
            <v>7954500</v>
          </cell>
          <cell r="D605">
            <v>940000</v>
          </cell>
          <cell r="E605">
            <v>8894500</v>
          </cell>
          <cell r="F605">
            <v>8894500</v>
          </cell>
          <cell r="G605">
            <v>0</v>
          </cell>
          <cell r="H605">
            <v>8894500</v>
          </cell>
        </row>
        <row r="606">
          <cell r="A606" t="str">
            <v>590-10-020</v>
          </cell>
          <cell r="B606" t="str">
            <v>PENSION SCHEME CLAIM</v>
          </cell>
          <cell r="C606">
            <v>9780156.75</v>
          </cell>
          <cell r="D606">
            <v>12707138.189999999</v>
          </cell>
          <cell r="E606">
            <v>22487294.940000001</v>
          </cell>
          <cell r="F606">
            <v>22487294.940000001</v>
          </cell>
          <cell r="G606">
            <v>0</v>
          </cell>
          <cell r="H606">
            <v>22487294.940000001</v>
          </cell>
        </row>
        <row r="607">
          <cell r="A607" t="str">
            <v>590-10-030</v>
          </cell>
          <cell r="B607" t="str">
            <v>CLAIMS BY DEATH-GROUP</v>
          </cell>
          <cell r="C607">
            <v>125043899.8</v>
          </cell>
          <cell r="D607">
            <v>16974879</v>
          </cell>
          <cell r="E607">
            <v>142018778.80000001</v>
          </cell>
          <cell r="F607">
            <v>142018778.80000001</v>
          </cell>
          <cell r="G607">
            <v>0</v>
          </cell>
          <cell r="H607">
            <v>142018778.80000001</v>
          </cell>
        </row>
        <row r="608">
          <cell r="A608" t="str">
            <v>590-10-040</v>
          </cell>
          <cell r="B608" t="str">
            <v>GROUP MATURITY CLAIMS</v>
          </cell>
          <cell r="C608">
            <v>1682015.8</v>
          </cell>
          <cell r="D608">
            <v>583270.85</v>
          </cell>
          <cell r="E608">
            <v>2265286.65</v>
          </cell>
          <cell r="F608">
            <v>2265286.65</v>
          </cell>
          <cell r="G608">
            <v>0</v>
          </cell>
          <cell r="H608">
            <v>2265286.65</v>
          </cell>
        </row>
        <row r="609">
          <cell r="A609" t="str">
            <v>590-10-050</v>
          </cell>
          <cell r="B609" t="str">
            <v>GROUP ANTICIPATED CLAIMS</v>
          </cell>
          <cell r="C609">
            <v>359140.9</v>
          </cell>
          <cell r="D609">
            <v>0</v>
          </cell>
          <cell r="E609">
            <v>359140.9</v>
          </cell>
          <cell r="F609">
            <v>359140.9</v>
          </cell>
          <cell r="G609">
            <v>0</v>
          </cell>
          <cell r="H609">
            <v>359140.9</v>
          </cell>
        </row>
        <row r="610">
          <cell r="A610" t="str">
            <v>590-10-060</v>
          </cell>
          <cell r="B610" t="str">
            <v>GROUP CREDIT SCHEMES CLAIMS</v>
          </cell>
          <cell r="C610">
            <v>1059531.8999999999</v>
          </cell>
          <cell r="D610">
            <v>242230.8</v>
          </cell>
          <cell r="E610">
            <v>1301762.7</v>
          </cell>
          <cell r="F610">
            <v>1301762.7</v>
          </cell>
          <cell r="G610">
            <v>0</v>
          </cell>
          <cell r="H610">
            <v>1301762.7</v>
          </cell>
        </row>
        <row r="611">
          <cell r="A611" t="str">
            <v>590-10-065</v>
          </cell>
          <cell r="B611" t="str">
            <v>GROUP DISABILITY CLAIMS</v>
          </cell>
          <cell r="C611">
            <v>14660.75</v>
          </cell>
          <cell r="D611">
            <v>0</v>
          </cell>
          <cell r="E611">
            <v>14660.75</v>
          </cell>
          <cell r="F611">
            <v>14660.75</v>
          </cell>
          <cell r="G611">
            <v>0</v>
          </cell>
          <cell r="H611">
            <v>14660.75</v>
          </cell>
        </row>
        <row r="612">
          <cell r="A612" t="str">
            <v>590-10-070</v>
          </cell>
          <cell r="B612" t="str">
            <v>GROUP RETIREMENT ANNUITIES CLAIMS</v>
          </cell>
          <cell r="C612">
            <v>-109654.8</v>
          </cell>
          <cell r="D612">
            <v>926521.85</v>
          </cell>
          <cell r="E612">
            <v>816867.05</v>
          </cell>
          <cell r="F612">
            <v>816867.05</v>
          </cell>
          <cell r="G612">
            <v>0</v>
          </cell>
          <cell r="H612">
            <v>816867.05</v>
          </cell>
        </row>
        <row r="613">
          <cell r="A613" t="str">
            <v>590-10-075</v>
          </cell>
          <cell r="B613" t="str">
            <v>AUDIT FEES  (PENSIONS)</v>
          </cell>
          <cell r="C613">
            <v>74340</v>
          </cell>
          <cell r="D613">
            <v>0</v>
          </cell>
          <cell r="E613">
            <v>74340</v>
          </cell>
          <cell r="F613">
            <v>74340</v>
          </cell>
          <cell r="G613">
            <v>0</v>
          </cell>
          <cell r="H613">
            <v>74340</v>
          </cell>
        </row>
        <row r="614">
          <cell r="A614" t="str">
            <v>590-10-076</v>
          </cell>
          <cell r="B614" t="str">
            <v>MANAGEMENT FEES (PENSION)</v>
          </cell>
          <cell r="C614">
            <v>0</v>
          </cell>
          <cell r="D614">
            <v>0</v>
          </cell>
          <cell r="E614">
            <v>0</v>
          </cell>
          <cell r="F614">
            <v>0</v>
          </cell>
          <cell r="G614">
            <v>0</v>
          </cell>
          <cell r="H614">
            <v>0</v>
          </cell>
        </row>
        <row r="615">
          <cell r="A615" t="str">
            <v>590-10-077</v>
          </cell>
          <cell r="B615" t="str">
            <v>RBA LEVIES (PENSIONS)</v>
          </cell>
          <cell r="C615">
            <v>199328.05</v>
          </cell>
          <cell r="D615">
            <v>-195620.95</v>
          </cell>
          <cell r="E615">
            <v>3707.1</v>
          </cell>
          <cell r="F615">
            <v>3707.1</v>
          </cell>
          <cell r="G615">
            <v>0</v>
          </cell>
          <cell r="H615">
            <v>3707.1</v>
          </cell>
        </row>
        <row r="616">
          <cell r="A616" t="str">
            <v>590-10-078</v>
          </cell>
          <cell r="B616" t="str">
            <v>ACTUARIAL FEES -PENSIONS</v>
          </cell>
          <cell r="C616">
            <v>0</v>
          </cell>
          <cell r="D616">
            <v>0</v>
          </cell>
          <cell r="E616">
            <v>0</v>
          </cell>
          <cell r="F616">
            <v>0</v>
          </cell>
          <cell r="G616">
            <v>0</v>
          </cell>
          <cell r="H616">
            <v>0</v>
          </cell>
        </row>
        <row r="617">
          <cell r="A617" t="str">
            <v>590-10-080</v>
          </cell>
          <cell r="B617" t="str">
            <v>CLAIMS RECOVERED-GROUP LIFE ASSURANCE</v>
          </cell>
          <cell r="C617">
            <v>-81704898.560000002</v>
          </cell>
          <cell r="D617">
            <v>-23936999</v>
          </cell>
          <cell r="E617">
            <v>-105641897.56</v>
          </cell>
          <cell r="F617">
            <v>-105641897.56</v>
          </cell>
          <cell r="G617">
            <v>0</v>
          </cell>
          <cell r="H617">
            <v>-105641897.56</v>
          </cell>
        </row>
        <row r="618">
          <cell r="A618" t="str">
            <v>590-10-090</v>
          </cell>
          <cell r="B618" t="str">
            <v>CLAIMS RECOVERED-GROUP MORTGAGE</v>
          </cell>
          <cell r="C618">
            <v>0</v>
          </cell>
          <cell r="D618">
            <v>0</v>
          </cell>
          <cell r="E618">
            <v>0</v>
          </cell>
          <cell r="F618">
            <v>0</v>
          </cell>
          <cell r="G618">
            <v>0</v>
          </cell>
          <cell r="H618">
            <v>0</v>
          </cell>
        </row>
        <row r="619">
          <cell r="A619" t="str">
            <v>590-10-100</v>
          </cell>
          <cell r="B619" t="str">
            <v>CLAIMS RECOVERED-GROUP LAST EXPENSE</v>
          </cell>
          <cell r="C619">
            <v>0</v>
          </cell>
          <cell r="D619">
            <v>0</v>
          </cell>
          <cell r="E619">
            <v>0</v>
          </cell>
          <cell r="F619">
            <v>0</v>
          </cell>
          <cell r="G619">
            <v>0</v>
          </cell>
          <cell r="H619">
            <v>0</v>
          </cell>
        </row>
        <row r="620">
          <cell r="A620" t="str">
            <v>590-20-010</v>
          </cell>
          <cell r="B620" t="str">
            <v>REASSURANCE PREMIUMS-GROUP LIFE</v>
          </cell>
          <cell r="C620">
            <v>68391871</v>
          </cell>
          <cell r="D620">
            <v>7555790</v>
          </cell>
          <cell r="E620">
            <v>75947661</v>
          </cell>
          <cell r="F620">
            <v>80786367</v>
          </cell>
          <cell r="G620">
            <v>0</v>
          </cell>
          <cell r="H620">
            <v>80786367</v>
          </cell>
        </row>
        <row r="621">
          <cell r="A621" t="str">
            <v>590-20-020</v>
          </cell>
          <cell r="B621" t="str">
            <v>REASSURANCE PREMIUMS-GROUP MORTGAGE</v>
          </cell>
          <cell r="C621">
            <v>3751529</v>
          </cell>
          <cell r="D621">
            <v>0</v>
          </cell>
          <cell r="E621">
            <v>3751529</v>
          </cell>
          <cell r="F621">
            <v>3751529</v>
          </cell>
          <cell r="G621">
            <v>0</v>
          </cell>
          <cell r="H621">
            <v>3751529</v>
          </cell>
        </row>
        <row r="622">
          <cell r="A622" t="str">
            <v>590-20-030</v>
          </cell>
          <cell r="B622" t="str">
            <v>REASSURANCE PREMIUMS-GROUP LAST EXPENS</v>
          </cell>
          <cell r="C622">
            <v>0</v>
          </cell>
          <cell r="D622">
            <v>0</v>
          </cell>
          <cell r="E622">
            <v>0</v>
          </cell>
          <cell r="F622">
            <v>0</v>
          </cell>
          <cell r="G622">
            <v>0</v>
          </cell>
          <cell r="H622">
            <v>0</v>
          </cell>
        </row>
        <row r="623">
          <cell r="A623" t="str">
            <v>590-20-040</v>
          </cell>
          <cell r="B623" t="str">
            <v>REASSURANCE PREMIUMS-CREDIT SCHEMES</v>
          </cell>
          <cell r="C623">
            <v>3207711</v>
          </cell>
          <cell r="D623">
            <v>5726693</v>
          </cell>
          <cell r="E623">
            <v>8934404</v>
          </cell>
          <cell r="F623">
            <v>5305374</v>
          </cell>
          <cell r="G623">
            <v>0</v>
          </cell>
          <cell r="H623">
            <v>5305374</v>
          </cell>
        </row>
        <row r="624">
          <cell r="A624" t="str">
            <v>590-20-050</v>
          </cell>
          <cell r="B624" t="str">
            <v>REASSURANCE COMMISSION-GROUP LIFE</v>
          </cell>
          <cell r="C624">
            <v>-17097968</v>
          </cell>
          <cell r="D624">
            <v>-1888947</v>
          </cell>
          <cell r="E624">
            <v>-18986915</v>
          </cell>
          <cell r="F624">
            <v>-20196591</v>
          </cell>
          <cell r="G624">
            <v>0</v>
          </cell>
          <cell r="H624">
            <v>-20196591</v>
          </cell>
        </row>
        <row r="625">
          <cell r="A625" t="str">
            <v>590-20-060</v>
          </cell>
          <cell r="B625" t="str">
            <v>REASSURANCE COMMISSION-GROUP MORTGAGE</v>
          </cell>
          <cell r="C625">
            <v>-937882</v>
          </cell>
          <cell r="D625">
            <v>0</v>
          </cell>
          <cell r="E625">
            <v>-937882</v>
          </cell>
          <cell r="F625">
            <v>-937882</v>
          </cell>
          <cell r="G625">
            <v>0</v>
          </cell>
          <cell r="H625">
            <v>-937882</v>
          </cell>
        </row>
        <row r="626">
          <cell r="A626" t="str">
            <v>590-20-070</v>
          </cell>
          <cell r="B626" t="str">
            <v>REASSURANCE COMMISIION-GROUP LAST EXPENS</v>
          </cell>
          <cell r="C626">
            <v>0</v>
          </cell>
          <cell r="D626">
            <v>0</v>
          </cell>
          <cell r="E626">
            <v>0</v>
          </cell>
          <cell r="F626">
            <v>0</v>
          </cell>
          <cell r="G626">
            <v>0</v>
          </cell>
          <cell r="H626">
            <v>0</v>
          </cell>
        </row>
        <row r="627">
          <cell r="A627" t="str">
            <v>590-20-080</v>
          </cell>
          <cell r="B627" t="str">
            <v>REASSURANCE COMMISSION -GROUP CREDIT</v>
          </cell>
          <cell r="C627">
            <v>-801928</v>
          </cell>
          <cell r="D627">
            <v>-221997</v>
          </cell>
          <cell r="E627">
            <v>-1023925</v>
          </cell>
          <cell r="F627">
            <v>-1023925</v>
          </cell>
          <cell r="G627">
            <v>0</v>
          </cell>
          <cell r="H627">
            <v>-1023925</v>
          </cell>
        </row>
        <row r="628">
          <cell r="A628" t="str">
            <v>590-20-090</v>
          </cell>
          <cell r="B628" t="str">
            <v>REASSURANCE PREMIUMS-GROUP DISABILITY</v>
          </cell>
          <cell r="C628">
            <v>2509542</v>
          </cell>
          <cell r="D628">
            <v>-1209676</v>
          </cell>
          <cell r="E628">
            <v>1299866</v>
          </cell>
          <cell r="F628">
            <v>1299866</v>
          </cell>
          <cell r="G628">
            <v>0</v>
          </cell>
          <cell r="H628">
            <v>1299866</v>
          </cell>
        </row>
        <row r="629">
          <cell r="A629" t="str">
            <v>590-20-100</v>
          </cell>
          <cell r="B629" t="str">
            <v>REASSURANCE COMMISSION-GROUP DISABILITY</v>
          </cell>
          <cell r="C629">
            <v>-627386</v>
          </cell>
          <cell r="D629">
            <v>0</v>
          </cell>
          <cell r="E629">
            <v>-627386</v>
          </cell>
          <cell r="F629">
            <v>-627386</v>
          </cell>
          <cell r="G629">
            <v>0</v>
          </cell>
          <cell r="H629">
            <v>-627386</v>
          </cell>
        </row>
        <row r="630">
          <cell r="A630" t="str">
            <v>605-10-010</v>
          </cell>
          <cell r="B630" t="str">
            <v>BASIC SALARY</v>
          </cell>
          <cell r="C630">
            <v>4813649</v>
          </cell>
          <cell r="D630">
            <v>435945</v>
          </cell>
          <cell r="E630">
            <v>5249594</v>
          </cell>
          <cell r="F630">
            <v>5249594</v>
          </cell>
          <cell r="G630">
            <v>0</v>
          </cell>
          <cell r="H630">
            <v>5249594</v>
          </cell>
        </row>
        <row r="631">
          <cell r="A631" t="str">
            <v>605-10-020</v>
          </cell>
          <cell r="B631" t="str">
            <v>HOUSE ALLOWANCE</v>
          </cell>
          <cell r="C631">
            <v>707850</v>
          </cell>
          <cell r="D631">
            <v>64350</v>
          </cell>
          <cell r="E631">
            <v>772200</v>
          </cell>
          <cell r="F631">
            <v>772200</v>
          </cell>
          <cell r="G631">
            <v>0</v>
          </cell>
          <cell r="H631">
            <v>772200</v>
          </cell>
        </row>
        <row r="632">
          <cell r="A632" t="str">
            <v>605-10-030</v>
          </cell>
          <cell r="B632" t="str">
            <v>TELEPHONE ALLOWANCE</v>
          </cell>
          <cell r="C632">
            <v>27500</v>
          </cell>
          <cell r="D632">
            <v>2500</v>
          </cell>
          <cell r="E632">
            <v>30000</v>
          </cell>
          <cell r="F632">
            <v>30000</v>
          </cell>
          <cell r="G632">
            <v>0</v>
          </cell>
          <cell r="H632">
            <v>30000</v>
          </cell>
        </row>
        <row r="633">
          <cell r="A633" t="str">
            <v>605-10-040</v>
          </cell>
          <cell r="B633" t="str">
            <v>SECURITY ALLOWANCE</v>
          </cell>
          <cell r="C633">
            <v>275000</v>
          </cell>
          <cell r="D633">
            <v>25000</v>
          </cell>
          <cell r="E633">
            <v>300000</v>
          </cell>
          <cell r="F633">
            <v>300000</v>
          </cell>
          <cell r="G633">
            <v>0</v>
          </cell>
          <cell r="H633">
            <v>300000</v>
          </cell>
        </row>
        <row r="634">
          <cell r="A634" t="str">
            <v>605-10-050</v>
          </cell>
          <cell r="B634" t="str">
            <v>EDUCATION ALLOWANCE</v>
          </cell>
          <cell r="C634">
            <v>482400</v>
          </cell>
          <cell r="D634">
            <v>160800</v>
          </cell>
          <cell r="E634">
            <v>643200</v>
          </cell>
          <cell r="F634">
            <v>643200</v>
          </cell>
          <cell r="G634">
            <v>0</v>
          </cell>
          <cell r="H634">
            <v>643200</v>
          </cell>
        </row>
        <row r="635">
          <cell r="A635" t="str">
            <v>605-10-060</v>
          </cell>
          <cell r="B635" t="str">
            <v>TRAVEL ALLOWANCE</v>
          </cell>
          <cell r="C635">
            <v>147400</v>
          </cell>
          <cell r="D635">
            <v>13400</v>
          </cell>
          <cell r="E635">
            <v>160800</v>
          </cell>
          <cell r="F635">
            <v>160800</v>
          </cell>
          <cell r="G635">
            <v>0</v>
          </cell>
          <cell r="H635">
            <v>160800</v>
          </cell>
        </row>
        <row r="636">
          <cell r="A636" t="str">
            <v>605-10-065</v>
          </cell>
          <cell r="B636" t="str">
            <v>PROVISION FOR EDUCATION ALLOWANCE</v>
          </cell>
          <cell r="C636">
            <v>0</v>
          </cell>
          <cell r="D636">
            <v>0</v>
          </cell>
          <cell r="E636">
            <v>0</v>
          </cell>
          <cell r="F636">
            <v>0</v>
          </cell>
          <cell r="G636">
            <v>0</v>
          </cell>
          <cell r="H636">
            <v>0</v>
          </cell>
        </row>
        <row r="637">
          <cell r="A637" t="str">
            <v>605-10-070</v>
          </cell>
          <cell r="B637" t="str">
            <v>PROVISION FOR MORT.RATE ADJUSTMENT</v>
          </cell>
          <cell r="C637">
            <v>549450</v>
          </cell>
          <cell r="D637">
            <v>61050</v>
          </cell>
          <cell r="E637">
            <v>610500</v>
          </cell>
          <cell r="F637">
            <v>610500</v>
          </cell>
          <cell r="G637">
            <v>0</v>
          </cell>
          <cell r="H637">
            <v>610500</v>
          </cell>
        </row>
        <row r="638">
          <cell r="A638" t="str">
            <v>605-10-075</v>
          </cell>
          <cell r="B638" t="str">
            <v>PROVISION FOR CAR LOAN RATE ADJUST</v>
          </cell>
          <cell r="C638">
            <v>0</v>
          </cell>
          <cell r="D638">
            <v>0</v>
          </cell>
          <cell r="E638">
            <v>0</v>
          </cell>
          <cell r="F638">
            <v>0</v>
          </cell>
          <cell r="G638">
            <v>0</v>
          </cell>
          <cell r="H638">
            <v>0</v>
          </cell>
        </row>
        <row r="639">
          <cell r="A639" t="str">
            <v>605-10-080</v>
          </cell>
          <cell r="B639" t="str">
            <v>STAFF BONUS</v>
          </cell>
          <cell r="C639">
            <v>0</v>
          </cell>
          <cell r="D639">
            <v>0</v>
          </cell>
          <cell r="E639">
            <v>0</v>
          </cell>
          <cell r="F639">
            <v>0</v>
          </cell>
          <cell r="G639">
            <v>0</v>
          </cell>
          <cell r="H639">
            <v>0</v>
          </cell>
        </row>
        <row r="640">
          <cell r="A640" t="str">
            <v>605-20-010</v>
          </cell>
          <cell r="B640" t="str">
            <v>N.S.S.F</v>
          </cell>
          <cell r="C640">
            <v>8800</v>
          </cell>
          <cell r="D640">
            <v>800</v>
          </cell>
          <cell r="E640">
            <v>9600</v>
          </cell>
          <cell r="F640">
            <v>9600</v>
          </cell>
          <cell r="G640">
            <v>0</v>
          </cell>
          <cell r="H640">
            <v>9600</v>
          </cell>
        </row>
        <row r="641">
          <cell r="A641" t="str">
            <v>605-20-020</v>
          </cell>
          <cell r="B641" t="str">
            <v>N.H.I.F</v>
          </cell>
          <cell r="C641">
            <v>10560</v>
          </cell>
          <cell r="D641">
            <v>960</v>
          </cell>
          <cell r="E641">
            <v>11520</v>
          </cell>
          <cell r="F641">
            <v>11520</v>
          </cell>
          <cell r="G641">
            <v>0</v>
          </cell>
          <cell r="H641">
            <v>11520</v>
          </cell>
        </row>
        <row r="642">
          <cell r="A642" t="str">
            <v>605-30-010</v>
          </cell>
          <cell r="B642" t="str">
            <v>PENSION</v>
          </cell>
          <cell r="C642">
            <v>598812.5</v>
          </cell>
          <cell r="D642">
            <v>54437.5</v>
          </cell>
          <cell r="E642">
            <v>653250</v>
          </cell>
          <cell r="F642">
            <v>653250</v>
          </cell>
          <cell r="G642">
            <v>0</v>
          </cell>
          <cell r="H642">
            <v>653250</v>
          </cell>
        </row>
        <row r="643">
          <cell r="A643" t="str">
            <v>605-30-020</v>
          </cell>
          <cell r="B643" t="str">
            <v>LAST EXPENSE</v>
          </cell>
          <cell r="C643">
            <v>4000</v>
          </cell>
          <cell r="D643">
            <v>0</v>
          </cell>
          <cell r="E643">
            <v>4000</v>
          </cell>
          <cell r="F643">
            <v>4000</v>
          </cell>
          <cell r="G643">
            <v>0</v>
          </cell>
          <cell r="H643">
            <v>4000</v>
          </cell>
        </row>
        <row r="644">
          <cell r="A644" t="str">
            <v>605-30-030</v>
          </cell>
          <cell r="B644" t="str">
            <v>GROUP LIFE ASSURANCE</v>
          </cell>
          <cell r="C644">
            <v>141367</v>
          </cell>
          <cell r="D644">
            <v>0</v>
          </cell>
          <cell r="E644">
            <v>141367</v>
          </cell>
          <cell r="F644">
            <v>141367</v>
          </cell>
          <cell r="G644">
            <v>0</v>
          </cell>
          <cell r="H644">
            <v>141367</v>
          </cell>
        </row>
        <row r="645">
          <cell r="A645" t="str">
            <v>605-30-040</v>
          </cell>
          <cell r="B645" t="str">
            <v>STAFF MEDICAL</v>
          </cell>
          <cell r="C645">
            <v>396139.29</v>
          </cell>
          <cell r="D645">
            <v>0</v>
          </cell>
          <cell r="E645">
            <v>396139.29</v>
          </cell>
          <cell r="F645">
            <v>396139.29</v>
          </cell>
          <cell r="G645">
            <v>0</v>
          </cell>
          <cell r="H645">
            <v>396139.29</v>
          </cell>
        </row>
        <row r="646">
          <cell r="A646" t="str">
            <v>605-30-050</v>
          </cell>
          <cell r="B646" t="str">
            <v>LEAVE PAY</v>
          </cell>
          <cell r="C646">
            <v>238145.15</v>
          </cell>
          <cell r="D646">
            <v>-54869</v>
          </cell>
          <cell r="E646">
            <v>183276.15</v>
          </cell>
          <cell r="F646">
            <v>183276.15</v>
          </cell>
          <cell r="G646">
            <v>0</v>
          </cell>
          <cell r="H646">
            <v>183276.15</v>
          </cell>
        </row>
        <row r="647">
          <cell r="A647" t="str">
            <v>605-30-060</v>
          </cell>
          <cell r="B647" t="str">
            <v>GRATUITY</v>
          </cell>
          <cell r="C647">
            <v>0</v>
          </cell>
          <cell r="D647">
            <v>0</v>
          </cell>
          <cell r="E647">
            <v>0</v>
          </cell>
          <cell r="F647">
            <v>0</v>
          </cell>
          <cell r="G647">
            <v>0</v>
          </cell>
          <cell r="H647">
            <v>0</v>
          </cell>
        </row>
        <row r="648">
          <cell r="A648" t="str">
            <v>605-30-070</v>
          </cell>
          <cell r="B648" t="str">
            <v>LONG SERVICE AWARDS</v>
          </cell>
          <cell r="C648">
            <v>53580</v>
          </cell>
          <cell r="D648">
            <v>0</v>
          </cell>
          <cell r="E648">
            <v>53580</v>
          </cell>
          <cell r="F648">
            <v>53580</v>
          </cell>
          <cell r="G648">
            <v>0</v>
          </cell>
          <cell r="H648">
            <v>53580</v>
          </cell>
        </row>
        <row r="649">
          <cell r="A649" t="str">
            <v>605-30-080</v>
          </cell>
          <cell r="B649" t="str">
            <v>STAFF RECRUITMENT &amp; REMOVALS</v>
          </cell>
          <cell r="C649">
            <v>0</v>
          </cell>
          <cell r="D649">
            <v>61153</v>
          </cell>
          <cell r="E649">
            <v>61153</v>
          </cell>
          <cell r="F649">
            <v>61153</v>
          </cell>
          <cell r="G649">
            <v>0</v>
          </cell>
          <cell r="H649">
            <v>61153</v>
          </cell>
        </row>
        <row r="650">
          <cell r="A650" t="str">
            <v>615-10-010</v>
          </cell>
          <cell r="B650" t="str">
            <v>DEPRECIATION-FURNITURE &amp; FITTINGS</v>
          </cell>
          <cell r="C650">
            <v>0</v>
          </cell>
          <cell r="D650">
            <v>0</v>
          </cell>
          <cell r="E650">
            <v>0</v>
          </cell>
          <cell r="F650">
            <v>0</v>
          </cell>
          <cell r="G650">
            <v>0</v>
          </cell>
          <cell r="H650">
            <v>0</v>
          </cell>
        </row>
        <row r="651">
          <cell r="A651" t="str">
            <v>615-10-020</v>
          </cell>
          <cell r="B651" t="str">
            <v>DEPRECIATION-COMPUTER &amp; OTHER EQUIPMENT</v>
          </cell>
          <cell r="C651">
            <v>0</v>
          </cell>
          <cell r="D651">
            <v>0</v>
          </cell>
          <cell r="E651">
            <v>0</v>
          </cell>
          <cell r="F651">
            <v>0</v>
          </cell>
          <cell r="G651">
            <v>0</v>
          </cell>
          <cell r="H651">
            <v>0</v>
          </cell>
        </row>
        <row r="652">
          <cell r="A652" t="str">
            <v>615-10-030</v>
          </cell>
          <cell r="B652" t="str">
            <v>DEPRECIATION-MOTOR VEHICLES</v>
          </cell>
          <cell r="C652">
            <v>0</v>
          </cell>
          <cell r="D652">
            <v>0</v>
          </cell>
          <cell r="E652">
            <v>0</v>
          </cell>
          <cell r="F652">
            <v>0</v>
          </cell>
          <cell r="G652">
            <v>0</v>
          </cell>
          <cell r="H652">
            <v>0</v>
          </cell>
        </row>
        <row r="653">
          <cell r="A653" t="str">
            <v>615-10-040</v>
          </cell>
          <cell r="B653" t="str">
            <v>OFFICE RENT</v>
          </cell>
          <cell r="C653">
            <v>351214.16</v>
          </cell>
          <cell r="D653">
            <v>31928.560000000001</v>
          </cell>
          <cell r="E653">
            <v>383142.72</v>
          </cell>
          <cell r="F653">
            <v>383142.72</v>
          </cell>
          <cell r="G653">
            <v>0</v>
          </cell>
          <cell r="H653">
            <v>383142.72</v>
          </cell>
        </row>
        <row r="654">
          <cell r="A654" t="str">
            <v>615-10-050</v>
          </cell>
          <cell r="B654" t="str">
            <v>OFFICE CATERING &amp; STAFF WELFARE</v>
          </cell>
          <cell r="C654">
            <v>34153.74</v>
          </cell>
          <cell r="D654">
            <v>-3470.17</v>
          </cell>
          <cell r="E654">
            <v>30683.57</v>
          </cell>
          <cell r="F654">
            <v>30683.57</v>
          </cell>
          <cell r="G654">
            <v>0</v>
          </cell>
          <cell r="H654">
            <v>30683.57</v>
          </cell>
        </row>
        <row r="655">
          <cell r="A655" t="str">
            <v>615-10-060</v>
          </cell>
          <cell r="B655" t="str">
            <v>OFFICE WATER</v>
          </cell>
          <cell r="C655">
            <v>849.6</v>
          </cell>
          <cell r="D655">
            <v>0</v>
          </cell>
          <cell r="E655">
            <v>849.6</v>
          </cell>
          <cell r="F655">
            <v>849.6</v>
          </cell>
          <cell r="G655">
            <v>0</v>
          </cell>
          <cell r="H655">
            <v>849.6</v>
          </cell>
        </row>
        <row r="656">
          <cell r="A656" t="str">
            <v>615-10-070</v>
          </cell>
          <cell r="B656" t="str">
            <v>ELECTRICITY</v>
          </cell>
          <cell r="C656">
            <v>0</v>
          </cell>
          <cell r="D656">
            <v>0</v>
          </cell>
          <cell r="E656">
            <v>0</v>
          </cell>
          <cell r="F656">
            <v>0</v>
          </cell>
          <cell r="G656">
            <v>0</v>
          </cell>
          <cell r="H656">
            <v>0</v>
          </cell>
        </row>
        <row r="657">
          <cell r="A657" t="str">
            <v>615-10-080</v>
          </cell>
          <cell r="B657" t="str">
            <v>SECURITY</v>
          </cell>
          <cell r="C657">
            <v>0</v>
          </cell>
          <cell r="D657">
            <v>0</v>
          </cell>
          <cell r="E657">
            <v>0</v>
          </cell>
          <cell r="F657">
            <v>0</v>
          </cell>
          <cell r="G657">
            <v>0</v>
          </cell>
          <cell r="H657">
            <v>0</v>
          </cell>
        </row>
        <row r="658">
          <cell r="A658" t="str">
            <v>625-10-010</v>
          </cell>
          <cell r="B658" t="str">
            <v>BANK CHARGES</v>
          </cell>
          <cell r="C658">
            <v>95677.65</v>
          </cell>
          <cell r="D658">
            <v>10716.62</v>
          </cell>
          <cell r="E658">
            <v>106394.27</v>
          </cell>
          <cell r="F658">
            <v>106394.27</v>
          </cell>
          <cell r="G658">
            <v>0</v>
          </cell>
          <cell r="H658">
            <v>106394.27</v>
          </cell>
        </row>
        <row r="659">
          <cell r="A659" t="str">
            <v>625-10-020</v>
          </cell>
          <cell r="B659" t="str">
            <v>ACTUARIAL FEE</v>
          </cell>
          <cell r="C659">
            <v>0</v>
          </cell>
          <cell r="D659">
            <v>0</v>
          </cell>
          <cell r="E659">
            <v>0</v>
          </cell>
          <cell r="F659">
            <v>0</v>
          </cell>
          <cell r="G659">
            <v>0</v>
          </cell>
          <cell r="H659">
            <v>0</v>
          </cell>
        </row>
        <row r="660">
          <cell r="A660" t="str">
            <v>625-10-030</v>
          </cell>
          <cell r="B660" t="str">
            <v>CUSTODY FEES (STANBIC)</v>
          </cell>
          <cell r="C660">
            <v>0</v>
          </cell>
          <cell r="D660">
            <v>0</v>
          </cell>
          <cell r="E660">
            <v>0</v>
          </cell>
          <cell r="F660">
            <v>0</v>
          </cell>
          <cell r="G660">
            <v>0</v>
          </cell>
          <cell r="H660">
            <v>0</v>
          </cell>
        </row>
        <row r="661">
          <cell r="A661" t="str">
            <v>635-10-010</v>
          </cell>
          <cell r="B661" t="str">
            <v>BROKERS COMMISSION</v>
          </cell>
          <cell r="C661">
            <v>18416353.129999999</v>
          </cell>
          <cell r="D661">
            <v>2051298.75</v>
          </cell>
          <cell r="E661">
            <v>20467651.879999999</v>
          </cell>
          <cell r="F661">
            <v>20467651.879999999</v>
          </cell>
          <cell r="G661">
            <v>0</v>
          </cell>
          <cell r="H661">
            <v>20467651.879999999</v>
          </cell>
        </row>
        <row r="662">
          <cell r="A662" t="str">
            <v>635-10-011</v>
          </cell>
          <cell r="B662" t="str">
            <v>SALES PROMOTION</v>
          </cell>
          <cell r="C662">
            <v>0</v>
          </cell>
          <cell r="D662">
            <v>0</v>
          </cell>
          <cell r="E662">
            <v>0</v>
          </cell>
          <cell r="F662">
            <v>0</v>
          </cell>
          <cell r="G662">
            <v>0</v>
          </cell>
          <cell r="H662">
            <v>0</v>
          </cell>
        </row>
        <row r="663">
          <cell r="A663" t="str">
            <v>635-10-020</v>
          </cell>
          <cell r="B663" t="str">
            <v>MEDICAL COSTS</v>
          </cell>
          <cell r="C663">
            <v>574230.5</v>
          </cell>
          <cell r="D663">
            <v>63970</v>
          </cell>
          <cell r="E663">
            <v>638200.5</v>
          </cell>
          <cell r="F663">
            <v>638200.5</v>
          </cell>
          <cell r="G663">
            <v>0</v>
          </cell>
          <cell r="H663">
            <v>638200.5</v>
          </cell>
        </row>
        <row r="664">
          <cell r="A664" t="str">
            <v>635-10-030</v>
          </cell>
          <cell r="B664" t="str">
            <v>PREMIUM COLLETION FEES</v>
          </cell>
          <cell r="C664">
            <v>482572</v>
          </cell>
          <cell r="D664">
            <v>4023850.28</v>
          </cell>
          <cell r="E664">
            <v>4506422.28</v>
          </cell>
          <cell r="F664">
            <v>4506422.28</v>
          </cell>
          <cell r="G664">
            <v>0</v>
          </cell>
          <cell r="H664">
            <v>4506422.28</v>
          </cell>
        </row>
        <row r="665">
          <cell r="A665" t="str">
            <v>645-10-010</v>
          </cell>
          <cell r="B665" t="str">
            <v>ALA GROUP CHARGES - CORPORATE BUSINESS</v>
          </cell>
          <cell r="C665">
            <v>1588893.4</v>
          </cell>
          <cell r="D665">
            <v>26700.2</v>
          </cell>
          <cell r="E665">
            <v>1615593.6</v>
          </cell>
          <cell r="F665">
            <v>1615593.6</v>
          </cell>
          <cell r="G665">
            <v>0</v>
          </cell>
          <cell r="H665">
            <v>1615593.6</v>
          </cell>
        </row>
        <row r="666">
          <cell r="A666" t="str">
            <v>645-10-020</v>
          </cell>
          <cell r="B666" t="str">
            <v>INTRA COMPANY CHARGES-CENTRAL SERV.-GD</v>
          </cell>
          <cell r="C666">
            <v>1760317</v>
          </cell>
          <cell r="D666">
            <v>-135409</v>
          </cell>
          <cell r="E666">
            <v>1624908</v>
          </cell>
          <cell r="F666">
            <v>1624908</v>
          </cell>
          <cell r="G666">
            <v>0</v>
          </cell>
          <cell r="H666">
            <v>1624908</v>
          </cell>
        </row>
        <row r="667">
          <cell r="A667" t="str">
            <v>645-10-030</v>
          </cell>
          <cell r="B667" t="str">
            <v>10% RECHARGE FOR PROPERTY DEPT. SERVICES</v>
          </cell>
          <cell r="C667">
            <v>0</v>
          </cell>
          <cell r="D667">
            <v>0</v>
          </cell>
          <cell r="E667">
            <v>0</v>
          </cell>
          <cell r="F667">
            <v>0</v>
          </cell>
          <cell r="G667">
            <v>0</v>
          </cell>
          <cell r="H667">
            <v>0</v>
          </cell>
        </row>
        <row r="668">
          <cell r="A668" t="str">
            <v>645-10-040</v>
          </cell>
          <cell r="B668" t="str">
            <v>10% RECHARGE FROM FINANCE</v>
          </cell>
          <cell r="C668">
            <v>2956030</v>
          </cell>
          <cell r="D668">
            <v>268730</v>
          </cell>
          <cell r="E668">
            <v>3224760</v>
          </cell>
          <cell r="F668">
            <v>3224760</v>
          </cell>
          <cell r="G668">
            <v>0</v>
          </cell>
          <cell r="H668">
            <v>3224760</v>
          </cell>
        </row>
        <row r="669">
          <cell r="A669" t="str">
            <v>645-10-050</v>
          </cell>
          <cell r="B669" t="str">
            <v>3.5% RECHARGE FROM EXECUTIVE</v>
          </cell>
          <cell r="C669">
            <v>855547</v>
          </cell>
          <cell r="D669">
            <v>77777</v>
          </cell>
          <cell r="E669">
            <v>933324</v>
          </cell>
          <cell r="F669">
            <v>933324</v>
          </cell>
          <cell r="G669">
            <v>0</v>
          </cell>
          <cell r="H669">
            <v>933324</v>
          </cell>
        </row>
        <row r="670">
          <cell r="A670" t="str">
            <v>645-10-055</v>
          </cell>
          <cell r="B670" t="str">
            <v>LEGAL FEES</v>
          </cell>
          <cell r="C670">
            <v>0</v>
          </cell>
          <cell r="D670">
            <v>0</v>
          </cell>
          <cell r="E670">
            <v>0</v>
          </cell>
          <cell r="F670">
            <v>0</v>
          </cell>
          <cell r="G670">
            <v>0</v>
          </cell>
          <cell r="H670">
            <v>0</v>
          </cell>
        </row>
        <row r="671">
          <cell r="A671" t="str">
            <v>645-10-060</v>
          </cell>
          <cell r="B671" t="str">
            <v>AUDIT FEES</v>
          </cell>
          <cell r="C671">
            <v>126940</v>
          </cell>
          <cell r="D671">
            <v>556800</v>
          </cell>
          <cell r="E671">
            <v>683740</v>
          </cell>
          <cell r="F671">
            <v>683740</v>
          </cell>
          <cell r="G671">
            <v>0</v>
          </cell>
          <cell r="H671">
            <v>683740</v>
          </cell>
        </row>
        <row r="672">
          <cell r="A672" t="str">
            <v>645-10-065</v>
          </cell>
          <cell r="B672" t="str">
            <v>ACTUARIAL FEES</v>
          </cell>
          <cell r="C672">
            <v>297913</v>
          </cell>
          <cell r="D672">
            <v>27083</v>
          </cell>
          <cell r="E672">
            <v>324996</v>
          </cell>
          <cell r="F672">
            <v>324996</v>
          </cell>
          <cell r="G672">
            <v>0</v>
          </cell>
          <cell r="H672">
            <v>324996</v>
          </cell>
        </row>
        <row r="673">
          <cell r="A673" t="str">
            <v>645-10-070</v>
          </cell>
          <cell r="B673" t="str">
            <v>PROFESSIONAL FEE</v>
          </cell>
          <cell r="C673">
            <v>0</v>
          </cell>
          <cell r="D673">
            <v>0</v>
          </cell>
          <cell r="E673">
            <v>0</v>
          </cell>
          <cell r="F673">
            <v>0</v>
          </cell>
          <cell r="G673">
            <v>0</v>
          </cell>
          <cell r="H673">
            <v>0</v>
          </cell>
        </row>
        <row r="674">
          <cell r="A674" t="str">
            <v>645-10-080</v>
          </cell>
          <cell r="B674" t="str">
            <v>MANAGEMENT FEES(PENSIONS)</v>
          </cell>
          <cell r="C674">
            <v>0</v>
          </cell>
          <cell r="D674">
            <v>0</v>
          </cell>
          <cell r="E674">
            <v>0</v>
          </cell>
          <cell r="F674">
            <v>0</v>
          </cell>
          <cell r="G674">
            <v>0</v>
          </cell>
          <cell r="H674">
            <v>0</v>
          </cell>
        </row>
        <row r="675">
          <cell r="A675" t="str">
            <v>655-10-007</v>
          </cell>
          <cell r="B675" t="str">
            <v>NEWSPAPERS &amp; JOURNALS</v>
          </cell>
          <cell r="C675">
            <v>19764</v>
          </cell>
          <cell r="D675">
            <v>1795</v>
          </cell>
          <cell r="E675">
            <v>21559</v>
          </cell>
          <cell r="F675">
            <v>21559</v>
          </cell>
          <cell r="G675">
            <v>0</v>
          </cell>
          <cell r="H675">
            <v>21559</v>
          </cell>
        </row>
        <row r="676">
          <cell r="A676" t="str">
            <v>655-10-008</v>
          </cell>
          <cell r="B676" t="str">
            <v>DONATIONS &amp; ENTERTAINMENT</v>
          </cell>
          <cell r="C676">
            <v>41759.5</v>
          </cell>
          <cell r="D676">
            <v>27493.599999999999</v>
          </cell>
          <cell r="E676">
            <v>69253.100000000006</v>
          </cell>
          <cell r="F676">
            <v>69253.100000000006</v>
          </cell>
          <cell r="G676">
            <v>0</v>
          </cell>
          <cell r="H676">
            <v>69253.100000000006</v>
          </cell>
        </row>
        <row r="677">
          <cell r="A677" t="str">
            <v>655-10-009</v>
          </cell>
          <cell r="B677" t="str">
            <v>COURIER &amp; FREIGHT CHARGES</v>
          </cell>
          <cell r="C677">
            <v>400.22</v>
          </cell>
          <cell r="D677">
            <v>0</v>
          </cell>
          <cell r="E677">
            <v>400.22</v>
          </cell>
          <cell r="F677">
            <v>400.22</v>
          </cell>
          <cell r="G677">
            <v>0</v>
          </cell>
          <cell r="H677">
            <v>400.22</v>
          </cell>
        </row>
        <row r="678">
          <cell r="A678" t="str">
            <v>655-10-010</v>
          </cell>
          <cell r="B678" t="str">
            <v>ADVERTISING &amp; PUBLICITY</v>
          </cell>
          <cell r="C678">
            <v>42542.95</v>
          </cell>
          <cell r="D678">
            <v>38918.730000000003</v>
          </cell>
          <cell r="E678">
            <v>81461.679999999993</v>
          </cell>
          <cell r="F678">
            <v>81461.679999999993</v>
          </cell>
          <cell r="G678">
            <v>0</v>
          </cell>
          <cell r="H678">
            <v>81461.679999999993</v>
          </cell>
        </row>
        <row r="679">
          <cell r="A679" t="str">
            <v>655-10-011</v>
          </cell>
          <cell r="B679" t="str">
            <v>LEGAL FEES</v>
          </cell>
          <cell r="C679">
            <v>0</v>
          </cell>
          <cell r="D679">
            <v>0</v>
          </cell>
          <cell r="E679">
            <v>0</v>
          </cell>
          <cell r="F679">
            <v>0</v>
          </cell>
          <cell r="G679">
            <v>0</v>
          </cell>
          <cell r="H679">
            <v>0</v>
          </cell>
        </row>
        <row r="680">
          <cell r="A680" t="str">
            <v>655-10-012</v>
          </cell>
          <cell r="B680" t="str">
            <v>TRADE LICENCES</v>
          </cell>
          <cell r="C680">
            <v>0</v>
          </cell>
          <cell r="D680">
            <v>0</v>
          </cell>
          <cell r="E680">
            <v>0</v>
          </cell>
          <cell r="F680">
            <v>0</v>
          </cell>
          <cell r="G680">
            <v>0</v>
          </cell>
          <cell r="H680">
            <v>0</v>
          </cell>
        </row>
        <row r="681">
          <cell r="A681" t="str">
            <v>655-10-013</v>
          </cell>
          <cell r="B681" t="str">
            <v>INSURANCES</v>
          </cell>
          <cell r="C681">
            <v>0</v>
          </cell>
          <cell r="D681">
            <v>0</v>
          </cell>
          <cell r="E681">
            <v>0</v>
          </cell>
          <cell r="F681">
            <v>0</v>
          </cell>
          <cell r="G681">
            <v>0</v>
          </cell>
          <cell r="H681">
            <v>0</v>
          </cell>
        </row>
        <row r="682">
          <cell r="A682" t="str">
            <v>655-10-014</v>
          </cell>
          <cell r="B682" t="str">
            <v>PHOTOCOPY</v>
          </cell>
          <cell r="C682">
            <v>4663.71</v>
          </cell>
          <cell r="D682">
            <v>0</v>
          </cell>
          <cell r="E682">
            <v>4663.71</v>
          </cell>
          <cell r="F682">
            <v>4663.71</v>
          </cell>
          <cell r="G682">
            <v>0</v>
          </cell>
          <cell r="H682">
            <v>4663.71</v>
          </cell>
        </row>
        <row r="683">
          <cell r="A683" t="str">
            <v>655-10-015</v>
          </cell>
          <cell r="B683" t="str">
            <v>COMPUTER MAINTENANCE</v>
          </cell>
          <cell r="C683">
            <v>0</v>
          </cell>
          <cell r="D683">
            <v>0</v>
          </cell>
          <cell r="E683">
            <v>0</v>
          </cell>
          <cell r="F683">
            <v>0</v>
          </cell>
          <cell r="G683">
            <v>0</v>
          </cell>
          <cell r="H683">
            <v>0</v>
          </cell>
        </row>
        <row r="684">
          <cell r="A684" t="str">
            <v>655-10-016</v>
          </cell>
          <cell r="B684" t="str">
            <v>EQUIPMENT MAINTENANCE</v>
          </cell>
          <cell r="C684">
            <v>38984.82</v>
          </cell>
          <cell r="D684">
            <v>17088.5</v>
          </cell>
          <cell r="E684">
            <v>56073.32</v>
          </cell>
          <cell r="F684">
            <v>56073.32</v>
          </cell>
          <cell r="G684">
            <v>0</v>
          </cell>
          <cell r="H684">
            <v>56073.32</v>
          </cell>
        </row>
        <row r="685">
          <cell r="A685" t="str">
            <v>655-10-017</v>
          </cell>
          <cell r="B685" t="str">
            <v>SEMINARS &amp; SHORT TERM COURSES</v>
          </cell>
          <cell r="C685">
            <v>40100</v>
          </cell>
          <cell r="D685">
            <v>0</v>
          </cell>
          <cell r="E685">
            <v>40100</v>
          </cell>
          <cell r="F685">
            <v>40100</v>
          </cell>
          <cell r="G685">
            <v>0</v>
          </cell>
          <cell r="H685">
            <v>40100</v>
          </cell>
        </row>
        <row r="686">
          <cell r="A686" t="str">
            <v>655-10-020</v>
          </cell>
          <cell r="B686" t="str">
            <v>COMPUTER CONSUMABLES</v>
          </cell>
          <cell r="C686">
            <v>29788.15</v>
          </cell>
          <cell r="D686">
            <v>5700</v>
          </cell>
          <cell r="E686">
            <v>35488.15</v>
          </cell>
          <cell r="F686">
            <v>35488.15</v>
          </cell>
          <cell r="G686">
            <v>0</v>
          </cell>
          <cell r="H686">
            <v>35488.15</v>
          </cell>
        </row>
        <row r="687">
          <cell r="A687" t="str">
            <v>655-10-022</v>
          </cell>
          <cell r="B687" t="str">
            <v>PRINTING &amp; STATIONERY</v>
          </cell>
          <cell r="C687">
            <v>132149.18</v>
          </cell>
          <cell r="D687">
            <v>7220</v>
          </cell>
          <cell r="E687">
            <v>139369.18</v>
          </cell>
          <cell r="F687">
            <v>139369.18</v>
          </cell>
          <cell r="G687">
            <v>0</v>
          </cell>
          <cell r="H687">
            <v>139369.18</v>
          </cell>
        </row>
        <row r="688">
          <cell r="A688" t="str">
            <v>655-10-027</v>
          </cell>
          <cell r="B688" t="str">
            <v>PROFESSIONAL SUBSCRIPTIONS</v>
          </cell>
          <cell r="C688">
            <v>3000</v>
          </cell>
          <cell r="D688">
            <v>0</v>
          </cell>
          <cell r="E688">
            <v>3000</v>
          </cell>
          <cell r="F688">
            <v>3000</v>
          </cell>
          <cell r="G688">
            <v>0</v>
          </cell>
          <cell r="H688">
            <v>3000</v>
          </cell>
        </row>
        <row r="689">
          <cell r="A689" t="str">
            <v>655-10-028</v>
          </cell>
          <cell r="B689" t="str">
            <v>SUBSCRIPTIONS-COMPANY MEMBERSHIP</v>
          </cell>
          <cell r="C689">
            <v>0</v>
          </cell>
          <cell r="D689">
            <v>0</v>
          </cell>
          <cell r="E689">
            <v>0</v>
          </cell>
          <cell r="F689">
            <v>0</v>
          </cell>
          <cell r="G689">
            <v>0</v>
          </cell>
          <cell r="H689">
            <v>0</v>
          </cell>
        </row>
        <row r="690">
          <cell r="A690" t="str">
            <v>655-10-030</v>
          </cell>
          <cell r="B690" t="str">
            <v>TRAVELLING &amp; ACCOMODATION</v>
          </cell>
          <cell r="C690">
            <v>2470</v>
          </cell>
          <cell r="D690">
            <v>0</v>
          </cell>
          <cell r="E690">
            <v>2470</v>
          </cell>
          <cell r="F690">
            <v>2470</v>
          </cell>
          <cell r="G690">
            <v>0</v>
          </cell>
          <cell r="H690">
            <v>2470</v>
          </cell>
        </row>
        <row r="691">
          <cell r="A691" t="str">
            <v>655-10-032</v>
          </cell>
          <cell r="B691" t="str">
            <v>MOTOR CAR EXPENSES</v>
          </cell>
          <cell r="C691">
            <v>4872</v>
          </cell>
          <cell r="D691">
            <v>0</v>
          </cell>
          <cell r="E691">
            <v>4872</v>
          </cell>
          <cell r="F691">
            <v>4872</v>
          </cell>
          <cell r="G691">
            <v>0</v>
          </cell>
          <cell r="H691">
            <v>4872</v>
          </cell>
        </row>
        <row r="692">
          <cell r="A692" t="str">
            <v>655-10-035</v>
          </cell>
          <cell r="B692" t="str">
            <v>EDUCATION EXPENSES</v>
          </cell>
          <cell r="C692">
            <v>0</v>
          </cell>
          <cell r="D692">
            <v>0</v>
          </cell>
          <cell r="E692">
            <v>0</v>
          </cell>
          <cell r="F692">
            <v>0</v>
          </cell>
          <cell r="G692">
            <v>0</v>
          </cell>
          <cell r="H692">
            <v>0</v>
          </cell>
        </row>
        <row r="693">
          <cell r="A693" t="str">
            <v>655-10-040</v>
          </cell>
          <cell r="B693" t="str">
            <v>POSTAGE</v>
          </cell>
          <cell r="C693">
            <v>10050</v>
          </cell>
          <cell r="D693">
            <v>0</v>
          </cell>
          <cell r="E693">
            <v>10050</v>
          </cell>
          <cell r="F693">
            <v>10050</v>
          </cell>
          <cell r="G693">
            <v>0</v>
          </cell>
          <cell r="H693">
            <v>10050</v>
          </cell>
        </row>
        <row r="694">
          <cell r="A694" t="str">
            <v>655-10-041</v>
          </cell>
          <cell r="B694" t="str">
            <v>TELEPHONE &amp; FAX</v>
          </cell>
          <cell r="C694">
            <v>123197.05</v>
          </cell>
          <cell r="D694">
            <v>40621.589999999997</v>
          </cell>
          <cell r="E694">
            <v>163818.64000000001</v>
          </cell>
          <cell r="F694">
            <v>163818.64000000001</v>
          </cell>
          <cell r="G694">
            <v>0</v>
          </cell>
          <cell r="H694">
            <v>163818.64000000001</v>
          </cell>
        </row>
        <row r="695">
          <cell r="A695" t="str">
            <v>655-10-044</v>
          </cell>
          <cell r="B695" t="str">
            <v>PROFESSIONAL TRAINING</v>
          </cell>
          <cell r="C695">
            <v>38592.97</v>
          </cell>
          <cell r="D695">
            <v>0</v>
          </cell>
          <cell r="E695">
            <v>38592.97</v>
          </cell>
          <cell r="F695">
            <v>38592.97</v>
          </cell>
          <cell r="G695">
            <v>0</v>
          </cell>
          <cell r="H695">
            <v>38592.97</v>
          </cell>
        </row>
        <row r="696">
          <cell r="A696" t="str">
            <v>655-10-046</v>
          </cell>
          <cell r="B696" t="str">
            <v>SUBSCRIPTIONS-STAFF CLUB MEMBERSHIPS</v>
          </cell>
          <cell r="C696">
            <v>99616.65</v>
          </cell>
          <cell r="D696">
            <v>0</v>
          </cell>
          <cell r="E696">
            <v>99616.65</v>
          </cell>
          <cell r="F696">
            <v>99616.65</v>
          </cell>
          <cell r="G696">
            <v>0</v>
          </cell>
          <cell r="H696">
            <v>99616.65</v>
          </cell>
        </row>
        <row r="697">
          <cell r="A697" t="str">
            <v>655-10-054</v>
          </cell>
          <cell r="B697" t="str">
            <v>LEASED LINES -INTERNET SERVICES</v>
          </cell>
          <cell r="C697">
            <v>0</v>
          </cell>
          <cell r="D697">
            <v>0</v>
          </cell>
          <cell r="E697">
            <v>0</v>
          </cell>
          <cell r="F697">
            <v>0</v>
          </cell>
          <cell r="G697">
            <v>0</v>
          </cell>
          <cell r="H697">
            <v>0</v>
          </cell>
        </row>
        <row r="698">
          <cell r="A698" t="str">
            <v>655-10-057</v>
          </cell>
          <cell r="B698" t="str">
            <v>SOFTWARE LICENCES</v>
          </cell>
          <cell r="C698">
            <v>0</v>
          </cell>
          <cell r="D698">
            <v>0</v>
          </cell>
          <cell r="E698">
            <v>0</v>
          </cell>
          <cell r="F698">
            <v>0</v>
          </cell>
          <cell r="G698">
            <v>0</v>
          </cell>
          <cell r="H698">
            <v>0</v>
          </cell>
        </row>
        <row r="699">
          <cell r="A699" t="str">
            <v>665-10-010</v>
          </cell>
          <cell r="B699" t="str">
            <v>STAMP DUTY</v>
          </cell>
          <cell r="C699">
            <v>0</v>
          </cell>
          <cell r="D699">
            <v>760</v>
          </cell>
          <cell r="E699">
            <v>760</v>
          </cell>
          <cell r="F699">
            <v>760</v>
          </cell>
          <cell r="G699">
            <v>0</v>
          </cell>
          <cell r="H699">
            <v>760</v>
          </cell>
        </row>
        <row r="700">
          <cell r="A700" t="str">
            <v>665-10-020</v>
          </cell>
          <cell r="B700" t="str">
            <v>PREMIUM TAX</v>
          </cell>
          <cell r="C700">
            <v>3582505</v>
          </cell>
          <cell r="D700">
            <v>217340</v>
          </cell>
          <cell r="E700">
            <v>3799845</v>
          </cell>
          <cell r="F700">
            <v>3799845</v>
          </cell>
          <cell r="G700">
            <v>0</v>
          </cell>
          <cell r="H700">
            <v>3799845</v>
          </cell>
        </row>
        <row r="701">
          <cell r="A701" t="str">
            <v>665-10-030</v>
          </cell>
          <cell r="B701" t="str">
            <v>REINSURANCE PREMIUM TAX</v>
          </cell>
          <cell r="C701">
            <v>8152</v>
          </cell>
          <cell r="D701">
            <v>0</v>
          </cell>
          <cell r="E701">
            <v>8152</v>
          </cell>
          <cell r="F701">
            <v>8152</v>
          </cell>
          <cell r="G701">
            <v>0</v>
          </cell>
          <cell r="H701">
            <v>8152</v>
          </cell>
        </row>
        <row r="702">
          <cell r="A702" t="str">
            <v>665-10-040</v>
          </cell>
          <cell r="B702" t="str">
            <v>REVENUE STAMPS</v>
          </cell>
          <cell r="C702">
            <v>0</v>
          </cell>
          <cell r="D702">
            <v>0</v>
          </cell>
          <cell r="E702">
            <v>0</v>
          </cell>
          <cell r="F702">
            <v>0</v>
          </cell>
          <cell r="G702">
            <v>0</v>
          </cell>
          <cell r="H702">
            <v>0</v>
          </cell>
        </row>
        <row r="703">
          <cell r="A703" t="str">
            <v>665-10-050</v>
          </cell>
          <cell r="B703" t="str">
            <v>R B A LEVIES</v>
          </cell>
          <cell r="C703">
            <v>0</v>
          </cell>
          <cell r="D703">
            <v>0</v>
          </cell>
          <cell r="E703">
            <v>0</v>
          </cell>
          <cell r="F703">
            <v>0</v>
          </cell>
          <cell r="G703">
            <v>0</v>
          </cell>
          <cell r="H703">
            <v>0</v>
          </cell>
        </row>
        <row r="704">
          <cell r="A704" t="str">
            <v>665-10-060</v>
          </cell>
          <cell r="B704" t="str">
            <v>REINSURANCE PRM TAX PENALTY</v>
          </cell>
          <cell r="C704">
            <v>0</v>
          </cell>
          <cell r="D704">
            <v>0</v>
          </cell>
          <cell r="E704">
            <v>0</v>
          </cell>
          <cell r="F704">
            <v>0</v>
          </cell>
          <cell r="G704">
            <v>0</v>
          </cell>
          <cell r="H704">
            <v>0</v>
          </cell>
        </row>
        <row r="705">
          <cell r="A705" t="str">
            <v>665-10-070</v>
          </cell>
          <cell r="B705" t="str">
            <v>STAFF BONUS</v>
          </cell>
          <cell r="C705">
            <v>0</v>
          </cell>
          <cell r="D705">
            <v>3000000</v>
          </cell>
          <cell r="E705">
            <v>3000000</v>
          </cell>
          <cell r="F705">
            <v>3000000</v>
          </cell>
          <cell r="G705">
            <v>0</v>
          </cell>
          <cell r="H705">
            <v>3000000</v>
          </cell>
        </row>
        <row r="706">
          <cell r="A706" t="str">
            <v>670-10-010</v>
          </cell>
          <cell r="B706" t="str">
            <v>PAN AFRICA HOUSE MOMBASA</v>
          </cell>
          <cell r="C706">
            <v>0</v>
          </cell>
          <cell r="D706">
            <v>514837</v>
          </cell>
          <cell r="E706">
            <v>514837</v>
          </cell>
          <cell r="F706">
            <v>514837</v>
          </cell>
          <cell r="G706">
            <v>0</v>
          </cell>
          <cell r="H706">
            <v>514837</v>
          </cell>
        </row>
        <row r="707">
          <cell r="A707" t="str">
            <v>700-10-010</v>
          </cell>
          <cell r="B707" t="str">
            <v>BASIC SALARY</v>
          </cell>
          <cell r="C707">
            <v>0</v>
          </cell>
          <cell r="D707">
            <v>0</v>
          </cell>
          <cell r="E707">
            <v>0</v>
          </cell>
          <cell r="F707">
            <v>0</v>
          </cell>
          <cell r="G707">
            <v>0</v>
          </cell>
          <cell r="H707">
            <v>0</v>
          </cell>
        </row>
        <row r="708">
          <cell r="A708" t="str">
            <v>700-10-020</v>
          </cell>
          <cell r="B708" t="str">
            <v>HOUSE ALLOWANCE</v>
          </cell>
          <cell r="C708">
            <v>0</v>
          </cell>
          <cell r="D708">
            <v>0</v>
          </cell>
          <cell r="E708">
            <v>0</v>
          </cell>
          <cell r="F708">
            <v>0</v>
          </cell>
          <cell r="G708">
            <v>0</v>
          </cell>
          <cell r="H708">
            <v>0</v>
          </cell>
        </row>
        <row r="709">
          <cell r="A709" t="str">
            <v>700-10-030</v>
          </cell>
          <cell r="B709" t="str">
            <v>TELEPHONE ALLOWANCE</v>
          </cell>
          <cell r="C709">
            <v>0</v>
          </cell>
          <cell r="D709">
            <v>0</v>
          </cell>
          <cell r="E709">
            <v>0</v>
          </cell>
          <cell r="F709">
            <v>0</v>
          </cell>
          <cell r="G709">
            <v>0</v>
          </cell>
          <cell r="H709">
            <v>0</v>
          </cell>
        </row>
        <row r="710">
          <cell r="A710" t="str">
            <v>700-10-040</v>
          </cell>
          <cell r="B710" t="str">
            <v>SECURITY ALLOWANCE</v>
          </cell>
          <cell r="C710">
            <v>0</v>
          </cell>
          <cell r="D710">
            <v>0</v>
          </cell>
          <cell r="E710">
            <v>0</v>
          </cell>
          <cell r="F710">
            <v>0</v>
          </cell>
          <cell r="G710">
            <v>0</v>
          </cell>
          <cell r="H710">
            <v>0</v>
          </cell>
        </row>
        <row r="711">
          <cell r="A711" t="str">
            <v>700-10-050</v>
          </cell>
          <cell r="B711" t="str">
            <v>EDUCATION ALLOWANCE</v>
          </cell>
          <cell r="C711">
            <v>0</v>
          </cell>
          <cell r="D711">
            <v>0</v>
          </cell>
          <cell r="E711">
            <v>0</v>
          </cell>
          <cell r="F711">
            <v>0</v>
          </cell>
          <cell r="G711">
            <v>0</v>
          </cell>
          <cell r="H711">
            <v>0</v>
          </cell>
        </row>
        <row r="712">
          <cell r="A712" t="str">
            <v>700-10-060</v>
          </cell>
          <cell r="B712" t="str">
            <v>TRAVEL ALLOWANCE</v>
          </cell>
          <cell r="C712">
            <v>0</v>
          </cell>
          <cell r="D712">
            <v>0</v>
          </cell>
          <cell r="E712">
            <v>0</v>
          </cell>
          <cell r="F712">
            <v>0</v>
          </cell>
          <cell r="G712">
            <v>0</v>
          </cell>
          <cell r="H712">
            <v>0</v>
          </cell>
        </row>
        <row r="713">
          <cell r="A713" t="str">
            <v>700-20-010</v>
          </cell>
          <cell r="B713" t="str">
            <v>N.S.S.F</v>
          </cell>
          <cell r="C713">
            <v>0</v>
          </cell>
          <cell r="D713">
            <v>0</v>
          </cell>
          <cell r="E713">
            <v>0</v>
          </cell>
          <cell r="F713">
            <v>0</v>
          </cell>
          <cell r="G713">
            <v>0</v>
          </cell>
          <cell r="H713">
            <v>0</v>
          </cell>
        </row>
        <row r="714">
          <cell r="A714" t="str">
            <v>700-20-020</v>
          </cell>
          <cell r="B714" t="str">
            <v>N.H.I.F</v>
          </cell>
          <cell r="C714">
            <v>0</v>
          </cell>
          <cell r="D714">
            <v>0</v>
          </cell>
          <cell r="E714">
            <v>0</v>
          </cell>
          <cell r="F714">
            <v>0</v>
          </cell>
          <cell r="G714">
            <v>0</v>
          </cell>
          <cell r="H714">
            <v>0</v>
          </cell>
        </row>
        <row r="715">
          <cell r="A715" t="str">
            <v>700-30-010</v>
          </cell>
          <cell r="B715" t="str">
            <v>PENSION</v>
          </cell>
          <cell r="C715">
            <v>0</v>
          </cell>
          <cell r="D715">
            <v>0</v>
          </cell>
          <cell r="E715">
            <v>0</v>
          </cell>
          <cell r="F715">
            <v>0</v>
          </cell>
          <cell r="G715">
            <v>0</v>
          </cell>
          <cell r="H715">
            <v>0</v>
          </cell>
        </row>
        <row r="716">
          <cell r="A716" t="str">
            <v>700-30-020</v>
          </cell>
          <cell r="B716" t="str">
            <v>LAST EXPENSE</v>
          </cell>
          <cell r="C716">
            <v>0</v>
          </cell>
          <cell r="D716">
            <v>0</v>
          </cell>
          <cell r="E716">
            <v>0</v>
          </cell>
          <cell r="F716">
            <v>0</v>
          </cell>
          <cell r="G716">
            <v>0</v>
          </cell>
          <cell r="H716">
            <v>0</v>
          </cell>
        </row>
        <row r="717">
          <cell r="A717" t="str">
            <v>700-30-030</v>
          </cell>
          <cell r="B717" t="str">
            <v>GROUP LIFE ASSURANCE</v>
          </cell>
          <cell r="C717">
            <v>0</v>
          </cell>
          <cell r="D717">
            <v>0</v>
          </cell>
          <cell r="E717">
            <v>0</v>
          </cell>
          <cell r="F717">
            <v>0</v>
          </cell>
          <cell r="G717">
            <v>0</v>
          </cell>
          <cell r="H717">
            <v>0</v>
          </cell>
        </row>
        <row r="718">
          <cell r="A718" t="str">
            <v>700-30-040</v>
          </cell>
          <cell r="B718" t="str">
            <v>STAFF MEDICAL</v>
          </cell>
          <cell r="C718">
            <v>0.01</v>
          </cell>
          <cell r="D718">
            <v>0</v>
          </cell>
          <cell r="E718">
            <v>0.01</v>
          </cell>
          <cell r="F718">
            <v>0.01</v>
          </cell>
          <cell r="G718">
            <v>0</v>
          </cell>
          <cell r="H718">
            <v>0.01</v>
          </cell>
        </row>
        <row r="719">
          <cell r="A719" t="str">
            <v>700-30-050</v>
          </cell>
          <cell r="B719" t="str">
            <v>LEAVE PAY</v>
          </cell>
          <cell r="C719">
            <v>0.02</v>
          </cell>
          <cell r="D719">
            <v>0</v>
          </cell>
          <cell r="E719">
            <v>0.02</v>
          </cell>
          <cell r="F719">
            <v>0.02</v>
          </cell>
          <cell r="G719">
            <v>0</v>
          </cell>
          <cell r="H719">
            <v>0.02</v>
          </cell>
        </row>
        <row r="720">
          <cell r="A720" t="str">
            <v>700-30-060</v>
          </cell>
          <cell r="B720" t="str">
            <v>LONG SERVICE AWARDS</v>
          </cell>
          <cell r="C720">
            <v>0</v>
          </cell>
          <cell r="D720">
            <v>0</v>
          </cell>
          <cell r="E720">
            <v>0</v>
          </cell>
          <cell r="F720">
            <v>0</v>
          </cell>
          <cell r="G720">
            <v>0</v>
          </cell>
          <cell r="H720">
            <v>0</v>
          </cell>
        </row>
        <row r="721">
          <cell r="A721" t="str">
            <v>710-10-010</v>
          </cell>
          <cell r="B721" t="str">
            <v>OFFICE RENT</v>
          </cell>
          <cell r="C721">
            <v>0</v>
          </cell>
          <cell r="D721">
            <v>0</v>
          </cell>
          <cell r="E721">
            <v>0</v>
          </cell>
          <cell r="F721">
            <v>0</v>
          </cell>
          <cell r="G721">
            <v>0</v>
          </cell>
          <cell r="H721">
            <v>0</v>
          </cell>
        </row>
        <row r="722">
          <cell r="A722" t="str">
            <v>710-10-020</v>
          </cell>
          <cell r="B722" t="str">
            <v>OFFICE CATERING &amp; STAFF WELFARE</v>
          </cell>
          <cell r="C722">
            <v>-0.03</v>
          </cell>
          <cell r="D722">
            <v>0</v>
          </cell>
          <cell r="E722">
            <v>-0.03</v>
          </cell>
          <cell r="F722">
            <v>-0.03</v>
          </cell>
          <cell r="G722">
            <v>0</v>
          </cell>
          <cell r="H722">
            <v>-0.03</v>
          </cell>
        </row>
        <row r="723">
          <cell r="A723" t="str">
            <v>710-10-030</v>
          </cell>
          <cell r="B723" t="str">
            <v>DEPRECIATION-MOTOR VEHICLE</v>
          </cell>
          <cell r="C723">
            <v>0</v>
          </cell>
          <cell r="D723">
            <v>0</v>
          </cell>
          <cell r="E723">
            <v>0</v>
          </cell>
          <cell r="F723">
            <v>0</v>
          </cell>
          <cell r="G723">
            <v>0</v>
          </cell>
          <cell r="H723">
            <v>0</v>
          </cell>
        </row>
        <row r="724">
          <cell r="A724" t="str">
            <v>710-10-040</v>
          </cell>
          <cell r="B724" t="str">
            <v>DEPRECIATION FURNITURE &amp; FITTINGS</v>
          </cell>
          <cell r="C724">
            <v>0</v>
          </cell>
          <cell r="D724">
            <v>0</v>
          </cell>
          <cell r="E724">
            <v>0</v>
          </cell>
          <cell r="F724">
            <v>0</v>
          </cell>
          <cell r="G724">
            <v>0</v>
          </cell>
          <cell r="H724">
            <v>0</v>
          </cell>
        </row>
        <row r="725">
          <cell r="A725" t="str">
            <v>710-10-050</v>
          </cell>
          <cell r="B725" t="str">
            <v>DEPRECIATION-COMPUTERS</v>
          </cell>
          <cell r="C725">
            <v>0</v>
          </cell>
          <cell r="D725">
            <v>0</v>
          </cell>
          <cell r="E725">
            <v>0</v>
          </cell>
          <cell r="F725">
            <v>0</v>
          </cell>
          <cell r="G725">
            <v>0</v>
          </cell>
          <cell r="H725">
            <v>0</v>
          </cell>
        </row>
        <row r="726">
          <cell r="A726" t="str">
            <v>710-10-060</v>
          </cell>
          <cell r="B726" t="str">
            <v>OFFICE WATER</v>
          </cell>
          <cell r="C726">
            <v>0</v>
          </cell>
          <cell r="D726">
            <v>0</v>
          </cell>
          <cell r="E726">
            <v>0</v>
          </cell>
          <cell r="F726">
            <v>0</v>
          </cell>
          <cell r="G726">
            <v>0</v>
          </cell>
          <cell r="H726">
            <v>0</v>
          </cell>
        </row>
        <row r="727">
          <cell r="A727" t="str">
            <v>710-10-070</v>
          </cell>
          <cell r="B727" t="str">
            <v>ELECTRICITY</v>
          </cell>
          <cell r="C727">
            <v>0</v>
          </cell>
          <cell r="D727">
            <v>0</v>
          </cell>
          <cell r="E727">
            <v>0</v>
          </cell>
          <cell r="F727">
            <v>0</v>
          </cell>
          <cell r="G727">
            <v>0</v>
          </cell>
          <cell r="H727">
            <v>0</v>
          </cell>
        </row>
        <row r="728">
          <cell r="A728" t="str">
            <v>710-10-080</v>
          </cell>
          <cell r="B728" t="str">
            <v>SECURITY</v>
          </cell>
          <cell r="C728">
            <v>0</v>
          </cell>
          <cell r="D728">
            <v>0</v>
          </cell>
          <cell r="E728">
            <v>0</v>
          </cell>
          <cell r="F728">
            <v>0</v>
          </cell>
          <cell r="G728">
            <v>0</v>
          </cell>
          <cell r="H728">
            <v>0</v>
          </cell>
        </row>
        <row r="729">
          <cell r="A729" t="str">
            <v>720-10-010</v>
          </cell>
          <cell r="B729" t="str">
            <v>BANK CHARGES</v>
          </cell>
          <cell r="C729">
            <v>0</v>
          </cell>
          <cell r="D729">
            <v>0</v>
          </cell>
          <cell r="E729">
            <v>0</v>
          </cell>
          <cell r="F729">
            <v>0</v>
          </cell>
          <cell r="G729">
            <v>0</v>
          </cell>
          <cell r="H729">
            <v>0</v>
          </cell>
        </row>
        <row r="730">
          <cell r="A730" t="str">
            <v>740-10-010</v>
          </cell>
          <cell r="B730" t="str">
            <v>NEWSPAPER &amp; JOURNALS</v>
          </cell>
          <cell r="C730">
            <v>0</v>
          </cell>
          <cell r="D730">
            <v>0</v>
          </cell>
          <cell r="E730">
            <v>0</v>
          </cell>
          <cell r="F730">
            <v>0</v>
          </cell>
          <cell r="G730">
            <v>0</v>
          </cell>
          <cell r="H730">
            <v>0</v>
          </cell>
        </row>
        <row r="731">
          <cell r="A731" t="str">
            <v>740-10-020</v>
          </cell>
          <cell r="B731" t="str">
            <v>ENTERTAINMENT &amp; DONATIONS</v>
          </cell>
          <cell r="C731">
            <v>0</v>
          </cell>
          <cell r="D731">
            <v>0</v>
          </cell>
          <cell r="E731">
            <v>0</v>
          </cell>
          <cell r="F731">
            <v>0</v>
          </cell>
          <cell r="G731">
            <v>0</v>
          </cell>
          <cell r="H731">
            <v>0</v>
          </cell>
        </row>
        <row r="732">
          <cell r="A732" t="str">
            <v>740-10-030</v>
          </cell>
          <cell r="B732" t="str">
            <v>LEGAL FEES</v>
          </cell>
          <cell r="C732">
            <v>0</v>
          </cell>
          <cell r="D732">
            <v>0</v>
          </cell>
          <cell r="E732">
            <v>0</v>
          </cell>
          <cell r="F732">
            <v>0</v>
          </cell>
          <cell r="G732">
            <v>0</v>
          </cell>
          <cell r="H732">
            <v>0</v>
          </cell>
        </row>
        <row r="733">
          <cell r="A733" t="str">
            <v>740-10-035</v>
          </cell>
          <cell r="B733" t="str">
            <v>INSURANCES</v>
          </cell>
          <cell r="C733">
            <v>0</v>
          </cell>
          <cell r="D733">
            <v>0</v>
          </cell>
          <cell r="E733">
            <v>0</v>
          </cell>
          <cell r="F733">
            <v>0</v>
          </cell>
          <cell r="G733">
            <v>0</v>
          </cell>
          <cell r="H733">
            <v>0</v>
          </cell>
        </row>
        <row r="734">
          <cell r="A734" t="str">
            <v>740-10-040</v>
          </cell>
          <cell r="B734" t="str">
            <v>PHOTOCOPY</v>
          </cell>
          <cell r="C734">
            <v>0</v>
          </cell>
          <cell r="D734">
            <v>0</v>
          </cell>
          <cell r="E734">
            <v>0</v>
          </cell>
          <cell r="F734">
            <v>0</v>
          </cell>
          <cell r="G734">
            <v>0</v>
          </cell>
          <cell r="H734">
            <v>0</v>
          </cell>
        </row>
        <row r="735">
          <cell r="A735" t="str">
            <v>740-10-045</v>
          </cell>
          <cell r="B735" t="str">
            <v>SEMINARS AND SHORT COURSES</v>
          </cell>
          <cell r="C735">
            <v>0</v>
          </cell>
          <cell r="D735">
            <v>0</v>
          </cell>
          <cell r="E735">
            <v>0</v>
          </cell>
          <cell r="F735">
            <v>0</v>
          </cell>
          <cell r="G735">
            <v>0</v>
          </cell>
          <cell r="H735">
            <v>0</v>
          </cell>
        </row>
        <row r="736">
          <cell r="A736" t="str">
            <v>740-10-050</v>
          </cell>
          <cell r="B736" t="str">
            <v>EQUIPMENT MAINTAENANCE</v>
          </cell>
          <cell r="C736">
            <v>0</v>
          </cell>
          <cell r="D736">
            <v>0</v>
          </cell>
          <cell r="E736">
            <v>0</v>
          </cell>
          <cell r="F736">
            <v>0</v>
          </cell>
          <cell r="G736">
            <v>0</v>
          </cell>
          <cell r="H736">
            <v>0</v>
          </cell>
        </row>
        <row r="737">
          <cell r="A737" t="str">
            <v>740-10-060</v>
          </cell>
          <cell r="B737" t="str">
            <v>PRINTING &amp; STATIONERY</v>
          </cell>
          <cell r="C737">
            <v>0</v>
          </cell>
          <cell r="D737">
            <v>0</v>
          </cell>
          <cell r="E737">
            <v>0</v>
          </cell>
          <cell r="F737">
            <v>0</v>
          </cell>
          <cell r="G737">
            <v>0</v>
          </cell>
          <cell r="H737">
            <v>0</v>
          </cell>
        </row>
        <row r="738">
          <cell r="A738" t="str">
            <v>740-10-070</v>
          </cell>
          <cell r="B738" t="str">
            <v>PROFFESSIONAL SUBSCRIPTIONS</v>
          </cell>
          <cell r="C738">
            <v>0</v>
          </cell>
          <cell r="D738">
            <v>0</v>
          </cell>
          <cell r="E738">
            <v>0</v>
          </cell>
          <cell r="F738">
            <v>0</v>
          </cell>
          <cell r="G738">
            <v>0</v>
          </cell>
          <cell r="H738">
            <v>0</v>
          </cell>
        </row>
        <row r="739">
          <cell r="A739" t="str">
            <v>740-10-080</v>
          </cell>
          <cell r="B739" t="str">
            <v>TRAVELLING &amp; ACCOMODATION</v>
          </cell>
          <cell r="C739">
            <v>0</v>
          </cell>
          <cell r="D739">
            <v>0</v>
          </cell>
          <cell r="E739">
            <v>0</v>
          </cell>
          <cell r="F739">
            <v>0</v>
          </cell>
          <cell r="G739">
            <v>0</v>
          </cell>
          <cell r="H739">
            <v>0</v>
          </cell>
        </row>
        <row r="740">
          <cell r="A740" t="str">
            <v>740-10-090</v>
          </cell>
          <cell r="B740" t="str">
            <v>POSTAGE</v>
          </cell>
          <cell r="C740">
            <v>0</v>
          </cell>
          <cell r="D740">
            <v>0</v>
          </cell>
          <cell r="E740">
            <v>0</v>
          </cell>
          <cell r="F740">
            <v>0</v>
          </cell>
          <cell r="G740">
            <v>0</v>
          </cell>
          <cell r="H740">
            <v>0</v>
          </cell>
        </row>
        <row r="741">
          <cell r="A741" t="str">
            <v>740-10-100</v>
          </cell>
          <cell r="B741" t="str">
            <v>TELEPHONE &amp; FAX</v>
          </cell>
          <cell r="C741">
            <v>0</v>
          </cell>
          <cell r="D741">
            <v>0</v>
          </cell>
          <cell r="E741">
            <v>0</v>
          </cell>
          <cell r="F741">
            <v>0</v>
          </cell>
          <cell r="G741">
            <v>0</v>
          </cell>
          <cell r="H741">
            <v>0</v>
          </cell>
        </row>
        <row r="742">
          <cell r="A742" t="str">
            <v>740-10-110</v>
          </cell>
          <cell r="B742" t="str">
            <v>PROFFESSIONAL TRAINING</v>
          </cell>
          <cell r="C742">
            <v>0</v>
          </cell>
          <cell r="D742">
            <v>0</v>
          </cell>
          <cell r="E742">
            <v>0</v>
          </cell>
          <cell r="F742">
            <v>0</v>
          </cell>
          <cell r="G742">
            <v>0</v>
          </cell>
          <cell r="H742">
            <v>0</v>
          </cell>
        </row>
        <row r="743">
          <cell r="A743" t="str">
            <v>740-10-115</v>
          </cell>
          <cell r="B743" t="str">
            <v>SUBSCRIPTIONS -STAFF CLUB MEMBERSHIPS</v>
          </cell>
          <cell r="C743">
            <v>0</v>
          </cell>
          <cell r="D743">
            <v>0</v>
          </cell>
          <cell r="E743">
            <v>0</v>
          </cell>
          <cell r="F743">
            <v>0</v>
          </cell>
          <cell r="G743">
            <v>0</v>
          </cell>
          <cell r="H743">
            <v>0</v>
          </cell>
        </row>
        <row r="744">
          <cell r="A744" t="str">
            <v>740-10-120</v>
          </cell>
          <cell r="B744" t="str">
            <v>SOFTWARE LICENCES</v>
          </cell>
          <cell r="C744">
            <v>0</v>
          </cell>
          <cell r="D744">
            <v>0</v>
          </cell>
          <cell r="E744">
            <v>0</v>
          </cell>
          <cell r="F744">
            <v>0</v>
          </cell>
          <cell r="G744">
            <v>0</v>
          </cell>
          <cell r="H744">
            <v>0</v>
          </cell>
        </row>
        <row r="745">
          <cell r="A745" t="str">
            <v>740-10-125</v>
          </cell>
          <cell r="B745" t="str">
            <v>SUBSCRIPTIONS-COMPANY MEMBERSHIPS</v>
          </cell>
          <cell r="C745">
            <v>0</v>
          </cell>
          <cell r="D745">
            <v>0</v>
          </cell>
          <cell r="E745">
            <v>0</v>
          </cell>
          <cell r="F745">
            <v>0</v>
          </cell>
          <cell r="G745">
            <v>0</v>
          </cell>
          <cell r="H745">
            <v>0</v>
          </cell>
        </row>
        <row r="746">
          <cell r="A746" t="str">
            <v>740-10-130</v>
          </cell>
          <cell r="B746" t="str">
            <v>TRADE LICENCES</v>
          </cell>
          <cell r="C746">
            <v>0</v>
          </cell>
          <cell r="D746">
            <v>0</v>
          </cell>
          <cell r="E746">
            <v>0</v>
          </cell>
          <cell r="F746">
            <v>0</v>
          </cell>
          <cell r="G746">
            <v>0</v>
          </cell>
          <cell r="H746">
            <v>0</v>
          </cell>
        </row>
        <row r="747">
          <cell r="A747" t="str">
            <v>740-10-140</v>
          </cell>
          <cell r="B747" t="str">
            <v>ADVERTISING AND PUBLICITY</v>
          </cell>
          <cell r="C747">
            <v>0</v>
          </cell>
          <cell r="D747">
            <v>0</v>
          </cell>
          <cell r="E747">
            <v>0</v>
          </cell>
          <cell r="F747">
            <v>0</v>
          </cell>
          <cell r="G747">
            <v>0</v>
          </cell>
          <cell r="H747">
            <v>0</v>
          </cell>
        </row>
        <row r="748">
          <cell r="A748" t="str">
            <v>740-10-150</v>
          </cell>
          <cell r="B748" t="str">
            <v>COMPUTER CONSUMABLES</v>
          </cell>
          <cell r="C748">
            <v>0</v>
          </cell>
          <cell r="D748">
            <v>0</v>
          </cell>
          <cell r="E748">
            <v>0</v>
          </cell>
          <cell r="F748">
            <v>0</v>
          </cell>
          <cell r="G748">
            <v>0</v>
          </cell>
          <cell r="H748">
            <v>0</v>
          </cell>
        </row>
        <row r="749">
          <cell r="A749" t="str">
            <v>740-10-160</v>
          </cell>
          <cell r="B749" t="str">
            <v>COURIER &amp; FREIGHT CHARGES</v>
          </cell>
          <cell r="C749">
            <v>0</v>
          </cell>
          <cell r="D749">
            <v>0</v>
          </cell>
          <cell r="E749">
            <v>0</v>
          </cell>
          <cell r="F749">
            <v>0</v>
          </cell>
          <cell r="G749">
            <v>0</v>
          </cell>
          <cell r="H749">
            <v>0</v>
          </cell>
        </row>
        <row r="750">
          <cell r="A750" t="str">
            <v>740-10-170</v>
          </cell>
          <cell r="B750" t="str">
            <v>DIRECTORS FEES</v>
          </cell>
          <cell r="C750">
            <v>0</v>
          </cell>
          <cell r="D750">
            <v>0</v>
          </cell>
          <cell r="E750">
            <v>0</v>
          </cell>
          <cell r="F750">
            <v>0</v>
          </cell>
          <cell r="G750">
            <v>0</v>
          </cell>
          <cell r="H750">
            <v>0</v>
          </cell>
        </row>
        <row r="751">
          <cell r="A751" t="str">
            <v>740-10-180</v>
          </cell>
          <cell r="B751" t="str">
            <v>PROFESSIONAL FEE</v>
          </cell>
          <cell r="C751">
            <v>0</v>
          </cell>
          <cell r="D751">
            <v>0</v>
          </cell>
          <cell r="E751">
            <v>0</v>
          </cell>
          <cell r="F751">
            <v>0</v>
          </cell>
          <cell r="G751">
            <v>0</v>
          </cell>
          <cell r="H751">
            <v>0</v>
          </cell>
        </row>
        <row r="752">
          <cell r="A752" t="str">
            <v>ACCOUNT</v>
          </cell>
          <cell r="B752" t="str">
            <v>ACCOUNT NAME</v>
          </cell>
          <cell r="C752" t="str">
            <v>OPENING BALANCE</v>
          </cell>
          <cell r="D752" t="e">
            <v>#VALUE!</v>
          </cell>
          <cell r="E752" t="e">
            <v>#VALUE!</v>
          </cell>
          <cell r="F752">
            <v>183136932.80999944</v>
          </cell>
          <cell r="G752">
            <v>-183136932.80999997</v>
          </cell>
          <cell r="H752">
            <v>-2.4214386940002441E-7</v>
          </cell>
        </row>
        <row r="753">
          <cell r="A753" t="str">
            <v>ACCOUNT</v>
          </cell>
          <cell r="B753" t="str">
            <v>ACCOUNT NAME</v>
          </cell>
          <cell r="C753" t="str">
            <v>OPENING BALANCE</v>
          </cell>
          <cell r="D753" t="e">
            <v>#VALUE!</v>
          </cell>
          <cell r="E753" t="e">
            <v>#VALUE!</v>
          </cell>
        </row>
        <row r="754">
          <cell r="A754" t="str">
            <v>ACCOUNT</v>
          </cell>
          <cell r="B754" t="str">
            <v>ACCOUNT NAME</v>
          </cell>
          <cell r="C754" t="str">
            <v>OPENING BALANCE</v>
          </cell>
          <cell r="D754" t="e">
            <v>#VALUE!</v>
          </cell>
          <cell r="E754" t="e">
            <v>#VALUE!</v>
          </cell>
        </row>
        <row r="755">
          <cell r="A755" t="str">
            <v>ACCOUNT</v>
          </cell>
          <cell r="B755" t="str">
            <v>ACCOUNT NAME</v>
          </cell>
          <cell r="C755" t="str">
            <v>OPENING BALANCE</v>
          </cell>
          <cell r="D755" t="e">
            <v>#VALUE!</v>
          </cell>
          <cell r="E755" t="e">
            <v>#VALUE!</v>
          </cell>
        </row>
        <row r="756">
          <cell r="A756" t="str">
            <v>ACCOUNT</v>
          </cell>
          <cell r="B756" t="str">
            <v>ACCOUNT NAME</v>
          </cell>
          <cell r="C756" t="str">
            <v>OPENING BALANCE</v>
          </cell>
          <cell r="D756" t="e">
            <v>#VALUE!</v>
          </cell>
          <cell r="E756" t="e">
            <v>#VALUE!</v>
          </cell>
        </row>
        <row r="757">
          <cell r="A757" t="str">
            <v>ACCOUNT</v>
          </cell>
          <cell r="B757" t="str">
            <v>ACCOUNT NAME</v>
          </cell>
          <cell r="C757" t="str">
            <v>OPENING BALANCE</v>
          </cell>
          <cell r="D757" t="e">
            <v>#VALUE!</v>
          </cell>
          <cell r="E757" t="e">
            <v>#VALUE!</v>
          </cell>
          <cell r="F757" t="str">
            <v>YR-TO-DATE</v>
          </cell>
        </row>
        <row r="758">
          <cell r="A758" t="str">
            <v>ACCOUNT</v>
          </cell>
          <cell r="B758" t="str">
            <v>ACCOUNT NAME</v>
          </cell>
          <cell r="C758" t="str">
            <v>OPENING BALANCE</v>
          </cell>
          <cell r="D758" t="e">
            <v>#VALUE!</v>
          </cell>
          <cell r="E758" t="e">
            <v>#VALUE!</v>
          </cell>
          <cell r="F758" t="str">
            <v>YR-TO-DATE</v>
          </cell>
        </row>
        <row r="759">
          <cell r="A759" t="str">
            <v>ACCOUNT</v>
          </cell>
          <cell r="B759" t="str">
            <v>ACCOUNT NAME</v>
          </cell>
          <cell r="C759" t="str">
            <v>OPENING BALANCE</v>
          </cell>
          <cell r="D759" t="e">
            <v>#VALUE!</v>
          </cell>
          <cell r="E759" t="e">
            <v>#VALUE!</v>
          </cell>
          <cell r="F759" t="str">
            <v>YR-TO-DATE</v>
          </cell>
        </row>
        <row r="760">
          <cell r="A760" t="str">
            <v>ACCOUNT</v>
          </cell>
          <cell r="B760" t="str">
            <v>ACCOUNT NAME</v>
          </cell>
          <cell r="C760" t="str">
            <v>OPENING BALANCE</v>
          </cell>
          <cell r="D760" t="e">
            <v>#VALUE!</v>
          </cell>
          <cell r="E760" t="e">
            <v>#VALUE!</v>
          </cell>
          <cell r="F760" t="str">
            <v>YR-TO-DATE</v>
          </cell>
        </row>
        <row r="761">
          <cell r="A761" t="str">
            <v>ACCOUNT</v>
          </cell>
          <cell r="B761" t="str">
            <v>ACCOUNT NAME</v>
          </cell>
          <cell r="C761" t="str">
            <v>OPENING BALANCE</v>
          </cell>
          <cell r="D761" t="e">
            <v>#VALUE!</v>
          </cell>
          <cell r="E761" t="e">
            <v>#VALUE!</v>
          </cell>
          <cell r="F761" t="str">
            <v>YR-TO-DATE</v>
          </cell>
        </row>
        <row r="762">
          <cell r="A762" t="str">
            <v>ACCOUNT</v>
          </cell>
          <cell r="B762" t="str">
            <v>ACCOUNT NAME</v>
          </cell>
          <cell r="C762" t="str">
            <v>OPENING BALANCE</v>
          </cell>
          <cell r="D762" t="e">
            <v>#VALUE!</v>
          </cell>
          <cell r="E762" t="e">
            <v>#VALUE!</v>
          </cell>
          <cell r="F762" t="str">
            <v>YR-TO-DATE</v>
          </cell>
        </row>
        <row r="763">
          <cell r="A763" t="str">
            <v>ACCOUNT</v>
          </cell>
          <cell r="B763" t="str">
            <v>ACCOUNT NAME</v>
          </cell>
          <cell r="C763" t="str">
            <v>OPENING BALANCE</v>
          </cell>
          <cell r="D763" t="e">
            <v>#VALUE!</v>
          </cell>
          <cell r="E763" t="e">
            <v>#VALUE!</v>
          </cell>
          <cell r="F763" t="str">
            <v>YR-TO-DATE</v>
          </cell>
        </row>
        <row r="764">
          <cell r="A764" t="str">
            <v>ACCOUNT</v>
          </cell>
          <cell r="B764" t="str">
            <v>ACCOUNT NAME</v>
          </cell>
          <cell r="C764" t="str">
            <v>OPENING BALANCE</v>
          </cell>
          <cell r="D764" t="e">
            <v>#VALUE!</v>
          </cell>
          <cell r="E764" t="e">
            <v>#VALUE!</v>
          </cell>
          <cell r="F764" t="str">
            <v>YR-TO-DATE</v>
          </cell>
        </row>
        <row r="765">
          <cell r="A765" t="str">
            <v>ACCOUNT</v>
          </cell>
          <cell r="B765" t="str">
            <v>ACCOUNT NAME</v>
          </cell>
          <cell r="C765" t="str">
            <v>OPENING BALANCE</v>
          </cell>
          <cell r="D765" t="e">
            <v>#VALUE!</v>
          </cell>
          <cell r="E765" t="e">
            <v>#VALUE!</v>
          </cell>
          <cell r="F765" t="str">
            <v>YR-TO-DATE</v>
          </cell>
        </row>
        <row r="766">
          <cell r="A766" t="str">
            <v>ACCOUNT</v>
          </cell>
          <cell r="B766" t="str">
            <v>ACCOUNT NAME</v>
          </cell>
          <cell r="C766" t="str">
            <v>OPENING BALANCE</v>
          </cell>
          <cell r="D766" t="e">
            <v>#VALUE!</v>
          </cell>
          <cell r="E766" t="e">
            <v>#VALUE!</v>
          </cell>
          <cell r="F766" t="str">
            <v>YR-TO-DATE</v>
          </cell>
        </row>
        <row r="767">
          <cell r="A767" t="str">
            <v>ACCOUNT</v>
          </cell>
          <cell r="B767" t="str">
            <v>ACCOUNT NAME</v>
          </cell>
          <cell r="C767" t="str">
            <v>OPENING BALANCE</v>
          </cell>
          <cell r="D767" t="e">
            <v>#VALUE!</v>
          </cell>
          <cell r="E767" t="e">
            <v>#VALUE!</v>
          </cell>
          <cell r="F767" t="str">
            <v>YR-TO-DATE</v>
          </cell>
        </row>
        <row r="768">
          <cell r="A768" t="str">
            <v>ACCOUNT</v>
          </cell>
          <cell r="B768" t="str">
            <v>ACCOUNT NAME</v>
          </cell>
          <cell r="C768" t="str">
            <v>OPENING BALANCE</v>
          </cell>
          <cell r="D768" t="e">
            <v>#VALUE!</v>
          </cell>
          <cell r="E768" t="e">
            <v>#VALUE!</v>
          </cell>
          <cell r="F768" t="str">
            <v>YR-TO-DATE</v>
          </cell>
        </row>
        <row r="769">
          <cell r="A769" t="str">
            <v>ACCOUNT</v>
          </cell>
          <cell r="B769" t="str">
            <v>ACCOUNT NAME</v>
          </cell>
          <cell r="C769" t="str">
            <v>OPENING BALANCE</v>
          </cell>
          <cell r="D769" t="e">
            <v>#VALUE!</v>
          </cell>
          <cell r="E769" t="e">
            <v>#VALUE!</v>
          </cell>
          <cell r="F769" t="str">
            <v>YR-TO-DATE</v>
          </cell>
        </row>
        <row r="770">
          <cell r="A770" t="str">
            <v>ACCOUNT</v>
          </cell>
          <cell r="B770" t="str">
            <v>ACCOUNT NAME</v>
          </cell>
          <cell r="C770" t="str">
            <v>OPENING BALANCE</v>
          </cell>
          <cell r="D770" t="e">
            <v>#VALUE!</v>
          </cell>
          <cell r="E770" t="e">
            <v>#VALUE!</v>
          </cell>
          <cell r="F770" t="str">
            <v>YR-TO-DATE</v>
          </cell>
        </row>
        <row r="771">
          <cell r="A771" t="str">
            <v>ACCOUNT</v>
          </cell>
          <cell r="B771" t="str">
            <v>ACCOUNT NAME</v>
          </cell>
          <cell r="C771" t="str">
            <v>OPENING BALANCE</v>
          </cell>
          <cell r="D771" t="e">
            <v>#VALUE!</v>
          </cell>
          <cell r="E771" t="e">
            <v>#VALUE!</v>
          </cell>
          <cell r="F771" t="str">
            <v>YR-TO-DATE</v>
          </cell>
        </row>
        <row r="772">
          <cell r="A772" t="str">
            <v>ACCOUNT</v>
          </cell>
          <cell r="B772" t="str">
            <v>ACCOUNT NAME</v>
          </cell>
          <cell r="C772" t="str">
            <v>OPENING BALANCE</v>
          </cell>
          <cell r="D772" t="e">
            <v>#VALUE!</v>
          </cell>
          <cell r="E772" t="e">
            <v>#VALUE!</v>
          </cell>
          <cell r="F772" t="str">
            <v>YR-TO-DATE</v>
          </cell>
        </row>
        <row r="773">
          <cell r="A773" t="str">
            <v>ACCOUNT</v>
          </cell>
          <cell r="B773" t="str">
            <v>ACCOUNT NAME</v>
          </cell>
          <cell r="C773" t="str">
            <v>OPENING BALANCE</v>
          </cell>
          <cell r="D773" t="e">
            <v>#VALUE!</v>
          </cell>
          <cell r="E773" t="e">
            <v>#VALUE!</v>
          </cell>
          <cell r="F773" t="str">
            <v>YR-TO-DATE</v>
          </cell>
        </row>
        <row r="774">
          <cell r="A774" t="str">
            <v>ACCOUNT</v>
          </cell>
          <cell r="B774" t="str">
            <v>ACCOUNT NAME</v>
          </cell>
          <cell r="C774" t="str">
            <v>OPENING BALANCE</v>
          </cell>
          <cell r="D774" t="e">
            <v>#VALUE!</v>
          </cell>
          <cell r="E774" t="e">
            <v>#VALUE!</v>
          </cell>
          <cell r="F774" t="str">
            <v>YR-TO-DATE</v>
          </cell>
        </row>
        <row r="775">
          <cell r="A775" t="str">
            <v>ACCOUNT</v>
          </cell>
          <cell r="B775" t="str">
            <v>ACCOUNT NAME</v>
          </cell>
          <cell r="C775" t="str">
            <v>OPENING BALANCE</v>
          </cell>
          <cell r="D775" t="e">
            <v>#VALUE!</v>
          </cell>
          <cell r="E775" t="e">
            <v>#VALUE!</v>
          </cell>
          <cell r="F775" t="str">
            <v>YR-TO-DATE</v>
          </cell>
        </row>
        <row r="776">
          <cell r="A776" t="str">
            <v>ACCOUNT</v>
          </cell>
          <cell r="B776" t="str">
            <v>ACCOUNT NAME</v>
          </cell>
          <cell r="C776" t="str">
            <v>OPENING BALANCE</v>
          </cell>
          <cell r="D776" t="e">
            <v>#VALUE!</v>
          </cell>
          <cell r="E776" t="e">
            <v>#VALUE!</v>
          </cell>
          <cell r="F776" t="str">
            <v>YR-TO-DATE</v>
          </cell>
        </row>
        <row r="777">
          <cell r="A777" t="str">
            <v>ACCOUNT</v>
          </cell>
          <cell r="B777" t="str">
            <v>ACCOUNT NAME</v>
          </cell>
          <cell r="C777" t="str">
            <v>OPENING BALANCE</v>
          </cell>
          <cell r="D777" t="e">
            <v>#VALUE!</v>
          </cell>
          <cell r="E777" t="e">
            <v>#VALUE!</v>
          </cell>
          <cell r="F777" t="str">
            <v>YR-TO-DATE</v>
          </cell>
        </row>
        <row r="778">
          <cell r="A778" t="str">
            <v>ACCOUNT</v>
          </cell>
          <cell r="B778" t="str">
            <v>ACCOUNT NAME</v>
          </cell>
          <cell r="C778" t="str">
            <v>OPENING BALANCE</v>
          </cell>
          <cell r="D778" t="e">
            <v>#VALUE!</v>
          </cell>
          <cell r="E778" t="e">
            <v>#VALUE!</v>
          </cell>
          <cell r="F778" t="str">
            <v>YR-TO-DATE</v>
          </cell>
        </row>
        <row r="779">
          <cell r="A779" t="str">
            <v>ACCOUNT</v>
          </cell>
          <cell r="B779" t="str">
            <v>ACCOUNT NAME</v>
          </cell>
          <cell r="C779" t="str">
            <v>OPENING BALANCE</v>
          </cell>
          <cell r="D779" t="e">
            <v>#VALUE!</v>
          </cell>
          <cell r="E779" t="e">
            <v>#VALUE!</v>
          </cell>
          <cell r="F779" t="str">
            <v>YR-TO-DATE</v>
          </cell>
        </row>
        <row r="780">
          <cell r="A780" t="str">
            <v>ACCOUNT</v>
          </cell>
          <cell r="B780" t="str">
            <v>ACCOUNT NAME</v>
          </cell>
          <cell r="C780" t="str">
            <v>OPENING BALANCE</v>
          </cell>
          <cell r="D780" t="e">
            <v>#VALUE!</v>
          </cell>
          <cell r="E780" t="e">
            <v>#VALUE!</v>
          </cell>
          <cell r="F780" t="str">
            <v>YR-TO-DATE</v>
          </cell>
        </row>
        <row r="781">
          <cell r="A781" t="str">
            <v>ACCOUNT</v>
          </cell>
          <cell r="B781" t="str">
            <v>ACCOUNT NAME</v>
          </cell>
          <cell r="C781" t="str">
            <v>OPENING BALANCE</v>
          </cell>
          <cell r="D781" t="e">
            <v>#VALUE!</v>
          </cell>
          <cell r="E781" t="e">
            <v>#VALUE!</v>
          </cell>
          <cell r="F781" t="str">
            <v>YR-TO-DATE</v>
          </cell>
        </row>
        <row r="782">
          <cell r="A782" t="str">
            <v>ACCOUNT</v>
          </cell>
          <cell r="B782" t="str">
            <v>ACCOUNT NAME</v>
          </cell>
          <cell r="C782" t="str">
            <v>OPENING BALANCE</v>
          </cell>
          <cell r="D782" t="e">
            <v>#VALUE!</v>
          </cell>
          <cell r="E782" t="e">
            <v>#VALUE!</v>
          </cell>
          <cell r="F782" t="str">
            <v>YR-TO-DATE</v>
          </cell>
        </row>
        <row r="783">
          <cell r="A783" t="str">
            <v>ACCOUNT</v>
          </cell>
          <cell r="B783" t="str">
            <v>ACCOUNT NAME</v>
          </cell>
          <cell r="C783" t="str">
            <v>OPENING BALANCE</v>
          </cell>
          <cell r="D783" t="e">
            <v>#VALUE!</v>
          </cell>
          <cell r="E783" t="e">
            <v>#VALUE!</v>
          </cell>
          <cell r="F783" t="str">
            <v>YR-TO-DATE</v>
          </cell>
        </row>
        <row r="784">
          <cell r="A784" t="str">
            <v>ACCOUNT</v>
          </cell>
          <cell r="B784" t="str">
            <v>ACCOUNT NAME</v>
          </cell>
          <cell r="C784" t="str">
            <v>OPENING BALANCE</v>
          </cell>
          <cell r="D784" t="e">
            <v>#VALUE!</v>
          </cell>
          <cell r="E784" t="e">
            <v>#VALUE!</v>
          </cell>
          <cell r="F784" t="str">
            <v>YR-TO-DATE</v>
          </cell>
        </row>
        <row r="785">
          <cell r="A785" t="str">
            <v>ACCRUALS</v>
          </cell>
          <cell r="D785">
            <v>0</v>
          </cell>
          <cell r="E785">
            <v>0</v>
          </cell>
        </row>
        <row r="786">
          <cell r="A786" t="str">
            <v>ACCRUALS</v>
          </cell>
          <cell r="D786">
            <v>0</v>
          </cell>
          <cell r="E786">
            <v>0</v>
          </cell>
        </row>
        <row r="787">
          <cell r="A787" t="str">
            <v>ACCUMALATE</v>
          </cell>
          <cell r="B787" t="str">
            <v>D DEPRECIATION-COMPUTERS</v>
          </cell>
          <cell r="D787">
            <v>0</v>
          </cell>
          <cell r="E787">
            <v>0</v>
          </cell>
        </row>
        <row r="788">
          <cell r="A788" t="str">
            <v>ACCUMULATE</v>
          </cell>
          <cell r="B788" t="str">
            <v>D DEP-F&amp;F</v>
          </cell>
          <cell r="D788">
            <v>0</v>
          </cell>
          <cell r="E788">
            <v>0</v>
          </cell>
        </row>
        <row r="789">
          <cell r="A789" t="str">
            <v>ACCUMULATE</v>
          </cell>
          <cell r="B789" t="str">
            <v>D DEP-MOTOR VEHICLES</v>
          </cell>
          <cell r="D789">
            <v>0</v>
          </cell>
          <cell r="E789">
            <v>0</v>
          </cell>
        </row>
        <row r="790">
          <cell r="A790" t="str">
            <v>ADMINIST</v>
          </cell>
          <cell r="B790" t="str">
            <v>RATION EXPENSES TOTAL:</v>
          </cell>
          <cell r="C790">
            <v>26400484.350000001</v>
          </cell>
          <cell r="D790">
            <v>5337363.5999999996</v>
          </cell>
          <cell r="E790">
            <v>31737847.949999999</v>
          </cell>
          <cell r="F790">
            <v>31737847.949999999</v>
          </cell>
        </row>
        <row r="791">
          <cell r="A791" t="str">
            <v>ADMINIST</v>
          </cell>
          <cell r="B791" t="str">
            <v>RATION EXPENSES TOTAL:</v>
          </cell>
          <cell r="C791">
            <v>631951.19999999995</v>
          </cell>
          <cell r="D791">
            <v>138837.42000000001</v>
          </cell>
          <cell r="E791">
            <v>770788.62</v>
          </cell>
          <cell r="F791">
            <v>770788.62</v>
          </cell>
        </row>
        <row r="792">
          <cell r="A792" t="str">
            <v>ADMINISTRA</v>
          </cell>
          <cell r="B792" t="str">
            <v>TION EXPENSES</v>
          </cell>
          <cell r="D792">
            <v>0</v>
          </cell>
          <cell r="E792">
            <v>0</v>
          </cell>
        </row>
        <row r="793">
          <cell r="A793" t="str">
            <v>ADMINISTRA</v>
          </cell>
          <cell r="B793" t="str">
            <v>TION EXPENSES</v>
          </cell>
          <cell r="D793">
            <v>0</v>
          </cell>
          <cell r="E793">
            <v>0</v>
          </cell>
        </row>
        <row r="794">
          <cell r="A794" t="str">
            <v>ADMINISTRA</v>
          </cell>
          <cell r="B794" t="str">
            <v>TION EXPENSES</v>
          </cell>
          <cell r="D794">
            <v>0</v>
          </cell>
          <cell r="E794">
            <v>0</v>
          </cell>
        </row>
        <row r="795">
          <cell r="A795" t="str">
            <v>ADMINISTRA</v>
          </cell>
          <cell r="B795" t="str">
            <v>TION EXPENSES-HOLDINGS</v>
          </cell>
          <cell r="D795">
            <v>0</v>
          </cell>
          <cell r="E795">
            <v>0</v>
          </cell>
        </row>
        <row r="796">
          <cell r="A796" t="str">
            <v>ADMINISTRA</v>
          </cell>
          <cell r="B796" t="str">
            <v>TION EXPENSES</v>
          </cell>
          <cell r="D796">
            <v>0</v>
          </cell>
          <cell r="E796">
            <v>0</v>
          </cell>
        </row>
        <row r="797">
          <cell r="A797" t="str">
            <v>ADMINSTRAT</v>
          </cell>
          <cell r="B797" t="str">
            <v>ION EXPENSES</v>
          </cell>
          <cell r="D797">
            <v>0</v>
          </cell>
          <cell r="E797">
            <v>0</v>
          </cell>
        </row>
        <row r="798">
          <cell r="A798" t="str">
            <v>AGENCY AND</v>
          </cell>
          <cell r="B798" t="str">
            <v>STAFF DEBTORS</v>
          </cell>
          <cell r="D798">
            <v>0</v>
          </cell>
          <cell r="E798">
            <v>0</v>
          </cell>
        </row>
        <row r="799">
          <cell r="A799" t="str">
            <v>AGENCY BEN</v>
          </cell>
          <cell r="B799" t="str">
            <v>EFITS</v>
          </cell>
          <cell r="D799">
            <v>0</v>
          </cell>
          <cell r="E799">
            <v>0</v>
          </cell>
        </row>
        <row r="800">
          <cell r="A800" t="str">
            <v>AMORTIZATI</v>
          </cell>
          <cell r="B800" t="str">
            <v>ON OF FIXED ASSETS-LAND</v>
          </cell>
          <cell r="D800">
            <v>0</v>
          </cell>
          <cell r="E800">
            <v>0</v>
          </cell>
        </row>
        <row r="801">
          <cell r="A801" t="str">
            <v>ASSIGNED S</v>
          </cell>
          <cell r="B801" t="str">
            <v>HARE CAPITAL</v>
          </cell>
          <cell r="D801">
            <v>0</v>
          </cell>
          <cell r="E801">
            <v>0</v>
          </cell>
        </row>
        <row r="802">
          <cell r="A802" t="str">
            <v>BANK BALAN</v>
          </cell>
          <cell r="B802" t="str">
            <v>CES</v>
          </cell>
          <cell r="D802">
            <v>0</v>
          </cell>
          <cell r="E802">
            <v>0</v>
          </cell>
        </row>
        <row r="803">
          <cell r="A803" t="str">
            <v>BANK BALAN</v>
          </cell>
          <cell r="B803" t="str">
            <v>CES-GROUP LIFE</v>
          </cell>
          <cell r="D803">
            <v>0</v>
          </cell>
          <cell r="E803">
            <v>0</v>
          </cell>
        </row>
        <row r="804">
          <cell r="A804" t="str">
            <v>BANK BALAN</v>
          </cell>
          <cell r="B804" t="str">
            <v>CES -DEPOSITS ADMINISTRATION</v>
          </cell>
          <cell r="D804">
            <v>0</v>
          </cell>
          <cell r="E804">
            <v>0</v>
          </cell>
        </row>
        <row r="805">
          <cell r="A805" t="str">
            <v>CASH BALAN</v>
          </cell>
          <cell r="B805" t="str">
            <v>CES</v>
          </cell>
          <cell r="D805">
            <v>0</v>
          </cell>
          <cell r="E805">
            <v>0</v>
          </cell>
        </row>
        <row r="806">
          <cell r="A806" t="str">
            <v>CLAIMS AND</v>
          </cell>
          <cell r="B806" t="str">
            <v>SURRENDERS</v>
          </cell>
          <cell r="D806">
            <v>0</v>
          </cell>
          <cell r="E806">
            <v>0</v>
          </cell>
        </row>
        <row r="807">
          <cell r="A807" t="str">
            <v>CLAIMS OUT</v>
          </cell>
          <cell r="B807" t="str">
            <v>STANDING - LIFE</v>
          </cell>
          <cell r="D807">
            <v>0</v>
          </cell>
          <cell r="E807">
            <v>0</v>
          </cell>
        </row>
        <row r="808">
          <cell r="A808" t="str">
            <v>CLAIMS OUT</v>
          </cell>
          <cell r="B808" t="str">
            <v>STANDING - CORPORATE</v>
          </cell>
          <cell r="D808">
            <v>0</v>
          </cell>
          <cell r="E808">
            <v>0</v>
          </cell>
        </row>
        <row r="809">
          <cell r="A809" t="str">
            <v>COMMERCIAL</v>
          </cell>
          <cell r="B809" t="str">
            <v>PAPERS</v>
          </cell>
          <cell r="D809">
            <v>0</v>
          </cell>
          <cell r="E809">
            <v>0</v>
          </cell>
        </row>
        <row r="810">
          <cell r="A810" t="str">
            <v>COMMERCIAL</v>
          </cell>
          <cell r="B810" t="str">
            <v>PAPERS</v>
          </cell>
          <cell r="D810">
            <v>0</v>
          </cell>
          <cell r="E810">
            <v>0</v>
          </cell>
        </row>
        <row r="811">
          <cell r="A811" t="str">
            <v>COMMERCIAL</v>
          </cell>
          <cell r="B811" t="str">
            <v>PAPERS-UNIT LINK</v>
          </cell>
          <cell r="D811">
            <v>0</v>
          </cell>
          <cell r="E811">
            <v>0</v>
          </cell>
        </row>
        <row r="812">
          <cell r="A812" t="str">
            <v>COMMERCIAL</v>
          </cell>
          <cell r="B812" t="str">
            <v>PAPERS-GROUP LIFE</v>
          </cell>
          <cell r="D812">
            <v>0</v>
          </cell>
          <cell r="E812">
            <v>0</v>
          </cell>
        </row>
        <row r="813">
          <cell r="A813" t="str">
            <v>COMMERCIAL</v>
          </cell>
          <cell r="B813" t="str">
            <v>PAPERS -DEPOSIT ADMIN</v>
          </cell>
          <cell r="D813">
            <v>0</v>
          </cell>
          <cell r="E813">
            <v>0</v>
          </cell>
        </row>
        <row r="814">
          <cell r="A814" t="str">
            <v>COMMISSION</v>
          </cell>
          <cell r="B814" t="str">
            <v>EXPENSES -PAIC SERIES</v>
          </cell>
          <cell r="D814">
            <v>0</v>
          </cell>
          <cell r="E814">
            <v>0</v>
          </cell>
        </row>
        <row r="815">
          <cell r="A815" t="str">
            <v>COMMISSION</v>
          </cell>
          <cell r="B815" t="str">
            <v>EXPENSES-WEALTH PROVIDER</v>
          </cell>
          <cell r="D815">
            <v>0</v>
          </cell>
          <cell r="E815">
            <v>0</v>
          </cell>
        </row>
        <row r="816">
          <cell r="A816" t="str">
            <v>COMMISSION</v>
          </cell>
          <cell r="B816" t="str">
            <v>EXPENSES-FFFP</v>
          </cell>
          <cell r="D816">
            <v>0</v>
          </cell>
          <cell r="E816">
            <v>0</v>
          </cell>
        </row>
        <row r="817">
          <cell r="A817" t="str">
            <v>COMPUTERS</v>
          </cell>
          <cell r="D817">
            <v>0</v>
          </cell>
          <cell r="E817">
            <v>0</v>
          </cell>
        </row>
        <row r="818">
          <cell r="A818" t="str">
            <v>CONTROL</v>
          </cell>
          <cell r="B818" t="str">
            <v>ACCOUNTS TOTAL:</v>
          </cell>
          <cell r="C818">
            <v>-5608964.1399999997</v>
          </cell>
          <cell r="D818">
            <v>143258.38</v>
          </cell>
          <cell r="E818">
            <v>-5465705.7599999979</v>
          </cell>
          <cell r="F818">
            <v>-5465705.7599999998</v>
          </cell>
        </row>
        <row r="819">
          <cell r="A819" t="str">
            <v>CONTROL AC</v>
          </cell>
          <cell r="B819" t="str">
            <v>COUNTS</v>
          </cell>
          <cell r="D819">
            <v>0</v>
          </cell>
          <cell r="E819">
            <v>0</v>
          </cell>
        </row>
        <row r="820">
          <cell r="A820" t="str">
            <v>CURRENT</v>
          </cell>
          <cell r="B820" t="str">
            <v>ASSETS - LIFE TOTAL:</v>
          </cell>
          <cell r="C820">
            <v>232636553.68000001</v>
          </cell>
          <cell r="D820">
            <v>138919898.36000001</v>
          </cell>
          <cell r="E820">
            <v>371556452.04000002</v>
          </cell>
          <cell r="F820">
            <v>371556452.04000002</v>
          </cell>
        </row>
        <row r="821">
          <cell r="A821" t="str">
            <v>CURRENT</v>
          </cell>
          <cell r="B821" t="str">
            <v>LIABILITIES TOTAL:</v>
          </cell>
          <cell r="C821">
            <v>-133040601.68000001</v>
          </cell>
          <cell r="D821">
            <v>-70619154.689999998</v>
          </cell>
          <cell r="E821">
            <v>-203659756.36999997</v>
          </cell>
          <cell r="F821">
            <v>-203659756.37</v>
          </cell>
        </row>
        <row r="822">
          <cell r="A822" t="str">
            <v>CURRENT</v>
          </cell>
          <cell r="B822" t="str">
            <v>ASSETS - CORPORATE TOTAL:</v>
          </cell>
          <cell r="C822">
            <v>181863995.58000001</v>
          </cell>
          <cell r="D822">
            <v>-8087335.7599999979</v>
          </cell>
          <cell r="E822">
            <v>173776659.82000002</v>
          </cell>
          <cell r="F822">
            <v>173776659.81999999</v>
          </cell>
        </row>
        <row r="823">
          <cell r="A823" t="str">
            <v>CURRENT</v>
          </cell>
          <cell r="B823" t="str">
            <v>LIABILITIES - CORPORATE TOTAL:</v>
          </cell>
          <cell r="C823">
            <v>-78352850.739999995</v>
          </cell>
          <cell r="D823">
            <v>7064525.1799999997</v>
          </cell>
          <cell r="E823">
            <v>-71288325.560000002</v>
          </cell>
          <cell r="F823">
            <v>-71288325.560000002</v>
          </cell>
        </row>
        <row r="824">
          <cell r="A824" t="str">
            <v>CURRENT AS</v>
          </cell>
          <cell r="B824" t="str">
            <v>SETS - LIFE</v>
          </cell>
          <cell r="D824">
            <v>0</v>
          </cell>
          <cell r="E824">
            <v>0</v>
          </cell>
        </row>
        <row r="825">
          <cell r="A825" t="str">
            <v>CURRENT AS</v>
          </cell>
          <cell r="B825" t="str">
            <v>SETS - CORPORATE</v>
          </cell>
          <cell r="D825">
            <v>0</v>
          </cell>
          <cell r="E825">
            <v>0</v>
          </cell>
        </row>
        <row r="826">
          <cell r="A826" t="str">
            <v>CURRENT LI</v>
          </cell>
          <cell r="B826" t="str">
            <v>ABILITIES</v>
          </cell>
          <cell r="D826">
            <v>0</v>
          </cell>
          <cell r="E826">
            <v>0</v>
          </cell>
        </row>
        <row r="827">
          <cell r="A827" t="str">
            <v>CURRENT LI</v>
          </cell>
          <cell r="B827" t="str">
            <v>ABILITIES - CORPORATE</v>
          </cell>
          <cell r="D827">
            <v>0</v>
          </cell>
          <cell r="E827">
            <v>0</v>
          </cell>
        </row>
        <row r="828">
          <cell r="A828" t="str">
            <v>DEFERRED T</v>
          </cell>
          <cell r="B828" t="str">
            <v>AX ON VALUATION SURPLUS BUILD</v>
          </cell>
          <cell r="D828">
            <v>0</v>
          </cell>
          <cell r="E828">
            <v>0</v>
          </cell>
        </row>
        <row r="829">
          <cell r="A829" t="str">
            <v>DEPOSITS (</v>
          </cell>
          <cell r="B829" t="str">
            <v>MATURING WITH 12 MONTHS)</v>
          </cell>
          <cell r="D829">
            <v>0</v>
          </cell>
          <cell r="E829">
            <v>0</v>
          </cell>
        </row>
        <row r="830">
          <cell r="A830" t="str">
            <v>DEPRECIATI</v>
          </cell>
          <cell r="B830" t="str">
            <v>ON OF FIXED ASSETS-BUILDINGS</v>
          </cell>
          <cell r="D830">
            <v>0</v>
          </cell>
          <cell r="E830">
            <v>0</v>
          </cell>
        </row>
        <row r="831">
          <cell r="A831" t="str">
            <v>DIRECT EXP</v>
          </cell>
          <cell r="B831" t="str">
            <v>ENSES</v>
          </cell>
          <cell r="D831">
            <v>0</v>
          </cell>
          <cell r="E831">
            <v>0</v>
          </cell>
        </row>
        <row r="832">
          <cell r="A832" t="str">
            <v>DIRECT EXP</v>
          </cell>
          <cell r="B832" t="str">
            <v>ENSES</v>
          </cell>
          <cell r="D832">
            <v>0</v>
          </cell>
          <cell r="E832">
            <v>0</v>
          </cell>
        </row>
        <row r="833">
          <cell r="A833" t="str">
            <v>DIVIDEND &amp;</v>
          </cell>
          <cell r="B833" t="str">
            <v>POLICY LOANS INCOMES</v>
          </cell>
          <cell r="D833">
            <v>0</v>
          </cell>
          <cell r="E833">
            <v>0</v>
          </cell>
        </row>
        <row r="834">
          <cell r="A834" t="str">
            <v>EMPLOYME</v>
          </cell>
          <cell r="B834" t="str">
            <v>NT COSTS TOTAL:</v>
          </cell>
          <cell r="C834">
            <v>82901788.629999995</v>
          </cell>
          <cell r="D834">
            <v>5832142.0099999998</v>
          </cell>
          <cell r="E834">
            <v>88733930.640000001</v>
          </cell>
          <cell r="F834">
            <v>88733930.640000001</v>
          </cell>
        </row>
        <row r="835">
          <cell r="A835" t="str">
            <v>EMPLOYME</v>
          </cell>
          <cell r="B835" t="str">
            <v>NT COSTS - CORPORATE TOTAL:</v>
          </cell>
          <cell r="C835">
            <v>8454652.9399999995</v>
          </cell>
          <cell r="D835">
            <v>825526.5</v>
          </cell>
          <cell r="E835">
            <v>9280179.4399999995</v>
          </cell>
          <cell r="F835">
            <v>9280179.4399999995</v>
          </cell>
        </row>
        <row r="836">
          <cell r="A836" t="str">
            <v>EMPLOYME</v>
          </cell>
          <cell r="B836" t="str">
            <v>NT COSTS-PAN AFRICA HOLDINGS TOTAL:</v>
          </cell>
          <cell r="C836">
            <v>0.03</v>
          </cell>
          <cell r="D836">
            <v>0</v>
          </cell>
          <cell r="E836">
            <v>0.03</v>
          </cell>
          <cell r="F836">
            <v>0.03</v>
          </cell>
        </row>
        <row r="837">
          <cell r="A837" t="str">
            <v>EMPLOYMENT</v>
          </cell>
          <cell r="B837" t="str">
            <v>COSTS</v>
          </cell>
          <cell r="D837">
            <v>0</v>
          </cell>
          <cell r="E837">
            <v>0</v>
          </cell>
        </row>
        <row r="838">
          <cell r="A838" t="str">
            <v>EMPLOYMENT</v>
          </cell>
          <cell r="B838" t="str">
            <v>COSTS - CORPORATE</v>
          </cell>
          <cell r="D838">
            <v>0</v>
          </cell>
          <cell r="E838">
            <v>0</v>
          </cell>
        </row>
        <row r="839">
          <cell r="A839" t="str">
            <v>EMPLOYMENT</v>
          </cell>
          <cell r="B839" t="str">
            <v>COSTS-PAN AFRICA HOLDINGS</v>
          </cell>
          <cell r="D839">
            <v>0</v>
          </cell>
          <cell r="E839">
            <v>0</v>
          </cell>
        </row>
        <row r="840">
          <cell r="A840" t="str">
            <v>EQUITY A</v>
          </cell>
          <cell r="B840" t="str">
            <v>ND LONG TERM FUNDS TOTAL:                   (</v>
          </cell>
          <cell r="C840" t="str">
            <v>1,415,540,829.04)</v>
          </cell>
          <cell r="D840">
            <v>-627547.05000000005</v>
          </cell>
          <cell r="E840">
            <v>-1416168376.0899999</v>
          </cell>
          <cell r="F840">
            <v>-1416168376.0899999</v>
          </cell>
        </row>
        <row r="841">
          <cell r="A841" t="str">
            <v>EQUITY AND</v>
          </cell>
          <cell r="B841" t="str">
            <v>LONG TERM FUNDS</v>
          </cell>
          <cell r="D841">
            <v>0</v>
          </cell>
          <cell r="E841">
            <v>0</v>
          </cell>
        </row>
        <row r="842">
          <cell r="A842" t="str">
            <v>EXCEPTIONA</v>
          </cell>
          <cell r="B842" t="str">
            <v>L ITEMS</v>
          </cell>
          <cell r="D842">
            <v>0</v>
          </cell>
          <cell r="E842">
            <v>0</v>
          </cell>
        </row>
        <row r="843">
          <cell r="A843" t="str">
            <v>FINANCIN</v>
          </cell>
          <cell r="B843" t="str">
            <v>G COSTS TOTAL:</v>
          </cell>
          <cell r="C843">
            <v>2397618.65</v>
          </cell>
          <cell r="D843">
            <v>259352.06</v>
          </cell>
          <cell r="E843">
            <v>2656970.71</v>
          </cell>
          <cell r="F843">
            <v>2656970.71</v>
          </cell>
        </row>
        <row r="844">
          <cell r="A844" t="str">
            <v>FINANCIN</v>
          </cell>
          <cell r="B844" t="str">
            <v>G COSTS TOTAL:</v>
          </cell>
          <cell r="C844">
            <v>95677.65</v>
          </cell>
          <cell r="D844">
            <v>10716.62</v>
          </cell>
          <cell r="E844">
            <v>106394.27</v>
          </cell>
          <cell r="F844">
            <v>106394.27</v>
          </cell>
        </row>
        <row r="845">
          <cell r="A845" t="str">
            <v>FINANCIN</v>
          </cell>
          <cell r="B845" t="str">
            <v>G COSTS-PAN AFRICA HOLDINGS TOTAL:</v>
          </cell>
          <cell r="C845">
            <v>0</v>
          </cell>
          <cell r="D845">
            <v>0</v>
          </cell>
          <cell r="E845">
            <v>0</v>
          </cell>
          <cell r="F845">
            <v>0</v>
          </cell>
        </row>
        <row r="846">
          <cell r="A846" t="str">
            <v>FINANCING</v>
          </cell>
          <cell r="B846" t="str">
            <v>COSTS</v>
          </cell>
          <cell r="D846">
            <v>0</v>
          </cell>
          <cell r="E846">
            <v>0</v>
          </cell>
        </row>
        <row r="847">
          <cell r="A847" t="str">
            <v>FINANCING</v>
          </cell>
          <cell r="B847" t="str">
            <v>COSTS</v>
          </cell>
          <cell r="D847">
            <v>0</v>
          </cell>
          <cell r="E847">
            <v>0</v>
          </cell>
        </row>
        <row r="848">
          <cell r="A848" t="str">
            <v>FINANCING</v>
          </cell>
          <cell r="B848" t="str">
            <v>COSTS</v>
          </cell>
          <cell r="D848">
            <v>0</v>
          </cell>
          <cell r="E848">
            <v>0</v>
          </cell>
        </row>
        <row r="849">
          <cell r="A849" t="str">
            <v>FINANCING</v>
          </cell>
          <cell r="B849" t="str">
            <v>COSTS</v>
          </cell>
          <cell r="D849">
            <v>0</v>
          </cell>
          <cell r="E849">
            <v>0</v>
          </cell>
        </row>
        <row r="850">
          <cell r="A850" t="str">
            <v>FINANCING</v>
          </cell>
          <cell r="B850" t="str">
            <v>COSTS-PAN AFRICA HOLDINGS</v>
          </cell>
          <cell r="D850">
            <v>0</v>
          </cell>
          <cell r="E850">
            <v>0</v>
          </cell>
        </row>
        <row r="851">
          <cell r="A851" t="str">
            <v>FINANCING</v>
          </cell>
          <cell r="B851" t="str">
            <v>COSTS</v>
          </cell>
          <cell r="D851">
            <v>0</v>
          </cell>
          <cell r="E851">
            <v>0</v>
          </cell>
        </row>
        <row r="852">
          <cell r="A852" t="str">
            <v>FIXED AS</v>
          </cell>
          <cell r="B852" t="str">
            <v>SETS TOTAL:</v>
          </cell>
          <cell r="C852">
            <v>1271296335.1500001</v>
          </cell>
          <cell r="D852">
            <v>-42044699.030000001</v>
          </cell>
          <cell r="E852">
            <v>1229251636.1199999</v>
          </cell>
          <cell r="F852">
            <v>1229251636.1199999</v>
          </cell>
        </row>
        <row r="853">
          <cell r="A853" t="str">
            <v>FIXED AS</v>
          </cell>
          <cell r="B853" t="str">
            <v>SETS TOTAL:</v>
          </cell>
          <cell r="C853">
            <v>12311052.25</v>
          </cell>
          <cell r="D853">
            <v>2559062.9</v>
          </cell>
          <cell r="E853">
            <v>14870115.15</v>
          </cell>
          <cell r="F853">
            <v>14870115.15</v>
          </cell>
        </row>
        <row r="854">
          <cell r="A854" t="str">
            <v>FIXED ASSE</v>
          </cell>
          <cell r="B854" t="str">
            <v>TS</v>
          </cell>
          <cell r="D854">
            <v>0</v>
          </cell>
          <cell r="E854">
            <v>0</v>
          </cell>
        </row>
        <row r="855">
          <cell r="A855" t="str">
            <v>FIXED ASSE</v>
          </cell>
          <cell r="B855" t="str">
            <v>TS -BUILDINGS AT VALUATION</v>
          </cell>
          <cell r="D855">
            <v>0</v>
          </cell>
          <cell r="E855">
            <v>0</v>
          </cell>
        </row>
        <row r="856">
          <cell r="A856" t="str">
            <v>FIXED ASSE</v>
          </cell>
          <cell r="B856" t="str">
            <v>TS -LAND AT VALUATION</v>
          </cell>
          <cell r="D856">
            <v>0</v>
          </cell>
          <cell r="E856">
            <v>0</v>
          </cell>
        </row>
        <row r="857">
          <cell r="A857" t="str">
            <v>FIXED ASSE</v>
          </cell>
          <cell r="B857" t="str">
            <v>TS</v>
          </cell>
          <cell r="D857">
            <v>0</v>
          </cell>
          <cell r="E857">
            <v>0</v>
          </cell>
        </row>
        <row r="858">
          <cell r="A858" t="str">
            <v>FIXED DEPO</v>
          </cell>
          <cell r="B858" t="str">
            <v>SITS-GROUP LIFE</v>
          </cell>
          <cell r="D858">
            <v>0</v>
          </cell>
          <cell r="E858">
            <v>0</v>
          </cell>
        </row>
        <row r="859">
          <cell r="A859" t="str">
            <v>FIXED DEPO</v>
          </cell>
          <cell r="B859" t="str">
            <v>SITS-DEPOSIT ADMIN</v>
          </cell>
          <cell r="D859">
            <v>0</v>
          </cell>
          <cell r="E859">
            <v>0</v>
          </cell>
        </row>
        <row r="860">
          <cell r="A860" t="str">
            <v>FURNITURE</v>
          </cell>
          <cell r="B860" t="str">
            <v>&amp; FITTINGS</v>
          </cell>
          <cell r="D860">
            <v>0</v>
          </cell>
          <cell r="E860">
            <v>0</v>
          </cell>
        </row>
        <row r="861">
          <cell r="A861" t="str">
            <v>GOVERMENT</v>
          </cell>
          <cell r="B861" t="str">
            <v>SECURITIES -GROUP LIFE</v>
          </cell>
          <cell r="D861">
            <v>0</v>
          </cell>
          <cell r="E861">
            <v>0</v>
          </cell>
        </row>
        <row r="862">
          <cell r="A862" t="str">
            <v>GOVERNMENT</v>
          </cell>
          <cell r="B862" t="str">
            <v>SECURITIES-DEPOSIT ADMINISTRA</v>
          </cell>
          <cell r="D862">
            <v>0</v>
          </cell>
          <cell r="E862">
            <v>0</v>
          </cell>
        </row>
        <row r="863">
          <cell r="A863" t="str">
            <v>GOV'T SE</v>
          </cell>
          <cell r="B863" t="str">
            <v>CURITIES-GROUP TOTAL:</v>
          </cell>
          <cell r="C863">
            <v>204561761.40000001</v>
          </cell>
          <cell r="D863">
            <v>-18572682.030000001</v>
          </cell>
          <cell r="E863">
            <v>185989079.37</v>
          </cell>
          <cell r="F863">
            <v>185989079.37</v>
          </cell>
        </row>
        <row r="864">
          <cell r="A864" t="str">
            <v>GOV'T SECU</v>
          </cell>
          <cell r="B864" t="str">
            <v>RITIES-INDIVIDUAL LIFE</v>
          </cell>
          <cell r="D864">
            <v>0</v>
          </cell>
          <cell r="E864">
            <v>0</v>
          </cell>
        </row>
        <row r="865">
          <cell r="A865" t="str">
            <v>GOV'T SECU</v>
          </cell>
          <cell r="B865" t="str">
            <v>RITIES-UNIT LINK</v>
          </cell>
          <cell r="D865">
            <v>0</v>
          </cell>
          <cell r="E865">
            <v>0</v>
          </cell>
        </row>
        <row r="866">
          <cell r="A866" t="str">
            <v>GOV'T SECU</v>
          </cell>
          <cell r="B866" t="str">
            <v>RITIES-GROUP</v>
          </cell>
          <cell r="D866">
            <v>0</v>
          </cell>
          <cell r="E866">
            <v>0</v>
          </cell>
        </row>
        <row r="867">
          <cell r="A867" t="str">
            <v>GROUP BE</v>
          </cell>
          <cell r="B867" t="str">
            <v>NEFITS TOTAL:</v>
          </cell>
          <cell r="C867">
            <v>122748509.59</v>
          </cell>
          <cell r="D867">
            <v>18203283.739999998</v>
          </cell>
          <cell r="E867">
            <v>140951793.32999998</v>
          </cell>
          <cell r="F867">
            <v>140951793.33000001</v>
          </cell>
        </row>
        <row r="868">
          <cell r="A868" t="str">
            <v>GROUP BENE</v>
          </cell>
          <cell r="B868" t="str">
            <v>FITS</v>
          </cell>
          <cell r="D868">
            <v>0</v>
          </cell>
          <cell r="E868">
            <v>0</v>
          </cell>
        </row>
        <row r="869">
          <cell r="A869" t="str">
            <v>GROUP BENE</v>
          </cell>
          <cell r="B869" t="str">
            <v>FITS PAYMENTS</v>
          </cell>
          <cell r="D869">
            <v>0</v>
          </cell>
          <cell r="E869">
            <v>0</v>
          </cell>
        </row>
        <row r="870">
          <cell r="A870" t="str">
            <v>GROUP LIFE</v>
          </cell>
          <cell r="B870" t="str">
            <v>PREMIUMS DEBTOR</v>
          </cell>
          <cell r="D870">
            <v>0</v>
          </cell>
          <cell r="E870">
            <v>0</v>
          </cell>
        </row>
        <row r="871">
          <cell r="A871" t="str">
            <v>GROUP PREM</v>
          </cell>
          <cell r="B871" t="str">
            <v>IUMS FINANCING</v>
          </cell>
          <cell r="D871">
            <v>0</v>
          </cell>
          <cell r="E871">
            <v>0</v>
          </cell>
        </row>
        <row r="872">
          <cell r="A872" t="str">
            <v>INTEREST O</v>
          </cell>
          <cell r="B872" t="str">
            <v>N FIXED DEPOSITS &amp; TB'S</v>
          </cell>
          <cell r="D872">
            <v>0</v>
          </cell>
          <cell r="E872">
            <v>0</v>
          </cell>
        </row>
        <row r="873">
          <cell r="A873" t="str">
            <v>INTEREST O</v>
          </cell>
          <cell r="B873" t="str">
            <v>N FD'S &amp; TB'S</v>
          </cell>
          <cell r="D873">
            <v>0</v>
          </cell>
          <cell r="E873">
            <v>0</v>
          </cell>
        </row>
        <row r="874">
          <cell r="A874" t="str">
            <v>INTEREST O</v>
          </cell>
          <cell r="B874" t="str">
            <v>N MORTGAGE LOANS</v>
          </cell>
          <cell r="D874">
            <v>0</v>
          </cell>
          <cell r="E874">
            <v>0</v>
          </cell>
        </row>
        <row r="875">
          <cell r="A875" t="str">
            <v>INVESTME</v>
          </cell>
          <cell r="B875" t="str">
            <v>NT INCOME TOTAL:</v>
          </cell>
          <cell r="C875">
            <v>-233574619.69999999</v>
          </cell>
          <cell r="D875">
            <v>-14011682.199999999</v>
          </cell>
          <cell r="E875">
            <v>-247586301.89999998</v>
          </cell>
          <cell r="F875">
            <v>-247586301.90000001</v>
          </cell>
        </row>
        <row r="876">
          <cell r="A876" t="str">
            <v>INVESTME</v>
          </cell>
          <cell r="B876" t="str">
            <v>NT INCOME - CORPORATE TOTAL:</v>
          </cell>
          <cell r="C876">
            <v>-21159751.809999999</v>
          </cell>
          <cell r="D876">
            <v>-4135961.18</v>
          </cell>
          <cell r="E876">
            <v>-25295712.990000002</v>
          </cell>
          <cell r="F876">
            <v>-25295712.989999998</v>
          </cell>
        </row>
        <row r="877">
          <cell r="A877" t="str">
            <v>INVESTMENT</v>
          </cell>
          <cell r="B877" t="str">
            <v>PROPERTIES</v>
          </cell>
          <cell r="D877">
            <v>0</v>
          </cell>
          <cell r="E877">
            <v>0</v>
          </cell>
        </row>
        <row r="878">
          <cell r="A878" t="str">
            <v>INVESTMENT</v>
          </cell>
          <cell r="B878" t="str">
            <v>INCOME</v>
          </cell>
          <cell r="D878">
            <v>0</v>
          </cell>
          <cell r="E878">
            <v>0</v>
          </cell>
        </row>
        <row r="879">
          <cell r="A879" t="str">
            <v>INVESTMENT</v>
          </cell>
          <cell r="B879" t="str">
            <v>INCOME - CORPORATE</v>
          </cell>
          <cell r="D879">
            <v>0</v>
          </cell>
          <cell r="E879">
            <v>0</v>
          </cell>
        </row>
        <row r="880">
          <cell r="A880" t="str">
            <v>INVESTMENT</v>
          </cell>
          <cell r="B880" t="str">
            <v>INCOME-GROUP LIFE</v>
          </cell>
          <cell r="D880">
            <v>0</v>
          </cell>
          <cell r="E880">
            <v>0</v>
          </cell>
        </row>
        <row r="881">
          <cell r="A881" t="str">
            <v>INVESTMENT</v>
          </cell>
          <cell r="B881" t="str">
            <v>INCOME-DEPOSIT ADMINISTRATION</v>
          </cell>
          <cell r="D881">
            <v>0</v>
          </cell>
          <cell r="E881">
            <v>0</v>
          </cell>
        </row>
        <row r="882">
          <cell r="A882" t="str">
            <v>LIFE FUNDS</v>
          </cell>
          <cell r="D882">
            <v>0</v>
          </cell>
          <cell r="E882">
            <v>0</v>
          </cell>
        </row>
        <row r="883">
          <cell r="A883" t="str">
            <v>LISTED SEC</v>
          </cell>
          <cell r="B883" t="str">
            <v>URITIES-DEPOSIT ADMINISTRATION</v>
          </cell>
          <cell r="D883">
            <v>0</v>
          </cell>
          <cell r="E883">
            <v>0</v>
          </cell>
        </row>
        <row r="884">
          <cell r="A884" t="str">
            <v>LISTED STO</v>
          </cell>
          <cell r="B884" t="str">
            <v>CKS-GROUP LIFE</v>
          </cell>
          <cell r="D884">
            <v>0</v>
          </cell>
          <cell r="E884">
            <v>0</v>
          </cell>
        </row>
        <row r="885">
          <cell r="A885" t="str">
            <v>MISC INCOM</v>
          </cell>
          <cell r="B885" t="str">
            <v>ES -UNIT LINK</v>
          </cell>
          <cell r="D885">
            <v>0</v>
          </cell>
          <cell r="E885">
            <v>0</v>
          </cell>
        </row>
        <row r="886">
          <cell r="A886" t="str">
            <v>MISCELLANE</v>
          </cell>
          <cell r="B886" t="str">
            <v>OUS INCOME-INDIVIDUAL LIFE</v>
          </cell>
          <cell r="D886">
            <v>0</v>
          </cell>
          <cell r="E886">
            <v>0</v>
          </cell>
        </row>
        <row r="887">
          <cell r="A887" t="str">
            <v>MORTGAGE L</v>
          </cell>
          <cell r="B887" t="str">
            <v>OANS</v>
          </cell>
          <cell r="D887">
            <v>0</v>
          </cell>
          <cell r="E887">
            <v>0</v>
          </cell>
        </row>
        <row r="888">
          <cell r="A888" t="str">
            <v>MOTOR VEHI</v>
          </cell>
          <cell r="B888" t="str">
            <v>CLES</v>
          </cell>
          <cell r="D888">
            <v>0</v>
          </cell>
          <cell r="E888">
            <v>0</v>
          </cell>
        </row>
        <row r="889">
          <cell r="A889" t="str">
            <v>NLTRIBALS0</v>
          </cell>
          <cell r="D889" t="e">
            <v>#VALUE!</v>
          </cell>
          <cell r="E889">
            <v>0</v>
          </cell>
        </row>
        <row r="890">
          <cell r="A890" t="str">
            <v>NLTRIBALS0</v>
          </cell>
          <cell r="D890" t="e">
            <v>#VALUE!</v>
          </cell>
          <cell r="E890">
            <v>0</v>
          </cell>
        </row>
        <row r="891">
          <cell r="A891" t="str">
            <v>NLTRIBALS0</v>
          </cell>
          <cell r="D891" t="e">
            <v>#VALUE!</v>
          </cell>
          <cell r="E891">
            <v>0</v>
          </cell>
        </row>
        <row r="892">
          <cell r="A892" t="str">
            <v>NLTRIBALS0</v>
          </cell>
          <cell r="D892" t="e">
            <v>#VALUE!</v>
          </cell>
          <cell r="E892">
            <v>0</v>
          </cell>
        </row>
        <row r="893">
          <cell r="A893" t="str">
            <v>NLTRIBALS0</v>
          </cell>
          <cell r="D893" t="e">
            <v>#VALUE!</v>
          </cell>
          <cell r="E893">
            <v>0</v>
          </cell>
        </row>
        <row r="894">
          <cell r="A894" t="str">
            <v>NLTRIBALS0</v>
          </cell>
          <cell r="D894" t="e">
            <v>#VALUE!</v>
          </cell>
          <cell r="E894">
            <v>0</v>
          </cell>
        </row>
        <row r="895">
          <cell r="A895" t="str">
            <v>NLTRIBALS0</v>
          </cell>
          <cell r="D895" t="e">
            <v>#VALUE!</v>
          </cell>
          <cell r="E895">
            <v>0</v>
          </cell>
        </row>
        <row r="896">
          <cell r="A896" t="str">
            <v>NLTRIBALS0</v>
          </cell>
          <cell r="D896" t="e">
            <v>#VALUE!</v>
          </cell>
          <cell r="E896">
            <v>0</v>
          </cell>
        </row>
        <row r="897">
          <cell r="A897" t="str">
            <v>NLTRIBALS0</v>
          </cell>
          <cell r="D897" t="e">
            <v>#VALUE!</v>
          </cell>
          <cell r="E897">
            <v>0</v>
          </cell>
        </row>
        <row r="898">
          <cell r="A898" t="str">
            <v>NLTRIBALS0</v>
          </cell>
          <cell r="D898" t="e">
            <v>#VALUE!</v>
          </cell>
          <cell r="E898">
            <v>0</v>
          </cell>
        </row>
        <row r="899">
          <cell r="A899" t="str">
            <v>NLTRIBALS0</v>
          </cell>
          <cell r="D899" t="e">
            <v>#VALUE!</v>
          </cell>
          <cell r="E899">
            <v>0</v>
          </cell>
        </row>
        <row r="900">
          <cell r="A900" t="str">
            <v>NLTRIBALS0</v>
          </cell>
          <cell r="D900" t="e">
            <v>#VALUE!</v>
          </cell>
          <cell r="E900">
            <v>0</v>
          </cell>
        </row>
        <row r="901">
          <cell r="A901" t="str">
            <v>NLTRIBALS0</v>
          </cell>
          <cell r="D901" t="e">
            <v>#VALUE!</v>
          </cell>
          <cell r="E901">
            <v>0</v>
          </cell>
        </row>
        <row r="902">
          <cell r="A902" t="str">
            <v>NLTRIBALS0</v>
          </cell>
          <cell r="D902" t="e">
            <v>#VALUE!</v>
          </cell>
        </row>
        <row r="903">
          <cell r="A903" t="str">
            <v>NLTRIBALS0</v>
          </cell>
          <cell r="D903" t="e">
            <v>#VALUE!</v>
          </cell>
        </row>
        <row r="904">
          <cell r="A904" t="str">
            <v>NLTRIBALS0</v>
          </cell>
          <cell r="D904" t="e">
            <v>#VALUE!</v>
          </cell>
        </row>
        <row r="905">
          <cell r="A905" t="str">
            <v>NLTRIBALS0</v>
          </cell>
          <cell r="D905" t="e">
            <v>#VALUE!</v>
          </cell>
        </row>
        <row r="906">
          <cell r="A906" t="str">
            <v>NLTRIBALS0</v>
          </cell>
          <cell r="D906" t="e">
            <v>#VALUE!</v>
          </cell>
        </row>
        <row r="907">
          <cell r="A907" t="str">
            <v>NLTRIBALS0</v>
          </cell>
          <cell r="D907" t="e">
            <v>#VALUE!</v>
          </cell>
        </row>
        <row r="908">
          <cell r="A908" t="str">
            <v>NLTRIBALS0</v>
          </cell>
          <cell r="D908" t="e">
            <v>#VALUE!</v>
          </cell>
        </row>
        <row r="909">
          <cell r="A909" t="str">
            <v>NLTRIBALS0</v>
          </cell>
          <cell r="D909" t="e">
            <v>#VALUE!</v>
          </cell>
        </row>
        <row r="910">
          <cell r="A910" t="str">
            <v>NLTRIBALS0</v>
          </cell>
          <cell r="D910" t="e">
            <v>#VALUE!</v>
          </cell>
        </row>
        <row r="911">
          <cell r="A911" t="str">
            <v>NLTRIBALS0</v>
          </cell>
          <cell r="D911" t="e">
            <v>#VALUE!</v>
          </cell>
        </row>
        <row r="912">
          <cell r="A912" t="str">
            <v>NLTRIBALS0</v>
          </cell>
          <cell r="D912" t="e">
            <v>#VALUE!</v>
          </cell>
        </row>
        <row r="913">
          <cell r="A913" t="str">
            <v>NLTRIBALS0</v>
          </cell>
          <cell r="D913" t="e">
            <v>#VALUE!</v>
          </cell>
        </row>
        <row r="914">
          <cell r="A914" t="str">
            <v>NLTRIBALS0</v>
          </cell>
          <cell r="D914" t="e">
            <v>#VALUE!</v>
          </cell>
        </row>
        <row r="915">
          <cell r="A915" t="str">
            <v>NLTRIBALS0</v>
          </cell>
          <cell r="D915" t="e">
            <v>#VALUE!</v>
          </cell>
        </row>
        <row r="916">
          <cell r="A916" t="str">
            <v>NLTRIBALS0</v>
          </cell>
          <cell r="D916" t="e">
            <v>#VALUE!</v>
          </cell>
        </row>
        <row r="917">
          <cell r="A917" t="str">
            <v>NLTRIBALS0</v>
          </cell>
          <cell r="D917" t="e">
            <v>#VALUE!</v>
          </cell>
        </row>
        <row r="918">
          <cell r="A918" t="str">
            <v>NLTRIBALS0</v>
          </cell>
          <cell r="D918" t="e">
            <v>#VALUE!</v>
          </cell>
        </row>
        <row r="919">
          <cell r="A919" t="str">
            <v>NLTRIBALS0</v>
          </cell>
          <cell r="D919" t="e">
            <v>#VALUE!</v>
          </cell>
        </row>
        <row r="920">
          <cell r="A920" t="str">
            <v>NLTRIBALS0</v>
          </cell>
          <cell r="D920" t="e">
            <v>#VALUE!</v>
          </cell>
        </row>
        <row r="921">
          <cell r="A921" t="str">
            <v>NLTRIBALS0</v>
          </cell>
          <cell r="D921" t="e">
            <v>#VALUE!</v>
          </cell>
        </row>
        <row r="922">
          <cell r="A922" t="str">
            <v>NON-CURR</v>
          </cell>
          <cell r="B922" t="str">
            <v>ENT ASSETS TOTAL:</v>
          </cell>
          <cell r="C922">
            <v>48700000</v>
          </cell>
          <cell r="D922">
            <v>-3500000</v>
          </cell>
          <cell r="F922">
            <v>45200000</v>
          </cell>
        </row>
        <row r="923">
          <cell r="A923" t="str">
            <v>NON-CURREN</v>
          </cell>
          <cell r="B923" t="str">
            <v>T ASSETS</v>
          </cell>
          <cell r="D923">
            <v>0</v>
          </cell>
        </row>
        <row r="924">
          <cell r="A924" t="str">
            <v>O/S INTERE</v>
          </cell>
          <cell r="B924" t="str">
            <v>ST</v>
          </cell>
          <cell r="D924">
            <v>0</v>
          </cell>
        </row>
        <row r="925">
          <cell r="A925" t="str">
            <v>O/S INTERE</v>
          </cell>
          <cell r="B925" t="str">
            <v>ST-UNIT LINK</v>
          </cell>
          <cell r="D925">
            <v>0</v>
          </cell>
        </row>
        <row r="926">
          <cell r="A926" t="str">
            <v>O/S INTERE</v>
          </cell>
          <cell r="B926" t="str">
            <v>ST  ON MORTGAGES</v>
          </cell>
          <cell r="D926">
            <v>0</v>
          </cell>
        </row>
        <row r="927">
          <cell r="A927" t="str">
            <v>O/S INTERE</v>
          </cell>
          <cell r="B927" t="str">
            <v>ST-GROUP LIFE</v>
          </cell>
          <cell r="D927">
            <v>0</v>
          </cell>
        </row>
        <row r="928">
          <cell r="A928" t="str">
            <v>O/S INTERE</v>
          </cell>
          <cell r="B928" t="str">
            <v>ST DEPOSITS ADMINISTRATION</v>
          </cell>
          <cell r="D928">
            <v>0</v>
          </cell>
        </row>
        <row r="929">
          <cell r="A929" t="str">
            <v>OFFICE C</v>
          </cell>
          <cell r="B929" t="str">
            <v>OSTS TOTAL:</v>
          </cell>
          <cell r="C929">
            <v>19272803.399999999</v>
          </cell>
          <cell r="D929">
            <v>5145229.08</v>
          </cell>
          <cell r="F929">
            <v>24418032.48</v>
          </cell>
        </row>
        <row r="930">
          <cell r="A930" t="str">
            <v>OFFICE C</v>
          </cell>
          <cell r="B930" t="str">
            <v>OSTS TOTAL:</v>
          </cell>
          <cell r="C930">
            <v>386217.5</v>
          </cell>
          <cell r="D930">
            <v>28458.39</v>
          </cell>
          <cell r="F930">
            <v>414675.89</v>
          </cell>
        </row>
        <row r="931">
          <cell r="A931" t="str">
            <v>OFFICE C</v>
          </cell>
          <cell r="B931" t="str">
            <v>OSTS-PAN AFRICA HOLDING TOTAL:</v>
          </cell>
          <cell r="C931">
            <v>-0.03</v>
          </cell>
          <cell r="D931">
            <v>0</v>
          </cell>
          <cell r="F931">
            <v>-0.03</v>
          </cell>
        </row>
        <row r="932">
          <cell r="A932" t="str">
            <v>OFFICE COS</v>
          </cell>
          <cell r="B932" t="str">
            <v>TS</v>
          </cell>
          <cell r="D932">
            <v>0</v>
          </cell>
        </row>
        <row r="933">
          <cell r="A933" t="str">
            <v>OFFICE COS</v>
          </cell>
          <cell r="B933" t="str">
            <v>TS</v>
          </cell>
          <cell r="D933">
            <v>0</v>
          </cell>
        </row>
        <row r="934">
          <cell r="A934" t="str">
            <v>OFFICE COS</v>
          </cell>
          <cell r="B934" t="str">
            <v>TS</v>
          </cell>
          <cell r="D934">
            <v>0</v>
          </cell>
        </row>
        <row r="935">
          <cell r="A935" t="str">
            <v>OFFICE COS</v>
          </cell>
          <cell r="B935" t="str">
            <v>TS</v>
          </cell>
          <cell r="D935">
            <v>0</v>
          </cell>
        </row>
        <row r="936">
          <cell r="A936" t="str">
            <v>OFFICE COS</v>
          </cell>
          <cell r="B936" t="str">
            <v>TS-PAN AFRICA HOLDING</v>
          </cell>
          <cell r="D936">
            <v>0</v>
          </cell>
        </row>
        <row r="937">
          <cell r="A937" t="str">
            <v>OFFICE COS</v>
          </cell>
          <cell r="B937" t="str">
            <v>TS</v>
          </cell>
          <cell r="D937">
            <v>0</v>
          </cell>
        </row>
        <row r="938">
          <cell r="A938" t="str">
            <v>OTHER COMM</v>
          </cell>
          <cell r="B938" t="str">
            <v>ISSION RELATED EXPENSES</v>
          </cell>
          <cell r="D938">
            <v>0</v>
          </cell>
        </row>
        <row r="939">
          <cell r="A939" t="str">
            <v>OTHER CRED</v>
          </cell>
          <cell r="B939" t="str">
            <v>ITORS</v>
          </cell>
          <cell r="D939">
            <v>0</v>
          </cell>
        </row>
        <row r="940">
          <cell r="A940" t="str">
            <v>OTHER DEBT</v>
          </cell>
          <cell r="B940" t="str">
            <v>ORS</v>
          </cell>
          <cell r="D940">
            <v>0</v>
          </cell>
        </row>
        <row r="941">
          <cell r="A941" t="str">
            <v>OTHER SELL</v>
          </cell>
          <cell r="B941" t="str">
            <v>ING COSTS</v>
          </cell>
          <cell r="D941">
            <v>0</v>
          </cell>
        </row>
        <row r="942">
          <cell r="A942" t="str">
            <v>PACKAGE CO</v>
          </cell>
          <cell r="B942" t="str">
            <v>STS</v>
          </cell>
          <cell r="D942">
            <v>0</v>
          </cell>
        </row>
        <row r="943">
          <cell r="A943" t="str">
            <v>PACKAGE CO</v>
          </cell>
          <cell r="B943" t="str">
            <v>STS</v>
          </cell>
          <cell r="D943">
            <v>0</v>
          </cell>
        </row>
        <row r="944">
          <cell r="A944" t="str">
            <v>PACKAGE CO</v>
          </cell>
          <cell r="B944" t="str">
            <v>STS</v>
          </cell>
          <cell r="D944">
            <v>0</v>
          </cell>
        </row>
        <row r="945">
          <cell r="A945" t="str">
            <v>PAN AFRICA</v>
          </cell>
          <cell r="B945" t="str">
            <v>MOMBASA</v>
          </cell>
          <cell r="D945">
            <v>0</v>
          </cell>
        </row>
        <row r="946">
          <cell r="A946" t="str">
            <v>PAYROLL CR</v>
          </cell>
          <cell r="B946" t="str">
            <v>EDITORS</v>
          </cell>
          <cell r="D946">
            <v>0</v>
          </cell>
        </row>
        <row r="947">
          <cell r="A947" t="str">
            <v>POLICY LOA</v>
          </cell>
          <cell r="B947" t="str">
            <v>NS</v>
          </cell>
          <cell r="D947">
            <v>0</v>
          </cell>
        </row>
        <row r="948">
          <cell r="A948" t="str">
            <v>POLICYHO</v>
          </cell>
          <cell r="B948" t="str">
            <v>LDERS BENEFITS TOTAL:</v>
          </cell>
          <cell r="C948">
            <v>154153995.06999999</v>
          </cell>
          <cell r="D948">
            <v>18610788.709999997</v>
          </cell>
          <cell r="F948">
            <v>172764783.78</v>
          </cell>
        </row>
        <row r="949">
          <cell r="A949" t="str">
            <v>POLICYHOLD</v>
          </cell>
          <cell r="B949" t="str">
            <v>ERS BENEFITS</v>
          </cell>
          <cell r="D949">
            <v>0</v>
          </cell>
        </row>
        <row r="950">
          <cell r="A950" t="str">
            <v>PREDEBITIN</v>
          </cell>
          <cell r="B950" t="str">
            <v>G DEBTOR</v>
          </cell>
          <cell r="D950">
            <v>0</v>
          </cell>
        </row>
        <row r="951">
          <cell r="A951" t="str">
            <v>PREDEBITIN</v>
          </cell>
          <cell r="B951" t="str">
            <v>G CREDITOR</v>
          </cell>
          <cell r="D951">
            <v>0</v>
          </cell>
        </row>
        <row r="952">
          <cell r="A952" t="str">
            <v>PREMIUM</v>
          </cell>
          <cell r="B952" t="str">
            <v>INCOMES TOTAL:</v>
          </cell>
          <cell r="C952">
            <v>-392344910.70999998</v>
          </cell>
          <cell r="D952">
            <v>-121896884.18000001</v>
          </cell>
          <cell r="F952">
            <v>-514241794.88999999</v>
          </cell>
        </row>
        <row r="953">
          <cell r="A953" t="str">
            <v>PREMIUM</v>
          </cell>
          <cell r="B953" t="str">
            <v>COLLECTION CHARGES TOTAL:</v>
          </cell>
          <cell r="C953">
            <v>19322384.27</v>
          </cell>
          <cell r="D953">
            <v>7742210.5</v>
          </cell>
          <cell r="F953">
            <v>27064594.77</v>
          </cell>
        </row>
        <row r="954">
          <cell r="A954" t="str">
            <v>PREMIUM</v>
          </cell>
          <cell r="B954" t="str">
            <v>INCOMES - CORPORATE TOTAL:</v>
          </cell>
          <cell r="C954">
            <v>-286682711.82999998</v>
          </cell>
          <cell r="D954">
            <v>-19843255.460000001</v>
          </cell>
          <cell r="F954">
            <v>-306525967.29000002</v>
          </cell>
        </row>
        <row r="955">
          <cell r="A955" t="str">
            <v>PREMIUM CO</v>
          </cell>
          <cell r="B955" t="str">
            <v>LLECTION CHARGES</v>
          </cell>
          <cell r="D955">
            <v>0</v>
          </cell>
        </row>
        <row r="956">
          <cell r="A956" t="str">
            <v>PREMIUM CO</v>
          </cell>
          <cell r="B956" t="str">
            <v>LLECTION</v>
          </cell>
          <cell r="D956">
            <v>0</v>
          </cell>
        </row>
        <row r="957">
          <cell r="A957" t="str">
            <v>PREMIUM DE</v>
          </cell>
          <cell r="B957" t="str">
            <v>BTORS - API</v>
          </cell>
          <cell r="D957">
            <v>0</v>
          </cell>
        </row>
        <row r="958">
          <cell r="A958" t="str">
            <v>PREMIUM IN</v>
          </cell>
          <cell r="B958" t="str">
            <v>COMES</v>
          </cell>
          <cell r="D958">
            <v>0</v>
          </cell>
        </row>
        <row r="959">
          <cell r="A959" t="str">
            <v>PREMIUM IN</v>
          </cell>
          <cell r="B959" t="str">
            <v>COME-PREDEBIT</v>
          </cell>
          <cell r="D959">
            <v>0</v>
          </cell>
        </row>
        <row r="960">
          <cell r="A960" t="str">
            <v>PREMIUM IN</v>
          </cell>
          <cell r="B960" t="str">
            <v>COME -API</v>
          </cell>
          <cell r="D960">
            <v>0</v>
          </cell>
        </row>
        <row r="961">
          <cell r="A961" t="str">
            <v>PREMIUM IN</v>
          </cell>
          <cell r="B961" t="str">
            <v>COMES - CORPORATE</v>
          </cell>
          <cell r="D961">
            <v>0</v>
          </cell>
        </row>
        <row r="962">
          <cell r="A962" t="str">
            <v>PREMIUM IN</v>
          </cell>
          <cell r="B962" t="str">
            <v>COME</v>
          </cell>
          <cell r="D962">
            <v>0</v>
          </cell>
        </row>
        <row r="963">
          <cell r="A963" t="str">
            <v>PREMIUM WA</v>
          </cell>
          <cell r="B963" t="str">
            <v>IVER</v>
          </cell>
          <cell r="D963">
            <v>0</v>
          </cell>
        </row>
        <row r="964">
          <cell r="A964" t="str">
            <v>PREPAYMENT</v>
          </cell>
          <cell r="B964" t="str">
            <v>S</v>
          </cell>
          <cell r="D964">
            <v>0</v>
          </cell>
        </row>
        <row r="965">
          <cell r="A965" t="str">
            <v>PRIOR YEAR</v>
          </cell>
          <cell r="B965" t="str">
            <v>ADJUSTMENTS</v>
          </cell>
          <cell r="D965">
            <v>0</v>
          </cell>
        </row>
        <row r="966">
          <cell r="A966" t="str">
            <v>PROFESSI</v>
          </cell>
          <cell r="B966" t="str">
            <v>ONAL &amp; GROUP CHARGES TOTAL:</v>
          </cell>
          <cell r="C966">
            <v>8691152.75</v>
          </cell>
          <cell r="D966">
            <v>-222348.49</v>
          </cell>
          <cell r="F966">
            <v>8468804.2599999998</v>
          </cell>
        </row>
        <row r="967">
          <cell r="A967" t="str">
            <v>PROFESSION</v>
          </cell>
          <cell r="B967" t="str">
            <v>AL &amp; GROUP CHARGES</v>
          </cell>
          <cell r="D967">
            <v>0</v>
          </cell>
        </row>
        <row r="968">
          <cell r="A968" t="str">
            <v>PROFESSION</v>
          </cell>
          <cell r="B968" t="str">
            <v>AL FEES</v>
          </cell>
          <cell r="D968">
            <v>0</v>
          </cell>
        </row>
        <row r="969">
          <cell r="A969" t="str">
            <v>PROFFESS</v>
          </cell>
          <cell r="B969" t="str">
            <v>IONAL &amp; GROUP CHARGES TOTAL:</v>
          </cell>
          <cell r="C969">
            <v>7585640.4000000004</v>
          </cell>
          <cell r="D969">
            <v>821681.2</v>
          </cell>
          <cell r="F969">
            <v>8407321.5999999996</v>
          </cell>
        </row>
        <row r="970">
          <cell r="A970" t="str">
            <v>PROFFESSIO</v>
          </cell>
          <cell r="B970" t="str">
            <v>NAL FEES</v>
          </cell>
          <cell r="D970">
            <v>0</v>
          </cell>
        </row>
        <row r="971">
          <cell r="A971" t="str">
            <v>PROFFESSIO</v>
          </cell>
          <cell r="B971" t="str">
            <v>NAL &amp; GROUP CHARGES</v>
          </cell>
          <cell r="D971">
            <v>0</v>
          </cell>
        </row>
        <row r="972">
          <cell r="A972" t="str">
            <v>PROPERTY</v>
          </cell>
          <cell r="B972" t="str">
            <v>EXPENSES TOTAL:</v>
          </cell>
          <cell r="C972">
            <v>30921960.5</v>
          </cell>
          <cell r="D972">
            <v>12253504.029999999</v>
          </cell>
          <cell r="F972">
            <v>43175464.530000001</v>
          </cell>
        </row>
        <row r="973">
          <cell r="A973" t="str">
            <v>PROPERTY</v>
          </cell>
          <cell r="B973" t="str">
            <v>EXPENSES TOTAL:</v>
          </cell>
          <cell r="C973">
            <v>0</v>
          </cell>
          <cell r="D973">
            <v>514837</v>
          </cell>
          <cell r="F973">
            <v>514837</v>
          </cell>
        </row>
        <row r="974">
          <cell r="A974" t="str">
            <v>PROPERTY E</v>
          </cell>
          <cell r="B974" t="str">
            <v>XPENSES</v>
          </cell>
          <cell r="D974">
            <v>0</v>
          </cell>
        </row>
        <row r="975">
          <cell r="A975" t="str">
            <v>PROPERTY E</v>
          </cell>
          <cell r="B975" t="str">
            <v>XPENSES</v>
          </cell>
          <cell r="D975">
            <v>0</v>
          </cell>
        </row>
        <row r="976">
          <cell r="A976" t="str">
            <v>PROPERTY E</v>
          </cell>
          <cell r="B976" t="str">
            <v>XPENSES</v>
          </cell>
          <cell r="D976">
            <v>0</v>
          </cell>
        </row>
        <row r="977">
          <cell r="A977" t="str">
            <v>REASSURANC</v>
          </cell>
          <cell r="B977" t="str">
            <v>E PREMIUMS</v>
          </cell>
          <cell r="D977">
            <v>0</v>
          </cell>
        </row>
        <row r="978">
          <cell r="A978" t="str">
            <v>REINSURANC</v>
          </cell>
          <cell r="B978" t="str">
            <v>E CONTROL</v>
          </cell>
          <cell r="D978">
            <v>0</v>
          </cell>
        </row>
        <row r="979">
          <cell r="A979" t="str">
            <v>REINSURANC</v>
          </cell>
          <cell r="B979" t="str">
            <v>E EXPENSES</v>
          </cell>
          <cell r="D979">
            <v>0</v>
          </cell>
        </row>
        <row r="980">
          <cell r="A980" t="str">
            <v>REINSURANC</v>
          </cell>
          <cell r="B980" t="str">
            <v>E PREMIUMS</v>
          </cell>
          <cell r="D980">
            <v>0</v>
          </cell>
        </row>
        <row r="981">
          <cell r="A981" t="str">
            <v>PROFESSION</v>
          </cell>
          <cell r="B981" t="str">
            <v>AL FEES</v>
          </cell>
          <cell r="D981">
            <v>0</v>
          </cell>
        </row>
        <row r="982">
          <cell r="A982" t="str">
            <v>PROFFESS</v>
          </cell>
          <cell r="B982" t="str">
            <v>IONAL &amp; GROUP CHARGES TOTAL:</v>
          </cell>
          <cell r="C982">
            <v>7585640.4000000004</v>
          </cell>
          <cell r="D982">
            <v>458118.8</v>
          </cell>
          <cell r="F982">
            <v>8043759.2000000002</v>
          </cell>
        </row>
        <row r="983">
          <cell r="A983" t="str">
            <v>PROFFESSIO</v>
          </cell>
          <cell r="B983" t="str">
            <v>NAL FEES</v>
          </cell>
          <cell r="D983">
            <v>0</v>
          </cell>
        </row>
        <row r="984">
          <cell r="A984" t="str">
            <v>PROFFESSIO</v>
          </cell>
          <cell r="B984" t="str">
            <v>NAL &amp; GROUP CHARGES</v>
          </cell>
          <cell r="D984">
            <v>0</v>
          </cell>
        </row>
        <row r="985">
          <cell r="A985" t="str">
            <v>PROPERTY</v>
          </cell>
          <cell r="B985" t="str">
            <v>EXPENSES TOTAL:</v>
          </cell>
          <cell r="C985">
            <v>30921960.5</v>
          </cell>
          <cell r="D985">
            <v>8070638.0300000003</v>
          </cell>
          <cell r="F985">
            <v>38992598.530000001</v>
          </cell>
        </row>
        <row r="986">
          <cell r="A986" t="str">
            <v>PROPERTY</v>
          </cell>
          <cell r="B986" t="str">
            <v>EXPENSES TOTAL:</v>
          </cell>
          <cell r="C986">
            <v>0</v>
          </cell>
          <cell r="D986">
            <v>430057</v>
          </cell>
          <cell r="F986">
            <v>430057</v>
          </cell>
        </row>
        <row r="987">
          <cell r="A987" t="str">
            <v>PROPERTY E</v>
          </cell>
          <cell r="B987" t="str">
            <v>XPENSES</v>
          </cell>
          <cell r="D987">
            <v>0</v>
          </cell>
        </row>
        <row r="988">
          <cell r="A988" t="str">
            <v>PROPERTY E</v>
          </cell>
          <cell r="B988" t="str">
            <v>XPENSES</v>
          </cell>
          <cell r="D988">
            <v>0</v>
          </cell>
        </row>
        <row r="989">
          <cell r="A989" t="str">
            <v>PROPERTY E</v>
          </cell>
          <cell r="B989" t="str">
            <v>XPENSES</v>
          </cell>
          <cell r="D989">
            <v>0</v>
          </cell>
        </row>
        <row r="990">
          <cell r="A990" t="str">
            <v>REASSURANC</v>
          </cell>
          <cell r="B990" t="str">
            <v>E PREMIUMS</v>
          </cell>
          <cell r="D990">
            <v>0</v>
          </cell>
        </row>
        <row r="991">
          <cell r="A991" t="str">
            <v>REINSURANC</v>
          </cell>
          <cell r="B991" t="str">
            <v>E CONTROL</v>
          </cell>
          <cell r="D991">
            <v>0</v>
          </cell>
        </row>
        <row r="992">
          <cell r="A992" t="str">
            <v>REINSURANC</v>
          </cell>
          <cell r="B992" t="str">
            <v>E EXPENSES</v>
          </cell>
          <cell r="D992">
            <v>0</v>
          </cell>
        </row>
        <row r="993">
          <cell r="A993" t="str">
            <v>REINSURANC</v>
          </cell>
          <cell r="B993" t="str">
            <v>E PREMIUMS</v>
          </cell>
          <cell r="D993">
            <v>0</v>
          </cell>
        </row>
        <row r="994">
          <cell r="A994" t="str">
            <v>RELATED PA</v>
          </cell>
          <cell r="B994" t="str">
            <v>RTY CONTROL ACCOUNTS</v>
          </cell>
          <cell r="D994">
            <v>0</v>
          </cell>
        </row>
        <row r="995">
          <cell r="H995">
            <v>172234470.68000001</v>
          </cell>
        </row>
      </sheetData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ccount 1"/>
      <sheetName val="Recovery"/>
      <sheetName val="BAS - Revenue pipelines"/>
      <sheetName val="BAS - Trn Details"/>
      <sheetName val="NLS - Revenue pipelines"/>
      <sheetName val="NLS - Trn Details"/>
      <sheetName val="Capital returns progress"/>
    </sheetNames>
    <sheetDataSet>
      <sheetData sheetId="0">
        <row r="15">
          <cell r="J15" t="e">
            <v>#REF!</v>
          </cell>
        </row>
        <row r="16">
          <cell r="J16" t="e">
            <v>#REF!</v>
          </cell>
        </row>
        <row r="17">
          <cell r="J17" t="e">
            <v>#REF!</v>
          </cell>
        </row>
        <row r="18">
          <cell r="J18" t="e">
            <v>#REF!</v>
          </cell>
        </row>
        <row r="19">
          <cell r="J19" t="e">
            <v>#REF!</v>
          </cell>
        </row>
        <row r="20">
          <cell r="J20" t="e">
            <v>#REF!</v>
          </cell>
        </row>
        <row r="21">
          <cell r="J21">
            <v>0</v>
          </cell>
        </row>
        <row r="22">
          <cell r="J22">
            <v>0</v>
          </cell>
        </row>
        <row r="23">
          <cell r="J23">
            <v>0</v>
          </cell>
        </row>
        <row r="24">
          <cell r="J24">
            <v>0</v>
          </cell>
        </row>
        <row r="25">
          <cell r="J25">
            <v>0</v>
          </cell>
        </row>
        <row r="26">
          <cell r="J26">
            <v>0</v>
          </cell>
        </row>
        <row r="27">
          <cell r="J27">
            <v>0</v>
          </cell>
        </row>
        <row r="28">
          <cell r="J28">
            <v>0</v>
          </cell>
        </row>
        <row r="29">
          <cell r="J29">
            <v>0</v>
          </cell>
        </row>
        <row r="30">
          <cell r="J30">
            <v>0</v>
          </cell>
        </row>
        <row r="31">
          <cell r="J31">
            <v>0</v>
          </cell>
        </row>
        <row r="32">
          <cell r="J32">
            <v>0</v>
          </cell>
        </row>
        <row r="33">
          <cell r="J33">
            <v>0</v>
          </cell>
        </row>
        <row r="34">
          <cell r="J34">
            <v>0</v>
          </cell>
        </row>
        <row r="35">
          <cell r="J35">
            <v>0</v>
          </cell>
        </row>
        <row r="36">
          <cell r="J36">
            <v>0</v>
          </cell>
        </row>
        <row r="37">
          <cell r="J37">
            <v>0</v>
          </cell>
        </row>
        <row r="38">
          <cell r="J38">
            <v>0</v>
          </cell>
        </row>
        <row r="39">
          <cell r="J39">
            <v>0</v>
          </cell>
        </row>
        <row r="40">
          <cell r="J40">
            <v>0</v>
          </cell>
        </row>
        <row r="41">
          <cell r="J41">
            <v>0</v>
          </cell>
        </row>
        <row r="42">
          <cell r="J42">
            <v>0</v>
          </cell>
        </row>
        <row r="43">
          <cell r="J43">
            <v>0</v>
          </cell>
        </row>
        <row r="44">
          <cell r="J44">
            <v>0</v>
          </cell>
        </row>
        <row r="45">
          <cell r="J45">
            <v>0</v>
          </cell>
        </row>
        <row r="46">
          <cell r="J46">
            <v>0</v>
          </cell>
        </row>
        <row r="47">
          <cell r="J47">
            <v>0</v>
          </cell>
        </row>
        <row r="48">
          <cell r="J48">
            <v>0</v>
          </cell>
        </row>
        <row r="49">
          <cell r="J49">
            <v>0</v>
          </cell>
        </row>
        <row r="50">
          <cell r="J50">
            <v>0</v>
          </cell>
        </row>
        <row r="51">
          <cell r="J51">
            <v>0</v>
          </cell>
        </row>
        <row r="52">
          <cell r="J52">
            <v>0</v>
          </cell>
        </row>
        <row r="53">
          <cell r="J53">
            <v>0</v>
          </cell>
        </row>
        <row r="54">
          <cell r="J54">
            <v>0</v>
          </cell>
        </row>
        <row r="55">
          <cell r="J55">
            <v>0</v>
          </cell>
        </row>
        <row r="56">
          <cell r="J56">
            <v>0</v>
          </cell>
        </row>
        <row r="57">
          <cell r="J57">
            <v>0</v>
          </cell>
        </row>
        <row r="58">
          <cell r="J58">
            <v>0</v>
          </cell>
        </row>
        <row r="59">
          <cell r="J59">
            <v>0</v>
          </cell>
        </row>
        <row r="60">
          <cell r="J60">
            <v>0</v>
          </cell>
        </row>
        <row r="61">
          <cell r="J61">
            <v>0</v>
          </cell>
        </row>
        <row r="62">
          <cell r="J62">
            <v>0</v>
          </cell>
        </row>
        <row r="63">
          <cell r="J63">
            <v>0</v>
          </cell>
        </row>
        <row r="64">
          <cell r="J64">
            <v>0</v>
          </cell>
        </row>
        <row r="65">
          <cell r="J65">
            <v>0</v>
          </cell>
        </row>
        <row r="66">
          <cell r="J66">
            <v>0</v>
          </cell>
        </row>
        <row r="67">
          <cell r="J67">
            <v>0</v>
          </cell>
        </row>
        <row r="68">
          <cell r="J68">
            <v>0</v>
          </cell>
        </row>
        <row r="69">
          <cell r="J69">
            <v>0</v>
          </cell>
        </row>
        <row r="70">
          <cell r="J70">
            <v>0</v>
          </cell>
        </row>
        <row r="71">
          <cell r="J71">
            <v>0</v>
          </cell>
        </row>
        <row r="72">
          <cell r="J72">
            <v>0</v>
          </cell>
        </row>
        <row r="73">
          <cell r="J73">
            <v>0</v>
          </cell>
        </row>
        <row r="74">
          <cell r="J74">
            <v>0</v>
          </cell>
        </row>
        <row r="75">
          <cell r="J75">
            <v>0</v>
          </cell>
        </row>
        <row r="76">
          <cell r="J76">
            <v>0</v>
          </cell>
        </row>
        <row r="77">
          <cell r="J77">
            <v>0</v>
          </cell>
        </row>
        <row r="78">
          <cell r="J78">
            <v>0</v>
          </cell>
        </row>
        <row r="79">
          <cell r="J79">
            <v>0</v>
          </cell>
        </row>
        <row r="80">
          <cell r="J80">
            <v>0</v>
          </cell>
        </row>
        <row r="81">
          <cell r="J81">
            <v>0</v>
          </cell>
        </row>
        <row r="82">
          <cell r="J82">
            <v>0</v>
          </cell>
        </row>
        <row r="83">
          <cell r="J83">
            <v>0</v>
          </cell>
        </row>
        <row r="84">
          <cell r="J84">
            <v>0</v>
          </cell>
        </row>
        <row r="85">
          <cell r="J85">
            <v>0</v>
          </cell>
        </row>
        <row r="86">
          <cell r="J86">
            <v>0</v>
          </cell>
        </row>
        <row r="87">
          <cell r="J87">
            <v>0</v>
          </cell>
        </row>
        <row r="88">
          <cell r="J88">
            <v>0</v>
          </cell>
        </row>
        <row r="89">
          <cell r="J89">
            <v>0</v>
          </cell>
        </row>
        <row r="90">
          <cell r="J90">
            <v>0</v>
          </cell>
        </row>
        <row r="91">
          <cell r="J91">
            <v>0</v>
          </cell>
        </row>
        <row r="92">
          <cell r="J92">
            <v>0</v>
          </cell>
        </row>
        <row r="93">
          <cell r="J93">
            <v>0</v>
          </cell>
        </row>
        <row r="94">
          <cell r="J94">
            <v>0</v>
          </cell>
        </row>
        <row r="95">
          <cell r="J95">
            <v>0</v>
          </cell>
        </row>
        <row r="96">
          <cell r="J96">
            <v>0</v>
          </cell>
        </row>
        <row r="97">
          <cell r="J97">
            <v>0</v>
          </cell>
        </row>
        <row r="98">
          <cell r="J98">
            <v>0</v>
          </cell>
        </row>
        <row r="99">
          <cell r="J99">
            <v>0</v>
          </cell>
        </row>
        <row r="100">
          <cell r="J100">
            <v>0</v>
          </cell>
        </row>
        <row r="101">
          <cell r="J101">
            <v>0</v>
          </cell>
        </row>
        <row r="102">
          <cell r="J102">
            <v>0</v>
          </cell>
        </row>
        <row r="103">
          <cell r="J103">
            <v>0</v>
          </cell>
        </row>
        <row r="104">
          <cell r="J104">
            <v>0</v>
          </cell>
        </row>
        <row r="105">
          <cell r="J105">
            <v>0</v>
          </cell>
        </row>
        <row r="106">
          <cell r="J106">
            <v>0</v>
          </cell>
        </row>
        <row r="107">
          <cell r="J107">
            <v>0</v>
          </cell>
        </row>
        <row r="108">
          <cell r="J108">
            <v>0</v>
          </cell>
        </row>
        <row r="109">
          <cell r="J109">
            <v>0</v>
          </cell>
        </row>
        <row r="110">
          <cell r="J110">
            <v>0</v>
          </cell>
        </row>
        <row r="111">
          <cell r="J111">
            <v>0</v>
          </cell>
        </row>
        <row r="112">
          <cell r="J112">
            <v>0</v>
          </cell>
        </row>
        <row r="113">
          <cell r="J113">
            <v>0</v>
          </cell>
        </row>
        <row r="114">
          <cell r="J114">
            <v>0</v>
          </cell>
        </row>
        <row r="115">
          <cell r="J115">
            <v>0</v>
          </cell>
        </row>
        <row r="116">
          <cell r="J116">
            <v>0</v>
          </cell>
        </row>
        <row r="117">
          <cell r="J117">
            <v>0</v>
          </cell>
        </row>
        <row r="118">
          <cell r="J118">
            <v>0</v>
          </cell>
        </row>
        <row r="119">
          <cell r="J119">
            <v>0</v>
          </cell>
        </row>
        <row r="120">
          <cell r="J120">
            <v>0</v>
          </cell>
        </row>
        <row r="121">
          <cell r="J121">
            <v>0</v>
          </cell>
        </row>
        <row r="122">
          <cell r="J122">
            <v>0</v>
          </cell>
        </row>
        <row r="123">
          <cell r="J123">
            <v>0</v>
          </cell>
        </row>
        <row r="124">
          <cell r="J124">
            <v>0</v>
          </cell>
        </row>
        <row r="125">
          <cell r="J125">
            <v>0</v>
          </cell>
        </row>
        <row r="126">
          <cell r="J126">
            <v>0</v>
          </cell>
        </row>
        <row r="127">
          <cell r="J127">
            <v>0</v>
          </cell>
        </row>
        <row r="128">
          <cell r="J128">
            <v>0</v>
          </cell>
        </row>
        <row r="129">
          <cell r="J129">
            <v>0</v>
          </cell>
        </row>
        <row r="130">
          <cell r="J130">
            <v>0</v>
          </cell>
        </row>
        <row r="131">
          <cell r="J131">
            <v>0</v>
          </cell>
        </row>
        <row r="132">
          <cell r="J132">
            <v>0</v>
          </cell>
        </row>
        <row r="133">
          <cell r="J133">
            <v>0</v>
          </cell>
        </row>
        <row r="134">
          <cell r="J134">
            <v>0</v>
          </cell>
        </row>
        <row r="135">
          <cell r="J135">
            <v>0</v>
          </cell>
        </row>
        <row r="136">
          <cell r="J136">
            <v>0</v>
          </cell>
        </row>
        <row r="137">
          <cell r="J137">
            <v>0</v>
          </cell>
        </row>
        <row r="138">
          <cell r="J138">
            <v>0</v>
          </cell>
        </row>
        <row r="139">
          <cell r="J139">
            <v>0</v>
          </cell>
        </row>
        <row r="140">
          <cell r="J140">
            <v>0</v>
          </cell>
        </row>
        <row r="141">
          <cell r="J141">
            <v>0</v>
          </cell>
        </row>
        <row r="142">
          <cell r="J142">
            <v>0</v>
          </cell>
        </row>
        <row r="143">
          <cell r="J143">
            <v>0</v>
          </cell>
        </row>
        <row r="144">
          <cell r="J144">
            <v>0</v>
          </cell>
        </row>
        <row r="145">
          <cell r="J145">
            <v>0</v>
          </cell>
        </row>
        <row r="146">
          <cell r="J146">
            <v>0</v>
          </cell>
        </row>
        <row r="147">
          <cell r="J147">
            <v>0</v>
          </cell>
        </row>
        <row r="148">
          <cell r="J148">
            <v>0</v>
          </cell>
        </row>
        <row r="149">
          <cell r="J149">
            <v>0</v>
          </cell>
        </row>
        <row r="150">
          <cell r="J150">
            <v>0</v>
          </cell>
        </row>
        <row r="151">
          <cell r="J151">
            <v>0</v>
          </cell>
        </row>
        <row r="152">
          <cell r="J152">
            <v>0</v>
          </cell>
        </row>
        <row r="153">
          <cell r="J153">
            <v>0</v>
          </cell>
        </row>
        <row r="154">
          <cell r="J154">
            <v>0</v>
          </cell>
        </row>
        <row r="155">
          <cell r="J155">
            <v>0</v>
          </cell>
        </row>
        <row r="156">
          <cell r="J156">
            <v>0</v>
          </cell>
        </row>
        <row r="157">
          <cell r="J157">
            <v>0</v>
          </cell>
        </row>
        <row r="158">
          <cell r="J158">
            <v>0</v>
          </cell>
        </row>
        <row r="159">
          <cell r="J159">
            <v>0</v>
          </cell>
        </row>
        <row r="160">
          <cell r="J160">
            <v>0</v>
          </cell>
        </row>
        <row r="161">
          <cell r="J161">
            <v>0</v>
          </cell>
        </row>
        <row r="162">
          <cell r="J162">
            <v>0</v>
          </cell>
        </row>
        <row r="163">
          <cell r="J163">
            <v>0</v>
          </cell>
        </row>
        <row r="164">
          <cell r="J164">
            <v>0</v>
          </cell>
        </row>
        <row r="165">
          <cell r="J165">
            <v>0</v>
          </cell>
        </row>
        <row r="166">
          <cell r="J166">
            <v>0</v>
          </cell>
        </row>
        <row r="167">
          <cell r="J167">
            <v>0</v>
          </cell>
        </row>
        <row r="168">
          <cell r="J168">
            <v>0</v>
          </cell>
        </row>
        <row r="169">
          <cell r="J169">
            <v>0</v>
          </cell>
        </row>
        <row r="170">
          <cell r="J170">
            <v>0</v>
          </cell>
        </row>
        <row r="171">
          <cell r="J171">
            <v>0</v>
          </cell>
        </row>
        <row r="172">
          <cell r="J172">
            <v>0</v>
          </cell>
        </row>
        <row r="173">
          <cell r="J173">
            <v>0</v>
          </cell>
        </row>
        <row r="174">
          <cell r="J174">
            <v>0</v>
          </cell>
        </row>
        <row r="175">
          <cell r="J175">
            <v>0</v>
          </cell>
        </row>
        <row r="176">
          <cell r="J176">
            <v>0</v>
          </cell>
        </row>
        <row r="177">
          <cell r="J177">
            <v>0</v>
          </cell>
        </row>
        <row r="178">
          <cell r="J178">
            <v>0</v>
          </cell>
        </row>
        <row r="179">
          <cell r="J179">
            <v>0</v>
          </cell>
        </row>
        <row r="180">
          <cell r="J180">
            <v>0</v>
          </cell>
        </row>
        <row r="181">
          <cell r="J181">
            <v>0</v>
          </cell>
        </row>
        <row r="182">
          <cell r="J182">
            <v>0</v>
          </cell>
        </row>
        <row r="183">
          <cell r="J183">
            <v>0</v>
          </cell>
        </row>
        <row r="184">
          <cell r="J184">
            <v>0</v>
          </cell>
        </row>
        <row r="185">
          <cell r="J185">
            <v>0</v>
          </cell>
        </row>
        <row r="186">
          <cell r="J186">
            <v>0</v>
          </cell>
        </row>
        <row r="187">
          <cell r="J187">
            <v>0</v>
          </cell>
        </row>
        <row r="188">
          <cell r="J188">
            <v>0</v>
          </cell>
        </row>
        <row r="189">
          <cell r="J189">
            <v>0</v>
          </cell>
        </row>
        <row r="190">
          <cell r="J190">
            <v>0</v>
          </cell>
        </row>
        <row r="191">
          <cell r="J191">
            <v>0</v>
          </cell>
        </row>
        <row r="192">
          <cell r="J192">
            <v>0</v>
          </cell>
        </row>
        <row r="193">
          <cell r="J193">
            <v>0</v>
          </cell>
        </row>
        <row r="194">
          <cell r="J194">
            <v>0</v>
          </cell>
        </row>
        <row r="195">
          <cell r="J195">
            <v>0</v>
          </cell>
        </row>
        <row r="196">
          <cell r="J196">
            <v>0</v>
          </cell>
        </row>
        <row r="197">
          <cell r="J197">
            <v>0</v>
          </cell>
        </row>
        <row r="198">
          <cell r="J198">
            <v>0</v>
          </cell>
        </row>
        <row r="199">
          <cell r="J199">
            <v>0</v>
          </cell>
        </row>
        <row r="200">
          <cell r="J200">
            <v>0</v>
          </cell>
        </row>
        <row r="201">
          <cell r="J201">
            <v>0</v>
          </cell>
        </row>
        <row r="202">
          <cell r="J202">
            <v>0</v>
          </cell>
        </row>
        <row r="203">
          <cell r="J203">
            <v>0</v>
          </cell>
        </row>
        <row r="204">
          <cell r="J204">
            <v>0</v>
          </cell>
        </row>
        <row r="205">
          <cell r="J205">
            <v>0</v>
          </cell>
        </row>
        <row r="206">
          <cell r="J206">
            <v>0</v>
          </cell>
        </row>
        <row r="207">
          <cell r="J207">
            <v>0</v>
          </cell>
        </row>
        <row r="208">
          <cell r="J208">
            <v>0</v>
          </cell>
        </row>
        <row r="209">
          <cell r="J209">
            <v>0</v>
          </cell>
        </row>
        <row r="210">
          <cell r="J210">
            <v>0</v>
          </cell>
        </row>
        <row r="211">
          <cell r="J211">
            <v>0</v>
          </cell>
        </row>
        <row r="212">
          <cell r="J212">
            <v>0</v>
          </cell>
        </row>
        <row r="213">
          <cell r="J213">
            <v>0</v>
          </cell>
        </row>
        <row r="214">
          <cell r="J214">
            <v>0</v>
          </cell>
        </row>
        <row r="215">
          <cell r="J215">
            <v>0</v>
          </cell>
        </row>
        <row r="216">
          <cell r="J216">
            <v>0</v>
          </cell>
        </row>
        <row r="217">
          <cell r="J217">
            <v>0</v>
          </cell>
        </row>
        <row r="218">
          <cell r="J218">
            <v>0</v>
          </cell>
        </row>
        <row r="219">
          <cell r="J219">
            <v>0</v>
          </cell>
        </row>
        <row r="220">
          <cell r="J220">
            <v>0</v>
          </cell>
        </row>
        <row r="221">
          <cell r="J221">
            <v>0</v>
          </cell>
        </row>
        <row r="222">
          <cell r="J222">
            <v>0</v>
          </cell>
        </row>
        <row r="223">
          <cell r="J223">
            <v>0</v>
          </cell>
        </row>
        <row r="224">
          <cell r="J224">
            <v>0</v>
          </cell>
        </row>
        <row r="225">
          <cell r="J225">
            <v>0</v>
          </cell>
        </row>
        <row r="226">
          <cell r="J226">
            <v>0</v>
          </cell>
        </row>
        <row r="227">
          <cell r="J227">
            <v>0</v>
          </cell>
        </row>
        <row r="228">
          <cell r="J228">
            <v>0</v>
          </cell>
        </row>
        <row r="229">
          <cell r="J229">
            <v>0</v>
          </cell>
        </row>
        <row r="230">
          <cell r="J230">
            <v>0</v>
          </cell>
        </row>
        <row r="231">
          <cell r="J231">
            <v>0</v>
          </cell>
        </row>
        <row r="232">
          <cell r="J232">
            <v>0</v>
          </cell>
        </row>
        <row r="233">
          <cell r="J233">
            <v>0</v>
          </cell>
        </row>
        <row r="234">
          <cell r="J234">
            <v>0</v>
          </cell>
        </row>
        <row r="235">
          <cell r="J235">
            <v>0</v>
          </cell>
        </row>
        <row r="236">
          <cell r="J236">
            <v>0</v>
          </cell>
        </row>
        <row r="237">
          <cell r="J237">
            <v>0</v>
          </cell>
        </row>
        <row r="238">
          <cell r="J238">
            <v>0</v>
          </cell>
        </row>
        <row r="239">
          <cell r="J239">
            <v>0</v>
          </cell>
        </row>
        <row r="240">
          <cell r="J240">
            <v>0</v>
          </cell>
        </row>
        <row r="241">
          <cell r="J241">
            <v>0</v>
          </cell>
        </row>
        <row r="242">
          <cell r="J242">
            <v>0</v>
          </cell>
        </row>
        <row r="243">
          <cell r="J243">
            <v>0</v>
          </cell>
        </row>
        <row r="244">
          <cell r="J244">
            <v>0</v>
          </cell>
        </row>
        <row r="245">
          <cell r="J245">
            <v>0</v>
          </cell>
        </row>
        <row r="246">
          <cell r="J246">
            <v>0</v>
          </cell>
        </row>
        <row r="247">
          <cell r="J247">
            <v>0</v>
          </cell>
        </row>
        <row r="248">
          <cell r="J248">
            <v>0</v>
          </cell>
        </row>
        <row r="249">
          <cell r="J249">
            <v>0</v>
          </cell>
        </row>
        <row r="250">
          <cell r="J250">
            <v>0</v>
          </cell>
        </row>
        <row r="251">
          <cell r="J251">
            <v>0</v>
          </cell>
        </row>
        <row r="252">
          <cell r="J252">
            <v>0</v>
          </cell>
        </row>
        <row r="253">
          <cell r="J253">
            <v>0</v>
          </cell>
        </row>
        <row r="254">
          <cell r="J254">
            <v>0</v>
          </cell>
        </row>
        <row r="255">
          <cell r="J255">
            <v>0</v>
          </cell>
        </row>
        <row r="256">
          <cell r="J256">
            <v>0</v>
          </cell>
        </row>
        <row r="257">
          <cell r="J257">
            <v>0</v>
          </cell>
        </row>
        <row r="258">
          <cell r="J258">
            <v>0</v>
          </cell>
        </row>
        <row r="259">
          <cell r="J259">
            <v>0</v>
          </cell>
        </row>
        <row r="260">
          <cell r="J260">
            <v>0</v>
          </cell>
        </row>
        <row r="261">
          <cell r="J261">
            <v>0</v>
          </cell>
        </row>
        <row r="262">
          <cell r="J262">
            <v>0</v>
          </cell>
        </row>
        <row r="263">
          <cell r="J263">
            <v>0</v>
          </cell>
        </row>
        <row r="264">
          <cell r="J264">
            <v>0</v>
          </cell>
        </row>
        <row r="265">
          <cell r="J265">
            <v>0</v>
          </cell>
        </row>
        <row r="266">
          <cell r="J266">
            <v>0</v>
          </cell>
        </row>
        <row r="267">
          <cell r="J267">
            <v>0</v>
          </cell>
        </row>
        <row r="268">
          <cell r="J268">
            <v>0</v>
          </cell>
        </row>
        <row r="269">
          <cell r="J269">
            <v>0</v>
          </cell>
        </row>
        <row r="270">
          <cell r="J270">
            <v>0</v>
          </cell>
        </row>
        <row r="271">
          <cell r="J271">
            <v>0</v>
          </cell>
        </row>
        <row r="272">
          <cell r="J272">
            <v>0</v>
          </cell>
        </row>
        <row r="273">
          <cell r="J273">
            <v>0</v>
          </cell>
        </row>
        <row r="274">
          <cell r="J274">
            <v>0</v>
          </cell>
        </row>
        <row r="275">
          <cell r="J275">
            <v>0</v>
          </cell>
        </row>
        <row r="276">
          <cell r="J276">
            <v>0</v>
          </cell>
        </row>
        <row r="277">
          <cell r="J277">
            <v>0</v>
          </cell>
        </row>
        <row r="278">
          <cell r="J278">
            <v>0</v>
          </cell>
        </row>
        <row r="279">
          <cell r="J279">
            <v>0</v>
          </cell>
        </row>
        <row r="280">
          <cell r="J280">
            <v>0</v>
          </cell>
        </row>
        <row r="281">
          <cell r="J281">
            <v>0</v>
          </cell>
        </row>
        <row r="282">
          <cell r="J282">
            <v>0</v>
          </cell>
        </row>
        <row r="283">
          <cell r="J283">
            <v>0</v>
          </cell>
        </row>
        <row r="284">
          <cell r="J284">
            <v>0</v>
          </cell>
        </row>
        <row r="285">
          <cell r="J285">
            <v>0</v>
          </cell>
        </row>
        <row r="286">
          <cell r="J286">
            <v>0</v>
          </cell>
        </row>
        <row r="287">
          <cell r="J287">
            <v>0</v>
          </cell>
        </row>
        <row r="288">
          <cell r="J288">
            <v>0</v>
          </cell>
        </row>
        <row r="289">
          <cell r="J289">
            <v>0</v>
          </cell>
        </row>
        <row r="290">
          <cell r="J290">
            <v>0</v>
          </cell>
        </row>
        <row r="291">
          <cell r="J291">
            <v>0</v>
          </cell>
        </row>
        <row r="292">
          <cell r="J292">
            <v>0</v>
          </cell>
        </row>
        <row r="293">
          <cell r="J293">
            <v>0</v>
          </cell>
        </row>
        <row r="294">
          <cell r="J294">
            <v>0</v>
          </cell>
        </row>
        <row r="295">
          <cell r="J295">
            <v>0</v>
          </cell>
        </row>
        <row r="296">
          <cell r="J296">
            <v>0</v>
          </cell>
        </row>
        <row r="297">
          <cell r="J297">
            <v>0</v>
          </cell>
        </row>
        <row r="298">
          <cell r="J298">
            <v>0</v>
          </cell>
        </row>
        <row r="299">
          <cell r="J299">
            <v>0</v>
          </cell>
        </row>
        <row r="300">
          <cell r="J300">
            <v>0</v>
          </cell>
        </row>
        <row r="301">
          <cell r="J301">
            <v>0</v>
          </cell>
        </row>
        <row r="302">
          <cell r="J302">
            <v>0</v>
          </cell>
        </row>
        <row r="303">
          <cell r="J303">
            <v>0</v>
          </cell>
        </row>
        <row r="304">
          <cell r="J304">
            <v>0</v>
          </cell>
        </row>
        <row r="305">
          <cell r="J305">
            <v>0</v>
          </cell>
        </row>
        <row r="306">
          <cell r="J306">
            <v>0</v>
          </cell>
        </row>
        <row r="307">
          <cell r="J307">
            <v>0</v>
          </cell>
        </row>
        <row r="308">
          <cell r="J308">
            <v>0</v>
          </cell>
        </row>
        <row r="309">
          <cell r="J309">
            <v>0</v>
          </cell>
        </row>
        <row r="310">
          <cell r="J310">
            <v>0</v>
          </cell>
        </row>
        <row r="311">
          <cell r="J311">
            <v>0</v>
          </cell>
        </row>
        <row r="312">
          <cell r="J312">
            <v>0</v>
          </cell>
        </row>
        <row r="313">
          <cell r="J313">
            <v>0</v>
          </cell>
        </row>
        <row r="314">
          <cell r="J314">
            <v>0</v>
          </cell>
        </row>
        <row r="315">
          <cell r="J315">
            <v>0</v>
          </cell>
        </row>
        <row r="316">
          <cell r="J316">
            <v>0</v>
          </cell>
        </row>
        <row r="317">
          <cell r="J317">
            <v>0</v>
          </cell>
        </row>
        <row r="318">
          <cell r="J318">
            <v>0</v>
          </cell>
        </row>
        <row r="319">
          <cell r="J319">
            <v>0</v>
          </cell>
        </row>
        <row r="320">
          <cell r="J320">
            <v>0</v>
          </cell>
        </row>
        <row r="321">
          <cell r="J321">
            <v>0</v>
          </cell>
        </row>
        <row r="322">
          <cell r="J322">
            <v>0</v>
          </cell>
        </row>
        <row r="323">
          <cell r="J323">
            <v>0</v>
          </cell>
        </row>
        <row r="324">
          <cell r="J324">
            <v>0</v>
          </cell>
        </row>
        <row r="325">
          <cell r="J325">
            <v>0</v>
          </cell>
        </row>
        <row r="326">
          <cell r="J326">
            <v>0</v>
          </cell>
        </row>
        <row r="327">
          <cell r="J327">
            <v>0</v>
          </cell>
        </row>
        <row r="328">
          <cell r="J328">
            <v>0</v>
          </cell>
        </row>
        <row r="329">
          <cell r="J329">
            <v>0</v>
          </cell>
        </row>
        <row r="330">
          <cell r="J330">
            <v>0</v>
          </cell>
        </row>
        <row r="331">
          <cell r="J331">
            <v>0</v>
          </cell>
        </row>
        <row r="332">
          <cell r="J332">
            <v>0</v>
          </cell>
        </row>
        <row r="333">
          <cell r="J333">
            <v>0</v>
          </cell>
        </row>
        <row r="334">
          <cell r="J334">
            <v>0</v>
          </cell>
        </row>
        <row r="335">
          <cell r="J335">
            <v>0</v>
          </cell>
        </row>
        <row r="336">
          <cell r="J336">
            <v>0</v>
          </cell>
        </row>
        <row r="337">
          <cell r="J337">
            <v>0</v>
          </cell>
        </row>
        <row r="338">
          <cell r="J338">
            <v>0</v>
          </cell>
        </row>
        <row r="339">
          <cell r="J339">
            <v>0</v>
          </cell>
        </row>
        <row r="340">
          <cell r="J340">
            <v>0</v>
          </cell>
        </row>
        <row r="341">
          <cell r="J341">
            <v>0</v>
          </cell>
        </row>
        <row r="342">
          <cell r="J342">
            <v>0</v>
          </cell>
        </row>
        <row r="343">
          <cell r="J343">
            <v>0</v>
          </cell>
        </row>
        <row r="344">
          <cell r="J344">
            <v>0</v>
          </cell>
        </row>
        <row r="345">
          <cell r="J345">
            <v>0</v>
          </cell>
        </row>
        <row r="346">
          <cell r="J346">
            <v>0</v>
          </cell>
        </row>
        <row r="347">
          <cell r="J347">
            <v>0</v>
          </cell>
        </row>
        <row r="348">
          <cell r="J348">
            <v>0</v>
          </cell>
        </row>
        <row r="349">
          <cell r="J349">
            <v>0</v>
          </cell>
        </row>
        <row r="350">
          <cell r="J350">
            <v>0</v>
          </cell>
        </row>
        <row r="351">
          <cell r="J351">
            <v>0</v>
          </cell>
        </row>
        <row r="352">
          <cell r="J352">
            <v>0</v>
          </cell>
        </row>
        <row r="353">
          <cell r="J353">
            <v>0</v>
          </cell>
        </row>
        <row r="354">
          <cell r="J354">
            <v>0</v>
          </cell>
        </row>
        <row r="355">
          <cell r="J355">
            <v>0</v>
          </cell>
        </row>
        <row r="356">
          <cell r="J356">
            <v>0</v>
          </cell>
        </row>
        <row r="357">
          <cell r="J357">
            <v>0</v>
          </cell>
        </row>
        <row r="358">
          <cell r="J358">
            <v>0</v>
          </cell>
        </row>
        <row r="359">
          <cell r="J359">
            <v>0</v>
          </cell>
        </row>
        <row r="360">
          <cell r="J360">
            <v>0</v>
          </cell>
        </row>
        <row r="361">
          <cell r="J361">
            <v>0</v>
          </cell>
        </row>
        <row r="362">
          <cell r="J362">
            <v>0</v>
          </cell>
        </row>
        <row r="363">
          <cell r="J363">
            <v>0</v>
          </cell>
        </row>
        <row r="364">
          <cell r="J364">
            <v>0</v>
          </cell>
        </row>
        <row r="365">
          <cell r="J365">
            <v>0</v>
          </cell>
        </row>
        <row r="366">
          <cell r="J366">
            <v>0</v>
          </cell>
        </row>
        <row r="367">
          <cell r="J367">
            <v>0</v>
          </cell>
        </row>
        <row r="368">
          <cell r="J368">
            <v>0</v>
          </cell>
        </row>
        <row r="369">
          <cell r="J369">
            <v>0</v>
          </cell>
        </row>
        <row r="370">
          <cell r="J370">
            <v>0</v>
          </cell>
        </row>
        <row r="371">
          <cell r="J371">
            <v>0</v>
          </cell>
        </row>
        <row r="372">
          <cell r="J372">
            <v>0</v>
          </cell>
        </row>
        <row r="373">
          <cell r="J373">
            <v>0</v>
          </cell>
        </row>
        <row r="374">
          <cell r="J374">
            <v>0</v>
          </cell>
        </row>
        <row r="375">
          <cell r="J375">
            <v>0</v>
          </cell>
        </row>
        <row r="376">
          <cell r="J376">
            <v>0</v>
          </cell>
        </row>
        <row r="377">
          <cell r="J377">
            <v>0</v>
          </cell>
        </row>
        <row r="378">
          <cell r="J378">
            <v>0</v>
          </cell>
        </row>
        <row r="379">
          <cell r="J379">
            <v>0</v>
          </cell>
        </row>
        <row r="380">
          <cell r="J380">
            <v>0</v>
          </cell>
        </row>
        <row r="381">
          <cell r="J381">
            <v>0</v>
          </cell>
        </row>
        <row r="382">
          <cell r="J382">
            <v>0</v>
          </cell>
        </row>
        <row r="383">
          <cell r="J383">
            <v>0</v>
          </cell>
        </row>
        <row r="384">
          <cell r="J384">
            <v>0</v>
          </cell>
        </row>
        <row r="385">
          <cell r="J385">
            <v>0</v>
          </cell>
        </row>
        <row r="386">
          <cell r="J386">
            <v>0</v>
          </cell>
        </row>
        <row r="387">
          <cell r="J387">
            <v>0</v>
          </cell>
        </row>
        <row r="388">
          <cell r="J388">
            <v>0</v>
          </cell>
        </row>
        <row r="389">
          <cell r="J389">
            <v>0</v>
          </cell>
        </row>
        <row r="390">
          <cell r="J390">
            <v>0</v>
          </cell>
        </row>
        <row r="391">
          <cell r="J391">
            <v>0</v>
          </cell>
        </row>
        <row r="392">
          <cell r="J392">
            <v>0</v>
          </cell>
        </row>
        <row r="393">
          <cell r="J393">
            <v>0</v>
          </cell>
        </row>
        <row r="394">
          <cell r="J394">
            <v>0</v>
          </cell>
        </row>
        <row r="395">
          <cell r="J395">
            <v>0</v>
          </cell>
        </row>
        <row r="396">
          <cell r="J396">
            <v>0</v>
          </cell>
        </row>
        <row r="397">
          <cell r="J397">
            <v>0</v>
          </cell>
        </row>
        <row r="398">
          <cell r="J398">
            <v>0</v>
          </cell>
        </row>
        <row r="399">
          <cell r="J399">
            <v>0</v>
          </cell>
        </row>
        <row r="400">
          <cell r="J400">
            <v>0</v>
          </cell>
        </row>
        <row r="401">
          <cell r="J401">
            <v>0</v>
          </cell>
        </row>
        <row r="402">
          <cell r="J402">
            <v>0</v>
          </cell>
        </row>
        <row r="403">
          <cell r="J403">
            <v>0</v>
          </cell>
        </row>
        <row r="404">
          <cell r="J404">
            <v>0</v>
          </cell>
        </row>
        <row r="405">
          <cell r="J405">
            <v>0</v>
          </cell>
        </row>
        <row r="406">
          <cell r="J406">
            <v>0</v>
          </cell>
        </row>
        <row r="407">
          <cell r="J407">
            <v>0</v>
          </cell>
        </row>
        <row r="408">
          <cell r="J408">
            <v>0</v>
          </cell>
        </row>
        <row r="409">
          <cell r="J409">
            <v>0</v>
          </cell>
        </row>
        <row r="410">
          <cell r="J410">
            <v>0</v>
          </cell>
        </row>
        <row r="411">
          <cell r="J411">
            <v>0</v>
          </cell>
        </row>
        <row r="412">
          <cell r="J412">
            <v>0</v>
          </cell>
        </row>
        <row r="413">
          <cell r="J413">
            <v>0</v>
          </cell>
        </row>
        <row r="414">
          <cell r="J414">
            <v>0</v>
          </cell>
        </row>
        <row r="415">
          <cell r="J415">
            <v>0</v>
          </cell>
        </row>
        <row r="416">
          <cell r="J416">
            <v>0</v>
          </cell>
        </row>
        <row r="417">
          <cell r="J417">
            <v>0</v>
          </cell>
        </row>
        <row r="418">
          <cell r="J418">
            <v>0</v>
          </cell>
        </row>
        <row r="419">
          <cell r="J419">
            <v>0</v>
          </cell>
        </row>
        <row r="420">
          <cell r="J420">
            <v>0</v>
          </cell>
        </row>
        <row r="421">
          <cell r="J421">
            <v>0</v>
          </cell>
        </row>
        <row r="422">
          <cell r="J422">
            <v>0</v>
          </cell>
        </row>
        <row r="423">
          <cell r="J423">
            <v>0</v>
          </cell>
        </row>
        <row r="424">
          <cell r="J424">
            <v>0</v>
          </cell>
        </row>
        <row r="425">
          <cell r="J425">
            <v>0</v>
          </cell>
        </row>
        <row r="426">
          <cell r="J426">
            <v>0</v>
          </cell>
        </row>
        <row r="427">
          <cell r="J427">
            <v>0</v>
          </cell>
        </row>
        <row r="428">
          <cell r="J428">
            <v>0</v>
          </cell>
        </row>
        <row r="429">
          <cell r="J429">
            <v>0</v>
          </cell>
        </row>
        <row r="430">
          <cell r="J430">
            <v>0</v>
          </cell>
        </row>
        <row r="431">
          <cell r="J431">
            <v>0</v>
          </cell>
        </row>
        <row r="432">
          <cell r="J432">
            <v>0</v>
          </cell>
        </row>
        <row r="433">
          <cell r="J433">
            <v>0</v>
          </cell>
        </row>
        <row r="434">
          <cell r="J434">
            <v>0</v>
          </cell>
        </row>
        <row r="435">
          <cell r="J435">
            <v>0</v>
          </cell>
        </row>
        <row r="436">
          <cell r="J436">
            <v>0</v>
          </cell>
        </row>
        <row r="437">
          <cell r="J437">
            <v>0</v>
          </cell>
        </row>
        <row r="438">
          <cell r="J438">
            <v>0</v>
          </cell>
        </row>
        <row r="439">
          <cell r="J439">
            <v>0</v>
          </cell>
        </row>
        <row r="440">
          <cell r="J440">
            <v>0</v>
          </cell>
        </row>
        <row r="441">
          <cell r="J441">
            <v>0</v>
          </cell>
        </row>
        <row r="442">
          <cell r="J442">
            <v>0</v>
          </cell>
        </row>
        <row r="443">
          <cell r="J443">
            <v>0</v>
          </cell>
        </row>
        <row r="444">
          <cell r="J444">
            <v>0</v>
          </cell>
        </row>
        <row r="445">
          <cell r="J445">
            <v>0</v>
          </cell>
        </row>
        <row r="446">
          <cell r="J446">
            <v>0</v>
          </cell>
        </row>
        <row r="447">
          <cell r="J447">
            <v>0</v>
          </cell>
        </row>
        <row r="448">
          <cell r="J448">
            <v>0</v>
          </cell>
        </row>
        <row r="449">
          <cell r="J449">
            <v>0</v>
          </cell>
        </row>
        <row r="450">
          <cell r="J450">
            <v>0</v>
          </cell>
        </row>
        <row r="451">
          <cell r="J451">
            <v>0</v>
          </cell>
        </row>
        <row r="452">
          <cell r="J452">
            <v>0</v>
          </cell>
        </row>
        <row r="453">
          <cell r="J453">
            <v>0</v>
          </cell>
        </row>
        <row r="454">
          <cell r="J454">
            <v>0</v>
          </cell>
        </row>
        <row r="455">
          <cell r="J455">
            <v>0</v>
          </cell>
        </row>
        <row r="456">
          <cell r="J456">
            <v>0</v>
          </cell>
        </row>
        <row r="457">
          <cell r="J457">
            <v>0</v>
          </cell>
        </row>
        <row r="458">
          <cell r="J458">
            <v>0</v>
          </cell>
        </row>
        <row r="459">
          <cell r="J459">
            <v>0</v>
          </cell>
        </row>
        <row r="460">
          <cell r="J460">
            <v>0</v>
          </cell>
        </row>
        <row r="461">
          <cell r="J461">
            <v>0</v>
          </cell>
        </row>
        <row r="462">
          <cell r="J462">
            <v>0</v>
          </cell>
        </row>
        <row r="463">
          <cell r="J463">
            <v>0</v>
          </cell>
        </row>
        <row r="464">
          <cell r="J464">
            <v>0</v>
          </cell>
        </row>
        <row r="465">
          <cell r="J465">
            <v>0</v>
          </cell>
        </row>
        <row r="466">
          <cell r="J466">
            <v>0</v>
          </cell>
        </row>
        <row r="467">
          <cell r="J467">
            <v>0</v>
          </cell>
        </row>
        <row r="468">
          <cell r="J468">
            <v>0</v>
          </cell>
        </row>
        <row r="469">
          <cell r="J469">
            <v>0</v>
          </cell>
        </row>
        <row r="470">
          <cell r="J470">
            <v>0</v>
          </cell>
        </row>
        <row r="471">
          <cell r="J471">
            <v>0</v>
          </cell>
        </row>
        <row r="472">
          <cell r="J472">
            <v>0</v>
          </cell>
        </row>
        <row r="473">
          <cell r="J473">
            <v>0</v>
          </cell>
        </row>
        <row r="474">
          <cell r="J474">
            <v>0</v>
          </cell>
        </row>
        <row r="475">
          <cell r="J475">
            <v>0</v>
          </cell>
        </row>
        <row r="476">
          <cell r="J476">
            <v>0</v>
          </cell>
        </row>
        <row r="477">
          <cell r="J477">
            <v>0</v>
          </cell>
        </row>
        <row r="478">
          <cell r="J478">
            <v>0</v>
          </cell>
        </row>
        <row r="479">
          <cell r="J479">
            <v>0</v>
          </cell>
        </row>
        <row r="480">
          <cell r="J480">
            <v>0</v>
          </cell>
        </row>
        <row r="481">
          <cell r="J481">
            <v>0</v>
          </cell>
        </row>
        <row r="482">
          <cell r="J482">
            <v>0</v>
          </cell>
        </row>
        <row r="483">
          <cell r="J483">
            <v>0</v>
          </cell>
        </row>
        <row r="484">
          <cell r="J484">
            <v>0</v>
          </cell>
        </row>
        <row r="485">
          <cell r="J485">
            <v>0</v>
          </cell>
        </row>
        <row r="486">
          <cell r="J486">
            <v>0</v>
          </cell>
        </row>
        <row r="487">
          <cell r="J487">
            <v>0</v>
          </cell>
        </row>
        <row r="488">
          <cell r="J488">
            <v>0</v>
          </cell>
        </row>
        <row r="489">
          <cell r="J489">
            <v>0</v>
          </cell>
        </row>
        <row r="490">
          <cell r="J490">
            <v>0</v>
          </cell>
        </row>
        <row r="491">
          <cell r="J491">
            <v>0</v>
          </cell>
        </row>
        <row r="492">
          <cell r="J492">
            <v>0</v>
          </cell>
        </row>
        <row r="493">
          <cell r="J493">
            <v>0</v>
          </cell>
        </row>
        <row r="494">
          <cell r="J494">
            <v>0</v>
          </cell>
        </row>
      </sheetData>
      <sheetData sheetId="1"/>
      <sheetData sheetId="2"/>
      <sheetData sheetId="3"/>
      <sheetData sheetId="4"/>
      <sheetData sheetId="5"/>
      <sheetData sheetId="6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"/>
      <sheetName val="Forecast"/>
      <sheetName val="Original Budget"/>
      <sheetName val="Original Budget &amp; Revised"/>
      <sheetName val="Ken Ovhd"/>
      <sheetName val="Sheet1"/>
      <sheetName val="Sheet4"/>
    </sheetNames>
    <sheetDataSet>
      <sheetData sheetId="0"/>
      <sheetData sheetId="1"/>
      <sheetData sheetId="2">
        <row r="2">
          <cell r="I2">
            <v>1</v>
          </cell>
          <cell r="J2">
            <v>1</v>
          </cell>
          <cell r="K2">
            <v>39173</v>
          </cell>
          <cell r="L2" t="str">
            <v>April</v>
          </cell>
          <cell r="M2" t="str">
            <v>1 Month to</v>
          </cell>
          <cell r="N2">
            <v>30</v>
          </cell>
        </row>
        <row r="3">
          <cell r="I3">
            <v>2</v>
          </cell>
          <cell r="J3">
            <v>2</v>
          </cell>
          <cell r="K3">
            <v>39203</v>
          </cell>
          <cell r="L3" t="str">
            <v>May</v>
          </cell>
          <cell r="M3" t="str">
            <v>2 Months to</v>
          </cell>
          <cell r="N3">
            <v>31</v>
          </cell>
        </row>
        <row r="4">
          <cell r="I4">
            <v>3</v>
          </cell>
          <cell r="J4">
            <v>3</v>
          </cell>
          <cell r="K4">
            <v>39234</v>
          </cell>
          <cell r="L4" t="str">
            <v>June</v>
          </cell>
          <cell r="M4" t="str">
            <v>3 Months to</v>
          </cell>
          <cell r="N4">
            <v>30</v>
          </cell>
        </row>
        <row r="5">
          <cell r="I5">
            <v>4</v>
          </cell>
          <cell r="J5">
            <v>4</v>
          </cell>
          <cell r="K5">
            <v>39264</v>
          </cell>
          <cell r="L5" t="str">
            <v>July</v>
          </cell>
          <cell r="M5" t="str">
            <v>4 Months to</v>
          </cell>
          <cell r="N5">
            <v>31</v>
          </cell>
        </row>
        <row r="6">
          <cell r="I6">
            <v>5</v>
          </cell>
          <cell r="J6">
            <v>5</v>
          </cell>
          <cell r="K6">
            <v>39295</v>
          </cell>
          <cell r="L6" t="str">
            <v>August</v>
          </cell>
          <cell r="M6" t="str">
            <v>5 Months to</v>
          </cell>
          <cell r="N6">
            <v>31</v>
          </cell>
        </row>
        <row r="7">
          <cell r="I7">
            <v>6</v>
          </cell>
          <cell r="J7">
            <v>6</v>
          </cell>
          <cell r="K7">
            <v>39326</v>
          </cell>
          <cell r="L7" t="str">
            <v>September</v>
          </cell>
          <cell r="M7" t="str">
            <v>6 Months to</v>
          </cell>
          <cell r="N7">
            <v>30</v>
          </cell>
        </row>
        <row r="8">
          <cell r="I8">
            <v>7</v>
          </cell>
          <cell r="J8">
            <v>7</v>
          </cell>
          <cell r="K8">
            <v>39356</v>
          </cell>
          <cell r="L8" t="str">
            <v>October</v>
          </cell>
          <cell r="M8" t="str">
            <v>7 Months to</v>
          </cell>
          <cell r="N8">
            <v>31</v>
          </cell>
        </row>
        <row r="9">
          <cell r="I9">
            <v>8</v>
          </cell>
          <cell r="J9">
            <v>8</v>
          </cell>
          <cell r="K9">
            <v>39387</v>
          </cell>
          <cell r="L9" t="str">
            <v>November</v>
          </cell>
          <cell r="M9" t="str">
            <v>8 Months to</v>
          </cell>
          <cell r="N9">
            <v>30</v>
          </cell>
        </row>
        <row r="10">
          <cell r="I10">
            <v>9</v>
          </cell>
          <cell r="J10">
            <v>9</v>
          </cell>
          <cell r="K10">
            <v>39417</v>
          </cell>
          <cell r="L10" t="str">
            <v>December</v>
          </cell>
          <cell r="M10" t="str">
            <v>9 Months to</v>
          </cell>
          <cell r="N10">
            <v>31</v>
          </cell>
        </row>
        <row r="11">
          <cell r="I11">
            <v>10</v>
          </cell>
          <cell r="J11">
            <v>10</v>
          </cell>
          <cell r="K11" t="str">
            <v>January 2008</v>
          </cell>
          <cell r="L11" t="str">
            <v>January</v>
          </cell>
          <cell r="M11" t="str">
            <v>10 Months to</v>
          </cell>
          <cell r="N11">
            <v>31</v>
          </cell>
        </row>
        <row r="12">
          <cell r="I12">
            <v>11</v>
          </cell>
          <cell r="J12">
            <v>11</v>
          </cell>
          <cell r="K12" t="str">
            <v>February 2008</v>
          </cell>
          <cell r="L12" t="str">
            <v>February</v>
          </cell>
          <cell r="M12" t="str">
            <v>11 Months to</v>
          </cell>
          <cell r="N12">
            <v>28</v>
          </cell>
        </row>
        <row r="13">
          <cell r="I13">
            <v>12</v>
          </cell>
          <cell r="J13">
            <v>12</v>
          </cell>
          <cell r="K13" t="str">
            <v>March 2008</v>
          </cell>
          <cell r="L13" t="str">
            <v>March</v>
          </cell>
          <cell r="M13" t="str">
            <v>12 Months to</v>
          </cell>
          <cell r="N13">
            <v>31</v>
          </cell>
        </row>
      </sheetData>
      <sheetData sheetId="3"/>
      <sheetData sheetId="4"/>
      <sheetData sheetId="5"/>
      <sheetData sheetId="6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b"/>
      <sheetName val="criteria"/>
      <sheetName val="Cover"/>
      <sheetName val="Index"/>
      <sheetName val="Currency"/>
      <sheetName val="Stats"/>
      <sheetName val="Commentary"/>
      <sheetName val="Income Statement"/>
      <sheetName val="Balance Sheet"/>
      <sheetName val="Changes in Equity"/>
      <sheetName val="Notes1"/>
      <sheetName val="Notes2"/>
      <sheetName val="Notes3"/>
      <sheetName val="Notes4"/>
      <sheetName val="Notes5"/>
      <sheetName val="Notes6"/>
      <sheetName val="Notes7"/>
      <sheetName val="Notes8"/>
      <sheetName val="Notes10-12"/>
      <sheetName val="Notes13-15"/>
      <sheetName val="Notes16-19"/>
      <sheetName val="Notes20-22"/>
      <sheetName val="Notes23"/>
      <sheetName val="units analysis"/>
      <sheetName val="Unit costs"/>
      <sheetName val="ShlderAssets"/>
      <sheetName val="Questionairre"/>
      <sheetName val="Subsidiaries and Ass.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>
        <row r="30">
          <cell r="H30">
            <v>4832.8110312500003</v>
          </cell>
        </row>
      </sheetData>
      <sheetData sheetId="20"/>
      <sheetData sheetId="21"/>
      <sheetData sheetId="22"/>
      <sheetData sheetId="23"/>
      <sheetData sheetId="24"/>
      <sheetData sheetId="25"/>
      <sheetData sheetId="26"/>
      <sheetData sheetId="27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ial Balance"/>
      <sheetName val="Sales"/>
      <sheetName val="COS"/>
      <sheetName val="TBI"/>
      <sheetName val="Repaires &amp; maint"/>
      <sheetName val="legal &amp; proff"/>
      <sheetName val="Advertising"/>
      <sheetName val="Travel &amp; sub"/>
      <sheetName val="CP"/>
      <sheetName val="Warranty Prov"/>
      <sheetName val="prof fee exp"/>
      <sheetName val="mgnt prov"/>
      <sheetName val="wtax"/>
      <sheetName val="Rent"/>
      <sheetName val="Bank rec"/>
      <sheetName val="Ins 06-7"/>
      <sheetName val="Drs"/>
      <sheetName val="FA"/>
      <sheetName val="Fixed assets"/>
      <sheetName val="Loans"/>
      <sheetName val="Diffs"/>
      <sheetName val="Retention"/>
      <sheetName val="Intercompany Crs Drs"/>
      <sheetName val="Other iteams"/>
      <sheetName val="Misc Dep"/>
      <sheetName val="Waranty costs"/>
      <sheetName val="Crs"/>
      <sheetName val="Drs (2)"/>
      <sheetName val="Wages"/>
      <sheetName val="Leave"/>
      <sheetName val="VCHLTR"/>
      <sheetName val="Mis trade"/>
      <sheetName val="adv &amp; pub"/>
      <sheetName val="agd drs details"/>
      <sheetName val="Exp Accr"/>
      <sheetName val="Total Loan int"/>
      <sheetName val="Exch Diff"/>
      <sheetName val="Bank charges"/>
      <sheetName val="% closers"/>
      <sheetName val="Telephone Exp"/>
      <sheetName val="wip sit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la-qtr"/>
      <sheetName val="Contents"/>
      <sheetName val="Board"/>
      <sheetName val="ALA-snap shot"/>
      <sheetName val="Contol Sheet"/>
      <sheetName val="staff bonus"/>
      <sheetName val="Cashflow"/>
      <sheetName val="Statistics"/>
      <sheetName val="INC. STATE. SUM"/>
      <sheetName val="INC.ST. IND LIFE"/>
      <sheetName val="INC.ST. CB"/>
      <sheetName val="BAL SHEET"/>
      <sheetName val="note2(month)"/>
      <sheetName val="NOTES 1"/>
      <sheetName val="note2"/>
      <sheetName val="Inv_Inc"/>
      <sheetName val="Note3"/>
      <sheetName val="NOTES(4-6)"/>
      <sheetName val="budget-corporate"/>
      <sheetName val="Note5"/>
      <sheetName val="AR-Administration"/>
      <sheetName val="finance"/>
      <sheetName val="AR-Corporate"/>
      <sheetName val="AR-Marketing"/>
      <sheetName val="Sec.50(UL)"/>
      <sheetName val="Sec.50(Combined)"/>
      <sheetName val="sec.50(Ind. Life)"/>
      <sheetName val="Sec.50(group)"/>
      <sheetName val="Sec.50(DA)"/>
      <sheetName val="Note1(Month)"/>
      <sheetName val="citeria budget"/>
      <sheetName val="TB"/>
      <sheetName val="AgencyTB"/>
      <sheetName val="unitcost"/>
      <sheetName val="Budget File size"/>
      <sheetName val="File Size"/>
      <sheetName val="criteria"/>
      <sheetName val="Lastyear"/>
      <sheetName val="41-1"/>
      <sheetName val="70-1"/>
      <sheetName val="54-2"/>
      <sheetName val="54-5"/>
      <sheetName val="marketing Budget"/>
      <sheetName val="Administration budget"/>
      <sheetName val="premiums"/>
      <sheetName val="Prior year tb"/>
      <sheetName val="prior year AGENCYtb"/>
      <sheetName val="Renewal Api"/>
      <sheetName val="file size 2003"/>
      <sheetName val="New Busines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>
        <row r="212">
          <cell r="A212" t="str">
            <v>Reference</v>
          </cell>
          <cell r="B212" t="str">
            <v>CODE</v>
          </cell>
          <cell r="C212" t="str">
            <v>Headings</v>
          </cell>
          <cell r="D212" t="str">
            <v>Reference</v>
          </cell>
          <cell r="E212" t="str">
            <v>CODE</v>
          </cell>
          <cell r="F212" t="str">
            <v>Headings</v>
          </cell>
          <cell r="G212" t="str">
            <v>Reference</v>
          </cell>
          <cell r="H212" t="str">
            <v>CODE</v>
          </cell>
          <cell r="I212" t="str">
            <v>Headings</v>
          </cell>
          <cell r="J212" t="str">
            <v>Reference</v>
          </cell>
          <cell r="K212" t="str">
            <v>CODE</v>
          </cell>
          <cell r="L212" t="str">
            <v>Headings</v>
          </cell>
          <cell r="M212" t="str">
            <v>Reference</v>
          </cell>
          <cell r="N212" t="str">
            <v>CODE</v>
          </cell>
          <cell r="O212" t="str">
            <v>Headings</v>
          </cell>
        </row>
        <row r="213">
          <cell r="A213" t="str">
            <v>100-00</v>
          </cell>
          <cell r="D213" t="str">
            <v>100-00-010</v>
          </cell>
          <cell r="G213" t="str">
            <v>100-00-020</v>
          </cell>
          <cell r="J213" t="str">
            <v>100-00-030</v>
          </cell>
          <cell r="M213" t="str">
            <v>100-10-000</v>
          </cell>
        </row>
        <row r="244">
          <cell r="D244" t="str">
            <v>Reference</v>
          </cell>
          <cell r="E244" t="str">
            <v>CODE</v>
          </cell>
          <cell r="F244" t="str">
            <v>Headings</v>
          </cell>
          <cell r="G244" t="str">
            <v>Reference</v>
          </cell>
          <cell r="H244" t="str">
            <v>CODE</v>
          </cell>
          <cell r="I244" t="str">
            <v>Headings</v>
          </cell>
          <cell r="J244" t="str">
            <v>Reference</v>
          </cell>
          <cell r="K244" t="str">
            <v>CODE</v>
          </cell>
          <cell r="L244" t="str">
            <v>Headings</v>
          </cell>
        </row>
        <row r="245">
          <cell r="D245" t="str">
            <v>850-10-010</v>
          </cell>
          <cell r="G245" t="str">
            <v>850-10-020</v>
          </cell>
          <cell r="J245" t="str">
            <v>850-10-030</v>
          </cell>
        </row>
        <row r="246">
          <cell r="G246" t="str">
            <v>820-10-010</v>
          </cell>
          <cell r="J246" t="str">
            <v>820-10-020</v>
          </cell>
        </row>
        <row r="247">
          <cell r="G247" t="str">
            <v>810-10-010</v>
          </cell>
          <cell r="J247" t="str">
            <v>810-10-020</v>
          </cell>
        </row>
      </sheetData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contents"/>
      <sheetName val="Life Income Statement"/>
      <sheetName val="Group P&amp;L"/>
      <sheetName val="BS"/>
      <sheetName val="SOCE"/>
      <sheetName val="Cashflow"/>
      <sheetName val="Note1"/>
      <sheetName val="Notes(Cont'd)"/>
      <sheetName val="Restatement-2005"/>
      <sheetName val="P&amp;L Consolidation workings"/>
      <sheetName val="Group BS Consolidation workings"/>
      <sheetName val="Criteria"/>
      <sheetName val="TB"/>
      <sheetName val="Index3"/>
      <sheetName val="Index2"/>
      <sheetName val="Index"/>
      <sheetName val="prior yea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>
        <row r="68">
          <cell r="B68" t="str">
            <v>Account</v>
          </cell>
          <cell r="C68" t="str">
            <v>Particulars</v>
          </cell>
          <cell r="D68" t="str">
            <v>Aims TB</v>
          </cell>
          <cell r="E68" t="str">
            <v>Closing</v>
          </cell>
        </row>
        <row r="69">
          <cell r="B69" t="str">
            <v>300-95-010</v>
          </cell>
        </row>
        <row r="70">
          <cell r="B70" t="str">
            <v>Account</v>
          </cell>
          <cell r="C70" t="str">
            <v>Particulars</v>
          </cell>
          <cell r="D70" t="str">
            <v>Aims TB</v>
          </cell>
          <cell r="E70" t="str">
            <v>Closing</v>
          </cell>
        </row>
        <row r="71">
          <cell r="B71" t="str">
            <v>300-85-015</v>
          </cell>
        </row>
        <row r="72">
          <cell r="B72" t="str">
            <v>300-85-010</v>
          </cell>
        </row>
      </sheetData>
      <sheetData sheetId="13" refreshError="1"/>
      <sheetData sheetId="14"/>
      <sheetData sheetId="15"/>
      <sheetData sheetId="16"/>
      <sheetData sheetId="17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INDEX"/>
      <sheetName val="Financial  highlights"/>
      <sheetName val="Revenue Account"/>
      <sheetName val="Balance Sheet"/>
      <sheetName val="CASHFLOW"/>
      <sheetName val="Note(1-3)"/>
      <sheetName val="note(4-6)"/>
      <sheetName val="Note(7-8)"/>
      <sheetName val="Note(9-10)"/>
      <sheetName val="Note(11-13)"/>
      <sheetName val="Note(14-15)"/>
      <sheetName val="Note(16-18)"/>
      <sheetName val="Note(19-23)"/>
      <sheetName val="Note 24"/>
      <sheetName val="Tax computation"/>
      <sheetName val="criteria"/>
      <sheetName val="tb"/>
      <sheetName val="previous year"/>
      <sheetName val="units analysis"/>
      <sheetName val="Notes(comm)"/>
      <sheetName val="Notes(exp)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>
        <row r="148">
          <cell r="B148" t="str">
            <v>Account</v>
          </cell>
          <cell r="C148" t="str">
            <v>Particulars</v>
          </cell>
          <cell r="D148" t="str">
            <v>Aims TB</v>
          </cell>
          <cell r="E148" t="str">
            <v>month</v>
          </cell>
          <cell r="F148" t="str">
            <v>adjustment</v>
          </cell>
          <cell r="G148" t="str">
            <v>Closing</v>
          </cell>
        </row>
        <row r="149">
          <cell r="B149" t="str">
            <v>590-10-070</v>
          </cell>
        </row>
        <row r="150">
          <cell r="B150" t="str">
            <v>Account</v>
          </cell>
          <cell r="C150" t="str">
            <v>Particulars</v>
          </cell>
          <cell r="D150" t="str">
            <v>Aims TB</v>
          </cell>
          <cell r="E150" t="str">
            <v>month</v>
          </cell>
          <cell r="F150" t="str">
            <v>adjustment</v>
          </cell>
          <cell r="G150" t="str">
            <v>Closing</v>
          </cell>
        </row>
        <row r="151">
          <cell r="B151" t="str">
            <v>590-10-050</v>
          </cell>
        </row>
        <row r="152">
          <cell r="B152" t="str">
            <v>Account</v>
          </cell>
          <cell r="C152" t="str">
            <v>Particulars</v>
          </cell>
          <cell r="D152" t="str">
            <v>Aims TB</v>
          </cell>
          <cell r="E152" t="str">
            <v>month</v>
          </cell>
          <cell r="F152" t="str">
            <v>adjustment</v>
          </cell>
          <cell r="G152" t="str">
            <v>Closing</v>
          </cell>
        </row>
        <row r="153">
          <cell r="B153" t="str">
            <v>590-10-040</v>
          </cell>
        </row>
        <row r="344">
          <cell r="B344" t="str">
            <v>Account</v>
          </cell>
          <cell r="C344" t="str">
            <v>Particulars</v>
          </cell>
          <cell r="D344" t="str">
            <v>Aims TB</v>
          </cell>
          <cell r="E344" t="str">
            <v>month</v>
          </cell>
          <cell r="F344" t="str">
            <v>adjustment</v>
          </cell>
          <cell r="G344" t="str">
            <v>Closing</v>
          </cell>
        </row>
        <row r="345">
          <cell r="B345" t="str">
            <v>060-10*</v>
          </cell>
          <cell r="G345" t="str">
            <v>&lt;=0</v>
          </cell>
        </row>
      </sheetData>
      <sheetData sheetId="17"/>
      <sheetData sheetId="18" refreshError="1">
        <row r="1">
          <cell r="A1" t="str">
            <v>Account</v>
          </cell>
          <cell r="B1" t="str">
            <v>Particulars</v>
          </cell>
          <cell r="C1" t="str">
            <v>Closing</v>
          </cell>
        </row>
        <row r="2">
          <cell r="A2" t="str">
            <v>010-10-001</v>
          </cell>
          <cell r="B2" t="str">
            <v>SHARE CAPITAL</v>
          </cell>
          <cell r="C2">
            <v>0</v>
          </cell>
        </row>
        <row r="3">
          <cell r="A3" t="str">
            <v>010-10-002</v>
          </cell>
          <cell r="C3">
            <v>0</v>
          </cell>
        </row>
        <row r="4">
          <cell r="A4" t="str">
            <v>010-10-003</v>
          </cell>
          <cell r="C4">
            <v>0</v>
          </cell>
        </row>
        <row r="5">
          <cell r="A5" t="str">
            <v>010-20-002</v>
          </cell>
          <cell r="C5">
            <v>0</v>
          </cell>
        </row>
        <row r="6">
          <cell r="A6" t="str">
            <v>010-20-003</v>
          </cell>
          <cell r="B6" t="str">
            <v>INDIVIDUAL LIFE FUND</v>
          </cell>
          <cell r="C6">
            <v>-900805000</v>
          </cell>
        </row>
        <row r="7">
          <cell r="A7" t="str">
            <v>010-20-004</v>
          </cell>
          <cell r="B7" t="str">
            <v>GROUP LIFE FUNDS</v>
          </cell>
          <cell r="C7">
            <v>-90114000</v>
          </cell>
        </row>
        <row r="8">
          <cell r="A8" t="str">
            <v>010-20-005</v>
          </cell>
          <cell r="B8" t="str">
            <v>GENERAL FUND</v>
          </cell>
          <cell r="C8">
            <v>-25946000</v>
          </cell>
        </row>
        <row r="9">
          <cell r="A9" t="str">
            <v>010-20-006</v>
          </cell>
          <cell r="B9" t="str">
            <v>DEPOSIT ADMINISTRATION</v>
          </cell>
          <cell r="C9">
            <v>-96502000</v>
          </cell>
        </row>
        <row r="10">
          <cell r="A10" t="str">
            <v>010-22-010</v>
          </cell>
          <cell r="C10">
            <v>0</v>
          </cell>
        </row>
        <row r="11">
          <cell r="A11" t="str">
            <v>010-25-010</v>
          </cell>
          <cell r="C11">
            <v>0</v>
          </cell>
        </row>
        <row r="12">
          <cell r="A12" t="str">
            <v>010-30-001</v>
          </cell>
          <cell r="B12" t="str">
            <v>ASSIGNED SHARE CAPITAL</v>
          </cell>
          <cell r="C12">
            <v>-484430731</v>
          </cell>
        </row>
        <row r="13">
          <cell r="A13" t="str">
            <v>020-00-010</v>
          </cell>
          <cell r="B13" t="str">
            <v>PAN AFRICA HOUSE NAIROBI</v>
          </cell>
          <cell r="C13">
            <v>0</v>
          </cell>
        </row>
        <row r="14">
          <cell r="A14" t="str">
            <v>020-00-020</v>
          </cell>
          <cell r="B14" t="str">
            <v>RESIDENTIAL HOUSE -LORESHO</v>
          </cell>
          <cell r="C14">
            <v>0</v>
          </cell>
        </row>
        <row r="15">
          <cell r="A15" t="str">
            <v>020-00-030</v>
          </cell>
          <cell r="B15" t="str">
            <v>RESIDENTIAL HOUSE -RETREAT VILLAS</v>
          </cell>
          <cell r="C15">
            <v>0</v>
          </cell>
        </row>
        <row r="16">
          <cell r="A16" t="str">
            <v>020-05-010</v>
          </cell>
          <cell r="B16" t="str">
            <v>MOTOR VEHICLES HEAD OFFICE</v>
          </cell>
          <cell r="C16">
            <v>2962210</v>
          </cell>
        </row>
        <row r="17">
          <cell r="A17" t="str">
            <v>020-05-020</v>
          </cell>
          <cell r="B17" t="str">
            <v>MOTOR VEHICLES LIFE MARKETING</v>
          </cell>
          <cell r="C17">
            <v>0</v>
          </cell>
        </row>
        <row r="18">
          <cell r="A18" t="str">
            <v>020-06-010</v>
          </cell>
          <cell r="B18" t="str">
            <v>PAN AFRICA HOUSE NAIROBI</v>
          </cell>
          <cell r="C18">
            <v>0</v>
          </cell>
        </row>
        <row r="19">
          <cell r="A19" t="str">
            <v>020-06-020</v>
          </cell>
          <cell r="B19" t="str">
            <v>RESIDENTIAL HOUSE -LORESHO</v>
          </cell>
          <cell r="C19">
            <v>0</v>
          </cell>
        </row>
        <row r="20">
          <cell r="A20" t="str">
            <v>020-06-030</v>
          </cell>
          <cell r="B20" t="str">
            <v>RESIDENTIAL HOUSE-RETREAT VILLAS</v>
          </cell>
          <cell r="C20">
            <v>0</v>
          </cell>
        </row>
        <row r="21">
          <cell r="A21" t="str">
            <v>020-10-005</v>
          </cell>
          <cell r="C21">
            <v>0</v>
          </cell>
        </row>
        <row r="22">
          <cell r="A22" t="str">
            <v>020-10-010</v>
          </cell>
          <cell r="B22" t="str">
            <v>COMPUTER EQUIPMENT-CITY CENTRE</v>
          </cell>
          <cell r="C22">
            <v>211220</v>
          </cell>
        </row>
        <row r="23">
          <cell r="A23" t="str">
            <v>020-10-015</v>
          </cell>
          <cell r="C23">
            <v>0</v>
          </cell>
        </row>
        <row r="24">
          <cell r="A24" t="str">
            <v>020-10-020</v>
          </cell>
          <cell r="B24" t="str">
            <v>COMPUTER EQUIPMENT-HURLINGHAM</v>
          </cell>
          <cell r="C24">
            <v>118110</v>
          </cell>
        </row>
        <row r="25">
          <cell r="A25" t="str">
            <v>020-10-025</v>
          </cell>
          <cell r="C25">
            <v>0</v>
          </cell>
        </row>
        <row r="26">
          <cell r="A26" t="str">
            <v>020-10-030</v>
          </cell>
          <cell r="B26" t="str">
            <v>COMPUTER EQUIPMENT-MOMBASA</v>
          </cell>
          <cell r="C26">
            <v>541621.35</v>
          </cell>
        </row>
        <row r="27">
          <cell r="A27" t="str">
            <v>020-10-035</v>
          </cell>
          <cell r="C27">
            <v>0</v>
          </cell>
        </row>
        <row r="28">
          <cell r="A28" t="str">
            <v>020-10-040</v>
          </cell>
          <cell r="B28" t="str">
            <v>COMPUTER EQUPIMENT-NYERI</v>
          </cell>
          <cell r="C28">
            <v>123000</v>
          </cell>
        </row>
        <row r="29">
          <cell r="A29" t="str">
            <v>020-10-045</v>
          </cell>
          <cell r="C29">
            <v>0</v>
          </cell>
        </row>
        <row r="30">
          <cell r="A30" t="str">
            <v>020-10-050</v>
          </cell>
          <cell r="B30" t="str">
            <v>COMPUTER EQUIPMENT-KISUMU</v>
          </cell>
          <cell r="C30">
            <v>123000</v>
          </cell>
        </row>
        <row r="31">
          <cell r="A31" t="str">
            <v>020-10-055</v>
          </cell>
          <cell r="C31">
            <v>0</v>
          </cell>
        </row>
        <row r="32">
          <cell r="A32" t="str">
            <v>020-10-060</v>
          </cell>
          <cell r="B32" t="str">
            <v>COMPUTER EQUIPMENT MACHAKOS</v>
          </cell>
          <cell r="C32">
            <v>141010</v>
          </cell>
        </row>
        <row r="33">
          <cell r="A33" t="str">
            <v>020-10-070</v>
          </cell>
          <cell r="B33" t="str">
            <v>COMPUTER EQUIPMENT THIKA</v>
          </cell>
          <cell r="C33">
            <v>141009.5</v>
          </cell>
        </row>
        <row r="34">
          <cell r="A34" t="str">
            <v>020-10-080</v>
          </cell>
          <cell r="B34" t="str">
            <v>COMPUTER EQUIPMENT KISII</v>
          </cell>
          <cell r="C34">
            <v>123000</v>
          </cell>
        </row>
        <row r="35">
          <cell r="A35" t="str">
            <v>020-10-090</v>
          </cell>
          <cell r="B35" t="str">
            <v>COMPUTER EQUIPMENT LIFE MARKETING</v>
          </cell>
          <cell r="C35">
            <v>457968.1</v>
          </cell>
        </row>
        <row r="36">
          <cell r="A36" t="str">
            <v>020-10-100</v>
          </cell>
          <cell r="B36" t="str">
            <v>COMPUTER EQUIPMENT HEADOFFICE</v>
          </cell>
          <cell r="C36">
            <v>12852345</v>
          </cell>
        </row>
        <row r="37">
          <cell r="A37" t="str">
            <v>020-10-110</v>
          </cell>
          <cell r="B37" t="str">
            <v>COMPUTER EQUIPMENT ELDORET</v>
          </cell>
          <cell r="C37">
            <v>105610</v>
          </cell>
        </row>
        <row r="38">
          <cell r="A38" t="str">
            <v>020-10-120</v>
          </cell>
          <cell r="B38" t="str">
            <v>COMPUTER EQUIPMENT EMBU</v>
          </cell>
          <cell r="C38">
            <v>105610</v>
          </cell>
        </row>
        <row r="39">
          <cell r="A39" t="str">
            <v>020-10-130</v>
          </cell>
          <cell r="B39" t="str">
            <v>COMPUTER EQUIPMENT NAKURU</v>
          </cell>
          <cell r="C39">
            <v>0</v>
          </cell>
        </row>
        <row r="40">
          <cell r="A40" t="str">
            <v>020-10-140</v>
          </cell>
          <cell r="B40" t="str">
            <v>COMPUTER EQUIPMENT-MERU</v>
          </cell>
          <cell r="C40">
            <v>0</v>
          </cell>
        </row>
        <row r="41">
          <cell r="A41" t="str">
            <v>020-15-010</v>
          </cell>
          <cell r="B41" t="str">
            <v>FIXTURES &amp; FITTINGS-HURLINGHAM</v>
          </cell>
          <cell r="C41">
            <v>47300</v>
          </cell>
        </row>
        <row r="42">
          <cell r="A42" t="str">
            <v>020-15-020</v>
          </cell>
          <cell r="B42" t="str">
            <v>FIXTURES ,FURNITURE &amp; FITTINGS -MOMBASA</v>
          </cell>
          <cell r="C42">
            <v>4908306</v>
          </cell>
        </row>
        <row r="43">
          <cell r="A43" t="str">
            <v>020-15-030</v>
          </cell>
          <cell r="B43" t="str">
            <v>FURNITURE,FIXTURES &amp; FITTINGS-MERU</v>
          </cell>
          <cell r="C43">
            <v>726986.55</v>
          </cell>
        </row>
        <row r="44">
          <cell r="A44" t="str">
            <v>020-15-040</v>
          </cell>
          <cell r="B44" t="str">
            <v>FURNITURES ,FIXTURES &amp; FITTINGS-NYERI</v>
          </cell>
          <cell r="C44">
            <v>1669817.33</v>
          </cell>
        </row>
        <row r="45">
          <cell r="A45" t="str">
            <v>020-15-050</v>
          </cell>
          <cell r="B45" t="str">
            <v>FURNITURE,FIXTURES &amp; FITTINGS -KISUMU</v>
          </cell>
          <cell r="C45">
            <v>4403431.57</v>
          </cell>
        </row>
        <row r="46">
          <cell r="A46" t="str">
            <v>020-15-060</v>
          </cell>
          <cell r="B46" t="str">
            <v>FURNITURE,FIXTURES &amp; FITTINGS KISII</v>
          </cell>
          <cell r="C46">
            <v>3903085.19</v>
          </cell>
        </row>
        <row r="47">
          <cell r="A47" t="str">
            <v>020-15-070</v>
          </cell>
          <cell r="B47" t="str">
            <v>F&amp;F HEAD OFFICE</v>
          </cell>
          <cell r="C47">
            <v>10589996</v>
          </cell>
        </row>
        <row r="48">
          <cell r="A48" t="str">
            <v>020-15-080</v>
          </cell>
          <cell r="B48" t="str">
            <v>F&amp;F CENTRAL AIR CONDITIONING UNIT</v>
          </cell>
          <cell r="C48">
            <v>6840500</v>
          </cell>
        </row>
        <row r="49">
          <cell r="A49" t="str">
            <v>020-15-090</v>
          </cell>
          <cell r="B49" t="str">
            <v>ELECTRIC GENERATING SETS</v>
          </cell>
          <cell r="C49">
            <v>1106000</v>
          </cell>
        </row>
        <row r="50">
          <cell r="A50" t="str">
            <v>020-15-100</v>
          </cell>
          <cell r="B50" t="str">
            <v>BOREHOLE EQUIPMENT</v>
          </cell>
          <cell r="C50">
            <v>843015</v>
          </cell>
        </row>
        <row r="51">
          <cell r="A51" t="str">
            <v>020-15-110</v>
          </cell>
          <cell r="B51" t="str">
            <v>AIR CONDITIONING &amp; ELECTRICAL REHABILATI</v>
          </cell>
          <cell r="C51">
            <v>78310109</v>
          </cell>
        </row>
        <row r="52">
          <cell r="A52" t="str">
            <v>020-15-120</v>
          </cell>
          <cell r="B52" t="str">
            <v>F&amp;F ELDORET</v>
          </cell>
          <cell r="C52">
            <v>4220484</v>
          </cell>
        </row>
        <row r="53">
          <cell r="A53" t="str">
            <v>020-15-130</v>
          </cell>
          <cell r="B53" t="str">
            <v>F&amp;F LORESHO HOUSE</v>
          </cell>
          <cell r="C53">
            <v>908969</v>
          </cell>
        </row>
        <row r="54">
          <cell r="A54" t="str">
            <v>020-15-140</v>
          </cell>
          <cell r="B54" t="str">
            <v>F&amp;F AMBALAL HOUSE</v>
          </cell>
          <cell r="C54">
            <v>1843231</v>
          </cell>
        </row>
        <row r="55">
          <cell r="A55" t="str">
            <v>020-15-150</v>
          </cell>
          <cell r="B55" t="str">
            <v>F&amp;F RETREAT VILLAS</v>
          </cell>
          <cell r="C55">
            <v>2144481</v>
          </cell>
        </row>
        <row r="56">
          <cell r="A56" t="str">
            <v>020-15-160</v>
          </cell>
          <cell r="B56" t="str">
            <v>F&amp;F THIKA</v>
          </cell>
          <cell r="C56">
            <v>787560</v>
          </cell>
        </row>
        <row r="57">
          <cell r="A57" t="str">
            <v>020-15-170</v>
          </cell>
          <cell r="B57" t="str">
            <v>F&amp;F MACHAKOS</v>
          </cell>
          <cell r="C57">
            <v>670000</v>
          </cell>
        </row>
        <row r="58">
          <cell r="A58" t="str">
            <v>020-15-180</v>
          </cell>
          <cell r="B58" t="str">
            <v>FIXTURES &amp; FITTINGS LIFE MRKT</v>
          </cell>
          <cell r="C58">
            <v>0</v>
          </cell>
        </row>
        <row r="59">
          <cell r="A59" t="str">
            <v>020-16-010</v>
          </cell>
          <cell r="B59" t="str">
            <v>PAN AFRICA HOUSE NAIROBI</v>
          </cell>
          <cell r="C59">
            <v>0</v>
          </cell>
        </row>
        <row r="60">
          <cell r="A60" t="str">
            <v>020-16-020</v>
          </cell>
          <cell r="B60" t="str">
            <v>RESIDENTIAL HOUSE LORESHO</v>
          </cell>
          <cell r="C60">
            <v>0</v>
          </cell>
        </row>
        <row r="61">
          <cell r="A61" t="str">
            <v>020-16-030</v>
          </cell>
          <cell r="B61" t="str">
            <v>RESIDENTIAL HOUSE RETREAT</v>
          </cell>
          <cell r="C61">
            <v>0</v>
          </cell>
        </row>
        <row r="62">
          <cell r="A62" t="str">
            <v>020-17-010</v>
          </cell>
          <cell r="B62" t="str">
            <v>PAN AFRICA HOUSE NAIROBI</v>
          </cell>
          <cell r="C62">
            <v>0</v>
          </cell>
        </row>
        <row r="63">
          <cell r="A63" t="str">
            <v>020-17-020</v>
          </cell>
          <cell r="B63" t="str">
            <v>RESIDENTIAL HOUSE -LORESHO</v>
          </cell>
          <cell r="C63">
            <v>0</v>
          </cell>
        </row>
        <row r="64">
          <cell r="A64" t="str">
            <v>020-17-030</v>
          </cell>
          <cell r="B64" t="str">
            <v>RESIDENTIAL HOUSE -RETREAT VILLAS</v>
          </cell>
          <cell r="C64">
            <v>0</v>
          </cell>
        </row>
        <row r="65">
          <cell r="A65" t="str">
            <v>020-20-010</v>
          </cell>
          <cell r="B65" t="str">
            <v>ACC.DEPRECIATION F&amp;F MOMBASA</v>
          </cell>
          <cell r="C65">
            <v>-4071882</v>
          </cell>
        </row>
        <row r="66">
          <cell r="A66" t="str">
            <v>020-20-020</v>
          </cell>
          <cell r="B66" t="str">
            <v>ACC. DEPRECIATION -HURLINGHAM F&amp;F</v>
          </cell>
          <cell r="C66">
            <v>-5913</v>
          </cell>
        </row>
        <row r="67">
          <cell r="A67" t="str">
            <v>020-20-030</v>
          </cell>
          <cell r="B67" t="str">
            <v>ACC.DEPRECIATION F &amp; F MERU</v>
          </cell>
          <cell r="C67">
            <v>-423576.55</v>
          </cell>
        </row>
        <row r="68">
          <cell r="A68" t="str">
            <v>020-20-040</v>
          </cell>
          <cell r="B68" t="str">
            <v>ACC.DEPRECIATION F&amp;F NYERI</v>
          </cell>
          <cell r="C68">
            <v>-417861.33</v>
          </cell>
        </row>
        <row r="69">
          <cell r="A69" t="str">
            <v>020-20-050</v>
          </cell>
          <cell r="B69" t="str">
            <v>ACC.DEPRECIATION F &amp;F KISUMU</v>
          </cell>
          <cell r="C69">
            <v>-2616706.5699999998</v>
          </cell>
        </row>
        <row r="70">
          <cell r="A70" t="str">
            <v>020-20-060</v>
          </cell>
          <cell r="B70" t="str">
            <v>ACC.DEPRECIATION F &amp; F KISII</v>
          </cell>
          <cell r="C70">
            <v>-3375177.19</v>
          </cell>
        </row>
        <row r="71">
          <cell r="A71" t="str">
            <v>020-20-070</v>
          </cell>
          <cell r="B71" t="str">
            <v>ACC.DEPRECIATION F &amp; F HEAD OFFICE</v>
          </cell>
          <cell r="C71">
            <v>-6054989</v>
          </cell>
        </row>
        <row r="72">
          <cell r="A72" t="str">
            <v>020-20-080</v>
          </cell>
          <cell r="B72" t="str">
            <v>ACC DEPRECIATION F &amp; F ELDORET AGENCY</v>
          </cell>
          <cell r="C72">
            <v>-3522689</v>
          </cell>
        </row>
        <row r="73">
          <cell r="A73" t="str">
            <v>020-20-090</v>
          </cell>
          <cell r="B73" t="str">
            <v>ACC.DEPRECIATION AMBALAL HSE-PARTITION</v>
          </cell>
          <cell r="C73">
            <v>0</v>
          </cell>
        </row>
        <row r="74">
          <cell r="A74" t="str">
            <v>020-20-100</v>
          </cell>
          <cell r="B74" t="str">
            <v>ACC.DEPRECIATION F &amp; F LORESHO HSE</v>
          </cell>
          <cell r="C74">
            <v>-113621</v>
          </cell>
        </row>
        <row r="75">
          <cell r="A75" t="str">
            <v>020-20-110</v>
          </cell>
          <cell r="B75" t="str">
            <v>ACC.DEPRECIATION F &amp; F AMBALAL</v>
          </cell>
          <cell r="C75">
            <v>-1805562</v>
          </cell>
        </row>
        <row r="76">
          <cell r="A76" t="str">
            <v>020-20-120</v>
          </cell>
          <cell r="B76" t="str">
            <v>ACC.DEPRECIATION F &amp; F RETREAT VILLAS</v>
          </cell>
          <cell r="C76">
            <v>-268060</v>
          </cell>
        </row>
        <row r="77">
          <cell r="A77" t="str">
            <v>020-20-130</v>
          </cell>
          <cell r="B77" t="str">
            <v>ACC.DEPRECIATION F &amp; F THIKA</v>
          </cell>
          <cell r="C77">
            <v>-98445</v>
          </cell>
        </row>
        <row r="78">
          <cell r="A78" t="str">
            <v>020-20-140</v>
          </cell>
          <cell r="B78" t="str">
            <v>ACC.DEPRECIATION F &amp; F MACHAKOS</v>
          </cell>
          <cell r="C78">
            <v>-83750</v>
          </cell>
        </row>
        <row r="79">
          <cell r="A79" t="str">
            <v>020-20-150</v>
          </cell>
          <cell r="B79" t="str">
            <v>ACC. DEPRECIATION BOREHOLE EQUIP</v>
          </cell>
          <cell r="C79">
            <v>-699557</v>
          </cell>
        </row>
        <row r="80">
          <cell r="A80" t="str">
            <v>020-20-160</v>
          </cell>
          <cell r="B80" t="str">
            <v>ACC.DEP. CENTRAL AIR CONDITIONING</v>
          </cell>
          <cell r="C80">
            <v>-6840500</v>
          </cell>
        </row>
        <row r="81">
          <cell r="A81" t="str">
            <v>020-20-170</v>
          </cell>
          <cell r="B81" t="str">
            <v>ACC.DEP. ELETRIC GENERATING SETS</v>
          </cell>
          <cell r="C81">
            <v>-1106000</v>
          </cell>
        </row>
        <row r="82">
          <cell r="A82" t="str">
            <v>020-20-180</v>
          </cell>
          <cell r="B82" t="str">
            <v>ACC.DEP AIR CONDITIONING &amp; ELECTRICAL</v>
          </cell>
          <cell r="C82">
            <v>-78310112</v>
          </cell>
        </row>
        <row r="83">
          <cell r="A83" t="str">
            <v>020-20-190</v>
          </cell>
          <cell r="B83" t="str">
            <v>ACCUMULATED DEP F&amp; F LIFE MRKT</v>
          </cell>
          <cell r="C83">
            <v>0</v>
          </cell>
        </row>
        <row r="84">
          <cell r="A84" t="str">
            <v>020-20-200</v>
          </cell>
          <cell r="C84">
            <v>0</v>
          </cell>
        </row>
        <row r="85">
          <cell r="A85" t="str">
            <v>020-20-210</v>
          </cell>
          <cell r="C85">
            <v>0</v>
          </cell>
        </row>
        <row r="86">
          <cell r="A86" t="str">
            <v>020-20-220</v>
          </cell>
          <cell r="C86">
            <v>0</v>
          </cell>
        </row>
        <row r="87">
          <cell r="A87" t="str">
            <v>020-20-230</v>
          </cell>
          <cell r="C87">
            <v>0</v>
          </cell>
        </row>
        <row r="88">
          <cell r="A88" t="str">
            <v>020-20-240</v>
          </cell>
          <cell r="C88">
            <v>0</v>
          </cell>
        </row>
        <row r="89">
          <cell r="A89" t="str">
            <v>020-20-250</v>
          </cell>
          <cell r="C89">
            <v>0</v>
          </cell>
        </row>
        <row r="90">
          <cell r="A90" t="str">
            <v>020-20-260</v>
          </cell>
          <cell r="C90">
            <v>0</v>
          </cell>
        </row>
        <row r="91">
          <cell r="A91" t="str">
            <v>020-20-270</v>
          </cell>
          <cell r="C91">
            <v>0</v>
          </cell>
        </row>
        <row r="92">
          <cell r="A92" t="str">
            <v>020-25-010</v>
          </cell>
          <cell r="B92" t="str">
            <v>ACC.DEPRECIATION CITY CENTRE COMPUTERS</v>
          </cell>
          <cell r="C92">
            <v>-52805</v>
          </cell>
        </row>
        <row r="93">
          <cell r="A93" t="str">
            <v>020-25-020</v>
          </cell>
          <cell r="B93" t="str">
            <v>ACC.DEPRECIATION COMPUTERS-HURLINGHAM</v>
          </cell>
          <cell r="C93">
            <v>-29528</v>
          </cell>
        </row>
        <row r="94">
          <cell r="A94" t="str">
            <v>020-25-030</v>
          </cell>
          <cell r="B94" t="str">
            <v>ACC.DEPRECIATION -COMPUTERS -MACHAKOS</v>
          </cell>
          <cell r="C94">
            <v>-35253</v>
          </cell>
        </row>
        <row r="95">
          <cell r="A95" t="str">
            <v>020-25-040</v>
          </cell>
          <cell r="B95" t="str">
            <v>ACC.DEPRECIATION COMPUTERS MOMBASA</v>
          </cell>
          <cell r="C95">
            <v>-414121.35</v>
          </cell>
        </row>
        <row r="96">
          <cell r="A96" t="str">
            <v>020-25-050</v>
          </cell>
          <cell r="B96" t="str">
            <v>ACC.DEPRECIATION COMPUTER-THIKA</v>
          </cell>
          <cell r="C96">
            <v>-35252.5</v>
          </cell>
        </row>
        <row r="97">
          <cell r="A97" t="str">
            <v>020-25-060</v>
          </cell>
          <cell r="B97" t="str">
            <v>ACC.DEPRECIATION -COMPUTERS NYERI</v>
          </cell>
          <cell r="C97">
            <v>-30750</v>
          </cell>
        </row>
        <row r="98">
          <cell r="A98" t="str">
            <v>020-25-070</v>
          </cell>
          <cell r="B98" t="str">
            <v>ACC.DEPRECIATION COMPUTERS-KISUMU</v>
          </cell>
          <cell r="C98">
            <v>-30750</v>
          </cell>
        </row>
        <row r="99">
          <cell r="A99" t="str">
            <v>020-25-080</v>
          </cell>
          <cell r="B99" t="str">
            <v>ACC.DEPRECIATION COMPUTERS KISII</v>
          </cell>
          <cell r="C99">
            <v>-30750</v>
          </cell>
        </row>
        <row r="100">
          <cell r="A100" t="str">
            <v>020-25-090</v>
          </cell>
          <cell r="B100" t="str">
            <v>ACC.DEPRECIATION COMPUTER-LIFE MARKETING</v>
          </cell>
          <cell r="C100">
            <v>-114492.1</v>
          </cell>
        </row>
        <row r="101">
          <cell r="A101" t="str">
            <v>020-25-100</v>
          </cell>
          <cell r="B101" t="str">
            <v>ACC.DEPRECIATION COMPUTERSB H/OFFICE</v>
          </cell>
          <cell r="C101">
            <v>-5885881</v>
          </cell>
        </row>
        <row r="102">
          <cell r="A102" t="str">
            <v>020-25-110</v>
          </cell>
          <cell r="B102" t="str">
            <v>ACC.DEPRECIATION COMPUTERS ELDORET</v>
          </cell>
          <cell r="C102">
            <v>-26403</v>
          </cell>
        </row>
        <row r="103">
          <cell r="A103" t="str">
            <v>020-25-120</v>
          </cell>
          <cell r="B103" t="str">
            <v>ACC DEPRECIATION COMPUTERS EMBU</v>
          </cell>
          <cell r="C103">
            <v>-26402</v>
          </cell>
        </row>
        <row r="104">
          <cell r="A104" t="str">
            <v>020-25-130</v>
          </cell>
          <cell r="B104" t="str">
            <v>ACC DEPRECIATION COMPS. NAKURU</v>
          </cell>
          <cell r="C104">
            <v>0</v>
          </cell>
        </row>
        <row r="105">
          <cell r="A105" t="str">
            <v>020-25-140</v>
          </cell>
          <cell r="B105" t="str">
            <v>ACC. DEPRECIATION COMPUTERS MERU</v>
          </cell>
          <cell r="C105">
            <v>0</v>
          </cell>
        </row>
        <row r="106">
          <cell r="A106" t="str">
            <v>020-28-010</v>
          </cell>
          <cell r="B106" t="str">
            <v>M/VEHICLES DEPRECIATION-H/OFFICE</v>
          </cell>
          <cell r="C106">
            <v>-1481105</v>
          </cell>
        </row>
        <row r="107">
          <cell r="A107" t="str">
            <v>020-28-020</v>
          </cell>
          <cell r="B107" t="str">
            <v>M/VEHICLES DEPRECIATION LIFE MARKETING</v>
          </cell>
          <cell r="C107">
            <v>0</v>
          </cell>
        </row>
        <row r="108">
          <cell r="A108" t="str">
            <v>020-30-010</v>
          </cell>
          <cell r="B108" t="str">
            <v>AMBALAL HOUSE PHASE 1</v>
          </cell>
          <cell r="C108">
            <v>107728464</v>
          </cell>
        </row>
        <row r="109">
          <cell r="A109" t="str">
            <v>020-30-020</v>
          </cell>
          <cell r="B109" t="str">
            <v>AMBALAL HOUSE PHASE 2</v>
          </cell>
          <cell r="C109">
            <v>252271536</v>
          </cell>
        </row>
        <row r="110">
          <cell r="A110" t="str">
            <v>020-30-030</v>
          </cell>
          <cell r="B110" t="str">
            <v>RUNDA PLOT</v>
          </cell>
          <cell r="C110">
            <v>45000000</v>
          </cell>
        </row>
        <row r="111">
          <cell r="A111" t="str">
            <v>020-30-040</v>
          </cell>
          <cell r="B111" t="str">
            <v>PAN AFRICA HOUSE NAIROBI</v>
          </cell>
          <cell r="C111">
            <v>180000000</v>
          </cell>
        </row>
        <row r="112">
          <cell r="A112" t="str">
            <v>020-30-050</v>
          </cell>
          <cell r="B112" t="str">
            <v>PAN AFRICA INS.ARCADE PETROL STATION</v>
          </cell>
          <cell r="C112">
            <v>22500000</v>
          </cell>
        </row>
        <row r="113">
          <cell r="A113" t="str">
            <v>020-30-060</v>
          </cell>
          <cell r="B113" t="str">
            <v>RESIDENTIAL HOUSE (LORESHO)</v>
          </cell>
          <cell r="C113">
            <v>20000000</v>
          </cell>
        </row>
        <row r="114">
          <cell r="A114" t="str">
            <v>020-30-070</v>
          </cell>
          <cell r="B114" t="str">
            <v>RESIDENTIAL HOUSE (RETREAT VILLAS)</v>
          </cell>
          <cell r="C114">
            <v>15500000</v>
          </cell>
        </row>
        <row r="115">
          <cell r="A115" t="str">
            <v>020-40-010</v>
          </cell>
          <cell r="B115" t="str">
            <v>TRASURY BILLS &amp; BONDS - POLICY HOLDERS</v>
          </cell>
          <cell r="C115">
            <v>71900000</v>
          </cell>
        </row>
        <row r="116">
          <cell r="A116" t="str">
            <v>020-40-020</v>
          </cell>
          <cell r="C116">
            <v>0</v>
          </cell>
        </row>
        <row r="117">
          <cell r="A117" t="str">
            <v>020-40-030</v>
          </cell>
          <cell r="C117">
            <v>0</v>
          </cell>
        </row>
        <row r="118">
          <cell r="A118" t="str">
            <v>020-40-040</v>
          </cell>
          <cell r="B118" t="str">
            <v>TREASURY BILLS &amp; BONDS(RIGHT ISSUE</v>
          </cell>
          <cell r="C118">
            <v>248800000</v>
          </cell>
        </row>
        <row r="119">
          <cell r="A119" t="str">
            <v>020-40-050</v>
          </cell>
          <cell r="C119">
            <v>0</v>
          </cell>
        </row>
        <row r="120">
          <cell r="A120" t="str">
            <v>020-50-010</v>
          </cell>
          <cell r="B120" t="str">
            <v>BROOKE BOND LEIGBIG</v>
          </cell>
          <cell r="C120">
            <v>310464</v>
          </cell>
        </row>
        <row r="121">
          <cell r="A121" t="str">
            <v>020-50-020</v>
          </cell>
          <cell r="B121" t="str">
            <v>CREDIT FINANCE CORPORATION</v>
          </cell>
          <cell r="C121">
            <v>201743</v>
          </cell>
        </row>
        <row r="122">
          <cell r="A122" t="str">
            <v>020-50-030</v>
          </cell>
          <cell r="B122" t="str">
            <v>LIMURU TEA CO.LTD.</v>
          </cell>
          <cell r="C122">
            <v>787212</v>
          </cell>
        </row>
        <row r="123">
          <cell r="A123" t="str">
            <v>020-50-040</v>
          </cell>
          <cell r="B123" t="str">
            <v>SASINI TEA &amp; COFFEE LTD.</v>
          </cell>
          <cell r="C123">
            <v>1609875</v>
          </cell>
        </row>
        <row r="124">
          <cell r="A124" t="str">
            <v>020-50-050</v>
          </cell>
          <cell r="B124" t="str">
            <v>E.A. BREWERIES</v>
          </cell>
          <cell r="C124">
            <v>31558188</v>
          </cell>
        </row>
        <row r="125">
          <cell r="A125" t="str">
            <v>020-50-060</v>
          </cell>
          <cell r="B125" t="str">
            <v>KENYA NATIONAL MILLS</v>
          </cell>
          <cell r="C125">
            <v>1965318</v>
          </cell>
        </row>
        <row r="126">
          <cell r="A126" t="str">
            <v>020-50-070</v>
          </cell>
          <cell r="B126" t="str">
            <v>NATIONAL INDUSTRIAL CREDIT</v>
          </cell>
          <cell r="C126">
            <v>3089805</v>
          </cell>
        </row>
        <row r="127">
          <cell r="A127" t="str">
            <v>020-50-080</v>
          </cell>
          <cell r="B127" t="str">
            <v>BRITISH AMERICAN TOBACCO</v>
          </cell>
          <cell r="C127">
            <v>0</v>
          </cell>
        </row>
        <row r="128">
          <cell r="A128" t="str">
            <v>020-50-090</v>
          </cell>
          <cell r="B128" t="str">
            <v>UCHUMI SUPERMARKETS</v>
          </cell>
          <cell r="C128">
            <v>0</v>
          </cell>
        </row>
        <row r="129">
          <cell r="A129" t="str">
            <v>020-50-095</v>
          </cell>
          <cell r="B129" t="str">
            <v>KENYA OIL COMPANY LTD</v>
          </cell>
          <cell r="C129">
            <v>0</v>
          </cell>
        </row>
        <row r="130">
          <cell r="A130" t="str">
            <v>020-50-100</v>
          </cell>
          <cell r="B130" t="str">
            <v>FIRESTONE EAST AFRICA</v>
          </cell>
          <cell r="C130">
            <v>0</v>
          </cell>
        </row>
        <row r="131">
          <cell r="A131" t="str">
            <v>020-60-010</v>
          </cell>
          <cell r="B131" t="str">
            <v>LOAN ON MORTGAGE THIRD PARTY</v>
          </cell>
          <cell r="C131">
            <v>18133236</v>
          </cell>
        </row>
        <row r="132">
          <cell r="A132" t="str">
            <v>020-60-020</v>
          </cell>
          <cell r="B132" t="str">
            <v>LOAN ON MORTGAGE SHAREHOLDERS</v>
          </cell>
          <cell r="C132">
            <v>0</v>
          </cell>
        </row>
        <row r="133">
          <cell r="A133" t="str">
            <v>020-60-030</v>
          </cell>
          <cell r="B133" t="str">
            <v>LOAN ON MORTGAGE STAFF</v>
          </cell>
          <cell r="C133">
            <v>35328439</v>
          </cell>
        </row>
        <row r="134">
          <cell r="A134" t="str">
            <v>020-70-010</v>
          </cell>
          <cell r="B134" t="str">
            <v>LOAN ON POLICY W/S/V</v>
          </cell>
          <cell r="C134">
            <v>59210589</v>
          </cell>
        </row>
        <row r="135">
          <cell r="A135" t="str">
            <v>020-70-020</v>
          </cell>
          <cell r="B135" t="str">
            <v>LOAN ON POLICY -TANZANIA</v>
          </cell>
          <cell r="C135">
            <v>106294</v>
          </cell>
        </row>
        <row r="136">
          <cell r="A136" t="str">
            <v>020-70-030</v>
          </cell>
          <cell r="B136" t="str">
            <v>LOAN ON POLICY REPAYMENT</v>
          </cell>
          <cell r="C136">
            <v>-1982208</v>
          </cell>
        </row>
        <row r="137">
          <cell r="A137" t="str">
            <v>020-70-040</v>
          </cell>
          <cell r="B137" t="str">
            <v>O/S INTEREST ON LOAN ON POLICY</v>
          </cell>
          <cell r="C137">
            <v>23210418</v>
          </cell>
        </row>
        <row r="138">
          <cell r="A138" t="str">
            <v>020-70-050</v>
          </cell>
          <cell r="B138" t="str">
            <v>PROVISION FOR DOUBTFUL LOAN BALANCES</v>
          </cell>
          <cell r="C138">
            <v>-1749060</v>
          </cell>
        </row>
        <row r="139">
          <cell r="A139" t="str">
            <v>030-10-010</v>
          </cell>
          <cell r="B139" t="str">
            <v>BANK OF BARODA</v>
          </cell>
          <cell r="C139">
            <v>111394</v>
          </cell>
        </row>
        <row r="140">
          <cell r="A140" t="str">
            <v>030-10-020</v>
          </cell>
          <cell r="B140" t="str">
            <v>CREDIT AGRICOLE INDOSUEZ</v>
          </cell>
          <cell r="C140">
            <v>-9122</v>
          </cell>
        </row>
        <row r="141">
          <cell r="A141" t="str">
            <v>030-10-030</v>
          </cell>
          <cell r="B141" t="str">
            <v>CBA WABERA STREET</v>
          </cell>
          <cell r="C141">
            <v>617554</v>
          </cell>
        </row>
        <row r="142">
          <cell r="A142" t="str">
            <v>030-10-040</v>
          </cell>
          <cell r="B142" t="str">
            <v>BBK-MSA (16-1396-834</v>
          </cell>
          <cell r="C142">
            <v>430883</v>
          </cell>
        </row>
        <row r="143">
          <cell r="A143" t="str">
            <v>030-10-050</v>
          </cell>
          <cell r="B143" t="str">
            <v>SCB MSA (900711/00)</v>
          </cell>
          <cell r="C143">
            <v>1081468</v>
          </cell>
        </row>
        <row r="144">
          <cell r="A144" t="str">
            <v>030-10-060</v>
          </cell>
          <cell r="B144" t="str">
            <v>CO-OP UKULIMA BRANCH</v>
          </cell>
          <cell r="C144">
            <v>338257</v>
          </cell>
        </row>
        <row r="145">
          <cell r="A145" t="str">
            <v>030-10-070</v>
          </cell>
          <cell r="C145">
            <v>0</v>
          </cell>
        </row>
        <row r="146">
          <cell r="A146" t="str">
            <v>030-10-080</v>
          </cell>
          <cell r="B146" t="str">
            <v>BBK MERU</v>
          </cell>
          <cell r="C146">
            <v>152679</v>
          </cell>
        </row>
        <row r="147">
          <cell r="A147" t="str">
            <v>030-10-090</v>
          </cell>
          <cell r="B147" t="str">
            <v>BBK NYERI</v>
          </cell>
          <cell r="C147">
            <v>195420</v>
          </cell>
        </row>
        <row r="148">
          <cell r="A148" t="str">
            <v>030-10-100</v>
          </cell>
          <cell r="B148" t="str">
            <v>BBK NBI (5776890)</v>
          </cell>
          <cell r="C148">
            <v>0</v>
          </cell>
        </row>
        <row r="149">
          <cell r="A149" t="str">
            <v>030-10-110</v>
          </cell>
          <cell r="B149" t="str">
            <v>BBK KAKAMEGA</v>
          </cell>
          <cell r="C149">
            <v>252809</v>
          </cell>
        </row>
        <row r="150">
          <cell r="A150" t="str">
            <v>030-10-120</v>
          </cell>
          <cell r="B150" t="str">
            <v>BBK NBI (5776688)</v>
          </cell>
          <cell r="C150">
            <v>-1833382</v>
          </cell>
        </row>
        <row r="151">
          <cell r="A151" t="str">
            <v>030-10-130</v>
          </cell>
          <cell r="C151">
            <v>0</v>
          </cell>
        </row>
        <row r="152">
          <cell r="A152" t="str">
            <v>030-10-140</v>
          </cell>
          <cell r="B152" t="str">
            <v>BBK KISII</v>
          </cell>
          <cell r="C152">
            <v>164059</v>
          </cell>
        </row>
        <row r="153">
          <cell r="A153" t="str">
            <v>030-10-150</v>
          </cell>
          <cell r="B153" t="str">
            <v>BBK KISUMU</v>
          </cell>
          <cell r="C153">
            <v>72896</v>
          </cell>
        </row>
        <row r="154">
          <cell r="A154" t="str">
            <v>030-10-160</v>
          </cell>
          <cell r="B154" t="str">
            <v>BBK NAKURU</v>
          </cell>
          <cell r="C154">
            <v>230284</v>
          </cell>
        </row>
        <row r="155">
          <cell r="A155" t="str">
            <v>030-10-170</v>
          </cell>
          <cell r="B155" t="str">
            <v>BBK ELDORET</v>
          </cell>
          <cell r="C155">
            <v>480343</v>
          </cell>
        </row>
        <row r="156">
          <cell r="A156" t="str">
            <v>030-10-180</v>
          </cell>
          <cell r="B156" t="str">
            <v>BBK CHUKA</v>
          </cell>
          <cell r="C156">
            <v>0</v>
          </cell>
        </row>
        <row r="157">
          <cell r="A157" t="str">
            <v>030-10-190</v>
          </cell>
          <cell r="B157" t="str">
            <v>BBK EMBU</v>
          </cell>
          <cell r="C157">
            <v>15847</v>
          </cell>
        </row>
        <row r="158">
          <cell r="A158" t="str">
            <v>030-10-200</v>
          </cell>
          <cell r="B158" t="str">
            <v>CO-OP CHUKA</v>
          </cell>
          <cell r="C158">
            <v>242731</v>
          </cell>
        </row>
        <row r="159">
          <cell r="A159" t="str">
            <v>030-10-210</v>
          </cell>
          <cell r="B159" t="str">
            <v>STANBIC NBI</v>
          </cell>
          <cell r="C159">
            <v>8140070</v>
          </cell>
        </row>
        <row r="160">
          <cell r="A160" t="str">
            <v>030-10-220</v>
          </cell>
          <cell r="B160" t="str">
            <v>HOLDCO</v>
          </cell>
          <cell r="C160">
            <v>0</v>
          </cell>
        </row>
        <row r="161">
          <cell r="A161" t="str">
            <v>030-10-230</v>
          </cell>
          <cell r="B161" t="str">
            <v>GRATUITY US DOLLAR (101930025)</v>
          </cell>
          <cell r="C161">
            <v>0</v>
          </cell>
        </row>
        <row r="162">
          <cell r="A162" t="str">
            <v>030-10-240</v>
          </cell>
          <cell r="B162" t="str">
            <v>BARCLAYS BANK THIKA</v>
          </cell>
          <cell r="C162">
            <v>0</v>
          </cell>
        </row>
        <row r="163">
          <cell r="A163" t="str">
            <v>030-10-250</v>
          </cell>
          <cell r="B163" t="str">
            <v>CBA USD ACCOUNT</v>
          </cell>
          <cell r="C163">
            <v>0</v>
          </cell>
        </row>
        <row r="164">
          <cell r="A164" t="str">
            <v>030-10-465</v>
          </cell>
          <cell r="C164">
            <v>0</v>
          </cell>
        </row>
        <row r="165">
          <cell r="A165" t="str">
            <v>030-10-491</v>
          </cell>
          <cell r="C165">
            <v>0</v>
          </cell>
        </row>
        <row r="166">
          <cell r="A166" t="str">
            <v>030-20-010</v>
          </cell>
          <cell r="B166" t="str">
            <v>PETTY CASH HEADOFFICE</v>
          </cell>
          <cell r="C166">
            <v>40703</v>
          </cell>
        </row>
        <row r="167">
          <cell r="A167" t="str">
            <v>030-20-020</v>
          </cell>
          <cell r="B167" t="str">
            <v>PETTY CASH MOMBASA</v>
          </cell>
          <cell r="C167">
            <v>10000</v>
          </cell>
        </row>
        <row r="168">
          <cell r="A168" t="str">
            <v>030-20-030</v>
          </cell>
          <cell r="B168" t="str">
            <v>PETTY CASH MERU</v>
          </cell>
          <cell r="C168">
            <v>10000</v>
          </cell>
        </row>
        <row r="169">
          <cell r="A169" t="str">
            <v>030-20-040</v>
          </cell>
          <cell r="B169" t="str">
            <v>PETTY CASH NYERI</v>
          </cell>
          <cell r="C169">
            <v>15000</v>
          </cell>
        </row>
        <row r="170">
          <cell r="A170" t="str">
            <v>030-20-050</v>
          </cell>
          <cell r="B170" t="str">
            <v>PETTY CASH KISUMU</v>
          </cell>
          <cell r="C170">
            <v>10000</v>
          </cell>
        </row>
        <row r="171">
          <cell r="A171" t="str">
            <v>030-20-060</v>
          </cell>
          <cell r="B171" t="str">
            <v>PETTY CASH HURLINGHAM</v>
          </cell>
          <cell r="C171">
            <v>15000</v>
          </cell>
        </row>
        <row r="172">
          <cell r="A172" t="str">
            <v>030-20-070</v>
          </cell>
          <cell r="B172" t="str">
            <v>PETTY CASH ELDORET</v>
          </cell>
          <cell r="C172">
            <v>10000</v>
          </cell>
        </row>
        <row r="173">
          <cell r="A173" t="str">
            <v>030-20-080</v>
          </cell>
          <cell r="B173" t="str">
            <v>PETTY CASH KISII</v>
          </cell>
          <cell r="C173">
            <v>10000</v>
          </cell>
        </row>
        <row r="174">
          <cell r="A174" t="str">
            <v>030-20-090</v>
          </cell>
          <cell r="B174" t="str">
            <v>PETTY CASH CHUKA</v>
          </cell>
          <cell r="C174">
            <v>0</v>
          </cell>
        </row>
        <row r="175">
          <cell r="A175" t="str">
            <v>030-20-100</v>
          </cell>
          <cell r="B175" t="str">
            <v>PETTY CASH EMBU</v>
          </cell>
          <cell r="C175">
            <v>10000</v>
          </cell>
        </row>
        <row r="176">
          <cell r="A176" t="str">
            <v>030-20-110</v>
          </cell>
          <cell r="B176" t="str">
            <v>PETTY CASH NAKURU</v>
          </cell>
          <cell r="C176">
            <v>10000</v>
          </cell>
        </row>
        <row r="177">
          <cell r="A177" t="str">
            <v>030-20-120</v>
          </cell>
          <cell r="B177" t="str">
            <v>PETTY CASH THIKA</v>
          </cell>
          <cell r="C177">
            <v>10000</v>
          </cell>
        </row>
        <row r="178">
          <cell r="A178" t="str">
            <v>030-20-130</v>
          </cell>
          <cell r="B178" t="str">
            <v>PETTY CASH CITY CENTRE</v>
          </cell>
          <cell r="C178">
            <v>20000</v>
          </cell>
        </row>
        <row r="179">
          <cell r="A179" t="str">
            <v>030-20-140</v>
          </cell>
          <cell r="B179" t="str">
            <v>PETTY CASH MACHAKOS</v>
          </cell>
          <cell r="C179">
            <v>10000</v>
          </cell>
        </row>
        <row r="180">
          <cell r="A180" t="str">
            <v>030-20-150</v>
          </cell>
          <cell r="B180" t="str">
            <v>CASH FLOAT -LIFE MARKETING</v>
          </cell>
          <cell r="C180">
            <v>0</v>
          </cell>
        </row>
        <row r="181">
          <cell r="A181" t="str">
            <v>030-30-010</v>
          </cell>
          <cell r="B181" t="str">
            <v>FIXED DEPOSIT -CBA (RIGHTS ISSUE)</v>
          </cell>
          <cell r="C181">
            <v>10179031</v>
          </cell>
        </row>
        <row r="182">
          <cell r="A182" t="str">
            <v>030-30-020</v>
          </cell>
          <cell r="C182">
            <v>0</v>
          </cell>
        </row>
        <row r="183">
          <cell r="A183" t="str">
            <v>030-30-030</v>
          </cell>
          <cell r="B183" t="str">
            <v>OTHERS FIXED DEPOSITS</v>
          </cell>
          <cell r="C183">
            <v>17447805</v>
          </cell>
        </row>
        <row r="184">
          <cell r="A184" t="str">
            <v>030-30-040</v>
          </cell>
          <cell r="B184" t="str">
            <v>FIXED DEPOSIT -DELPHIS</v>
          </cell>
          <cell r="C184">
            <v>33755</v>
          </cell>
        </row>
        <row r="185">
          <cell r="A185" t="str">
            <v>030-30-050</v>
          </cell>
          <cell r="B185" t="str">
            <v>FIXED DEPOSIT -STANBIC BANK</v>
          </cell>
          <cell r="C185">
            <v>0</v>
          </cell>
        </row>
        <row r="186">
          <cell r="A186" t="str">
            <v>030-30-060</v>
          </cell>
          <cell r="B186" t="str">
            <v>FIXED DEPOSIT -BARCLAYS RIGHTS</v>
          </cell>
          <cell r="C186">
            <v>170617987</v>
          </cell>
        </row>
        <row r="187">
          <cell r="A187" t="str">
            <v>030-30-070</v>
          </cell>
          <cell r="B187" t="str">
            <v>FIXED DEPOSIT -TANZANIA</v>
          </cell>
          <cell r="C187">
            <v>354145</v>
          </cell>
        </row>
        <row r="188">
          <cell r="A188" t="str">
            <v>030-30-080</v>
          </cell>
          <cell r="B188" t="str">
            <v>DELPHIS BANK-PROVISION</v>
          </cell>
          <cell r="C188">
            <v>-33754</v>
          </cell>
        </row>
        <row r="189">
          <cell r="A189" t="str">
            <v>030-30-090</v>
          </cell>
          <cell r="B189" t="str">
            <v>STANBIC CUSTODIAN SERVICES</v>
          </cell>
          <cell r="C189">
            <v>0</v>
          </cell>
        </row>
        <row r="190">
          <cell r="A190" t="str">
            <v>030-33-010</v>
          </cell>
          <cell r="B190" t="str">
            <v>OUSTANDING PREMIUM - API</v>
          </cell>
          <cell r="C190">
            <v>59392234</v>
          </cell>
        </row>
        <row r="191">
          <cell r="A191" t="str">
            <v>030-35-010</v>
          </cell>
          <cell r="B191" t="str">
            <v>CONTRA BSO</v>
          </cell>
          <cell r="C191">
            <v>0</v>
          </cell>
        </row>
        <row r="192">
          <cell r="A192" t="str">
            <v>030-35-020</v>
          </cell>
          <cell r="B192" t="str">
            <v>CONTRA GSO</v>
          </cell>
          <cell r="C192">
            <v>0</v>
          </cell>
        </row>
        <row r="193">
          <cell r="A193" t="str">
            <v>030-35-030</v>
          </cell>
          <cell r="B193" t="str">
            <v>CONTRA CASH</v>
          </cell>
          <cell r="C193">
            <v>0</v>
          </cell>
        </row>
        <row r="194">
          <cell r="A194" t="str">
            <v>030-35-040</v>
          </cell>
          <cell r="B194" t="str">
            <v>CONTRA DD</v>
          </cell>
          <cell r="C194">
            <v>0</v>
          </cell>
        </row>
        <row r="195">
          <cell r="A195" t="str">
            <v>030-35-050</v>
          </cell>
          <cell r="B195" t="str">
            <v>PREMIUMS IN ARREARS</v>
          </cell>
          <cell r="C195">
            <v>0</v>
          </cell>
        </row>
        <row r="196">
          <cell r="A196" t="str">
            <v>030-40-010</v>
          </cell>
          <cell r="B196" t="str">
            <v>SAFARICOM</v>
          </cell>
          <cell r="C196">
            <v>0</v>
          </cell>
        </row>
        <row r="197">
          <cell r="A197" t="str">
            <v>030-40-015</v>
          </cell>
          <cell r="B197" t="str">
            <v>KENYA OIL CO. LTD</v>
          </cell>
          <cell r="C197">
            <v>0</v>
          </cell>
        </row>
        <row r="198">
          <cell r="A198" t="str">
            <v>030-45-010</v>
          </cell>
          <cell r="B198" t="str">
            <v>O/S INTEREST ON COMMERCIAL PAPER</v>
          </cell>
          <cell r="C198">
            <v>0</v>
          </cell>
        </row>
        <row r="199">
          <cell r="A199" t="str">
            <v>030-45-020</v>
          </cell>
          <cell r="B199" t="str">
            <v>O/S INTEREST ON FIXED DEPOSIT</v>
          </cell>
          <cell r="C199">
            <v>13881165</v>
          </cell>
        </row>
        <row r="200">
          <cell r="A200" t="str">
            <v>030-45-030</v>
          </cell>
          <cell r="B200" t="str">
            <v>O/S INTEREST ON TB'S</v>
          </cell>
          <cell r="C200">
            <v>0</v>
          </cell>
        </row>
        <row r="201">
          <cell r="A201" t="str">
            <v>030-50-010</v>
          </cell>
          <cell r="B201" t="str">
            <v>AGENTS LOANS</v>
          </cell>
          <cell r="C201">
            <v>5185690</v>
          </cell>
        </row>
        <row r="202">
          <cell r="A202" t="str">
            <v>030-50-020</v>
          </cell>
          <cell r="B202" t="str">
            <v>AGENTS COMMISSION CONTROL ACCOUNT</v>
          </cell>
          <cell r="C202">
            <v>-3129785</v>
          </cell>
        </row>
        <row r="203">
          <cell r="A203" t="str">
            <v>030-50-030</v>
          </cell>
          <cell r="B203" t="str">
            <v>STAFF ADVANCES</v>
          </cell>
          <cell r="C203">
            <v>864588</v>
          </cell>
        </row>
        <row r="204">
          <cell r="A204" t="str">
            <v>030-50-040</v>
          </cell>
          <cell r="B204" t="str">
            <v>STAFF CAR LOANS</v>
          </cell>
          <cell r="C204">
            <v>5453532</v>
          </cell>
        </row>
        <row r="205">
          <cell r="A205" t="str">
            <v>030-50-050</v>
          </cell>
          <cell r="B205" t="str">
            <v>STAFF DEBTORS MEDICALS</v>
          </cell>
          <cell r="C205">
            <v>0</v>
          </cell>
        </row>
        <row r="206">
          <cell r="A206" t="str">
            <v>030-50-060</v>
          </cell>
          <cell r="B206" t="str">
            <v>AGENTS CAR LOANS</v>
          </cell>
          <cell r="C206">
            <v>0</v>
          </cell>
        </row>
        <row r="207">
          <cell r="A207" t="str">
            <v>030-55-010</v>
          </cell>
          <cell r="B207" t="str">
            <v>DUE FROM GROUP SCHEMES</v>
          </cell>
          <cell r="C207">
            <v>222052</v>
          </cell>
        </row>
        <row r="208">
          <cell r="A208" t="str">
            <v>030-55-020</v>
          </cell>
          <cell r="B208" t="str">
            <v>W/TAX RECOVERABLE</v>
          </cell>
          <cell r="C208">
            <v>2293</v>
          </cell>
        </row>
        <row r="209">
          <cell r="A209" t="str">
            <v>030-55-030</v>
          </cell>
          <cell r="B209" t="str">
            <v>SUNDRY DEBTORS</v>
          </cell>
          <cell r="C209">
            <v>3229886</v>
          </cell>
        </row>
        <row r="210">
          <cell r="A210" t="str">
            <v>030-55-040</v>
          </cell>
          <cell r="B210" t="str">
            <v>PAN AFRICA GENERAL(DUE TO LIFE)</v>
          </cell>
          <cell r="C210">
            <v>0</v>
          </cell>
        </row>
        <row r="211">
          <cell r="A211" t="str">
            <v>030-55-050</v>
          </cell>
          <cell r="B211" t="str">
            <v>CORPORATION TAX -TANZANIA</v>
          </cell>
          <cell r="C211">
            <v>86855</v>
          </cell>
        </row>
        <row r="212">
          <cell r="A212" t="str">
            <v>030-70-010</v>
          </cell>
          <cell r="B212" t="str">
            <v>RENT DEPOSITS</v>
          </cell>
          <cell r="C212">
            <v>2399153</v>
          </cell>
        </row>
        <row r="213">
          <cell r="A213" t="str">
            <v>030-70-020</v>
          </cell>
          <cell r="B213" t="str">
            <v>INPUT VAT</v>
          </cell>
          <cell r="C213">
            <v>227894</v>
          </cell>
        </row>
        <row r="214">
          <cell r="A214" t="str">
            <v>030-70-030</v>
          </cell>
          <cell r="B214" t="str">
            <v>RENT LEASE FEES RECOVERABLE</v>
          </cell>
          <cell r="C214">
            <v>0</v>
          </cell>
        </row>
        <row r="215">
          <cell r="A215" t="str">
            <v>030-70-040</v>
          </cell>
          <cell r="B215" t="str">
            <v>O/S RENT</v>
          </cell>
          <cell r="C215">
            <v>40020777</v>
          </cell>
        </row>
        <row r="216">
          <cell r="A216" t="str">
            <v>030-70-050</v>
          </cell>
          <cell r="B216" t="str">
            <v>O/S SERVICE CHARGE (AMBALAL )</v>
          </cell>
          <cell r="C216">
            <v>13600743</v>
          </cell>
        </row>
        <row r="217">
          <cell r="A217" t="str">
            <v>030-70-060</v>
          </cell>
          <cell r="B217" t="str">
            <v>O/S SERVICE CHARGE (MOMBASA)</v>
          </cell>
          <cell r="C217">
            <v>2178202</v>
          </cell>
        </row>
        <row r="218">
          <cell r="A218" t="str">
            <v>030-70-070</v>
          </cell>
          <cell r="B218" t="str">
            <v>O/S SERVICE CHARGE PAN HSE NBI</v>
          </cell>
          <cell r="C218">
            <v>2004777</v>
          </cell>
        </row>
        <row r="219">
          <cell r="A219" t="str">
            <v>030-70-080</v>
          </cell>
          <cell r="B219" t="str">
            <v>O/S INTEREST ON O/O INTEREST</v>
          </cell>
          <cell r="C219">
            <v>23598661</v>
          </cell>
        </row>
        <row r="220">
          <cell r="A220" t="str">
            <v>030-70-090</v>
          </cell>
          <cell r="B220" t="str">
            <v>O/S VAT</v>
          </cell>
          <cell r="C220">
            <v>2404186</v>
          </cell>
        </row>
        <row r="221">
          <cell r="A221" t="str">
            <v>030-70-100</v>
          </cell>
          <cell r="B221" t="str">
            <v>O/S EXCESS SERVICE CHARGE</v>
          </cell>
          <cell r="C221">
            <v>92103497</v>
          </cell>
        </row>
        <row r="222">
          <cell r="A222" t="str">
            <v>030-70-110</v>
          </cell>
          <cell r="B222" t="str">
            <v>BAD DEBTS PROVISION</v>
          </cell>
          <cell r="C222">
            <v>-150924965</v>
          </cell>
        </row>
        <row r="223">
          <cell r="A223" t="str">
            <v>030-70-120</v>
          </cell>
          <cell r="B223" t="str">
            <v>DEPOSITS RECEIVED -SHREHOLDERS</v>
          </cell>
          <cell r="C223">
            <v>67420</v>
          </cell>
        </row>
        <row r="224">
          <cell r="A224" t="str">
            <v>030-70-130</v>
          </cell>
          <cell r="B224" t="str">
            <v>KNIGHT FRANK</v>
          </cell>
          <cell r="C224">
            <v>0</v>
          </cell>
        </row>
        <row r="225">
          <cell r="A225" t="str">
            <v>030-70-135</v>
          </cell>
          <cell r="B225" t="str">
            <v>PAN AFRICA HOUSE NAIROBI</v>
          </cell>
          <cell r="C225">
            <v>0</v>
          </cell>
        </row>
        <row r="226">
          <cell r="A226" t="str">
            <v>030-70-140</v>
          </cell>
          <cell r="B226" t="str">
            <v>PAN AFRICA HOUSE MOMBASA</v>
          </cell>
          <cell r="C226">
            <v>0</v>
          </cell>
        </row>
        <row r="227">
          <cell r="A227" t="str">
            <v>030-70-145</v>
          </cell>
          <cell r="B227" t="str">
            <v>AMBALAL HOUSE MOMBASA</v>
          </cell>
          <cell r="C227">
            <v>0</v>
          </cell>
        </row>
        <row r="228">
          <cell r="A228" t="str">
            <v>030-75-010</v>
          </cell>
          <cell r="B228" t="str">
            <v>O/S INTEREST ON STAFF MORTAGES</v>
          </cell>
          <cell r="C228">
            <v>0</v>
          </cell>
        </row>
        <row r="229">
          <cell r="A229" t="str">
            <v>030-75-020</v>
          </cell>
          <cell r="B229" t="str">
            <v>O/S INTEREST ON MORTGAGE (THIRD PARTY)</v>
          </cell>
          <cell r="C229">
            <v>601604</v>
          </cell>
        </row>
        <row r="230">
          <cell r="A230" t="str">
            <v>030-75-030</v>
          </cell>
          <cell r="B230" t="str">
            <v>PROVISION FOR DOUBTFUL MORTGAGE BALS</v>
          </cell>
          <cell r="C230">
            <v>0</v>
          </cell>
        </row>
        <row r="231">
          <cell r="A231" t="str">
            <v>030-85-010</v>
          </cell>
          <cell r="B231" t="str">
            <v>DEPOSITS ACCOUNTS</v>
          </cell>
          <cell r="C231">
            <v>5505094</v>
          </cell>
        </row>
        <row r="232">
          <cell r="A232" t="str">
            <v>030-85-020</v>
          </cell>
          <cell r="B232" t="str">
            <v>HMS (DEPOSITS)</v>
          </cell>
          <cell r="C232">
            <v>0</v>
          </cell>
        </row>
        <row r="233">
          <cell r="A233" t="str">
            <v>030-85-030</v>
          </cell>
          <cell r="B233" t="str">
            <v>LEGAL FEE PAID</v>
          </cell>
          <cell r="C233">
            <v>0</v>
          </cell>
        </row>
        <row r="234">
          <cell r="A234" t="str">
            <v>030-85-040</v>
          </cell>
          <cell r="B234" t="str">
            <v>PREPAYMENTS (EXPENSES)</v>
          </cell>
          <cell r="C234">
            <v>0</v>
          </cell>
        </row>
        <row r="235">
          <cell r="A235" t="str">
            <v>030-90-010</v>
          </cell>
          <cell r="B235" t="str">
            <v>LEGAL FEE PAID</v>
          </cell>
          <cell r="C235">
            <v>750000</v>
          </cell>
        </row>
        <row r="236">
          <cell r="A236" t="str">
            <v>030-90-020</v>
          </cell>
          <cell r="B236" t="str">
            <v>PREPAYMENTS (EXPENSES)</v>
          </cell>
          <cell r="C236">
            <v>2604117</v>
          </cell>
        </row>
        <row r="237">
          <cell r="A237" t="str">
            <v>040-10-010</v>
          </cell>
          <cell r="B237" t="str">
            <v>SHELTER AFRIQUE</v>
          </cell>
          <cell r="C237">
            <v>10000000</v>
          </cell>
        </row>
        <row r="238">
          <cell r="A238" t="str">
            <v>040-10-020</v>
          </cell>
          <cell r="B238" t="str">
            <v>E.A.DEVELOPMENT BAK</v>
          </cell>
          <cell r="C238">
            <v>11700000</v>
          </cell>
        </row>
        <row r="239">
          <cell r="A239" t="str">
            <v>040-10-030</v>
          </cell>
          <cell r="B239" t="str">
            <v>SAFARICOM</v>
          </cell>
          <cell r="C239">
            <v>0</v>
          </cell>
        </row>
        <row r="240">
          <cell r="A240" t="str">
            <v>040-10-040</v>
          </cell>
          <cell r="B240" t="str">
            <v>KENYA OIL LTD</v>
          </cell>
          <cell r="C240">
            <v>0</v>
          </cell>
        </row>
        <row r="241">
          <cell r="A241" t="str">
            <v>040-10-050</v>
          </cell>
          <cell r="B241" t="str">
            <v>MABATI ROLLING MILLS</v>
          </cell>
          <cell r="C241">
            <v>0</v>
          </cell>
        </row>
        <row r="242">
          <cell r="A242" t="str">
            <v>050-10-010</v>
          </cell>
          <cell r="B242" t="str">
            <v>TRADE CREDITORS CONTROL ACCOUNT</v>
          </cell>
          <cell r="C242">
            <v>-9656220</v>
          </cell>
        </row>
        <row r="243">
          <cell r="A243" t="str">
            <v>050-10-020</v>
          </cell>
          <cell r="B243" t="str">
            <v>STALE CHEQUES BBK NAIROBI</v>
          </cell>
          <cell r="C243">
            <v>-3101932</v>
          </cell>
        </row>
        <row r="244">
          <cell r="A244" t="str">
            <v>050-10-030</v>
          </cell>
          <cell r="B244" t="str">
            <v>STALE CHEQUES BBK MOMBASA</v>
          </cell>
          <cell r="C244">
            <v>-296326</v>
          </cell>
        </row>
        <row r="245">
          <cell r="A245" t="str">
            <v>050-10-040</v>
          </cell>
          <cell r="B245" t="str">
            <v>STALE CHEQUES CBA</v>
          </cell>
          <cell r="C245">
            <v>-8826</v>
          </cell>
        </row>
        <row r="246">
          <cell r="A246" t="str">
            <v>050-10-050</v>
          </cell>
          <cell r="B246" t="str">
            <v>STALE CHEQUES BANK INDOSUEZ</v>
          </cell>
          <cell r="C246">
            <v>-334219</v>
          </cell>
        </row>
        <row r="247">
          <cell r="A247" t="str">
            <v>050-20-010</v>
          </cell>
          <cell r="B247" t="str">
            <v>REINSURANCE PREMIUM TAX</v>
          </cell>
          <cell r="C247">
            <v>0</v>
          </cell>
        </row>
        <row r="248">
          <cell r="A248" t="str">
            <v>050-20-020</v>
          </cell>
          <cell r="B248" t="str">
            <v>REINSURANCE CREDITORS</v>
          </cell>
          <cell r="C248">
            <v>4401510</v>
          </cell>
        </row>
        <row r="249">
          <cell r="A249" t="str">
            <v>050-20-030</v>
          </cell>
          <cell r="B249" t="str">
            <v>REINSURANCE DEBTORS</v>
          </cell>
          <cell r="C249">
            <v>0</v>
          </cell>
        </row>
        <row r="250">
          <cell r="A250" t="str">
            <v>050-30-010</v>
          </cell>
          <cell r="B250" t="str">
            <v>O/S MATURITY CLAIMS (FULL MATURITY)</v>
          </cell>
          <cell r="C250">
            <v>-15030685</v>
          </cell>
        </row>
        <row r="251">
          <cell r="A251" t="str">
            <v>050-30-020</v>
          </cell>
          <cell r="B251" t="str">
            <v>O/S MATURITY CLAIMS ENDOWNMENT</v>
          </cell>
          <cell r="C251">
            <v>-5074273</v>
          </cell>
        </row>
        <row r="252">
          <cell r="A252" t="str">
            <v>050-30-030</v>
          </cell>
          <cell r="B252" t="str">
            <v>O/S DEATH CLAIMS -ORDINARY LIFE</v>
          </cell>
          <cell r="C252">
            <v>-22942389</v>
          </cell>
        </row>
        <row r="253">
          <cell r="A253" t="str">
            <v>050-30-040</v>
          </cell>
          <cell r="B253" t="str">
            <v>O/S CASH SURRENDER VALUE</v>
          </cell>
          <cell r="C253">
            <v>-2504032</v>
          </cell>
        </row>
        <row r="254">
          <cell r="A254" t="str">
            <v>050-30-050</v>
          </cell>
          <cell r="B254" t="str">
            <v>O/S ANNUITY CLAIMS</v>
          </cell>
          <cell r="C254">
            <v>-7636457</v>
          </cell>
        </row>
        <row r="255">
          <cell r="A255" t="str">
            <v>050-30-060</v>
          </cell>
          <cell r="B255" t="str">
            <v>O/S DEATH -TANZANIA</v>
          </cell>
          <cell r="C255">
            <v>-13031.61</v>
          </cell>
        </row>
        <row r="256">
          <cell r="A256" t="str">
            <v>050-30-070</v>
          </cell>
          <cell r="B256" t="str">
            <v>O/S MATIRITY CLAIMS-TANZANIA</v>
          </cell>
          <cell r="C256">
            <v>-569049.39</v>
          </cell>
        </row>
        <row r="257">
          <cell r="A257" t="str">
            <v>050-30-080</v>
          </cell>
          <cell r="B257" t="str">
            <v>O/S FFFP DEATH CLAIMS</v>
          </cell>
          <cell r="C257">
            <v>0</v>
          </cell>
        </row>
        <row r="258">
          <cell r="A258" t="str">
            <v>050-40-010</v>
          </cell>
          <cell r="B258" t="str">
            <v>PAYROLL CREDITORS</v>
          </cell>
          <cell r="C258">
            <v>-97493</v>
          </cell>
        </row>
        <row r="259">
          <cell r="A259" t="str">
            <v>050-40-020</v>
          </cell>
          <cell r="B259" t="str">
            <v>NET PAY</v>
          </cell>
          <cell r="C259">
            <v>0</v>
          </cell>
        </row>
        <row r="260">
          <cell r="A260" t="str">
            <v>050-40-030</v>
          </cell>
          <cell r="B260" t="str">
            <v>NSSF &amp; NHIF</v>
          </cell>
          <cell r="C260">
            <v>0</v>
          </cell>
        </row>
        <row r="261">
          <cell r="A261" t="str">
            <v>050-40-040</v>
          </cell>
          <cell r="B261" t="str">
            <v>PAYE</v>
          </cell>
          <cell r="C261">
            <v>0</v>
          </cell>
        </row>
        <row r="262">
          <cell r="A262" t="str">
            <v>050-40-050</v>
          </cell>
          <cell r="B262" t="str">
            <v>PENSION FUND</v>
          </cell>
          <cell r="C262">
            <v>0</v>
          </cell>
        </row>
        <row r="263">
          <cell r="A263" t="str">
            <v>050-40-060</v>
          </cell>
          <cell r="B263" t="str">
            <v>STAFF CO-OPERATIVES</v>
          </cell>
          <cell r="C263">
            <v>-200626</v>
          </cell>
        </row>
        <row r="264">
          <cell r="A264" t="str">
            <v>050-40-070</v>
          </cell>
          <cell r="B264" t="str">
            <v>GRATUITY</v>
          </cell>
          <cell r="C264">
            <v>-3712320</v>
          </cell>
        </row>
        <row r="265">
          <cell r="A265" t="str">
            <v>050-40-080</v>
          </cell>
          <cell r="B265" t="str">
            <v>AGENTS PAYROLL CREDITORS</v>
          </cell>
          <cell r="C265">
            <v>0</v>
          </cell>
        </row>
        <row r="266">
          <cell r="A266" t="str">
            <v>050-40-090</v>
          </cell>
          <cell r="B266" t="str">
            <v>AGENTS SACCO CONTRIBUTIONS</v>
          </cell>
          <cell r="C266">
            <v>0</v>
          </cell>
        </row>
        <row r="267">
          <cell r="A267" t="str">
            <v>050-50-010</v>
          </cell>
          <cell r="B267" t="str">
            <v>LEASE LEGAL FEE</v>
          </cell>
          <cell r="C267">
            <v>-2287562</v>
          </cell>
        </row>
        <row r="268">
          <cell r="A268" t="str">
            <v>050-50-020</v>
          </cell>
          <cell r="B268" t="str">
            <v>OUTPUT VAT</v>
          </cell>
          <cell r="C268">
            <v>-962178</v>
          </cell>
        </row>
        <row r="269">
          <cell r="A269" t="str">
            <v>050-50-030</v>
          </cell>
          <cell r="B269" t="str">
            <v>DEPOSITS RECEIVED (BUILDINGS)</v>
          </cell>
          <cell r="C269">
            <v>-6259995</v>
          </cell>
        </row>
        <row r="270">
          <cell r="A270" t="str">
            <v>050-50-040</v>
          </cell>
          <cell r="B270" t="str">
            <v>RENT RECIVED IN ADVANCE -ANNUITY</v>
          </cell>
          <cell r="C270">
            <v>-6450000</v>
          </cell>
        </row>
        <row r="271">
          <cell r="A271" t="str">
            <v>050-60-010</v>
          </cell>
          <cell r="B271" t="str">
            <v>AUDIT FEES</v>
          </cell>
          <cell r="C271">
            <v>-725110</v>
          </cell>
        </row>
        <row r="272">
          <cell r="A272" t="str">
            <v>050-60-020</v>
          </cell>
          <cell r="B272" t="str">
            <v>ACTUARIAL FEES</v>
          </cell>
          <cell r="C272">
            <v>-1416000</v>
          </cell>
        </row>
        <row r="273">
          <cell r="A273" t="str">
            <v>050-60-030</v>
          </cell>
          <cell r="B273" t="str">
            <v>CASH IN LIEU OF LEAVE</v>
          </cell>
          <cell r="C273">
            <v>-2030248</v>
          </cell>
        </row>
        <row r="274">
          <cell r="A274" t="str">
            <v>050-60-040</v>
          </cell>
          <cell r="B274" t="str">
            <v>RETRECHMENT COSTS</v>
          </cell>
          <cell r="C274">
            <v>0</v>
          </cell>
        </row>
        <row r="275">
          <cell r="A275" t="str">
            <v>050-60-050</v>
          </cell>
          <cell r="B275" t="str">
            <v>OTHERS ACCRUALS</v>
          </cell>
          <cell r="C275">
            <v>-354700</v>
          </cell>
        </row>
        <row r="276">
          <cell r="A276" t="str">
            <v>050-60-060</v>
          </cell>
          <cell r="B276" t="str">
            <v>AIG MANAGEMENT FEES</v>
          </cell>
          <cell r="C276">
            <v>0</v>
          </cell>
        </row>
        <row r="277">
          <cell r="A277" t="str">
            <v>050-60-070</v>
          </cell>
          <cell r="B277" t="str">
            <v>AGENCY BALANCES (API)</v>
          </cell>
          <cell r="C277">
            <v>-21704125</v>
          </cell>
        </row>
        <row r="278">
          <cell r="A278" t="str">
            <v>050-60-075</v>
          </cell>
          <cell r="B278" t="str">
            <v>UNEARNED INTEREST</v>
          </cell>
          <cell r="C278">
            <v>0</v>
          </cell>
        </row>
        <row r="279">
          <cell r="A279" t="str">
            <v>050-60-080</v>
          </cell>
          <cell r="B279" t="str">
            <v>STAFF BONUS</v>
          </cell>
          <cell r="C279">
            <v>0</v>
          </cell>
        </row>
        <row r="280">
          <cell r="A280" t="str">
            <v>050-60-085</v>
          </cell>
          <cell r="B280" t="str">
            <v>TAX</v>
          </cell>
          <cell r="C280">
            <v>0</v>
          </cell>
        </row>
        <row r="281">
          <cell r="A281" t="str">
            <v>050-70-010</v>
          </cell>
          <cell r="B281" t="str">
            <v>UNPROCESSED PREMIUM BSO</v>
          </cell>
          <cell r="C281">
            <v>0</v>
          </cell>
        </row>
        <row r="282">
          <cell r="A282" t="str">
            <v>050-70-020</v>
          </cell>
          <cell r="B282" t="str">
            <v>UNPROCESSED PREMIUM GSO</v>
          </cell>
          <cell r="C282">
            <v>0</v>
          </cell>
        </row>
        <row r="283">
          <cell r="A283" t="str">
            <v>050-70-030</v>
          </cell>
          <cell r="B283" t="str">
            <v>UNPROCESSED PREMIUM CASH</v>
          </cell>
          <cell r="C283">
            <v>0</v>
          </cell>
        </row>
        <row r="284">
          <cell r="A284" t="str">
            <v>050-70-040</v>
          </cell>
          <cell r="B284" t="str">
            <v>UNPROCESSED DD</v>
          </cell>
          <cell r="C284">
            <v>0</v>
          </cell>
        </row>
        <row r="285">
          <cell r="A285" t="str">
            <v>050-80-010</v>
          </cell>
          <cell r="B285" t="str">
            <v>AGENTS W/TAX</v>
          </cell>
          <cell r="C285">
            <v>-616933</v>
          </cell>
        </row>
        <row r="286">
          <cell r="A286" t="str">
            <v>050-80-020</v>
          </cell>
          <cell r="B286" t="str">
            <v>PROVISION FOR EXPENSES</v>
          </cell>
          <cell r="C286">
            <v>-11478209</v>
          </cell>
        </row>
        <row r="287">
          <cell r="A287" t="str">
            <v>060-10-010</v>
          </cell>
          <cell r="B287" t="str">
            <v>ALA -PAIC (DUE FROM)</v>
          </cell>
          <cell r="C287">
            <v>1042100</v>
          </cell>
        </row>
        <row r="288">
          <cell r="A288" t="str">
            <v>060-10-020</v>
          </cell>
          <cell r="B288" t="str">
            <v>ALA -PAIC (DUE TO)</v>
          </cell>
          <cell r="C288">
            <v>-6937080</v>
          </cell>
        </row>
        <row r="289">
          <cell r="A289" t="str">
            <v>060-10-030</v>
          </cell>
          <cell r="B289" t="str">
            <v>PIAC GENERAL (ALA CHARGES)</v>
          </cell>
          <cell r="C289">
            <v>2500000</v>
          </cell>
        </row>
        <row r="290">
          <cell r="A290" t="str">
            <v>060-10-040</v>
          </cell>
          <cell r="B290" t="str">
            <v>PAIC GENERAL ACCOUNT</v>
          </cell>
          <cell r="C290">
            <v>-48115789</v>
          </cell>
        </row>
        <row r="291">
          <cell r="A291" t="str">
            <v>060-10-050</v>
          </cell>
          <cell r="B291" t="str">
            <v>TANZANIA ACCOUNT</v>
          </cell>
          <cell r="C291">
            <v>30750</v>
          </cell>
        </row>
        <row r="292">
          <cell r="A292" t="str">
            <v>060-10-060</v>
          </cell>
          <cell r="B292" t="str">
            <v>EXECUTIVE DIRECTOR ACCOUNT</v>
          </cell>
          <cell r="C292">
            <v>-131323</v>
          </cell>
        </row>
        <row r="293">
          <cell r="A293" t="str">
            <v>060-10-070</v>
          </cell>
          <cell r="B293" t="str">
            <v>HUBRIS HOLDINGS LTD</v>
          </cell>
          <cell r="C293">
            <v>2422687</v>
          </cell>
        </row>
        <row r="294">
          <cell r="A294" t="str">
            <v>060-10-080</v>
          </cell>
          <cell r="B294" t="str">
            <v>CORPORATE DIVISION</v>
          </cell>
          <cell r="C294">
            <v>352453</v>
          </cell>
        </row>
        <row r="295">
          <cell r="A295" t="str">
            <v>060-10-090</v>
          </cell>
          <cell r="B295" t="str">
            <v>MAE PROPERTIES</v>
          </cell>
          <cell r="C295">
            <v>1750000</v>
          </cell>
        </row>
        <row r="296">
          <cell r="A296" t="str">
            <v>070-10-010</v>
          </cell>
          <cell r="B296" t="str">
            <v>NEW BUSINESS PREMIUM</v>
          </cell>
          <cell r="C296">
            <v>0</v>
          </cell>
        </row>
        <row r="297">
          <cell r="A297" t="str">
            <v>070-10-020</v>
          </cell>
          <cell r="B297" t="str">
            <v>NEW BUSINESS UPDATES</v>
          </cell>
          <cell r="C297">
            <v>0</v>
          </cell>
        </row>
        <row r="298">
          <cell r="A298" t="str">
            <v>070-10-030</v>
          </cell>
          <cell r="B298" t="str">
            <v>RENEWAL BUSINESS PREMIUM</v>
          </cell>
          <cell r="C298">
            <v>0</v>
          </cell>
        </row>
        <row r="299">
          <cell r="A299" t="str">
            <v>070-10-040</v>
          </cell>
          <cell r="B299" t="str">
            <v>DIRECT BANK DEBIT PREMIUM</v>
          </cell>
          <cell r="C299">
            <v>0</v>
          </cell>
        </row>
        <row r="300">
          <cell r="A300" t="str">
            <v>070-10-050</v>
          </cell>
          <cell r="B300" t="str">
            <v>PREMIUM REFUNDS</v>
          </cell>
          <cell r="C300">
            <v>0</v>
          </cell>
        </row>
        <row r="301">
          <cell r="A301" t="str">
            <v>070-15-010</v>
          </cell>
          <cell r="B301" t="str">
            <v>NEW BUSINESS PREMIUM</v>
          </cell>
          <cell r="C301">
            <v>0</v>
          </cell>
        </row>
        <row r="302">
          <cell r="A302" t="str">
            <v>070-15-020</v>
          </cell>
          <cell r="B302" t="str">
            <v>NEW BUSINESS PREMIUM UPDATES</v>
          </cell>
          <cell r="C302">
            <v>0</v>
          </cell>
        </row>
        <row r="303">
          <cell r="A303" t="str">
            <v>070-15-030</v>
          </cell>
          <cell r="B303" t="str">
            <v>RENEWAL BUSINESS PREMIUM</v>
          </cell>
          <cell r="C303">
            <v>0</v>
          </cell>
        </row>
        <row r="304">
          <cell r="A304" t="str">
            <v>070-15-040</v>
          </cell>
          <cell r="B304" t="str">
            <v>PREMIUMS REFUNDS</v>
          </cell>
          <cell r="C304">
            <v>0</v>
          </cell>
        </row>
        <row r="305">
          <cell r="A305" t="str">
            <v>070-16-010</v>
          </cell>
          <cell r="B305" t="str">
            <v>NEW BUSINESS PREMIUM</v>
          </cell>
          <cell r="C305">
            <v>0</v>
          </cell>
        </row>
        <row r="306">
          <cell r="A306" t="str">
            <v>070-16-020</v>
          </cell>
          <cell r="B306" t="str">
            <v>NEW BUSINESS UPDATES</v>
          </cell>
          <cell r="C306">
            <v>0</v>
          </cell>
        </row>
        <row r="307">
          <cell r="A307" t="str">
            <v>070-16-030</v>
          </cell>
          <cell r="B307" t="str">
            <v>RENEWAL BUSINESS PREMIUM</v>
          </cell>
          <cell r="C307">
            <v>0</v>
          </cell>
        </row>
        <row r="308">
          <cell r="A308" t="str">
            <v>070-16-040</v>
          </cell>
          <cell r="B308" t="str">
            <v>PREMIUMS REFUNDS</v>
          </cell>
          <cell r="C308">
            <v>0</v>
          </cell>
        </row>
        <row r="309">
          <cell r="A309" t="str">
            <v>070-20-010</v>
          </cell>
          <cell r="B309" t="str">
            <v>NEW BUSINESS PREMIUM LAPSES</v>
          </cell>
          <cell r="C309">
            <v>0</v>
          </cell>
        </row>
        <row r="310">
          <cell r="A310" t="str">
            <v>070-20-020</v>
          </cell>
          <cell r="B310" t="str">
            <v>RENEWAL BUSINESS PREMIUM LAPSES</v>
          </cell>
          <cell r="C310">
            <v>0</v>
          </cell>
        </row>
        <row r="311">
          <cell r="A311" t="str">
            <v>080-10-010</v>
          </cell>
          <cell r="B311" t="str">
            <v>LORESHO HOUSE</v>
          </cell>
          <cell r="C311">
            <v>0</v>
          </cell>
        </row>
        <row r="312">
          <cell r="A312" t="str">
            <v>080-10-020</v>
          </cell>
          <cell r="B312" t="str">
            <v>RETREAT VILLAS</v>
          </cell>
          <cell r="C312">
            <v>0</v>
          </cell>
        </row>
        <row r="313">
          <cell r="A313" t="str">
            <v>080-10-030</v>
          </cell>
          <cell r="B313" t="str">
            <v>ARCADE PETROL STATION</v>
          </cell>
          <cell r="C313">
            <v>0</v>
          </cell>
        </row>
        <row r="314">
          <cell r="A314" t="str">
            <v>080-10-040</v>
          </cell>
          <cell r="B314" t="str">
            <v>PAN AFRICA HOUSE MOMBASA</v>
          </cell>
          <cell r="C314">
            <v>0</v>
          </cell>
        </row>
        <row r="315">
          <cell r="A315" t="str">
            <v>080-10-050</v>
          </cell>
          <cell r="B315" t="str">
            <v>AMBALAL HOUSE</v>
          </cell>
          <cell r="C315">
            <v>0</v>
          </cell>
        </row>
        <row r="316">
          <cell r="A316" t="str">
            <v>080-10-060</v>
          </cell>
          <cell r="B316" t="str">
            <v>PAN AFRICA HOUSE NAIROBI</v>
          </cell>
          <cell r="C316">
            <v>0</v>
          </cell>
        </row>
        <row r="317">
          <cell r="A317" t="str">
            <v>080-10-070</v>
          </cell>
          <cell r="B317" t="str">
            <v>SERVICE CHARGE PAN AFRICA MSA</v>
          </cell>
          <cell r="C317">
            <v>0</v>
          </cell>
        </row>
        <row r="318">
          <cell r="A318" t="str">
            <v>080-10-080</v>
          </cell>
          <cell r="B318" t="str">
            <v>SERVICE CHARGE AMBALAL HOUSE</v>
          </cell>
          <cell r="C318">
            <v>0</v>
          </cell>
        </row>
        <row r="319">
          <cell r="A319" t="str">
            <v>080-10-090</v>
          </cell>
          <cell r="B319" t="str">
            <v>SERVICE CHARGE PAN AFRICA NAIROBI</v>
          </cell>
          <cell r="C319">
            <v>0</v>
          </cell>
        </row>
        <row r="320">
          <cell r="A320" t="str">
            <v>080-10-100</v>
          </cell>
          <cell r="B320" t="str">
            <v>INTEREST AMBALAL</v>
          </cell>
          <cell r="C320">
            <v>0</v>
          </cell>
        </row>
        <row r="321">
          <cell r="A321" t="str">
            <v>080-10-110</v>
          </cell>
          <cell r="B321" t="str">
            <v>AMORTIZATION OF LAND &amp; BUILDINGS</v>
          </cell>
          <cell r="C321">
            <v>0</v>
          </cell>
        </row>
        <row r="322">
          <cell r="A322" t="str">
            <v>080-20-010</v>
          </cell>
          <cell r="B322" t="str">
            <v>SERVICE CHARGE LOAN ON POLICY</v>
          </cell>
          <cell r="C322">
            <v>0</v>
          </cell>
        </row>
        <row r="323">
          <cell r="A323" t="str">
            <v>080-20-020</v>
          </cell>
          <cell r="B323" t="str">
            <v>INTEREST ON LOAN ON POLICY</v>
          </cell>
          <cell r="C323">
            <v>0</v>
          </cell>
        </row>
        <row r="324">
          <cell r="A324" t="str">
            <v>080-20-030</v>
          </cell>
          <cell r="B324" t="str">
            <v>DIVIDEND INCOME</v>
          </cell>
          <cell r="C324">
            <v>0</v>
          </cell>
        </row>
        <row r="325">
          <cell r="A325" t="str">
            <v>080-20-040</v>
          </cell>
          <cell r="B325" t="str">
            <v>BAD DEBTS-POLICY LOANS</v>
          </cell>
          <cell r="C325">
            <v>0</v>
          </cell>
        </row>
        <row r="326">
          <cell r="A326" t="str">
            <v>080-40-010</v>
          </cell>
          <cell r="B326" t="str">
            <v>INTEREST ON COMMERCIAL PAPER</v>
          </cell>
          <cell r="C326">
            <v>0</v>
          </cell>
        </row>
        <row r="327">
          <cell r="A327" t="str">
            <v>080-40-020</v>
          </cell>
          <cell r="B327" t="str">
            <v>INTEREST ON FD</v>
          </cell>
          <cell r="C327">
            <v>0</v>
          </cell>
        </row>
        <row r="328">
          <cell r="A328" t="str">
            <v>080-40-030</v>
          </cell>
          <cell r="B328" t="str">
            <v>INTREST ON TB</v>
          </cell>
          <cell r="C328">
            <v>0</v>
          </cell>
        </row>
        <row r="329">
          <cell r="A329" t="str">
            <v>080-40-035</v>
          </cell>
          <cell r="B329" t="str">
            <v>AIG MANAGEMENT FEES</v>
          </cell>
          <cell r="C329">
            <v>0</v>
          </cell>
        </row>
        <row r="330">
          <cell r="A330" t="str">
            <v>080-40-040</v>
          </cell>
          <cell r="B330" t="str">
            <v>CUSTODY FEES</v>
          </cell>
          <cell r="C330">
            <v>0</v>
          </cell>
        </row>
        <row r="331">
          <cell r="A331" t="str">
            <v>080-50-010</v>
          </cell>
          <cell r="B331" t="str">
            <v>MISC INCOMES</v>
          </cell>
          <cell r="C331">
            <v>0</v>
          </cell>
        </row>
        <row r="332">
          <cell r="A332" t="str">
            <v>080-50-020</v>
          </cell>
          <cell r="B332" t="str">
            <v>DISPOSAL OF ASSETS (PROCEEDS)</v>
          </cell>
          <cell r="C332">
            <v>0</v>
          </cell>
        </row>
        <row r="333">
          <cell r="A333" t="str">
            <v>080-50-021</v>
          </cell>
          <cell r="B333" t="str">
            <v>GAIN/LOSS ON SHARES VALUATION</v>
          </cell>
          <cell r="C333">
            <v>0</v>
          </cell>
        </row>
        <row r="334">
          <cell r="A334" t="str">
            <v>080-50-022</v>
          </cell>
          <cell r="B334" t="str">
            <v>GAIN/LOSS ON DISPOSAL OF FIXED ASSETS</v>
          </cell>
          <cell r="C334">
            <v>0</v>
          </cell>
        </row>
        <row r="335">
          <cell r="A335" t="str">
            <v>080-50-024</v>
          </cell>
          <cell r="B335" t="str">
            <v>GAIN/LOSS IN BUILDINGS VALUATION</v>
          </cell>
          <cell r="C335">
            <v>0</v>
          </cell>
        </row>
        <row r="336">
          <cell r="A336" t="str">
            <v>080-50-025</v>
          </cell>
          <cell r="B336" t="str">
            <v>GAIN/LOSS ON INVESTMENT PROPERTIES</v>
          </cell>
          <cell r="C336">
            <v>0</v>
          </cell>
        </row>
        <row r="337">
          <cell r="A337" t="str">
            <v>080-60-010</v>
          </cell>
          <cell r="B337" t="str">
            <v>INTEREST ON MORTGAGE LOANS</v>
          </cell>
          <cell r="C337">
            <v>0</v>
          </cell>
        </row>
        <row r="338">
          <cell r="A338" t="str">
            <v>080-60-020</v>
          </cell>
          <cell r="B338" t="str">
            <v>BAD DEBTS-MORTGAGE LOANS</v>
          </cell>
          <cell r="C338">
            <v>0</v>
          </cell>
        </row>
        <row r="339">
          <cell r="A339" t="str">
            <v>090-10-010</v>
          </cell>
          <cell r="B339" t="str">
            <v>MATURITY CLAIMS</v>
          </cell>
          <cell r="C339">
            <v>0</v>
          </cell>
        </row>
        <row r="340">
          <cell r="A340" t="str">
            <v>090-10-015</v>
          </cell>
          <cell r="B340" t="str">
            <v>MATURITY CLAIMS-ENDOWNMENT</v>
          </cell>
          <cell r="C340">
            <v>0</v>
          </cell>
        </row>
        <row r="341">
          <cell r="A341" t="str">
            <v>090-10-017</v>
          </cell>
          <cell r="B341" t="str">
            <v>CLAIMS EXPENSE</v>
          </cell>
          <cell r="C341">
            <v>0</v>
          </cell>
        </row>
        <row r="342">
          <cell r="A342" t="str">
            <v>090-10-020</v>
          </cell>
          <cell r="B342" t="str">
            <v>DEATH CLAIMS-ORDINARY</v>
          </cell>
          <cell r="C342">
            <v>0</v>
          </cell>
        </row>
        <row r="343">
          <cell r="A343" t="str">
            <v>090-10-025</v>
          </cell>
          <cell r="B343" t="str">
            <v>DEATH CLAIMS REC-INDIVIDUAL LIFE (REINS)</v>
          </cell>
          <cell r="C343">
            <v>0</v>
          </cell>
        </row>
        <row r="344">
          <cell r="A344" t="str">
            <v>090-10-030</v>
          </cell>
          <cell r="B344" t="str">
            <v>PERSONAL ACCIDENTS</v>
          </cell>
          <cell r="C344">
            <v>0</v>
          </cell>
        </row>
        <row r="345">
          <cell r="A345" t="str">
            <v>090-10-035</v>
          </cell>
          <cell r="B345" t="str">
            <v>ANNUITY CLAIMS</v>
          </cell>
          <cell r="C345">
            <v>0</v>
          </cell>
        </row>
        <row r="346">
          <cell r="A346" t="str">
            <v>090-10-040</v>
          </cell>
          <cell r="B346" t="str">
            <v>AUTOMATIC SURRENDERS VALUE</v>
          </cell>
          <cell r="C346">
            <v>0</v>
          </cell>
        </row>
        <row r="347">
          <cell r="A347" t="str">
            <v>090-10-045</v>
          </cell>
          <cell r="B347" t="str">
            <v>CASH SURRENDER VALUE</v>
          </cell>
          <cell r="C347">
            <v>0</v>
          </cell>
        </row>
        <row r="348">
          <cell r="A348" t="str">
            <v>090-10-050</v>
          </cell>
          <cell r="B348" t="str">
            <v>FFF DEATH CLAIMS</v>
          </cell>
          <cell r="C348">
            <v>0</v>
          </cell>
        </row>
        <row r="349">
          <cell r="A349" t="str">
            <v>105-10-010</v>
          </cell>
          <cell r="B349" t="str">
            <v>BASIC SALARY</v>
          </cell>
          <cell r="C349">
            <v>0</v>
          </cell>
        </row>
        <row r="350">
          <cell r="A350" t="str">
            <v>105-10-020</v>
          </cell>
          <cell r="B350" t="str">
            <v>HOUSE ALLOWANCE</v>
          </cell>
          <cell r="C350">
            <v>0</v>
          </cell>
        </row>
        <row r="351">
          <cell r="A351" t="str">
            <v>105-10-030</v>
          </cell>
          <cell r="B351" t="str">
            <v>TELEPHONE ALLOWANCE</v>
          </cell>
          <cell r="C351">
            <v>0</v>
          </cell>
        </row>
        <row r="352">
          <cell r="A352" t="str">
            <v>105-10-040</v>
          </cell>
          <cell r="B352" t="str">
            <v>SECURITY ALLOWANCE</v>
          </cell>
          <cell r="C352">
            <v>0</v>
          </cell>
        </row>
        <row r="353">
          <cell r="A353" t="str">
            <v>105-10-050</v>
          </cell>
          <cell r="B353" t="str">
            <v>EDUCATION ALLOWANCE</v>
          </cell>
          <cell r="C353">
            <v>0</v>
          </cell>
        </row>
        <row r="354">
          <cell r="A354" t="str">
            <v>105-10-060</v>
          </cell>
          <cell r="B354" t="str">
            <v>TRAVEL ALLOWANCE</v>
          </cell>
          <cell r="C354">
            <v>0</v>
          </cell>
        </row>
        <row r="355">
          <cell r="A355" t="str">
            <v>105-20-010</v>
          </cell>
          <cell r="B355" t="str">
            <v>NSSF</v>
          </cell>
          <cell r="C355">
            <v>0</v>
          </cell>
        </row>
        <row r="356">
          <cell r="A356" t="str">
            <v>105-20-020</v>
          </cell>
          <cell r="B356" t="str">
            <v>NHIF</v>
          </cell>
          <cell r="C356">
            <v>0</v>
          </cell>
        </row>
        <row r="357">
          <cell r="A357" t="str">
            <v>105-30-010</v>
          </cell>
          <cell r="B357" t="str">
            <v>PENSION</v>
          </cell>
          <cell r="C357">
            <v>0</v>
          </cell>
        </row>
        <row r="358">
          <cell r="A358" t="str">
            <v>105-30-020</v>
          </cell>
          <cell r="B358" t="str">
            <v>LAST EXPENSE</v>
          </cell>
          <cell r="C358">
            <v>0</v>
          </cell>
        </row>
        <row r="359">
          <cell r="A359" t="str">
            <v>105-30-030</v>
          </cell>
          <cell r="B359" t="str">
            <v>GROUP LIFE ASSURANCE</v>
          </cell>
          <cell r="C359">
            <v>0</v>
          </cell>
        </row>
        <row r="360">
          <cell r="A360" t="str">
            <v>105-30-040</v>
          </cell>
          <cell r="B360" t="str">
            <v>STAFF MEDICAL</v>
          </cell>
          <cell r="C360">
            <v>0</v>
          </cell>
        </row>
        <row r="361">
          <cell r="A361" t="str">
            <v>105-30-050</v>
          </cell>
          <cell r="B361" t="str">
            <v>CASH IN LIEU OF LEAVE</v>
          </cell>
          <cell r="C361">
            <v>0</v>
          </cell>
        </row>
        <row r="362">
          <cell r="A362" t="str">
            <v>105-30-060</v>
          </cell>
          <cell r="B362" t="str">
            <v>GRATUITY</v>
          </cell>
          <cell r="C362">
            <v>0</v>
          </cell>
        </row>
        <row r="363">
          <cell r="A363" t="str">
            <v>105-30-070</v>
          </cell>
          <cell r="B363" t="str">
            <v>LONG SERVICE AWARDS</v>
          </cell>
          <cell r="C363">
            <v>0</v>
          </cell>
        </row>
        <row r="364">
          <cell r="A364" t="str">
            <v>105-30-080</v>
          </cell>
          <cell r="B364" t="str">
            <v>STAFF RECRUITMENT &amp; REMOVALS</v>
          </cell>
          <cell r="C364">
            <v>0</v>
          </cell>
        </row>
        <row r="365">
          <cell r="A365" t="str">
            <v>115-10-005</v>
          </cell>
          <cell r="B365" t="str">
            <v>AMORTIZATION ON LAND &amp; BUILDINGS</v>
          </cell>
          <cell r="C365">
            <v>0</v>
          </cell>
        </row>
        <row r="366">
          <cell r="A366" t="str">
            <v>115-10-010</v>
          </cell>
          <cell r="B366" t="str">
            <v>DEPRECIATION-FURNITURE &amp; FITTINGS</v>
          </cell>
          <cell r="C366">
            <v>0</v>
          </cell>
        </row>
        <row r="367">
          <cell r="A367" t="str">
            <v>115-10-020</v>
          </cell>
          <cell r="B367" t="str">
            <v>DEPRECIATION-COMPUTER &amp; OTHER EQUIPMENT</v>
          </cell>
          <cell r="C367">
            <v>0</v>
          </cell>
        </row>
        <row r="368">
          <cell r="A368" t="str">
            <v>115-10-030</v>
          </cell>
          <cell r="B368" t="str">
            <v>DEPRECIATION-MOTOR VEHICLES</v>
          </cell>
          <cell r="C368">
            <v>0</v>
          </cell>
        </row>
        <row r="369">
          <cell r="A369" t="str">
            <v>115-10-040</v>
          </cell>
          <cell r="B369" t="str">
            <v>OFFICE RENT</v>
          </cell>
          <cell r="C369">
            <v>0</v>
          </cell>
        </row>
        <row r="370">
          <cell r="A370" t="str">
            <v>115-10-050</v>
          </cell>
          <cell r="B370" t="str">
            <v>OFFICE CATERING,CLEANING &amp; STAFF WELFARE</v>
          </cell>
          <cell r="C370">
            <v>0</v>
          </cell>
        </row>
        <row r="371">
          <cell r="A371" t="str">
            <v>115-10-060</v>
          </cell>
          <cell r="B371" t="str">
            <v>OFFICE WATER</v>
          </cell>
          <cell r="C371">
            <v>0</v>
          </cell>
        </row>
        <row r="372">
          <cell r="A372" t="str">
            <v>115-10-070</v>
          </cell>
          <cell r="B372" t="str">
            <v>OFFICE ELECTRICITY</v>
          </cell>
          <cell r="C372">
            <v>0</v>
          </cell>
        </row>
        <row r="373">
          <cell r="A373" t="str">
            <v>115-10-080</v>
          </cell>
          <cell r="B373" t="str">
            <v>OFFICE SECURITY</v>
          </cell>
          <cell r="C373">
            <v>0</v>
          </cell>
        </row>
        <row r="374">
          <cell r="A374" t="str">
            <v>115-10-090</v>
          </cell>
          <cell r="C374">
            <v>0</v>
          </cell>
        </row>
        <row r="375">
          <cell r="A375" t="str">
            <v>125-10-010</v>
          </cell>
          <cell r="B375" t="str">
            <v>BANK CHARGES</v>
          </cell>
          <cell r="C375">
            <v>0</v>
          </cell>
        </row>
        <row r="376">
          <cell r="A376" t="str">
            <v>125-10-020</v>
          </cell>
          <cell r="B376" t="str">
            <v>BANK OVERDRAFT CHARGES</v>
          </cell>
          <cell r="C376">
            <v>0</v>
          </cell>
        </row>
        <row r="377">
          <cell r="A377" t="str">
            <v>125-10-030</v>
          </cell>
          <cell r="B377" t="str">
            <v>CUSTODY FEES (STANBIC)</v>
          </cell>
          <cell r="C377">
            <v>0</v>
          </cell>
        </row>
        <row r="378">
          <cell r="A378" t="str">
            <v>135-10-010</v>
          </cell>
          <cell r="B378" t="str">
            <v>STAMP DUTY</v>
          </cell>
          <cell r="C378">
            <v>0</v>
          </cell>
        </row>
        <row r="379">
          <cell r="A379" t="str">
            <v>135-10-020</v>
          </cell>
          <cell r="B379" t="str">
            <v>MEDICAL FEE</v>
          </cell>
          <cell r="C379">
            <v>0</v>
          </cell>
        </row>
        <row r="380">
          <cell r="A380" t="str">
            <v>135-10-030</v>
          </cell>
          <cell r="B380" t="str">
            <v>ADVERTISING AND PUBLICITY</v>
          </cell>
          <cell r="C380">
            <v>0</v>
          </cell>
        </row>
        <row r="381">
          <cell r="A381" t="str">
            <v>135-10-035</v>
          </cell>
          <cell r="B381" t="str">
            <v>BRANCH CONNECTION-EMAIL LINK-UP</v>
          </cell>
          <cell r="C381">
            <v>0</v>
          </cell>
        </row>
        <row r="382">
          <cell r="A382" t="str">
            <v>135-20-010</v>
          </cell>
          <cell r="B382" t="str">
            <v>REINSURANCE PREMIUMS-ORDINARY LIFE</v>
          </cell>
          <cell r="C382">
            <v>0</v>
          </cell>
        </row>
        <row r="383">
          <cell r="A383" t="str">
            <v>135-30-010</v>
          </cell>
          <cell r="B383" t="str">
            <v>NEW BUSINESS COMMISSION</v>
          </cell>
          <cell r="C383">
            <v>0</v>
          </cell>
        </row>
        <row r="384">
          <cell r="A384" t="str">
            <v>135-30-020</v>
          </cell>
          <cell r="B384" t="str">
            <v>RENEWAL COMMISSION</v>
          </cell>
          <cell r="C384">
            <v>0</v>
          </cell>
        </row>
        <row r="385">
          <cell r="A385" t="str">
            <v>135-30-030</v>
          </cell>
          <cell r="B385" t="str">
            <v>OVERIDE COMMISSION</v>
          </cell>
          <cell r="C385">
            <v>0</v>
          </cell>
        </row>
        <row r="386">
          <cell r="A386" t="str">
            <v>135-34-010</v>
          </cell>
          <cell r="B386" t="str">
            <v>NEW BUSINESS COMMISSION</v>
          </cell>
          <cell r="C386">
            <v>0</v>
          </cell>
        </row>
        <row r="387">
          <cell r="A387" t="str">
            <v>135-34-020</v>
          </cell>
          <cell r="B387" t="str">
            <v>RENEWAL BUSINESS COMMISSION</v>
          </cell>
          <cell r="C387">
            <v>0</v>
          </cell>
        </row>
        <row r="388">
          <cell r="A388" t="str">
            <v>135-34-030</v>
          </cell>
          <cell r="B388" t="str">
            <v>OVERIDE COMMISSION</v>
          </cell>
          <cell r="C388">
            <v>0</v>
          </cell>
        </row>
        <row r="389">
          <cell r="A389" t="str">
            <v>135-38-010</v>
          </cell>
          <cell r="B389" t="str">
            <v>NEW BUSINESS COMMISSION</v>
          </cell>
          <cell r="C389">
            <v>0</v>
          </cell>
        </row>
        <row r="390">
          <cell r="A390" t="str">
            <v>135-38-020</v>
          </cell>
          <cell r="B390" t="str">
            <v>RENEWAL BUSINESS COMMISSION</v>
          </cell>
          <cell r="C390">
            <v>0</v>
          </cell>
        </row>
        <row r="391">
          <cell r="A391" t="str">
            <v>135-38-030</v>
          </cell>
          <cell r="B391" t="str">
            <v>OVERIDE COMMISSION</v>
          </cell>
          <cell r="C391">
            <v>0</v>
          </cell>
        </row>
        <row r="392">
          <cell r="A392" t="str">
            <v>135-40-010</v>
          </cell>
          <cell r="B392" t="str">
            <v>AGENCY SUBSIDY</v>
          </cell>
          <cell r="C392">
            <v>0</v>
          </cell>
        </row>
        <row r="393">
          <cell r="A393" t="str">
            <v>135-40-020</v>
          </cell>
          <cell r="B393" t="str">
            <v>UNIT SUBSIDY</v>
          </cell>
          <cell r="C393">
            <v>0</v>
          </cell>
        </row>
        <row r="394">
          <cell r="A394" t="str">
            <v>135-50-010</v>
          </cell>
          <cell r="B394" t="str">
            <v>MEDICAL EXPENSES</v>
          </cell>
          <cell r="C394">
            <v>0</v>
          </cell>
        </row>
        <row r="395">
          <cell r="A395" t="str">
            <v>135-50-020</v>
          </cell>
          <cell r="B395" t="str">
            <v>AGENCY MANAGERS MEDICAL SCHEME</v>
          </cell>
          <cell r="C395">
            <v>0</v>
          </cell>
        </row>
        <row r="396">
          <cell r="A396" t="str">
            <v>135-60-010</v>
          </cell>
          <cell r="B396" t="str">
            <v>PROFFESSIONAL TRAINING</v>
          </cell>
          <cell r="C396">
            <v>0</v>
          </cell>
        </row>
        <row r="397">
          <cell r="A397" t="str">
            <v>135-60-020</v>
          </cell>
          <cell r="B397" t="str">
            <v>SEMINARS &amp; SHORT COURSES</v>
          </cell>
          <cell r="C397">
            <v>0</v>
          </cell>
        </row>
        <row r="398">
          <cell r="A398" t="str">
            <v>135-60-030</v>
          </cell>
          <cell r="B398" t="str">
            <v>SALES PROMOTIONS &amp; COMPETITION</v>
          </cell>
          <cell r="C398">
            <v>0</v>
          </cell>
        </row>
        <row r="399">
          <cell r="A399" t="str">
            <v>145-10-010</v>
          </cell>
          <cell r="B399" t="str">
            <v>ALA GROUP CHARGES</v>
          </cell>
          <cell r="C399">
            <v>0</v>
          </cell>
        </row>
        <row r="400">
          <cell r="A400" t="str">
            <v>145-10-020</v>
          </cell>
          <cell r="B400" t="str">
            <v>ACTUARIAL FEES</v>
          </cell>
          <cell r="C400">
            <v>0</v>
          </cell>
        </row>
        <row r="401">
          <cell r="A401" t="str">
            <v>145-10-030</v>
          </cell>
          <cell r="B401" t="str">
            <v>AUDIT FEES</v>
          </cell>
          <cell r="C401">
            <v>0</v>
          </cell>
        </row>
        <row r="402">
          <cell r="A402" t="str">
            <v>145-10-040</v>
          </cell>
          <cell r="B402" t="str">
            <v>LEGAL FEES</v>
          </cell>
          <cell r="C402">
            <v>0</v>
          </cell>
        </row>
        <row r="403">
          <cell r="A403" t="str">
            <v>145-10-050</v>
          </cell>
          <cell r="B403" t="str">
            <v>I.T.CONSULTING FEE</v>
          </cell>
          <cell r="C403">
            <v>0</v>
          </cell>
        </row>
        <row r="404">
          <cell r="A404" t="str">
            <v>145-10-060</v>
          </cell>
          <cell r="B404" t="str">
            <v>INTRA COMPANY -INDIVIDUAL LIFE</v>
          </cell>
          <cell r="C404">
            <v>0</v>
          </cell>
        </row>
        <row r="405">
          <cell r="A405" t="str">
            <v>145-10-070</v>
          </cell>
          <cell r="B405" t="str">
            <v>10% RECHARGE FOR PROP DEPT.CORP.BUSINESS</v>
          </cell>
          <cell r="C405">
            <v>0</v>
          </cell>
        </row>
        <row r="406">
          <cell r="A406" t="str">
            <v>145-10-080</v>
          </cell>
          <cell r="B406" t="str">
            <v>10 % RECHARGETO CORP BUSS. FROM FINANCE</v>
          </cell>
          <cell r="C406">
            <v>0</v>
          </cell>
        </row>
        <row r="407">
          <cell r="A407" t="str">
            <v>145-10-090</v>
          </cell>
          <cell r="B407" t="str">
            <v>3.5% RECHARGE TO CORP. FROM EXECUTIVE</v>
          </cell>
          <cell r="C407">
            <v>0</v>
          </cell>
        </row>
        <row r="408">
          <cell r="A408" t="str">
            <v>145-10-100</v>
          </cell>
          <cell r="B408" t="str">
            <v>10% RECHARGE FOR PROP. SERVICES-IND.LIFE</v>
          </cell>
          <cell r="C408">
            <v>0</v>
          </cell>
        </row>
        <row r="409">
          <cell r="A409" t="str">
            <v>145-10-110</v>
          </cell>
          <cell r="B409" t="str">
            <v>PROFESSIONAL FEES</v>
          </cell>
          <cell r="C409">
            <v>0</v>
          </cell>
        </row>
        <row r="410">
          <cell r="A410" t="str">
            <v>155-10-007</v>
          </cell>
          <cell r="B410" t="str">
            <v>NEWSPAPERS &amp; JOURNAL</v>
          </cell>
          <cell r="C410">
            <v>0</v>
          </cell>
        </row>
        <row r="411">
          <cell r="A411" t="str">
            <v>155-10-008</v>
          </cell>
          <cell r="B411" t="str">
            <v>ENTERTAINMENT &amp; DONATIONS</v>
          </cell>
          <cell r="C411">
            <v>0</v>
          </cell>
        </row>
        <row r="412">
          <cell r="A412" t="str">
            <v>155-10-009</v>
          </cell>
          <cell r="B412" t="str">
            <v>COURIER &amp; FREIGHT CHARGES</v>
          </cell>
          <cell r="C412">
            <v>0</v>
          </cell>
        </row>
        <row r="413">
          <cell r="A413" t="str">
            <v>155-10-010</v>
          </cell>
          <cell r="B413" t="str">
            <v>ADVERTISING &amp; PUBLICITY</v>
          </cell>
          <cell r="C413">
            <v>0</v>
          </cell>
        </row>
        <row r="414">
          <cell r="A414" t="str">
            <v>155-10-012</v>
          </cell>
          <cell r="B414" t="str">
            <v>TRADE LICENCES</v>
          </cell>
          <cell r="C414">
            <v>0</v>
          </cell>
        </row>
        <row r="415">
          <cell r="A415" t="str">
            <v>155-10-013</v>
          </cell>
          <cell r="B415" t="str">
            <v>INSURANCES</v>
          </cell>
          <cell r="C415">
            <v>0</v>
          </cell>
        </row>
        <row r="416">
          <cell r="A416" t="str">
            <v>155-10-014</v>
          </cell>
          <cell r="B416" t="str">
            <v>PHOTOCOPY</v>
          </cell>
          <cell r="C416">
            <v>0</v>
          </cell>
        </row>
        <row r="417">
          <cell r="A417" t="str">
            <v>155-10-015</v>
          </cell>
          <cell r="B417" t="str">
            <v>COMPUTER MAINTENANCE</v>
          </cell>
          <cell r="C417">
            <v>0</v>
          </cell>
        </row>
        <row r="418">
          <cell r="A418" t="str">
            <v>155-10-016</v>
          </cell>
          <cell r="B418" t="str">
            <v>EQUIPMENT MAINTENANCE</v>
          </cell>
          <cell r="C418">
            <v>0</v>
          </cell>
        </row>
        <row r="419">
          <cell r="A419" t="str">
            <v>155-10-017</v>
          </cell>
          <cell r="B419" t="str">
            <v>SEMINARS &amp; SHORT TERM COURSES</v>
          </cell>
          <cell r="C419">
            <v>0</v>
          </cell>
        </row>
        <row r="420">
          <cell r="A420" t="str">
            <v>155-10-018</v>
          </cell>
          <cell r="B420" t="str">
            <v>SALES PROMOTIONS &amp; COMPETITIONS</v>
          </cell>
          <cell r="C420">
            <v>0</v>
          </cell>
        </row>
        <row r="421">
          <cell r="A421" t="str">
            <v>155-10-020</v>
          </cell>
          <cell r="B421" t="str">
            <v>COMPUTER CONSUMABLES</v>
          </cell>
          <cell r="C421">
            <v>0</v>
          </cell>
        </row>
        <row r="422">
          <cell r="A422" t="str">
            <v>155-10-022</v>
          </cell>
          <cell r="B422" t="str">
            <v>PRINTING &amp; STATIONERY</v>
          </cell>
          <cell r="C422">
            <v>0</v>
          </cell>
        </row>
        <row r="423">
          <cell r="A423" t="str">
            <v>155-10-027</v>
          </cell>
          <cell r="B423" t="str">
            <v>PROFESSIONAL SUBSCRIPTIONS</v>
          </cell>
          <cell r="C423">
            <v>0</v>
          </cell>
        </row>
        <row r="424">
          <cell r="A424" t="str">
            <v>155-10-028</v>
          </cell>
          <cell r="B424" t="str">
            <v>SUBSCRIPTIONS-COMPANY</v>
          </cell>
          <cell r="C424">
            <v>0</v>
          </cell>
        </row>
        <row r="425">
          <cell r="A425" t="str">
            <v>155-10-030</v>
          </cell>
          <cell r="B425" t="str">
            <v>TRAVEL &amp; ACCOMODATION</v>
          </cell>
          <cell r="C425">
            <v>0</v>
          </cell>
        </row>
        <row r="426">
          <cell r="A426" t="str">
            <v>155-10-032</v>
          </cell>
          <cell r="B426" t="str">
            <v>MOTOR VEHICLE EXPENSES</v>
          </cell>
          <cell r="C426">
            <v>0</v>
          </cell>
        </row>
        <row r="427">
          <cell r="A427" t="str">
            <v>155-10-040</v>
          </cell>
          <cell r="B427" t="str">
            <v>POSTAGE</v>
          </cell>
          <cell r="C427">
            <v>0</v>
          </cell>
        </row>
        <row r="428">
          <cell r="A428" t="str">
            <v>155-10-041</v>
          </cell>
          <cell r="B428" t="str">
            <v>TELEPHONE &amp; FAX</v>
          </cell>
          <cell r="C428">
            <v>0</v>
          </cell>
        </row>
        <row r="429">
          <cell r="A429" t="str">
            <v>155-10-044</v>
          </cell>
          <cell r="B429" t="str">
            <v>PROFESSIONAL TRAINING</v>
          </cell>
          <cell r="C429">
            <v>0</v>
          </cell>
        </row>
        <row r="430">
          <cell r="A430" t="str">
            <v>155-10-046</v>
          </cell>
          <cell r="B430" t="str">
            <v>CLUB MEMBERSHIP-ANNUAL</v>
          </cell>
          <cell r="C430">
            <v>0</v>
          </cell>
        </row>
        <row r="431">
          <cell r="A431" t="str">
            <v>155-10-054</v>
          </cell>
          <cell r="B431" t="str">
            <v>LEASED LINES-INTERNET SERVICES</v>
          </cell>
          <cell r="C431">
            <v>0</v>
          </cell>
        </row>
        <row r="432">
          <cell r="A432" t="str">
            <v>155-10-057</v>
          </cell>
          <cell r="B432" t="str">
            <v>SOFTWARE LICENCES</v>
          </cell>
          <cell r="C432">
            <v>0</v>
          </cell>
        </row>
        <row r="433">
          <cell r="A433" t="str">
            <v>155-10-058</v>
          </cell>
          <cell r="B433" t="str">
            <v>BRANCH CONNECTIONS-E-MAIL LINK-UP</v>
          </cell>
          <cell r="C433">
            <v>0</v>
          </cell>
        </row>
        <row r="434">
          <cell r="A434" t="str">
            <v>155-10-059</v>
          </cell>
          <cell r="B434" t="str">
            <v>AMORTIZATION OF LAND</v>
          </cell>
          <cell r="C434">
            <v>0</v>
          </cell>
        </row>
        <row r="435">
          <cell r="A435" t="str">
            <v>155-10-060</v>
          </cell>
          <cell r="B435" t="str">
            <v>DEPRECIATION OF BUILDINGS</v>
          </cell>
          <cell r="C435">
            <v>0</v>
          </cell>
        </row>
        <row r="436">
          <cell r="A436" t="str">
            <v>155-20-010</v>
          </cell>
          <cell r="B436" t="str">
            <v>STAFF BONUS</v>
          </cell>
          <cell r="C436">
            <v>0</v>
          </cell>
        </row>
        <row r="437">
          <cell r="A437" t="str">
            <v>160-10-010</v>
          </cell>
          <cell r="B437" t="str">
            <v>PREMIUM COLLECTION CHARGES</v>
          </cell>
          <cell r="C437">
            <v>0</v>
          </cell>
        </row>
        <row r="438">
          <cell r="A438" t="str">
            <v>165-10-010</v>
          </cell>
          <cell r="B438" t="str">
            <v>STAMP DUTY</v>
          </cell>
          <cell r="C438">
            <v>0</v>
          </cell>
        </row>
        <row r="439">
          <cell r="A439" t="str">
            <v>165-10-020</v>
          </cell>
          <cell r="B439" t="str">
            <v>REVENUE STAMPS</v>
          </cell>
          <cell r="C439">
            <v>0</v>
          </cell>
        </row>
        <row r="440">
          <cell r="A440" t="str">
            <v>165-10-030</v>
          </cell>
          <cell r="B440" t="str">
            <v>PREMIUM TAX (INDIVIDUAL)</v>
          </cell>
          <cell r="C440">
            <v>0</v>
          </cell>
        </row>
        <row r="441">
          <cell r="A441" t="str">
            <v>165-10-040</v>
          </cell>
          <cell r="B441" t="str">
            <v>TAX PENALTY</v>
          </cell>
          <cell r="C441">
            <v>0</v>
          </cell>
        </row>
        <row r="442">
          <cell r="A442" t="str">
            <v>175-10-010</v>
          </cell>
          <cell r="B442" t="str">
            <v>LORESHO RESIDENCE</v>
          </cell>
          <cell r="C442">
            <v>0</v>
          </cell>
        </row>
        <row r="443">
          <cell r="A443" t="str">
            <v>175-10-020</v>
          </cell>
          <cell r="B443" t="str">
            <v>RETREAT VILLAS</v>
          </cell>
          <cell r="C443">
            <v>0</v>
          </cell>
        </row>
        <row r="444">
          <cell r="A444" t="str">
            <v>175-10-030</v>
          </cell>
          <cell r="B444" t="str">
            <v>PAN AFRICA HOUSE MOMBASA</v>
          </cell>
          <cell r="C444">
            <v>0</v>
          </cell>
        </row>
        <row r="445">
          <cell r="A445" t="str">
            <v>175-10-040</v>
          </cell>
          <cell r="B445" t="str">
            <v>AMBALAL HOUSE</v>
          </cell>
          <cell r="C445">
            <v>0</v>
          </cell>
        </row>
        <row r="446">
          <cell r="A446" t="str">
            <v>175-10-050</v>
          </cell>
          <cell r="B446" t="str">
            <v>ARCADE PETROL STATION</v>
          </cell>
          <cell r="C446">
            <v>0</v>
          </cell>
        </row>
        <row r="447">
          <cell r="A447" t="str">
            <v>175-10-060</v>
          </cell>
          <cell r="B447" t="str">
            <v>PAN AFRICA HOUSE NAIROBI</v>
          </cell>
          <cell r="C447">
            <v>0</v>
          </cell>
        </row>
        <row r="448">
          <cell r="A448" t="str">
            <v>510-10-010</v>
          </cell>
          <cell r="B448" t="str">
            <v>PAN AFRICA HOUSE MOMBASA</v>
          </cell>
          <cell r="C448">
            <v>0</v>
          </cell>
        </row>
        <row r="449">
          <cell r="A449" t="str">
            <v>520-10-010</v>
          </cell>
          <cell r="B449" t="str">
            <v>TREASURY BONDS</v>
          </cell>
          <cell r="C449">
            <v>13000000</v>
          </cell>
        </row>
        <row r="450">
          <cell r="A450" t="str">
            <v>520-10-020</v>
          </cell>
          <cell r="B450" t="str">
            <v>SRBS TB'S</v>
          </cell>
          <cell r="C450">
            <v>67100000</v>
          </cell>
        </row>
        <row r="451">
          <cell r="A451" t="str">
            <v>520-10-030</v>
          </cell>
          <cell r="B451" t="str">
            <v>TB'S</v>
          </cell>
          <cell r="C451">
            <v>5700000</v>
          </cell>
        </row>
        <row r="452">
          <cell r="A452" t="str">
            <v>520-20-010</v>
          </cell>
          <cell r="B452" t="str">
            <v>STAFF RETIREMENT TB'S</v>
          </cell>
          <cell r="C452">
            <v>0</v>
          </cell>
        </row>
        <row r="453">
          <cell r="A453" t="str">
            <v>530-10-010</v>
          </cell>
          <cell r="B453" t="str">
            <v>SCB -(SRBS)</v>
          </cell>
          <cell r="C453">
            <v>9869795</v>
          </cell>
        </row>
        <row r="454">
          <cell r="A454" t="str">
            <v>530-10-020</v>
          </cell>
          <cell r="B454" t="str">
            <v>BBK NBI -(5776793)</v>
          </cell>
          <cell r="C454">
            <v>4401431</v>
          </cell>
        </row>
        <row r="455">
          <cell r="A455" t="str">
            <v>530-10-030</v>
          </cell>
          <cell r="B455" t="str">
            <v>N.I.C BANK</v>
          </cell>
          <cell r="C455">
            <v>770567</v>
          </cell>
        </row>
        <row r="456">
          <cell r="A456" t="str">
            <v>530-20-010</v>
          </cell>
          <cell r="B456" t="str">
            <v>SCB-(SRBS)</v>
          </cell>
          <cell r="C456">
            <v>0</v>
          </cell>
        </row>
        <row r="457">
          <cell r="A457" t="str">
            <v>530-30-010</v>
          </cell>
          <cell r="B457" t="str">
            <v>H.F.C.K</v>
          </cell>
          <cell r="C457">
            <v>31926394</v>
          </cell>
        </row>
        <row r="458">
          <cell r="A458" t="str">
            <v>530-30-020</v>
          </cell>
          <cell r="B458" t="str">
            <v>OTHER FIXED DEPOSITS</v>
          </cell>
          <cell r="C458">
            <v>0</v>
          </cell>
        </row>
        <row r="459">
          <cell r="A459" t="str">
            <v>530-30-030</v>
          </cell>
          <cell r="B459" t="str">
            <v>STANBIC CUSTODIAN SERVICES</v>
          </cell>
          <cell r="C459">
            <v>0</v>
          </cell>
        </row>
        <row r="460">
          <cell r="A460" t="str">
            <v>530-35-010</v>
          </cell>
          <cell r="B460" t="str">
            <v>STANBIC CUSTODIAN SERVICES ACCOUNT</v>
          </cell>
          <cell r="C460">
            <v>0</v>
          </cell>
        </row>
        <row r="461">
          <cell r="A461" t="str">
            <v>530-35-020</v>
          </cell>
          <cell r="B461" t="str">
            <v>OTHER DEPOSITS</v>
          </cell>
          <cell r="C461">
            <v>0</v>
          </cell>
        </row>
        <row r="462">
          <cell r="A462" t="str">
            <v>530-35-030</v>
          </cell>
          <cell r="B462" t="str">
            <v>OTHER FIXED DEPOSITS</v>
          </cell>
          <cell r="C462">
            <v>0</v>
          </cell>
        </row>
        <row r="463">
          <cell r="A463" t="str">
            <v>530-40-010</v>
          </cell>
          <cell r="B463" t="str">
            <v>SAFARICOM</v>
          </cell>
          <cell r="C463">
            <v>20000000</v>
          </cell>
        </row>
        <row r="464">
          <cell r="A464" t="str">
            <v>530-45-010</v>
          </cell>
          <cell r="B464" t="str">
            <v>KENYA OIL COMPANY LTD</v>
          </cell>
          <cell r="C464">
            <v>0</v>
          </cell>
        </row>
        <row r="465">
          <cell r="A465" t="str">
            <v>530-45-020</v>
          </cell>
          <cell r="B465" t="str">
            <v>MABATI ROLLING MILLS LTD</v>
          </cell>
          <cell r="C465">
            <v>0</v>
          </cell>
        </row>
        <row r="466">
          <cell r="A466" t="str">
            <v>530-70-010</v>
          </cell>
          <cell r="B466" t="str">
            <v>O/S INTEREST ON CP</v>
          </cell>
          <cell r="C466">
            <v>0</v>
          </cell>
        </row>
        <row r="467">
          <cell r="A467" t="str">
            <v>530-70-020</v>
          </cell>
          <cell r="B467" t="str">
            <v>O/S INTEREST ON FD</v>
          </cell>
          <cell r="C467">
            <v>0</v>
          </cell>
        </row>
        <row r="468">
          <cell r="A468" t="str">
            <v>530-70-030</v>
          </cell>
          <cell r="B468" t="str">
            <v>O/S INTEREST TB'S</v>
          </cell>
          <cell r="C468">
            <v>0</v>
          </cell>
        </row>
        <row r="469">
          <cell r="A469" t="str">
            <v>530-75-010</v>
          </cell>
          <cell r="B469" t="str">
            <v>O/S INTEREST TB'S</v>
          </cell>
          <cell r="C469">
            <v>0</v>
          </cell>
        </row>
        <row r="470">
          <cell r="A470" t="str">
            <v>530-75-020</v>
          </cell>
          <cell r="B470" t="str">
            <v>O/S INTEREST ON FD</v>
          </cell>
          <cell r="C470">
            <v>0</v>
          </cell>
        </row>
        <row r="471">
          <cell r="A471" t="str">
            <v>530-75-030</v>
          </cell>
          <cell r="B471" t="str">
            <v>O/S INTEREST CP</v>
          </cell>
          <cell r="C471">
            <v>0</v>
          </cell>
        </row>
        <row r="472">
          <cell r="A472" t="str">
            <v>530-90-010</v>
          </cell>
          <cell r="B472" t="str">
            <v>GROUP LIFE PREMIUMS DEBTOR</v>
          </cell>
          <cell r="C472">
            <v>0</v>
          </cell>
        </row>
        <row r="473">
          <cell r="A473" t="str">
            <v>550-30-010</v>
          </cell>
          <cell r="B473" t="str">
            <v>O/S LAST EXPENSE CLAIMS</v>
          </cell>
          <cell r="C473">
            <v>0</v>
          </cell>
        </row>
        <row r="474">
          <cell r="A474" t="str">
            <v>550-30-020</v>
          </cell>
          <cell r="B474" t="str">
            <v>O/S PENSION CLAIMS</v>
          </cell>
          <cell r="C474">
            <v>0</v>
          </cell>
        </row>
        <row r="475">
          <cell r="A475" t="str">
            <v>550-30-030</v>
          </cell>
          <cell r="B475" t="str">
            <v>O/S CLAIMS BY DEATH CLAIMS</v>
          </cell>
          <cell r="C475">
            <v>-17092325</v>
          </cell>
        </row>
        <row r="476">
          <cell r="A476" t="str">
            <v>550-30-040</v>
          </cell>
          <cell r="B476" t="str">
            <v>O/S GROUP MATURITIES CLAIMS</v>
          </cell>
          <cell r="C476">
            <v>0</v>
          </cell>
        </row>
        <row r="477">
          <cell r="A477" t="str">
            <v>550-30-050</v>
          </cell>
          <cell r="B477" t="str">
            <v>O/S GROUP ANTICIPATED CLAIMS</v>
          </cell>
          <cell r="C477">
            <v>0</v>
          </cell>
        </row>
        <row r="478">
          <cell r="A478" t="str">
            <v>550-30-060</v>
          </cell>
          <cell r="B478" t="str">
            <v>O/S GROUP SURENDERS CLAIMS</v>
          </cell>
          <cell r="C478">
            <v>0</v>
          </cell>
        </row>
        <row r="479">
          <cell r="A479" t="str">
            <v>550-30-070</v>
          </cell>
          <cell r="B479" t="str">
            <v>O/S RETIREMENT ANNUITIE</v>
          </cell>
          <cell r="C479">
            <v>0</v>
          </cell>
        </row>
        <row r="480">
          <cell r="A480" t="str">
            <v>550-60-010</v>
          </cell>
          <cell r="B480" t="str">
            <v>UNEARNED INTEREST</v>
          </cell>
          <cell r="C480">
            <v>0</v>
          </cell>
        </row>
        <row r="481">
          <cell r="A481" t="str">
            <v>550-60-020</v>
          </cell>
          <cell r="B481" t="str">
            <v>AIG MANAGEMENT FEES</v>
          </cell>
          <cell r="C481">
            <v>0</v>
          </cell>
        </row>
        <row r="482">
          <cell r="A482" t="str">
            <v>570-10-010</v>
          </cell>
          <cell r="B482" t="str">
            <v>GROUP LIFE ASSURANCE SCHEMES</v>
          </cell>
          <cell r="C482">
            <v>0</v>
          </cell>
        </row>
        <row r="483">
          <cell r="A483" t="str">
            <v>570-10-020</v>
          </cell>
          <cell r="B483" t="str">
            <v>GROUP DISABILITY SCHEMES</v>
          </cell>
          <cell r="C483">
            <v>0</v>
          </cell>
        </row>
        <row r="484">
          <cell r="A484" t="str">
            <v>570-10-030</v>
          </cell>
          <cell r="B484" t="str">
            <v>GROUP CREDIT SCHEMES</v>
          </cell>
          <cell r="C484">
            <v>0</v>
          </cell>
        </row>
        <row r="485">
          <cell r="A485" t="str">
            <v>570-10-040</v>
          </cell>
          <cell r="B485" t="str">
            <v>GROUP FUNERAL-LAST EXPENSE</v>
          </cell>
          <cell r="C485">
            <v>0</v>
          </cell>
        </row>
        <row r="486">
          <cell r="A486" t="str">
            <v>570-10-050</v>
          </cell>
          <cell r="B486" t="str">
            <v>GROUP MORTGAGE SCHEMES</v>
          </cell>
          <cell r="C486">
            <v>0</v>
          </cell>
        </row>
        <row r="487">
          <cell r="A487" t="str">
            <v>570-10-060</v>
          </cell>
          <cell r="B487" t="str">
            <v>PENSION SCHEMES</v>
          </cell>
          <cell r="C487">
            <v>0</v>
          </cell>
        </row>
        <row r="488">
          <cell r="A488" t="str">
            <v>570-10-070</v>
          </cell>
          <cell r="B488" t="str">
            <v>GROUP PREMIUMS REFUNDS</v>
          </cell>
          <cell r="C488">
            <v>0</v>
          </cell>
        </row>
        <row r="489">
          <cell r="A489" t="str">
            <v>570-10-080</v>
          </cell>
          <cell r="B489" t="str">
            <v>HARAMBEE SCHEMES</v>
          </cell>
          <cell r="C489">
            <v>0</v>
          </cell>
        </row>
        <row r="490">
          <cell r="A490" t="str">
            <v>580-10-010</v>
          </cell>
          <cell r="B490" t="str">
            <v>INTEREST ON CP</v>
          </cell>
          <cell r="C490">
            <v>0</v>
          </cell>
        </row>
        <row r="491">
          <cell r="A491" t="str">
            <v>580-10-020</v>
          </cell>
          <cell r="B491" t="str">
            <v>INTEREST ON FD</v>
          </cell>
          <cell r="C491">
            <v>0</v>
          </cell>
        </row>
        <row r="492">
          <cell r="A492" t="str">
            <v>580-10-025</v>
          </cell>
          <cell r="B492" t="str">
            <v>AIG MANAGEMENT FEES</v>
          </cell>
          <cell r="C492">
            <v>0</v>
          </cell>
        </row>
        <row r="493">
          <cell r="A493" t="str">
            <v>580-10-030</v>
          </cell>
          <cell r="B493" t="str">
            <v>CUSTODY/BROKERAGE FEES</v>
          </cell>
          <cell r="C493">
            <v>0</v>
          </cell>
        </row>
        <row r="494">
          <cell r="A494" t="str">
            <v>580-10-040</v>
          </cell>
          <cell r="B494" t="str">
            <v>INTEREST ON TB'S</v>
          </cell>
          <cell r="C494">
            <v>0</v>
          </cell>
        </row>
        <row r="495">
          <cell r="A495" t="str">
            <v>580-20-010</v>
          </cell>
          <cell r="B495" t="str">
            <v>INTEREST ON TB'S</v>
          </cell>
          <cell r="C495">
            <v>0</v>
          </cell>
        </row>
        <row r="496">
          <cell r="A496" t="str">
            <v>580-20-020</v>
          </cell>
          <cell r="B496" t="str">
            <v>INTEREST ON FIXED DEPOSITS</v>
          </cell>
          <cell r="C496">
            <v>0</v>
          </cell>
        </row>
        <row r="497">
          <cell r="A497" t="str">
            <v>580-20-025</v>
          </cell>
          <cell r="B497" t="str">
            <v>CUSTODY /BROKERAGE FEES</v>
          </cell>
          <cell r="C497">
            <v>0</v>
          </cell>
        </row>
        <row r="498">
          <cell r="A498" t="str">
            <v>580-20-030</v>
          </cell>
          <cell r="B498" t="str">
            <v>INTEREST ON C/P</v>
          </cell>
          <cell r="C498">
            <v>0</v>
          </cell>
        </row>
        <row r="499">
          <cell r="A499" t="str">
            <v>580-20-035</v>
          </cell>
          <cell r="B499" t="str">
            <v>AIG MANAGEMENT FEES</v>
          </cell>
          <cell r="C499">
            <v>0</v>
          </cell>
        </row>
        <row r="500">
          <cell r="A500" t="str">
            <v>580-30-010</v>
          </cell>
          <cell r="B500" t="str">
            <v>PAN AFRICA HOUSE MOMBASA</v>
          </cell>
          <cell r="C500">
            <v>0</v>
          </cell>
        </row>
        <row r="501">
          <cell r="A501" t="str">
            <v>580-30-020</v>
          </cell>
          <cell r="B501" t="str">
            <v>SERVICE CHARGE PAN HOUSE MOMBASA</v>
          </cell>
          <cell r="C501">
            <v>0</v>
          </cell>
        </row>
        <row r="502">
          <cell r="A502" t="str">
            <v>590-10-010</v>
          </cell>
          <cell r="B502" t="str">
            <v>LAST EXPENSE CLAIM</v>
          </cell>
          <cell r="C502">
            <v>0</v>
          </cell>
        </row>
        <row r="503">
          <cell r="A503" t="str">
            <v>590-10-020</v>
          </cell>
          <cell r="B503" t="str">
            <v>PENSION SCHEME CLAIM</v>
          </cell>
          <cell r="C503">
            <v>0</v>
          </cell>
        </row>
        <row r="504">
          <cell r="A504" t="str">
            <v>590-10-030</v>
          </cell>
          <cell r="B504" t="str">
            <v>CLAIMS BY DEATH-GROUP</v>
          </cell>
          <cell r="C504">
            <v>0</v>
          </cell>
        </row>
        <row r="505">
          <cell r="A505" t="str">
            <v>590-10-040</v>
          </cell>
          <cell r="B505" t="str">
            <v>GROUP MATURITY CLAIMS</v>
          </cell>
          <cell r="C505">
            <v>0</v>
          </cell>
        </row>
        <row r="506">
          <cell r="A506" t="str">
            <v>590-10-050</v>
          </cell>
          <cell r="B506" t="str">
            <v>GROUP ANTICIPATED CLAIMS</v>
          </cell>
          <cell r="C506">
            <v>0</v>
          </cell>
        </row>
        <row r="507">
          <cell r="A507" t="str">
            <v>590-10-060</v>
          </cell>
          <cell r="B507" t="str">
            <v>GROUP CREDIT SCHEMES CLAIMS</v>
          </cell>
          <cell r="C507">
            <v>0</v>
          </cell>
        </row>
        <row r="508">
          <cell r="A508" t="str">
            <v>590-10-070</v>
          </cell>
          <cell r="B508" t="str">
            <v>GROUP RETIREMENT ANNUITIES CLAIMS</v>
          </cell>
          <cell r="C508">
            <v>0</v>
          </cell>
        </row>
        <row r="509">
          <cell r="A509" t="str">
            <v>590-10-075</v>
          </cell>
          <cell r="B509" t="str">
            <v>AUDIT FEES  (PENSIONS)</v>
          </cell>
          <cell r="C509">
            <v>0</v>
          </cell>
        </row>
        <row r="510">
          <cell r="A510" t="str">
            <v>590-10-076</v>
          </cell>
          <cell r="B510" t="str">
            <v>MANAGEMENT FEES (PENSION)</v>
          </cell>
          <cell r="C510">
            <v>0</v>
          </cell>
        </row>
        <row r="511">
          <cell r="A511" t="str">
            <v>590-10-077</v>
          </cell>
          <cell r="B511" t="str">
            <v>RBA LEVIES (PENSIONS)</v>
          </cell>
          <cell r="C511">
            <v>0</v>
          </cell>
        </row>
        <row r="512">
          <cell r="A512" t="str">
            <v>590-10-080</v>
          </cell>
          <cell r="B512" t="str">
            <v>CLAIMS RECOVERED-GROUP LIFE ASSURANCE</v>
          </cell>
          <cell r="C512">
            <v>0</v>
          </cell>
        </row>
        <row r="513">
          <cell r="A513" t="str">
            <v>590-10-090</v>
          </cell>
          <cell r="B513" t="str">
            <v>CLAIMS RECOVERED-GROUP MORTGAGE</v>
          </cell>
          <cell r="C513">
            <v>0</v>
          </cell>
        </row>
        <row r="514">
          <cell r="A514" t="str">
            <v>590-10-100</v>
          </cell>
          <cell r="B514" t="str">
            <v>CLAIMS RECOVERED-GROUP LAST EXPENSE</v>
          </cell>
          <cell r="C514">
            <v>0</v>
          </cell>
        </row>
        <row r="515">
          <cell r="A515" t="str">
            <v>590-20-010</v>
          </cell>
          <cell r="B515" t="str">
            <v>REASSURANCE PREMIUMS-GROUP LIFE</v>
          </cell>
          <cell r="C515">
            <v>0</v>
          </cell>
        </row>
        <row r="516">
          <cell r="A516" t="str">
            <v>590-20-020</v>
          </cell>
          <cell r="B516" t="str">
            <v>REASSURANCE PREMIUMS-GROUP MORTGAGE</v>
          </cell>
          <cell r="C516">
            <v>0</v>
          </cell>
        </row>
        <row r="517">
          <cell r="A517" t="str">
            <v>590-20-030</v>
          </cell>
          <cell r="B517" t="str">
            <v>REASSURANCE PREMIUMS-GROUP LAST EXPENS</v>
          </cell>
          <cell r="C517">
            <v>0</v>
          </cell>
        </row>
        <row r="518">
          <cell r="A518" t="str">
            <v>590-20-040</v>
          </cell>
          <cell r="B518" t="str">
            <v>REASSURANCE PREMIUMS-CREDIT SCHEMES</v>
          </cell>
          <cell r="C518">
            <v>0</v>
          </cell>
        </row>
        <row r="519">
          <cell r="A519" t="str">
            <v>590-20-050</v>
          </cell>
          <cell r="B519" t="str">
            <v>REASSURANCE COMMISSION-GROUP LIFE</v>
          </cell>
          <cell r="C519">
            <v>0</v>
          </cell>
        </row>
        <row r="520">
          <cell r="A520" t="str">
            <v>590-20-060</v>
          </cell>
          <cell r="B520" t="str">
            <v>REASSURANCE COMMISSION-GROUP MORTGAGE</v>
          </cell>
          <cell r="C520">
            <v>0</v>
          </cell>
        </row>
        <row r="521">
          <cell r="A521" t="str">
            <v>590-20-070</v>
          </cell>
          <cell r="B521" t="str">
            <v>REASSURANCE COMMISIION-GROUP LAST EXPENS</v>
          </cell>
        </row>
        <row r="522">
          <cell r="A522" t="str">
            <v>590-20-080</v>
          </cell>
          <cell r="B522" t="str">
            <v>REASSURANCE COMMISSION -GROUP CREDIT</v>
          </cell>
          <cell r="C522">
            <v>0</v>
          </cell>
        </row>
        <row r="523">
          <cell r="A523" t="str">
            <v>590-20-090</v>
          </cell>
          <cell r="B523" t="str">
            <v>REASSURANCE PREMIUMS-GROUP DISABILITY</v>
          </cell>
          <cell r="C523">
            <v>0</v>
          </cell>
        </row>
        <row r="524">
          <cell r="A524" t="str">
            <v>590-20-100</v>
          </cell>
          <cell r="B524" t="str">
            <v>REASSURANCE COMMISSION-GROUP DISABILITY</v>
          </cell>
          <cell r="C524">
            <v>0</v>
          </cell>
        </row>
        <row r="525">
          <cell r="A525" t="str">
            <v>605-10-010</v>
          </cell>
          <cell r="B525" t="str">
            <v>BASIC SALARY</v>
          </cell>
          <cell r="C525">
            <v>0</v>
          </cell>
        </row>
        <row r="526">
          <cell r="A526" t="str">
            <v>605-10-020</v>
          </cell>
          <cell r="B526" t="str">
            <v>HOUSE ALLOWANCE</v>
          </cell>
          <cell r="C526">
            <v>0</v>
          </cell>
        </row>
        <row r="527">
          <cell r="A527" t="str">
            <v>605-10-030</v>
          </cell>
          <cell r="B527" t="str">
            <v>TELEPHONE ALLOWANCE</v>
          </cell>
          <cell r="C527">
            <v>0</v>
          </cell>
        </row>
        <row r="528">
          <cell r="A528" t="str">
            <v>605-10-040</v>
          </cell>
          <cell r="B528" t="str">
            <v>SECURITY ALLOWANCE</v>
          </cell>
          <cell r="C528">
            <v>0</v>
          </cell>
        </row>
        <row r="529">
          <cell r="A529" t="str">
            <v>605-10-050</v>
          </cell>
          <cell r="B529" t="str">
            <v>EDUCATION ALLOWANCE</v>
          </cell>
          <cell r="C529">
            <v>0</v>
          </cell>
        </row>
        <row r="530">
          <cell r="A530" t="str">
            <v>605-10-060</v>
          </cell>
          <cell r="B530" t="str">
            <v>TRAVEL ALLOWANCE</v>
          </cell>
          <cell r="C530">
            <v>0</v>
          </cell>
        </row>
        <row r="531">
          <cell r="A531" t="str">
            <v>605-10-070</v>
          </cell>
          <cell r="C531">
            <v>0</v>
          </cell>
        </row>
        <row r="532">
          <cell r="A532" t="str">
            <v>605-10-080</v>
          </cell>
          <cell r="C532">
            <v>0</v>
          </cell>
        </row>
        <row r="533">
          <cell r="A533" t="str">
            <v>605-20-010</v>
          </cell>
          <cell r="B533" t="str">
            <v>N.S.S.F</v>
          </cell>
          <cell r="C533">
            <v>0</v>
          </cell>
        </row>
        <row r="534">
          <cell r="A534" t="str">
            <v>605-20-020</v>
          </cell>
          <cell r="B534" t="str">
            <v>N.H.I.F</v>
          </cell>
          <cell r="C534">
            <v>0</v>
          </cell>
        </row>
        <row r="535">
          <cell r="A535" t="str">
            <v>605-30-010</v>
          </cell>
          <cell r="B535" t="str">
            <v>PENSION</v>
          </cell>
          <cell r="C535">
            <v>0</v>
          </cell>
        </row>
        <row r="536">
          <cell r="A536" t="str">
            <v>605-30-020</v>
          </cell>
          <cell r="B536" t="str">
            <v>LAST EXPENSE</v>
          </cell>
          <cell r="C536">
            <v>0</v>
          </cell>
        </row>
        <row r="537">
          <cell r="A537" t="str">
            <v>605-30-030</v>
          </cell>
          <cell r="B537" t="str">
            <v>GROUP LIFE ASSURANCE</v>
          </cell>
          <cell r="C537">
            <v>0</v>
          </cell>
        </row>
        <row r="538">
          <cell r="A538" t="str">
            <v>605-30-040</v>
          </cell>
          <cell r="B538" t="str">
            <v>STAFF MEDICAL</v>
          </cell>
          <cell r="C538">
            <v>0</v>
          </cell>
        </row>
        <row r="539">
          <cell r="A539" t="str">
            <v>605-30-050</v>
          </cell>
          <cell r="B539" t="str">
            <v>LEAVE PAY</v>
          </cell>
          <cell r="C539">
            <v>0</v>
          </cell>
        </row>
        <row r="540">
          <cell r="A540" t="str">
            <v>605-30-060</v>
          </cell>
          <cell r="B540" t="str">
            <v>GRATUITY</v>
          </cell>
          <cell r="C540">
            <v>0</v>
          </cell>
        </row>
        <row r="541">
          <cell r="A541" t="str">
            <v>605-30-070</v>
          </cell>
          <cell r="B541" t="str">
            <v>LONG SERVICE AWARDS</v>
          </cell>
          <cell r="C541">
            <v>0</v>
          </cell>
        </row>
        <row r="542">
          <cell r="A542" t="str">
            <v>605-30-080</v>
          </cell>
          <cell r="B542" t="str">
            <v>STAFF RECRUITMENT &amp; REMOVALS</v>
          </cell>
          <cell r="C542">
            <v>0</v>
          </cell>
        </row>
        <row r="543">
          <cell r="A543" t="str">
            <v>615-10-010</v>
          </cell>
          <cell r="B543" t="str">
            <v>DEPRECIATION-FURNITURE &amp; FITTINGS</v>
          </cell>
          <cell r="C543">
            <v>0</v>
          </cell>
        </row>
        <row r="544">
          <cell r="A544" t="str">
            <v>615-10-020</v>
          </cell>
          <cell r="B544" t="str">
            <v>DEPRECIATION-COMPUTER &amp; OTHER EQUIPMENT</v>
          </cell>
          <cell r="C544">
            <v>0</v>
          </cell>
        </row>
        <row r="545">
          <cell r="A545" t="str">
            <v>615-10-030</v>
          </cell>
          <cell r="B545" t="str">
            <v>DEPRECIATION-MOTOR VEHICLES</v>
          </cell>
          <cell r="C545">
            <v>0</v>
          </cell>
        </row>
        <row r="546">
          <cell r="A546" t="str">
            <v>615-10-040</v>
          </cell>
          <cell r="B546" t="str">
            <v>OFFICE RENT</v>
          </cell>
          <cell r="C546">
            <v>0</v>
          </cell>
        </row>
        <row r="547">
          <cell r="A547" t="str">
            <v>615-10-050</v>
          </cell>
          <cell r="B547" t="str">
            <v>OFFICE CATERING &amp; STAFF WELFARE</v>
          </cell>
          <cell r="C547">
            <v>0</v>
          </cell>
        </row>
        <row r="548">
          <cell r="A548" t="str">
            <v>615-10-060</v>
          </cell>
          <cell r="B548" t="str">
            <v>OFFICE WATER</v>
          </cell>
          <cell r="C548">
            <v>0</v>
          </cell>
        </row>
        <row r="549">
          <cell r="A549" t="str">
            <v>615-10-070</v>
          </cell>
          <cell r="B549" t="str">
            <v>ELECTRICITY</v>
          </cell>
          <cell r="C549">
            <v>0</v>
          </cell>
        </row>
        <row r="550">
          <cell r="A550" t="str">
            <v>615-10-080</v>
          </cell>
          <cell r="B550" t="str">
            <v>SECURITY</v>
          </cell>
          <cell r="C550">
            <v>0</v>
          </cell>
        </row>
        <row r="551">
          <cell r="A551" t="str">
            <v>625-10-010</v>
          </cell>
          <cell r="B551" t="str">
            <v>BANK CHARGES</v>
          </cell>
          <cell r="C551">
            <v>0</v>
          </cell>
        </row>
        <row r="552">
          <cell r="A552" t="str">
            <v>625-10-020</v>
          </cell>
          <cell r="B552" t="str">
            <v>ACTUARIAL FEE</v>
          </cell>
          <cell r="C552">
            <v>0</v>
          </cell>
        </row>
        <row r="553">
          <cell r="A553" t="str">
            <v>625-10-030</v>
          </cell>
          <cell r="B553" t="str">
            <v>CUSTODY FEES (STANBIC)</v>
          </cell>
          <cell r="C553">
            <v>0</v>
          </cell>
        </row>
        <row r="554">
          <cell r="A554" t="str">
            <v>635-10-010</v>
          </cell>
          <cell r="B554" t="str">
            <v>BROKERS COMMISSION</v>
          </cell>
          <cell r="C554">
            <v>0</v>
          </cell>
        </row>
        <row r="555">
          <cell r="A555" t="str">
            <v>635-10-020</v>
          </cell>
          <cell r="B555" t="str">
            <v>MEDICAL COSTS</v>
          </cell>
          <cell r="C555">
            <v>0</v>
          </cell>
        </row>
        <row r="556">
          <cell r="A556" t="str">
            <v>635-10-030</v>
          </cell>
          <cell r="B556" t="str">
            <v>SELLING EXPENSES</v>
          </cell>
          <cell r="C556">
            <v>0</v>
          </cell>
        </row>
        <row r="557">
          <cell r="A557" t="str">
            <v>645-10-010</v>
          </cell>
          <cell r="B557" t="str">
            <v>ALA GROUP CHARGES - CORPORATE BUSINESS</v>
          </cell>
          <cell r="C557">
            <v>0</v>
          </cell>
        </row>
        <row r="558">
          <cell r="A558" t="str">
            <v>645-10-020</v>
          </cell>
          <cell r="B558" t="str">
            <v>INTRA COMPANY CHARGES-CENTRAL SERV.-GD</v>
          </cell>
          <cell r="C558">
            <v>0</v>
          </cell>
        </row>
        <row r="559">
          <cell r="A559" t="str">
            <v>645-10-030</v>
          </cell>
          <cell r="B559" t="str">
            <v>10% RECHARGE FOR PROPERTY DEPT. SERVICES</v>
          </cell>
          <cell r="C559">
            <v>0</v>
          </cell>
        </row>
        <row r="560">
          <cell r="A560" t="str">
            <v>645-10-040</v>
          </cell>
          <cell r="B560" t="str">
            <v>10% RECHARGE FROM FINANCE</v>
          </cell>
          <cell r="C560">
            <v>0</v>
          </cell>
        </row>
        <row r="561">
          <cell r="A561" t="str">
            <v>645-10-050</v>
          </cell>
          <cell r="B561" t="str">
            <v>3.5% RECHARGE FROM EXECUTIVE</v>
          </cell>
          <cell r="C561">
            <v>0</v>
          </cell>
        </row>
        <row r="562">
          <cell r="A562" t="str">
            <v>645-10-060</v>
          </cell>
          <cell r="B562" t="str">
            <v>AUDIT FEES</v>
          </cell>
          <cell r="C562">
            <v>0</v>
          </cell>
        </row>
        <row r="563">
          <cell r="A563" t="str">
            <v>645-10-070</v>
          </cell>
          <cell r="B563" t="str">
            <v>PROFESSIONAL FEE</v>
          </cell>
          <cell r="C563">
            <v>0</v>
          </cell>
        </row>
        <row r="564">
          <cell r="A564" t="str">
            <v>645-10-080</v>
          </cell>
          <cell r="B564" t="str">
            <v>MANAGEMENT FEES(PENSIONS)</v>
          </cell>
          <cell r="C564">
            <v>0</v>
          </cell>
        </row>
        <row r="565">
          <cell r="A565" t="str">
            <v>655-10-007</v>
          </cell>
          <cell r="B565" t="str">
            <v>NEWSPAPERS &amp; JOURNALS</v>
          </cell>
          <cell r="C565">
            <v>0</v>
          </cell>
        </row>
        <row r="566">
          <cell r="A566" t="str">
            <v>655-10-008</v>
          </cell>
          <cell r="B566" t="str">
            <v>DONATIONS &amp; ENTERTAINMENT</v>
          </cell>
          <cell r="C566">
            <v>0</v>
          </cell>
        </row>
        <row r="567">
          <cell r="A567" t="str">
            <v>655-10-009</v>
          </cell>
          <cell r="B567" t="str">
            <v>COURIER &amp; FREIGHT CHARGES</v>
          </cell>
          <cell r="C567">
            <v>0</v>
          </cell>
        </row>
        <row r="568">
          <cell r="A568" t="str">
            <v>655-10-010</v>
          </cell>
          <cell r="B568" t="str">
            <v>ADVERTISING &amp; PUBLICITY</v>
          </cell>
          <cell r="C568">
            <v>0</v>
          </cell>
        </row>
        <row r="569">
          <cell r="A569" t="str">
            <v>655-10-011</v>
          </cell>
          <cell r="B569" t="str">
            <v>LEGAL FEES</v>
          </cell>
          <cell r="C569">
            <v>0</v>
          </cell>
        </row>
        <row r="570">
          <cell r="A570" t="str">
            <v>655-10-012</v>
          </cell>
          <cell r="B570" t="str">
            <v>TRADE LICENCES</v>
          </cell>
          <cell r="C570">
            <v>0</v>
          </cell>
        </row>
        <row r="571">
          <cell r="A571" t="str">
            <v>655-10-013</v>
          </cell>
          <cell r="B571" t="str">
            <v>INSURANCES</v>
          </cell>
          <cell r="C571">
            <v>0</v>
          </cell>
        </row>
        <row r="572">
          <cell r="A572" t="str">
            <v>655-10-014</v>
          </cell>
          <cell r="B572" t="str">
            <v>PHOTOCOPY</v>
          </cell>
          <cell r="C572">
            <v>0</v>
          </cell>
        </row>
        <row r="573">
          <cell r="A573" t="str">
            <v>655-10-015</v>
          </cell>
          <cell r="B573" t="str">
            <v>COMPUTER MAINTENANCE</v>
          </cell>
          <cell r="C573">
            <v>0</v>
          </cell>
        </row>
        <row r="574">
          <cell r="A574" t="str">
            <v>655-10-016</v>
          </cell>
          <cell r="B574" t="str">
            <v>EQUIPMENT MAINTENANCE</v>
          </cell>
          <cell r="C574">
            <v>0</v>
          </cell>
        </row>
        <row r="575">
          <cell r="A575" t="str">
            <v>655-10-017</v>
          </cell>
          <cell r="B575" t="str">
            <v>SEMINARS &amp; SHORT TERM COURSES</v>
          </cell>
          <cell r="C575">
            <v>0</v>
          </cell>
        </row>
        <row r="576">
          <cell r="A576" t="str">
            <v>655-10-020</v>
          </cell>
          <cell r="B576" t="str">
            <v>COMPUTER CONSUMABLES</v>
          </cell>
          <cell r="C576">
            <v>0</v>
          </cell>
        </row>
        <row r="577">
          <cell r="A577" t="str">
            <v>655-10-022</v>
          </cell>
          <cell r="B577" t="str">
            <v>PRINTING &amp; STATIONERY</v>
          </cell>
          <cell r="C577">
            <v>0</v>
          </cell>
        </row>
        <row r="578">
          <cell r="A578" t="str">
            <v>655-10-027</v>
          </cell>
          <cell r="B578" t="str">
            <v>PROFESSIONAL SUBSCRIPTIONS</v>
          </cell>
          <cell r="C578">
            <v>0</v>
          </cell>
        </row>
        <row r="579">
          <cell r="A579" t="str">
            <v>655-10-028</v>
          </cell>
          <cell r="B579" t="str">
            <v>SUBSCRIPTIONS-COMPANY MEMBERSHIP</v>
          </cell>
          <cell r="C579">
            <v>0</v>
          </cell>
        </row>
        <row r="580">
          <cell r="A580" t="str">
            <v>655-10-030</v>
          </cell>
          <cell r="B580" t="str">
            <v>TRAVELLING &amp; ACCOMODATION</v>
          </cell>
          <cell r="C580">
            <v>0</v>
          </cell>
        </row>
        <row r="581">
          <cell r="A581" t="str">
            <v>655-10-032</v>
          </cell>
          <cell r="B581" t="str">
            <v>MOTOR CAR EXPENSES</v>
          </cell>
          <cell r="C581">
            <v>0</v>
          </cell>
        </row>
        <row r="582">
          <cell r="A582" t="str">
            <v>655-10-035</v>
          </cell>
          <cell r="B582" t="str">
            <v>EDUCATION EXPENSES</v>
          </cell>
          <cell r="C582">
            <v>0</v>
          </cell>
        </row>
        <row r="583">
          <cell r="A583" t="str">
            <v>655-10-040</v>
          </cell>
          <cell r="B583" t="str">
            <v>POSTAGE</v>
          </cell>
          <cell r="C583">
            <v>0</v>
          </cell>
        </row>
        <row r="584">
          <cell r="A584" t="str">
            <v>655-10-041</v>
          </cell>
          <cell r="B584" t="str">
            <v>TELEPHONE &amp; FAX</v>
          </cell>
          <cell r="C584">
            <v>0</v>
          </cell>
        </row>
        <row r="585">
          <cell r="A585" t="str">
            <v>655-10-044</v>
          </cell>
          <cell r="B585" t="str">
            <v>PROFESSIONAL TRAINING</v>
          </cell>
          <cell r="C585">
            <v>0</v>
          </cell>
        </row>
        <row r="586">
          <cell r="A586" t="str">
            <v>655-10-046</v>
          </cell>
          <cell r="B586" t="str">
            <v>SUBSCRIPTIONS-STAFF CLUB MEMBERSHIPS</v>
          </cell>
          <cell r="C586">
            <v>0</v>
          </cell>
        </row>
        <row r="587">
          <cell r="A587" t="str">
            <v>655-10-054</v>
          </cell>
          <cell r="B587" t="str">
            <v>LEASED LINES -INTERNET SERVICES</v>
          </cell>
          <cell r="C587">
            <v>0</v>
          </cell>
        </row>
        <row r="588">
          <cell r="A588" t="str">
            <v>655-10-057</v>
          </cell>
          <cell r="B588" t="str">
            <v>SOFTWARE LICENCES</v>
          </cell>
          <cell r="C588">
            <v>0</v>
          </cell>
        </row>
        <row r="589">
          <cell r="A589" t="str">
            <v>665-10-010</v>
          </cell>
          <cell r="B589" t="str">
            <v>STAMP DUTY</v>
          </cell>
          <cell r="C589">
            <v>0</v>
          </cell>
        </row>
        <row r="590">
          <cell r="A590" t="str">
            <v>665-10-020</v>
          </cell>
          <cell r="B590" t="str">
            <v>PREMIUM TAX</v>
          </cell>
          <cell r="C590">
            <v>0</v>
          </cell>
        </row>
        <row r="591">
          <cell r="A591" t="str">
            <v>665-10-030</v>
          </cell>
          <cell r="B591" t="str">
            <v>REINSURANCE PREMIUM TAX</v>
          </cell>
          <cell r="C591">
            <v>0</v>
          </cell>
        </row>
        <row r="592">
          <cell r="A592" t="str">
            <v>665-10-040</v>
          </cell>
          <cell r="B592" t="str">
            <v>REVENUE STAMPS</v>
          </cell>
          <cell r="C592">
            <v>0</v>
          </cell>
        </row>
        <row r="593">
          <cell r="A593" t="str">
            <v>665-10-050</v>
          </cell>
          <cell r="B593" t="str">
            <v>R B A LEVIES</v>
          </cell>
          <cell r="C593">
            <v>0</v>
          </cell>
        </row>
        <row r="594">
          <cell r="A594" t="str">
            <v>665-10-060</v>
          </cell>
          <cell r="B594" t="str">
            <v>REINSURANCE PRM TAX PENALTY</v>
          </cell>
          <cell r="C594">
            <v>0</v>
          </cell>
        </row>
        <row r="595">
          <cell r="A595" t="str">
            <v>670-10-010</v>
          </cell>
          <cell r="B595" t="str">
            <v>PAN AFRICA HOUSE MOMBASA</v>
          </cell>
          <cell r="C595">
            <v>0</v>
          </cell>
        </row>
        <row r="596">
          <cell r="A596" t="str">
            <v>700-10-010</v>
          </cell>
          <cell r="B596" t="str">
            <v>BASIC SALARY</v>
          </cell>
          <cell r="C596">
            <v>0</v>
          </cell>
        </row>
        <row r="597">
          <cell r="A597" t="str">
            <v>700-10-020</v>
          </cell>
          <cell r="B597" t="str">
            <v>HOUSE ALLOWANCE</v>
          </cell>
          <cell r="C597">
            <v>0</v>
          </cell>
        </row>
        <row r="598">
          <cell r="A598" t="str">
            <v>700-10-030</v>
          </cell>
          <cell r="B598" t="str">
            <v>TELEPHONE ALLOWANCE</v>
          </cell>
          <cell r="C598">
            <v>0</v>
          </cell>
        </row>
        <row r="599">
          <cell r="A599" t="str">
            <v>700-10-040</v>
          </cell>
          <cell r="B599" t="str">
            <v>SECURITY ALLOWANCE</v>
          </cell>
          <cell r="C599">
            <v>0</v>
          </cell>
        </row>
        <row r="600">
          <cell r="A600" t="str">
            <v>700-10-050</v>
          </cell>
          <cell r="B600" t="str">
            <v>EDUCATION ALLOWANCE</v>
          </cell>
          <cell r="C600">
            <v>0</v>
          </cell>
        </row>
        <row r="601">
          <cell r="A601" t="str">
            <v>700-10-060</v>
          </cell>
          <cell r="B601" t="str">
            <v>TRAVEL ALLOWANCE</v>
          </cell>
          <cell r="C601">
            <v>0</v>
          </cell>
        </row>
        <row r="602">
          <cell r="A602" t="str">
            <v>700-20-010</v>
          </cell>
          <cell r="B602" t="str">
            <v>N.S.S.F</v>
          </cell>
          <cell r="C602">
            <v>0</v>
          </cell>
        </row>
        <row r="603">
          <cell r="A603" t="str">
            <v>700-20-020</v>
          </cell>
          <cell r="B603" t="str">
            <v>N.H.I.F</v>
          </cell>
          <cell r="C603">
            <v>0</v>
          </cell>
        </row>
        <row r="604">
          <cell r="A604" t="str">
            <v>700-30-010</v>
          </cell>
          <cell r="B604" t="str">
            <v>PENSION</v>
          </cell>
          <cell r="C604">
            <v>0</v>
          </cell>
        </row>
        <row r="605">
          <cell r="A605" t="str">
            <v>700-30-020</v>
          </cell>
          <cell r="B605" t="str">
            <v>LAST EXPENSE</v>
          </cell>
          <cell r="C605">
            <v>0</v>
          </cell>
        </row>
        <row r="606">
          <cell r="A606" t="str">
            <v>700-30-030</v>
          </cell>
          <cell r="B606" t="str">
            <v>GROUP LIFE ASSURANCE</v>
          </cell>
          <cell r="C606">
            <v>0</v>
          </cell>
        </row>
        <row r="607">
          <cell r="A607" t="str">
            <v>700-30-040</v>
          </cell>
          <cell r="B607" t="str">
            <v>STAFF MEDICAL</v>
          </cell>
          <cell r="C607">
            <v>0</v>
          </cell>
        </row>
        <row r="608">
          <cell r="A608" t="str">
            <v>700-30-050</v>
          </cell>
          <cell r="B608" t="str">
            <v>LEAVE PAY</v>
          </cell>
          <cell r="C608">
            <v>0</v>
          </cell>
        </row>
        <row r="609">
          <cell r="A609" t="str">
            <v>700-30-060</v>
          </cell>
          <cell r="B609" t="str">
            <v>LONG SERVICE AWARDS</v>
          </cell>
          <cell r="C609">
            <v>0</v>
          </cell>
        </row>
        <row r="610">
          <cell r="A610" t="str">
            <v>710-10-010</v>
          </cell>
          <cell r="B610" t="str">
            <v>OFFICE RENT</v>
          </cell>
          <cell r="C610">
            <v>0</v>
          </cell>
        </row>
        <row r="611">
          <cell r="A611" t="str">
            <v>710-10-020</v>
          </cell>
          <cell r="B611" t="str">
            <v>OFFICE CATERING &amp; STAFF WELFARE</v>
          </cell>
          <cell r="C611">
            <v>0</v>
          </cell>
        </row>
        <row r="612">
          <cell r="A612" t="str">
            <v>710-10-030</v>
          </cell>
          <cell r="B612" t="str">
            <v>DEPRECIATION-MOTOR VEHICLE</v>
          </cell>
          <cell r="C612">
            <v>0</v>
          </cell>
        </row>
        <row r="613">
          <cell r="A613" t="str">
            <v>710-10-040</v>
          </cell>
          <cell r="B613" t="str">
            <v>DEPRECIATION FURNITURE &amp; FITTINGS</v>
          </cell>
          <cell r="C613">
            <v>0</v>
          </cell>
        </row>
        <row r="614">
          <cell r="A614" t="str">
            <v>710-10-050</v>
          </cell>
          <cell r="B614" t="str">
            <v>DEPRECIATION-COMPUTERS</v>
          </cell>
          <cell r="C614">
            <v>0</v>
          </cell>
        </row>
        <row r="615">
          <cell r="A615" t="str">
            <v>710-10-060</v>
          </cell>
          <cell r="B615" t="str">
            <v>OFFICE WATER</v>
          </cell>
          <cell r="C615">
            <v>0</v>
          </cell>
        </row>
        <row r="616">
          <cell r="A616" t="str">
            <v>710-10-070</v>
          </cell>
          <cell r="B616" t="str">
            <v>ELECTRICITY</v>
          </cell>
          <cell r="C616">
            <v>0</v>
          </cell>
        </row>
        <row r="617">
          <cell r="A617" t="str">
            <v>710-10-080</v>
          </cell>
          <cell r="B617" t="str">
            <v>SECURITY</v>
          </cell>
          <cell r="C617">
            <v>0</v>
          </cell>
        </row>
        <row r="618">
          <cell r="A618" t="str">
            <v>720-10-010</v>
          </cell>
          <cell r="B618" t="str">
            <v>BANK CHARGES</v>
          </cell>
          <cell r="C618">
            <v>0</v>
          </cell>
        </row>
        <row r="619">
          <cell r="A619" t="str">
            <v>740-10-010</v>
          </cell>
          <cell r="B619" t="str">
            <v>NEWSPAPER &amp; JOURNALS</v>
          </cell>
          <cell r="C619">
            <v>0</v>
          </cell>
        </row>
        <row r="620">
          <cell r="A620" t="str">
            <v>740-10-020</v>
          </cell>
          <cell r="B620" t="str">
            <v>ENTERTAINMENT &amp; DONATIONS</v>
          </cell>
          <cell r="C620">
            <v>0</v>
          </cell>
        </row>
        <row r="621">
          <cell r="A621" t="str">
            <v>740-10-030</v>
          </cell>
          <cell r="B621" t="str">
            <v>LEGAL FEES</v>
          </cell>
          <cell r="C621">
            <v>0</v>
          </cell>
        </row>
        <row r="622">
          <cell r="A622" t="str">
            <v>740-10-035</v>
          </cell>
          <cell r="B622" t="str">
            <v>INSURANCES</v>
          </cell>
          <cell r="C622">
            <v>0</v>
          </cell>
        </row>
        <row r="623">
          <cell r="A623" t="str">
            <v>740-10-040</v>
          </cell>
          <cell r="B623" t="str">
            <v>PHOTOCOPY</v>
          </cell>
          <cell r="C623">
            <v>0</v>
          </cell>
        </row>
        <row r="624">
          <cell r="A624" t="str">
            <v>740-10-045</v>
          </cell>
          <cell r="B624" t="str">
            <v>SEMINARS AND SHORT COURSES</v>
          </cell>
          <cell r="C624">
            <v>0</v>
          </cell>
        </row>
        <row r="625">
          <cell r="A625" t="str">
            <v>740-10-050</v>
          </cell>
          <cell r="B625" t="str">
            <v>EQUIPMENT MAINTAENANCE</v>
          </cell>
          <cell r="C625">
            <v>0</v>
          </cell>
        </row>
        <row r="626">
          <cell r="A626" t="str">
            <v>740-10-060</v>
          </cell>
          <cell r="B626" t="str">
            <v>PRINTING &amp; STATIONERY</v>
          </cell>
          <cell r="C626">
            <v>0</v>
          </cell>
        </row>
        <row r="627">
          <cell r="A627" t="str">
            <v>740-10-070</v>
          </cell>
          <cell r="B627" t="str">
            <v>PROFFESSIONAL SUBSCRIPTIONS</v>
          </cell>
          <cell r="C627">
            <v>0</v>
          </cell>
        </row>
        <row r="628">
          <cell r="A628" t="str">
            <v>740-10-080</v>
          </cell>
          <cell r="B628" t="str">
            <v>TRAVELLING &amp; ACCOMODATION</v>
          </cell>
          <cell r="C628">
            <v>0</v>
          </cell>
        </row>
        <row r="629">
          <cell r="A629" t="str">
            <v>740-10-090</v>
          </cell>
          <cell r="B629" t="str">
            <v>POSTAGE</v>
          </cell>
          <cell r="C629">
            <v>0</v>
          </cell>
        </row>
        <row r="630">
          <cell r="A630" t="str">
            <v>740-10-100</v>
          </cell>
          <cell r="B630" t="str">
            <v>TELEPHONE &amp; FAX</v>
          </cell>
          <cell r="C630">
            <v>0</v>
          </cell>
        </row>
        <row r="631">
          <cell r="A631" t="str">
            <v>740-10-110</v>
          </cell>
          <cell r="B631" t="str">
            <v>PROFFESSIONAL TRAINING</v>
          </cell>
          <cell r="C631">
            <v>0</v>
          </cell>
        </row>
        <row r="632">
          <cell r="A632" t="str">
            <v>740-10-115</v>
          </cell>
          <cell r="B632" t="str">
            <v>SUBSCRIPTIONS -STAFF CLUB MEMBERSHIPS</v>
          </cell>
          <cell r="C632">
            <v>0</v>
          </cell>
        </row>
        <row r="633">
          <cell r="A633" t="str">
            <v>740-10-120</v>
          </cell>
          <cell r="B633" t="str">
            <v>SOFTWARE LICENCES</v>
          </cell>
          <cell r="C633">
            <v>0</v>
          </cell>
        </row>
        <row r="634">
          <cell r="A634" t="str">
            <v>740-10-125</v>
          </cell>
          <cell r="B634" t="str">
            <v>SUBSCRIPTIONS-COMPANY MEMBERSHIPS</v>
          </cell>
          <cell r="C634">
            <v>0</v>
          </cell>
        </row>
        <row r="635">
          <cell r="A635" t="str">
            <v>740-10-130</v>
          </cell>
          <cell r="B635" t="str">
            <v>TRADE LICENCES</v>
          </cell>
          <cell r="C635">
            <v>0</v>
          </cell>
        </row>
        <row r="636">
          <cell r="A636" t="str">
            <v>740-10-140</v>
          </cell>
          <cell r="B636" t="str">
            <v>ADVERTISING AND PUBLICITY</v>
          </cell>
          <cell r="C636">
            <v>0</v>
          </cell>
        </row>
        <row r="637">
          <cell r="A637" t="str">
            <v>740-10-150</v>
          </cell>
          <cell r="B637" t="str">
            <v>COMPUTER CONSUMABLES</v>
          </cell>
          <cell r="C637">
            <v>0</v>
          </cell>
        </row>
        <row r="638">
          <cell r="A638" t="str">
            <v>740-10-160</v>
          </cell>
          <cell r="B638" t="str">
            <v>COURIER &amp; FREIGHT CHARGES</v>
          </cell>
          <cell r="C638">
            <v>0</v>
          </cell>
        </row>
        <row r="639">
          <cell r="A639" t="str">
            <v>740-10-170</v>
          </cell>
          <cell r="B639" t="str">
            <v>DIRECTORS FEES</v>
          </cell>
          <cell r="C639">
            <v>0</v>
          </cell>
        </row>
        <row r="640">
          <cell r="A640" t="str">
            <v>740-10-180</v>
          </cell>
          <cell r="B640" t="str">
            <v>PROFESSIONAL FEE</v>
          </cell>
          <cell r="C640">
            <v>0</v>
          </cell>
        </row>
      </sheetData>
      <sheetData sheetId="19"/>
      <sheetData sheetId="20"/>
      <sheetData sheetId="2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P&amp;L "/>
      <sheetName val="Co Bal Sheet "/>
      <sheetName val="Socie"/>
      <sheetName val="Cashflow"/>
      <sheetName val="Note 1 onwards  "/>
      <sheetName val="TB"/>
      <sheetName val=" Payables"/>
      <sheetName val=" Receivables"/>
      <sheetName val="Mortgages"/>
      <sheetName val="Quoted Shares"/>
      <sheetName val="Variances"/>
      <sheetName val="Bank Reconciliation"/>
      <sheetName val="Car loan"/>
      <sheetName val="P&amp;L consolidation 2004"/>
      <sheetName val="Life consolidation workings"/>
      <sheetName val=" P&amp;l consolidation 2003 "/>
      <sheetName val="Group BS Consolidation working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 &amp; L"/>
      <sheetName val="BS"/>
      <sheetName val="Variances"/>
      <sheetName val="Detailed P &amp; L"/>
      <sheetName val="Tax Computation"/>
      <sheetName val="Detailed BS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UMM JUNE 2010"/>
      <sheetName val="JUNE 2010"/>
      <sheetName val="budget"/>
      <sheetName val="NBK2010"/>
      <sheetName val="Debtors"/>
      <sheetName val="Perio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>
        <row r="1">
          <cell r="A1">
            <v>40209</v>
          </cell>
        </row>
        <row r="2">
          <cell r="A2">
            <v>40237</v>
          </cell>
        </row>
        <row r="3">
          <cell r="A3">
            <v>40268</v>
          </cell>
        </row>
        <row r="4">
          <cell r="A4">
            <v>40298</v>
          </cell>
        </row>
        <row r="5">
          <cell r="A5">
            <v>40329</v>
          </cell>
        </row>
        <row r="6">
          <cell r="A6">
            <v>40359</v>
          </cell>
        </row>
        <row r="7">
          <cell r="A7">
            <v>40390</v>
          </cell>
        </row>
        <row r="8">
          <cell r="A8">
            <v>40421</v>
          </cell>
        </row>
        <row r="9">
          <cell r="A9">
            <v>40451</v>
          </cell>
        </row>
        <row r="10">
          <cell r="A10">
            <v>40482</v>
          </cell>
        </row>
        <row r="11">
          <cell r="A11">
            <v>40512</v>
          </cell>
        </row>
        <row r="12">
          <cell r="A12">
            <v>40543</v>
          </cell>
        </row>
      </sheetData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ccepted_Sanlam"/>
      <sheetName val="Fsize.sanlam"/>
      <sheetName val="Accepted_Currency"/>
      <sheetName val="Accepted_Incepted_Cases"/>
      <sheetName val="Accepted_API"/>
      <sheetName val="Accepted Biz"/>
      <sheetName val="Johns Score card"/>
      <sheetName val="Control Sheet"/>
      <sheetName val="SDM Comp."/>
      <sheetName val="Scorecard"/>
      <sheetName val="Budget"/>
      <sheetName val="COP_Bgt_Rev_AC"/>
      <sheetName val="IL_Bgt_ReV_AC"/>
      <sheetName val="NB-BGT"/>
      <sheetName val="John's figures"/>
      <sheetName val="2006 Score card format"/>
      <sheetName val="Contents"/>
      <sheetName val="Fsize_Pro"/>
      <sheetName val="PRM_Pro"/>
      <sheetName val="Contol Sheet"/>
      <sheetName val="Staff Bonus Drivers"/>
      <sheetName val="Statistica abstract"/>
      <sheetName val="NB-Premiums"/>
      <sheetName val="Statistics"/>
      <sheetName val="INC. STATE. SUM"/>
      <sheetName val="INC.ST. IND LIFE"/>
      <sheetName val="INC.ST. CB"/>
      <sheetName val="Bgt_summ"/>
      <sheetName val="premium budget"/>
      <sheetName val="P&amp;L"/>
      <sheetName val="BS"/>
      <sheetName val="SOCIE"/>
      <sheetName val="Note1&amp;2"/>
      <sheetName val="Note3"/>
      <sheetName val="Note4"/>
      <sheetName val="note5-7"/>
      <sheetName val="Note8"/>
      <sheetName val="Note 9-10"/>
      <sheetName val="NTU"/>
      <sheetName val="BR_P&amp;L_rank"/>
      <sheetName val="BR_P&amp;L_Annex"/>
      <sheetName val="budget-corporate"/>
      <sheetName val="File size Criteria"/>
      <sheetName val="Company_TB"/>
      <sheetName val="IL_tb"/>
      <sheetName val="GL_Tb"/>
      <sheetName val="UL_TB"/>
      <sheetName val="SH_TB"/>
      <sheetName val="DA_tb"/>
      <sheetName val="unitcost"/>
      <sheetName val="File Size"/>
      <sheetName val="criteria"/>
      <sheetName val="file size -prior year"/>
      <sheetName val="ProD_BUD"/>
      <sheetName val="Production"/>
      <sheetName val="New Business"/>
      <sheetName val="Test CTR"/>
      <sheetName val="Variance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 - Lead"/>
      <sheetName val="U 1 -Sub Lead"/>
      <sheetName val="U 1.2 - SRBS Income"/>
      <sheetName val="U 1.3 - PWM Income"/>
      <sheetName val="UA 1.3.1 - Custodial fees"/>
      <sheetName val="U 100 - SRBS Income Computation"/>
      <sheetName val="U 101 - Schedule B payments"/>
      <sheetName val="U 200 - PWM Income"/>
      <sheetName val="U 300 - Sales Invoice List"/>
      <sheetName val="H 4-ITSL Government Securities"/>
      <sheetName val="H 4-ILAM Government Securities"/>
      <sheetName val="H 4.1 - ILAM Corporate Bonds"/>
      <sheetName val="H 200 - NSE Implied Yield 2013"/>
      <sheetName val="Bonds Dec 2012"/>
      <sheetName val="H 4.1-Bond amortization"/>
      <sheetName val="H 4.2-Accrued interest"/>
      <sheetName val="H 4.3-Bond movemen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>
        <row r="22">
          <cell r="N22">
            <v>1811457.8213698629</v>
          </cell>
        </row>
        <row r="24">
          <cell r="J24">
            <v>74178127</v>
          </cell>
          <cell r="L24">
            <v>1811457.8213698629</v>
          </cell>
        </row>
        <row r="27">
          <cell r="L27">
            <v>177805.29</v>
          </cell>
        </row>
        <row r="46">
          <cell r="K46">
            <v>1976123.98</v>
          </cell>
        </row>
      </sheetData>
      <sheetData sheetId="14"/>
      <sheetData sheetId="15"/>
      <sheetData sheetId="16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OS"/>
      <sheetName val="VA-WDS Staff Costs"/>
      <sheetName val="V-WDS"/>
      <sheetName val="V - Lead"/>
      <sheetName val="V 1 - Sub Lead"/>
      <sheetName val="V 1.1 - Staff Costs"/>
      <sheetName val="Selling Expenses"/>
      <sheetName val="VD 100 - Sample Review"/>
      <sheetName val="VD 101 - Short Expiries"/>
      <sheetName val="Finance Expenses"/>
      <sheetName val="Administrative Expenses"/>
      <sheetName val="Production Expenses"/>
      <sheetName val="Provisions"/>
      <sheetName val="V 1.2 - Meals"/>
      <sheetName val="V 1.3 - Medical "/>
      <sheetName val="VD 1 - Other Expenses"/>
      <sheetName val="VD 2 - Insurance"/>
      <sheetName val="VD 100 - Sample ILAM"/>
      <sheetName val="Salaries &amp; Other Staff"/>
      <sheetName val="VAT Input Analysis"/>
      <sheetName val="VAT-PAYE"/>
      <sheetName val="V 1.1.1 - Staff Cost BD"/>
      <sheetName val="V 1.2 - Other Staff Costs"/>
      <sheetName val="V 1.3 - Rental Expenses"/>
      <sheetName val="Tax Computation"/>
      <sheetName val="Deferred Tax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>
        <row r="16">
          <cell r="H16">
            <v>-828949</v>
          </cell>
        </row>
        <row r="110">
          <cell r="M110">
            <v>1384500</v>
          </cell>
        </row>
      </sheetData>
      <sheetData sheetId="25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ofit &amp; Loss"/>
      <sheetName val="Summary"/>
      <sheetName val="Costs"/>
      <sheetName val="Sheet2"/>
      <sheetName val="Depn_Bfwd"/>
      <sheetName val="Sfaff_costs"/>
      <sheetName val="Exp details 2007"/>
      <sheetName val="Exp details 2008"/>
      <sheetName val="Exp details 2009"/>
      <sheetName val="Capex 2007"/>
      <sheetName val="Capex 2008"/>
      <sheetName val="Capex 2009"/>
      <sheetName val="NOTES "/>
      <sheetName val="Accounts"/>
      <sheetName val="Property exp."/>
      <sheetName val="Ref"/>
      <sheetName val="NOTES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UMM JUNE 2010"/>
      <sheetName val="JUNE 2010"/>
      <sheetName val="budget"/>
      <sheetName val="NBK2010"/>
      <sheetName val="Debtors"/>
      <sheetName val="Perio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>
        <row r="1">
          <cell r="A1">
            <v>40209</v>
          </cell>
        </row>
        <row r="2">
          <cell r="A2">
            <v>40237</v>
          </cell>
        </row>
        <row r="3">
          <cell r="A3">
            <v>40268</v>
          </cell>
        </row>
        <row r="4">
          <cell r="A4">
            <v>40298</v>
          </cell>
        </row>
        <row r="5">
          <cell r="A5">
            <v>40329</v>
          </cell>
        </row>
        <row r="6">
          <cell r="A6">
            <v>40359</v>
          </cell>
        </row>
        <row r="7">
          <cell r="A7">
            <v>40390</v>
          </cell>
        </row>
        <row r="8">
          <cell r="A8">
            <v>40421</v>
          </cell>
        </row>
        <row r="9">
          <cell r="A9">
            <v>40451</v>
          </cell>
        </row>
        <row r="10">
          <cell r="A10">
            <v>40482</v>
          </cell>
        </row>
        <row r="11">
          <cell r="A11">
            <v>40512</v>
          </cell>
        </row>
        <row r="12">
          <cell r="A12">
            <v>40543</v>
          </cell>
        </row>
      </sheetData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E"/>
      <sheetName val="LIEN 2019"/>
      <sheetName val="Sheet1"/>
      <sheetName val="investment funds"/>
      <sheetName val="INVESTMENT INCOME REPORT"/>
      <sheetName val="BONDS HELD (3)"/>
      <sheetName val="TBILLS"/>
      <sheetName val="BANK DEPOSITS"/>
      <sheetName val="BANK DEPOSITS (2)"/>
      <sheetName val="Sheet3"/>
      <sheetName val="BANK DEPOSITS (3)"/>
      <sheetName val="EQUITIES-GEN "/>
      <sheetName val="EQUITIES-LIFE "/>
      <sheetName val="EQUITIES-COMBINED"/>
      <sheetName val="UNEARNED DISC AMORTZ"/>
      <sheetName val="UNEARNED DISC AMORTZ (2)"/>
    </sheetNames>
    <sheetDataSet>
      <sheetData sheetId="0"/>
      <sheetData sheetId="1"/>
      <sheetData sheetId="2"/>
      <sheetData sheetId="3"/>
      <sheetData sheetId="4">
        <row r="32">
          <cell r="M32">
            <v>183125000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</sheetNames>
    <sheetDataSet>
      <sheetData sheetId="0"/>
      <sheetData sheetId="1" refreshError="1"/>
      <sheetData sheetId="2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</sheetNames>
    <sheetDataSet>
      <sheetData sheetId="0" refreshError="1">
        <row r="9">
          <cell r="H9">
            <v>0</v>
          </cell>
        </row>
        <row r="10">
          <cell r="H10">
            <v>0</v>
          </cell>
        </row>
        <row r="11">
          <cell r="H11">
            <v>0</v>
          </cell>
        </row>
        <row r="12">
          <cell r="H12">
            <v>0</v>
          </cell>
        </row>
        <row r="13">
          <cell r="H13">
            <v>0</v>
          </cell>
        </row>
        <row r="14">
          <cell r="H14">
            <v>0</v>
          </cell>
        </row>
        <row r="19">
          <cell r="H19">
            <v>0</v>
          </cell>
        </row>
        <row r="22">
          <cell r="H22">
            <v>0</v>
          </cell>
        </row>
        <row r="23">
          <cell r="H23">
            <v>0</v>
          </cell>
        </row>
        <row r="24">
          <cell r="H24">
            <v>0</v>
          </cell>
        </row>
        <row r="25">
          <cell r="H25">
            <v>0</v>
          </cell>
        </row>
        <row r="26">
          <cell r="H26">
            <v>0</v>
          </cell>
        </row>
        <row r="27">
          <cell r="H27">
            <v>0</v>
          </cell>
        </row>
        <row r="28">
          <cell r="H28">
            <v>0</v>
          </cell>
        </row>
        <row r="29">
          <cell r="H29">
            <v>0</v>
          </cell>
        </row>
        <row r="30">
          <cell r="H30">
            <v>0</v>
          </cell>
        </row>
        <row r="31">
          <cell r="H31">
            <v>0</v>
          </cell>
        </row>
        <row r="32">
          <cell r="H32">
            <v>0</v>
          </cell>
        </row>
        <row r="33">
          <cell r="H33">
            <v>0</v>
          </cell>
        </row>
        <row r="34">
          <cell r="H34">
            <v>0</v>
          </cell>
        </row>
        <row r="35">
          <cell r="H35">
            <v>0</v>
          </cell>
        </row>
        <row r="36">
          <cell r="H36">
            <v>0</v>
          </cell>
        </row>
        <row r="37">
          <cell r="H37">
            <v>0</v>
          </cell>
        </row>
        <row r="38">
          <cell r="H38">
            <v>0</v>
          </cell>
        </row>
        <row r="39">
          <cell r="H39">
            <v>0</v>
          </cell>
        </row>
        <row r="40">
          <cell r="H40">
            <v>0</v>
          </cell>
        </row>
        <row r="42">
          <cell r="H42">
            <v>0</v>
          </cell>
        </row>
        <row r="43">
          <cell r="H43">
            <v>0</v>
          </cell>
        </row>
        <row r="44">
          <cell r="H44">
            <v>0</v>
          </cell>
        </row>
        <row r="45">
          <cell r="H45">
            <v>0</v>
          </cell>
        </row>
        <row r="46">
          <cell r="H46">
            <v>0</v>
          </cell>
        </row>
        <row r="47">
          <cell r="H47">
            <v>0</v>
          </cell>
        </row>
        <row r="48">
          <cell r="H48">
            <v>0</v>
          </cell>
        </row>
        <row r="49">
          <cell r="H49">
            <v>0</v>
          </cell>
        </row>
        <row r="50">
          <cell r="H50">
            <v>0</v>
          </cell>
        </row>
        <row r="52">
          <cell r="H52">
            <v>0</v>
          </cell>
        </row>
        <row r="53">
          <cell r="H53">
            <v>0</v>
          </cell>
        </row>
        <row r="54">
          <cell r="H54">
            <v>0</v>
          </cell>
        </row>
        <row r="55">
          <cell r="H55">
            <v>0</v>
          </cell>
        </row>
        <row r="56">
          <cell r="H56">
            <v>0</v>
          </cell>
        </row>
        <row r="57">
          <cell r="H57">
            <v>0</v>
          </cell>
        </row>
        <row r="58">
          <cell r="H58">
            <v>0</v>
          </cell>
        </row>
        <row r="59">
          <cell r="H59">
            <v>0</v>
          </cell>
        </row>
        <row r="60">
          <cell r="H60">
            <v>0</v>
          </cell>
        </row>
        <row r="61">
          <cell r="H61">
            <v>0</v>
          </cell>
        </row>
        <row r="62">
          <cell r="H62">
            <v>0</v>
          </cell>
        </row>
        <row r="63">
          <cell r="H63">
            <v>0</v>
          </cell>
        </row>
        <row r="64">
          <cell r="H64">
            <v>0</v>
          </cell>
        </row>
        <row r="65">
          <cell r="H65">
            <v>0</v>
          </cell>
        </row>
        <row r="66">
          <cell r="H66">
            <v>0</v>
          </cell>
        </row>
        <row r="67">
          <cell r="H67">
            <v>0</v>
          </cell>
        </row>
        <row r="68">
          <cell r="H68">
            <v>0</v>
          </cell>
        </row>
        <row r="69">
          <cell r="H69">
            <v>0</v>
          </cell>
        </row>
        <row r="70">
          <cell r="H70">
            <v>0</v>
          </cell>
        </row>
        <row r="71">
          <cell r="H71">
            <v>0</v>
          </cell>
        </row>
        <row r="72">
          <cell r="H72">
            <v>0</v>
          </cell>
        </row>
        <row r="73">
          <cell r="H73">
            <v>0</v>
          </cell>
        </row>
        <row r="74">
          <cell r="H74">
            <v>0</v>
          </cell>
        </row>
        <row r="75">
          <cell r="H75">
            <v>0</v>
          </cell>
        </row>
        <row r="76">
          <cell r="H76">
            <v>0</v>
          </cell>
        </row>
        <row r="77">
          <cell r="H77">
            <v>0</v>
          </cell>
        </row>
        <row r="78">
          <cell r="H78">
            <v>0</v>
          </cell>
        </row>
        <row r="79">
          <cell r="H79">
            <v>0</v>
          </cell>
        </row>
        <row r="80">
          <cell r="H80">
            <v>0</v>
          </cell>
        </row>
        <row r="81">
          <cell r="H81">
            <v>0</v>
          </cell>
        </row>
        <row r="82">
          <cell r="H82">
            <v>0</v>
          </cell>
        </row>
        <row r="83">
          <cell r="H83">
            <v>0</v>
          </cell>
        </row>
        <row r="84">
          <cell r="H84">
            <v>0</v>
          </cell>
        </row>
        <row r="85">
          <cell r="H85">
            <v>0</v>
          </cell>
        </row>
        <row r="86">
          <cell r="H86">
            <v>0</v>
          </cell>
        </row>
        <row r="87">
          <cell r="H87">
            <v>0</v>
          </cell>
        </row>
        <row r="88">
          <cell r="H88">
            <v>0</v>
          </cell>
        </row>
        <row r="89">
          <cell r="H89">
            <v>0</v>
          </cell>
        </row>
        <row r="90">
          <cell r="H90">
            <v>0</v>
          </cell>
        </row>
        <row r="91">
          <cell r="H91">
            <v>0</v>
          </cell>
        </row>
        <row r="92">
          <cell r="H92">
            <v>0</v>
          </cell>
        </row>
        <row r="93">
          <cell r="H93">
            <v>0</v>
          </cell>
        </row>
        <row r="94">
          <cell r="H94">
            <v>0</v>
          </cell>
        </row>
      </sheetData>
      <sheetData sheetId="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transitionEvaluation="1"/>
  <dimension ref="C1:G59"/>
  <sheetViews>
    <sheetView defaultGridColor="0" view="pageBreakPreview" topLeftCell="A16" colorId="22" zoomScaleNormal="100" zoomScaleSheetLayoutView="100" workbookViewId="0">
      <selection activeCell="E52" sqref="E52"/>
    </sheetView>
  </sheetViews>
  <sheetFormatPr defaultColWidth="9.453125" defaultRowHeight="12.5" x14ac:dyDescent="0.25"/>
  <cols>
    <col min="1" max="2" width="4.81640625" style="538" customWidth="1"/>
    <col min="3" max="3" width="45.1796875" style="538" customWidth="1"/>
    <col min="4" max="4" width="20.81640625" style="538" customWidth="1"/>
    <col min="5" max="5" width="18" style="538" customWidth="1"/>
    <col min="6" max="6" width="20.453125" style="538" customWidth="1"/>
    <col min="7" max="7" width="20.81640625" style="538" bestFit="1" customWidth="1"/>
    <col min="8" max="8" width="14" style="538" bestFit="1" customWidth="1"/>
    <col min="9" max="9" width="11" style="538" bestFit="1" customWidth="1"/>
    <col min="10" max="16384" width="9.453125" style="538"/>
  </cols>
  <sheetData>
    <row r="1" spans="3:7" s="590" customFormat="1" ht="13" x14ac:dyDescent="0.3">
      <c r="C1" s="590" t="s">
        <v>16</v>
      </c>
    </row>
    <row r="2" spans="3:7" s="590" customFormat="1" ht="13" x14ac:dyDescent="0.3"/>
    <row r="3" spans="3:7" s="590" customFormat="1" ht="13" x14ac:dyDescent="0.3">
      <c r="C3" s="590" t="s">
        <v>132</v>
      </c>
      <c r="E3" s="625">
        <f>D58</f>
        <v>790000000</v>
      </c>
    </row>
    <row r="4" spans="3:7" s="590" customFormat="1" ht="13" x14ac:dyDescent="0.3"/>
    <row r="5" spans="3:7" s="590" customFormat="1" ht="13" x14ac:dyDescent="0.3">
      <c r="C5" s="590" t="s">
        <v>106</v>
      </c>
    </row>
    <row r="6" spans="3:7" s="590" customFormat="1" ht="13" x14ac:dyDescent="0.3"/>
    <row r="7" spans="3:7" s="590" customFormat="1" ht="13" x14ac:dyDescent="0.3">
      <c r="C7" s="590" t="s">
        <v>107</v>
      </c>
    </row>
    <row r="8" spans="3:7" s="590" customFormat="1" ht="13" x14ac:dyDescent="0.3"/>
    <row r="9" spans="3:7" s="590" customFormat="1" ht="13" x14ac:dyDescent="0.3">
      <c r="C9" s="590" t="s">
        <v>108</v>
      </c>
      <c r="D9" s="590" t="s">
        <v>109</v>
      </c>
      <c r="E9" s="590" t="s">
        <v>110</v>
      </c>
      <c r="F9" s="590" t="s">
        <v>111</v>
      </c>
      <c r="G9" s="590" t="s">
        <v>120</v>
      </c>
    </row>
    <row r="11" spans="3:7" x14ac:dyDescent="0.25">
      <c r="C11" s="11" t="s">
        <v>243</v>
      </c>
      <c r="D11" s="586">
        <v>20000000</v>
      </c>
      <c r="E11" s="587">
        <v>44012</v>
      </c>
      <c r="F11" s="587">
        <v>45782</v>
      </c>
      <c r="G11" s="672" t="s">
        <v>250</v>
      </c>
    </row>
    <row r="12" spans="3:7" x14ac:dyDescent="0.25">
      <c r="C12" s="538" t="s">
        <v>243</v>
      </c>
      <c r="D12" s="586">
        <v>20000000</v>
      </c>
      <c r="E12" s="587">
        <v>44012</v>
      </c>
      <c r="F12" s="587">
        <v>45782</v>
      </c>
      <c r="G12" s="672" t="s">
        <v>253</v>
      </c>
    </row>
    <row r="13" spans="3:7" x14ac:dyDescent="0.25">
      <c r="C13" s="538" t="s">
        <v>243</v>
      </c>
      <c r="D13" s="586">
        <v>20000000</v>
      </c>
      <c r="E13" s="587">
        <v>44012</v>
      </c>
      <c r="F13" s="587">
        <v>45782</v>
      </c>
      <c r="G13" s="672" t="s">
        <v>254</v>
      </c>
    </row>
    <row r="14" spans="3:7" x14ac:dyDescent="0.25">
      <c r="C14" s="538" t="s">
        <v>112</v>
      </c>
      <c r="D14" s="586">
        <v>20000000</v>
      </c>
      <c r="E14" s="587">
        <v>40751</v>
      </c>
      <c r="F14" s="587">
        <v>45999</v>
      </c>
      <c r="G14" s="538" t="s">
        <v>163</v>
      </c>
    </row>
    <row r="15" spans="3:7" x14ac:dyDescent="0.25">
      <c r="C15" s="538" t="s">
        <v>112</v>
      </c>
      <c r="D15" s="586">
        <v>10000000</v>
      </c>
      <c r="E15" s="587">
        <v>40807</v>
      </c>
      <c r="F15" s="587">
        <v>45999</v>
      </c>
      <c r="G15" s="672" t="s">
        <v>292</v>
      </c>
    </row>
    <row r="16" spans="3:7" x14ac:dyDescent="0.25">
      <c r="C16" s="538" t="s">
        <v>112</v>
      </c>
      <c r="D16" s="586">
        <v>20000000</v>
      </c>
      <c r="E16" s="587">
        <v>41493</v>
      </c>
      <c r="F16" s="587">
        <v>45999</v>
      </c>
      <c r="G16" s="538" t="s">
        <v>131</v>
      </c>
    </row>
    <row r="17" spans="3:7" x14ac:dyDescent="0.25">
      <c r="C17" s="11" t="s">
        <v>112</v>
      </c>
      <c r="D17" s="586">
        <v>20000000</v>
      </c>
      <c r="E17" s="587">
        <v>42622</v>
      </c>
      <c r="F17" s="587">
        <v>45999</v>
      </c>
      <c r="G17" s="588" t="s">
        <v>200</v>
      </c>
    </row>
    <row r="18" spans="3:7" x14ac:dyDescent="0.25">
      <c r="C18" s="11" t="s">
        <v>197</v>
      </c>
      <c r="D18" s="586">
        <v>20000000</v>
      </c>
      <c r="E18" s="587">
        <v>43039</v>
      </c>
      <c r="F18" s="587">
        <v>46251</v>
      </c>
      <c r="G18" s="588" t="s">
        <v>207</v>
      </c>
    </row>
    <row r="19" spans="3:7" x14ac:dyDescent="0.25">
      <c r="C19" s="538" t="s">
        <v>152</v>
      </c>
      <c r="D19" s="586">
        <v>10000000</v>
      </c>
      <c r="E19" s="587">
        <v>42233</v>
      </c>
      <c r="F19" s="587">
        <v>46307</v>
      </c>
      <c r="G19" s="538" t="s">
        <v>160</v>
      </c>
    </row>
    <row r="20" spans="3:7" x14ac:dyDescent="0.25">
      <c r="C20" s="538" t="s">
        <v>262</v>
      </c>
      <c r="D20" s="586">
        <v>40000000</v>
      </c>
      <c r="E20" s="587">
        <v>44435</v>
      </c>
      <c r="F20" s="587">
        <v>46636</v>
      </c>
      <c r="G20" s="672" t="s">
        <v>291</v>
      </c>
    </row>
    <row r="21" spans="3:7" x14ac:dyDescent="0.25">
      <c r="C21" s="538" t="s">
        <v>256</v>
      </c>
      <c r="D21" s="586">
        <v>20000000</v>
      </c>
      <c r="E21" s="587">
        <v>44400</v>
      </c>
      <c r="F21" s="587">
        <v>47973</v>
      </c>
      <c r="G21" s="672" t="s">
        <v>293</v>
      </c>
    </row>
    <row r="22" spans="3:7" x14ac:dyDescent="0.25">
      <c r="D22" s="586"/>
      <c r="E22" s="587"/>
      <c r="F22" s="587"/>
      <c r="G22" s="672"/>
    </row>
    <row r="23" spans="3:7" ht="13.5" thickBot="1" x14ac:dyDescent="0.35">
      <c r="D23" s="589">
        <f>SUM(D11:D22)</f>
        <v>220000000</v>
      </c>
    </row>
    <row r="24" spans="3:7" ht="13" thickTop="1" x14ac:dyDescent="0.25"/>
    <row r="25" spans="3:7" s="590" customFormat="1" ht="13" x14ac:dyDescent="0.3">
      <c r="F25" s="625"/>
    </row>
    <row r="26" spans="3:7" s="590" customFormat="1" ht="13" x14ac:dyDescent="0.3">
      <c r="F26" s="625"/>
      <c r="G26" s="787"/>
    </row>
    <row r="27" spans="3:7" s="590" customFormat="1" ht="13" x14ac:dyDescent="0.3">
      <c r="C27" s="590" t="s">
        <v>113</v>
      </c>
    </row>
    <row r="28" spans="3:7" s="590" customFormat="1" ht="13" x14ac:dyDescent="0.3"/>
    <row r="29" spans="3:7" s="590" customFormat="1" ht="13" x14ac:dyDescent="0.3">
      <c r="C29" s="590" t="s">
        <v>108</v>
      </c>
      <c r="D29" s="590" t="s">
        <v>109</v>
      </c>
      <c r="E29" s="590" t="s">
        <v>110</v>
      </c>
      <c r="F29" s="590" t="s">
        <v>111</v>
      </c>
      <c r="G29" s="590" t="s">
        <v>120</v>
      </c>
    </row>
    <row r="30" spans="3:7" x14ac:dyDescent="0.25">
      <c r="D30" s="586"/>
      <c r="E30" s="587"/>
      <c r="F30" s="587"/>
    </row>
    <row r="31" spans="3:7" x14ac:dyDescent="0.25">
      <c r="C31" s="538" t="s">
        <v>243</v>
      </c>
      <c r="D31" s="586">
        <v>20000000</v>
      </c>
      <c r="E31" s="587">
        <v>44012</v>
      </c>
      <c r="F31" s="587">
        <v>45782</v>
      </c>
      <c r="G31" s="672" t="s">
        <v>248</v>
      </c>
    </row>
    <row r="32" spans="3:7" x14ac:dyDescent="0.25">
      <c r="C32" s="538" t="s">
        <v>243</v>
      </c>
      <c r="D32" s="586">
        <v>20000000</v>
      </c>
      <c r="E32" s="587">
        <v>44012</v>
      </c>
      <c r="F32" s="587">
        <v>45782</v>
      </c>
      <c r="G32" s="672" t="s">
        <v>249</v>
      </c>
    </row>
    <row r="33" spans="3:7" x14ac:dyDescent="0.25">
      <c r="C33" s="538" t="s">
        <v>243</v>
      </c>
      <c r="D33" s="586">
        <v>20000000</v>
      </c>
      <c r="E33" s="587">
        <v>44012</v>
      </c>
      <c r="F33" s="587">
        <v>45782</v>
      </c>
      <c r="G33" s="672" t="s">
        <v>251</v>
      </c>
    </row>
    <row r="34" spans="3:7" x14ac:dyDescent="0.25">
      <c r="C34" s="538" t="s">
        <v>243</v>
      </c>
      <c r="D34" s="586">
        <v>20000000</v>
      </c>
      <c r="E34" s="587">
        <v>44012</v>
      </c>
      <c r="F34" s="587">
        <v>45782</v>
      </c>
      <c r="G34" s="672" t="s">
        <v>252</v>
      </c>
    </row>
    <row r="35" spans="3:7" x14ac:dyDescent="0.25">
      <c r="C35" s="538" t="s">
        <v>112</v>
      </c>
      <c r="D35" s="586">
        <v>10000000</v>
      </c>
      <c r="E35" s="587">
        <v>41109</v>
      </c>
      <c r="F35" s="587">
        <v>45999</v>
      </c>
      <c r="G35" s="538" t="s">
        <v>122</v>
      </c>
    </row>
    <row r="36" spans="3:7" x14ac:dyDescent="0.25">
      <c r="C36" s="538" t="s">
        <v>112</v>
      </c>
      <c r="D36" s="586">
        <v>10000000</v>
      </c>
      <c r="E36" s="587">
        <v>41109</v>
      </c>
      <c r="F36" s="587">
        <v>45999</v>
      </c>
      <c r="G36" s="538" t="s">
        <v>121</v>
      </c>
    </row>
    <row r="37" spans="3:7" x14ac:dyDescent="0.25">
      <c r="C37" s="538" t="s">
        <v>112</v>
      </c>
      <c r="D37" s="586">
        <v>25000000</v>
      </c>
      <c r="E37" s="587">
        <v>41383</v>
      </c>
      <c r="F37" s="587">
        <v>45999</v>
      </c>
      <c r="G37" s="538" t="s">
        <v>127</v>
      </c>
    </row>
    <row r="38" spans="3:7" x14ac:dyDescent="0.25">
      <c r="C38" s="538" t="s">
        <v>197</v>
      </c>
      <c r="D38" s="586">
        <v>20000000</v>
      </c>
      <c r="E38" s="587">
        <v>42712</v>
      </c>
      <c r="F38" s="587">
        <v>46251</v>
      </c>
      <c r="G38" s="538" t="s">
        <v>203</v>
      </c>
    </row>
    <row r="39" spans="3:7" x14ac:dyDescent="0.25">
      <c r="C39" s="538" t="s">
        <v>152</v>
      </c>
      <c r="D39" s="586">
        <v>10000000</v>
      </c>
      <c r="E39" s="587">
        <v>42233</v>
      </c>
      <c r="F39" s="587">
        <v>46307</v>
      </c>
      <c r="G39" s="538" t="s">
        <v>159</v>
      </c>
    </row>
    <row r="40" spans="3:7" x14ac:dyDescent="0.25">
      <c r="C40" s="538" t="s">
        <v>155</v>
      </c>
      <c r="D40" s="586">
        <v>10000000</v>
      </c>
      <c r="E40" s="587">
        <v>42233</v>
      </c>
      <c r="F40" s="587">
        <v>46461</v>
      </c>
      <c r="G40" s="538" t="s">
        <v>156</v>
      </c>
    </row>
    <row r="41" spans="3:7" x14ac:dyDescent="0.25">
      <c r="C41" s="538" t="s">
        <v>155</v>
      </c>
      <c r="D41" s="586">
        <v>10000000</v>
      </c>
      <c r="E41" s="587">
        <v>42233</v>
      </c>
      <c r="F41" s="587">
        <v>46461</v>
      </c>
      <c r="G41" s="538" t="s">
        <v>157</v>
      </c>
    </row>
    <row r="42" spans="3:7" x14ac:dyDescent="0.25">
      <c r="C42" s="538" t="s">
        <v>155</v>
      </c>
      <c r="D42" s="586">
        <v>15000000</v>
      </c>
      <c r="E42" s="587">
        <v>42233</v>
      </c>
      <c r="F42" s="587">
        <v>46461</v>
      </c>
      <c r="G42" s="538" t="s">
        <v>158</v>
      </c>
    </row>
    <row r="43" spans="3:7" x14ac:dyDescent="0.25">
      <c r="C43" s="538" t="s">
        <v>256</v>
      </c>
      <c r="D43" s="586">
        <v>40000000</v>
      </c>
      <c r="E43" s="587">
        <v>44435</v>
      </c>
      <c r="F43" s="587">
        <v>47973</v>
      </c>
      <c r="G43" s="672" t="s">
        <v>285</v>
      </c>
    </row>
    <row r="44" spans="3:7" x14ac:dyDescent="0.25">
      <c r="C44" s="538" t="s">
        <v>256</v>
      </c>
      <c r="D44" s="586">
        <v>40000000</v>
      </c>
      <c r="E44" s="587">
        <v>44435</v>
      </c>
      <c r="F44" s="587">
        <v>47973</v>
      </c>
      <c r="G44" s="672" t="s">
        <v>286</v>
      </c>
    </row>
    <row r="45" spans="3:7" x14ac:dyDescent="0.25">
      <c r="C45" s="538" t="s">
        <v>256</v>
      </c>
      <c r="D45" s="586">
        <v>40000000</v>
      </c>
      <c r="E45" s="587">
        <v>44435</v>
      </c>
      <c r="F45" s="587">
        <v>47973</v>
      </c>
      <c r="G45" s="672" t="s">
        <v>287</v>
      </c>
    </row>
    <row r="46" spans="3:7" x14ac:dyDescent="0.25">
      <c r="C46" s="538" t="s">
        <v>256</v>
      </c>
      <c r="D46" s="586">
        <v>40000000</v>
      </c>
      <c r="E46" s="587">
        <v>44435</v>
      </c>
      <c r="F46" s="587">
        <v>47973</v>
      </c>
      <c r="G46" s="672" t="s">
        <v>288</v>
      </c>
    </row>
    <row r="47" spans="3:7" x14ac:dyDescent="0.25">
      <c r="C47" s="538" t="s">
        <v>256</v>
      </c>
      <c r="D47" s="586">
        <v>40000000</v>
      </c>
      <c r="E47" s="587">
        <v>44435</v>
      </c>
      <c r="F47" s="587">
        <v>47973</v>
      </c>
      <c r="G47" s="672" t="s">
        <v>289</v>
      </c>
    </row>
    <row r="48" spans="3:7" x14ac:dyDescent="0.25">
      <c r="C48" s="538" t="s">
        <v>256</v>
      </c>
      <c r="D48" s="586">
        <v>20000000</v>
      </c>
      <c r="E48" s="587">
        <v>44435</v>
      </c>
      <c r="F48" s="587">
        <v>47973</v>
      </c>
      <c r="G48" s="672" t="s">
        <v>290</v>
      </c>
    </row>
    <row r="49" spans="3:7" x14ac:dyDescent="0.25">
      <c r="C49" s="538" t="s">
        <v>256</v>
      </c>
      <c r="D49" s="586">
        <v>40000000</v>
      </c>
      <c r="E49" s="587">
        <v>44400</v>
      </c>
      <c r="F49" s="587">
        <v>47973</v>
      </c>
      <c r="G49" s="672" t="s">
        <v>294</v>
      </c>
    </row>
    <row r="50" spans="3:7" x14ac:dyDescent="0.25">
      <c r="C50" s="815" t="s">
        <v>309</v>
      </c>
      <c r="D50" s="816">
        <v>40000000</v>
      </c>
      <c r="E50" s="811">
        <v>44985</v>
      </c>
      <c r="F50" s="811">
        <v>49345</v>
      </c>
      <c r="G50" s="817" t="s">
        <v>333</v>
      </c>
    </row>
    <row r="51" spans="3:7" x14ac:dyDescent="0.25">
      <c r="C51" s="815" t="s">
        <v>309</v>
      </c>
      <c r="D51" s="816">
        <v>40000000</v>
      </c>
      <c r="E51" s="811">
        <v>44985</v>
      </c>
      <c r="F51" s="811">
        <v>49345</v>
      </c>
      <c r="G51" s="817" t="s">
        <v>334</v>
      </c>
    </row>
    <row r="52" spans="3:7" x14ac:dyDescent="0.25">
      <c r="C52" s="815" t="s">
        <v>309</v>
      </c>
      <c r="D52" s="816">
        <v>40000000</v>
      </c>
      <c r="E52" s="811">
        <v>44985</v>
      </c>
      <c r="F52" s="811">
        <v>49345</v>
      </c>
      <c r="G52" s="817" t="s">
        <v>335</v>
      </c>
    </row>
    <row r="53" spans="3:7" x14ac:dyDescent="0.25">
      <c r="D53" s="586"/>
      <c r="E53" s="587"/>
      <c r="F53" s="587"/>
    </row>
    <row r="54" spans="3:7" x14ac:dyDescent="0.25">
      <c r="D54" s="586"/>
      <c r="E54" s="587"/>
      <c r="F54" s="587"/>
    </row>
    <row r="55" spans="3:7" ht="13.5" thickBot="1" x14ac:dyDescent="0.35">
      <c r="C55" s="590" t="s">
        <v>55</v>
      </c>
      <c r="D55" s="589">
        <f>SUM(D31:D54)</f>
        <v>570000000</v>
      </c>
      <c r="E55" s="788"/>
      <c r="F55" s="586"/>
    </row>
    <row r="56" spans="3:7" ht="13" thickTop="1" x14ac:dyDescent="0.25">
      <c r="F56" s="586"/>
    </row>
    <row r="57" spans="3:7" x14ac:dyDescent="0.25">
      <c r="F57" s="788"/>
    </row>
    <row r="58" spans="3:7" ht="13.5" thickBot="1" x14ac:dyDescent="0.35">
      <c r="C58" s="590" t="s">
        <v>77</v>
      </c>
      <c r="D58" s="589">
        <f>D23+D55</f>
        <v>790000000</v>
      </c>
    </row>
    <row r="59" spans="3:7" ht="13" thickTop="1" x14ac:dyDescent="0.25"/>
  </sheetData>
  <sortState ref="C33:G60">
    <sortCondition ref="F33:F60"/>
  </sortState>
  <printOptions horizontalCentered="1"/>
  <pageMargins left="0.51181102362204722" right="0.62" top="0.75" bottom="0.51181102362204722" header="0.51181102362204722" footer="0.51181102362204722"/>
  <pageSetup paperSize="9" scale="56"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9"/>
  <sheetViews>
    <sheetView topLeftCell="A19" workbookViewId="0">
      <selection activeCell="H37" sqref="H37"/>
    </sheetView>
  </sheetViews>
  <sheetFormatPr defaultColWidth="9.1796875" defaultRowHeight="12.5" x14ac:dyDescent="0.25"/>
  <cols>
    <col min="1" max="1" width="27.453125" style="654" customWidth="1"/>
    <col min="2" max="2" width="1.26953125" style="654" customWidth="1"/>
    <col min="3" max="3" width="26.1796875" style="654" customWidth="1"/>
    <col min="4" max="4" width="22.453125" style="780" customWidth="1"/>
    <col min="5" max="5" width="29.453125" style="654" customWidth="1"/>
    <col min="6" max="6" width="0.81640625" style="654" customWidth="1"/>
    <col min="7" max="7" width="19.453125" style="654" customWidth="1"/>
    <col min="8" max="8" width="17.453125" style="654" bestFit="1" customWidth="1"/>
    <col min="9" max="9" width="18.81640625" style="654" bestFit="1" customWidth="1"/>
    <col min="10" max="10" width="20.54296875" style="654" bestFit="1" customWidth="1"/>
    <col min="11" max="11" width="4.81640625" style="655" customWidth="1"/>
    <col min="12" max="16384" width="9.1796875" style="654"/>
  </cols>
  <sheetData>
    <row r="1" spans="1:11" s="650" customFormat="1" ht="13" x14ac:dyDescent="0.3">
      <c r="A1" s="650" t="s">
        <v>257</v>
      </c>
      <c r="D1" s="778"/>
      <c r="E1" s="667">
        <f>(D15-C14)/C14*100</f>
        <v>-99.999999948521989</v>
      </c>
      <c r="K1" s="651"/>
    </row>
    <row r="2" spans="1:11" s="650" customFormat="1" ht="13" x14ac:dyDescent="0.3">
      <c r="D2" s="778"/>
      <c r="G2" s="652"/>
      <c r="J2" s="759">
        <v>3544357778.1799998</v>
      </c>
      <c r="K2" s="651"/>
    </row>
    <row r="3" spans="1:11" s="650" customFormat="1" ht="13" x14ac:dyDescent="0.3">
      <c r="A3" s="650" t="s">
        <v>218</v>
      </c>
      <c r="C3" s="650" t="s">
        <v>324</v>
      </c>
      <c r="D3" s="778" t="s">
        <v>342</v>
      </c>
      <c r="E3" s="650" t="s">
        <v>219</v>
      </c>
      <c r="G3" s="650" t="s">
        <v>220</v>
      </c>
      <c r="H3" s="650" t="s">
        <v>221</v>
      </c>
      <c r="I3" s="650" t="s">
        <v>222</v>
      </c>
      <c r="K3" s="651"/>
    </row>
    <row r="4" spans="1:11" s="650" customFormat="1" ht="13" x14ac:dyDescent="0.3">
      <c r="C4" s="650" t="s">
        <v>223</v>
      </c>
      <c r="D4" s="778" t="s">
        <v>224</v>
      </c>
      <c r="E4" s="650" t="s">
        <v>224</v>
      </c>
      <c r="G4" s="650" t="s">
        <v>224</v>
      </c>
      <c r="H4" s="653" t="s">
        <v>225</v>
      </c>
      <c r="K4" s="651"/>
    </row>
    <row r="5" spans="1:11" x14ac:dyDescent="0.25">
      <c r="A5" s="654" t="s">
        <v>226</v>
      </c>
      <c r="C5" s="755">
        <v>5265937994.8199997</v>
      </c>
      <c r="D5" s="757">
        <v>4992766081.6199999</v>
      </c>
      <c r="E5" s="755">
        <f t="shared" ref="E5:E13" si="0">(C5+D5)/2</f>
        <v>5129352038.2199993</v>
      </c>
      <c r="F5" s="756"/>
      <c r="G5" s="755">
        <f>'INVESTMENT INCOME REPORT'!L8</f>
        <v>295888447.99046719</v>
      </c>
      <c r="H5" s="656">
        <v>4.1101894843864673E-2</v>
      </c>
      <c r="I5" s="657">
        <f>65000000-850000</f>
        <v>64150000</v>
      </c>
      <c r="J5" s="657"/>
    </row>
    <row r="6" spans="1:11" x14ac:dyDescent="0.25">
      <c r="A6" s="654" t="s">
        <v>227</v>
      </c>
      <c r="C6" s="755"/>
      <c r="D6" s="758"/>
      <c r="E6" s="755">
        <f t="shared" si="0"/>
        <v>0</v>
      </c>
      <c r="F6" s="756"/>
      <c r="G6" s="755">
        <f>'INVESTMENT INCOME REPORT'!L7</f>
        <v>782744.5054945047</v>
      </c>
      <c r="H6" s="656">
        <v>3.3253811259511747E-2</v>
      </c>
      <c r="I6" s="657">
        <v>15750000</v>
      </c>
      <c r="J6" s="657"/>
    </row>
    <row r="7" spans="1:11" x14ac:dyDescent="0.25">
      <c r="A7" s="654" t="s">
        <v>228</v>
      </c>
      <c r="C7" s="755">
        <v>75774231.669999987</v>
      </c>
      <c r="D7" s="757">
        <v>76016594.599999994</v>
      </c>
      <c r="E7" s="755">
        <f t="shared" si="0"/>
        <v>75895413.13499999</v>
      </c>
      <c r="F7" s="756"/>
      <c r="G7" s="755">
        <f>'INVESTMENT INCOME REPORT'!L9</f>
        <v>4592909.8430136992</v>
      </c>
      <c r="H7" s="656">
        <v>4.1811346750119265E-2</v>
      </c>
      <c r="I7" s="657">
        <f>16000000</f>
        <v>16000000</v>
      </c>
      <c r="J7" s="657"/>
    </row>
    <row r="8" spans="1:11" x14ac:dyDescent="0.25">
      <c r="A8" s="654" t="s">
        <v>229</v>
      </c>
      <c r="C8" s="755">
        <v>1899009103.0599999</v>
      </c>
      <c r="D8" s="757">
        <v>2434743584.7399998</v>
      </c>
      <c r="E8" s="755">
        <f t="shared" si="0"/>
        <v>2166876343.8999996</v>
      </c>
      <c r="F8" s="756"/>
      <c r="G8" s="755">
        <f>'INVESTMENT INCOME REPORT'!L10</f>
        <v>102746166.92327474</v>
      </c>
      <c r="H8" s="656">
        <v>3.1303910510685963E-2</v>
      </c>
      <c r="I8" s="657">
        <f>60000000</f>
        <v>60000000</v>
      </c>
      <c r="J8" s="657"/>
    </row>
    <row r="9" spans="1:11" x14ac:dyDescent="0.25">
      <c r="A9" s="654" t="s">
        <v>230</v>
      </c>
      <c r="C9" s="755">
        <v>272878621.89999998</v>
      </c>
      <c r="D9" s="757">
        <v>397990368.57999998</v>
      </c>
      <c r="E9" s="755">
        <f t="shared" si="0"/>
        <v>335434495.24000001</v>
      </c>
      <c r="F9" s="756"/>
      <c r="G9" s="755"/>
      <c r="H9" s="656">
        <v>1.86156253067053E-2</v>
      </c>
      <c r="I9" s="657">
        <f>5000000</f>
        <v>5000000</v>
      </c>
      <c r="J9" s="657"/>
    </row>
    <row r="10" spans="1:11" x14ac:dyDescent="0.25">
      <c r="A10" s="654" t="s">
        <v>231</v>
      </c>
      <c r="C10" s="755">
        <v>33957066.530000001</v>
      </c>
      <c r="D10" s="757">
        <v>21583015.530000001</v>
      </c>
      <c r="E10" s="755">
        <f t="shared" si="0"/>
        <v>27770041.030000001</v>
      </c>
      <c r="F10" s="756"/>
      <c r="G10" s="755">
        <f>'INVESTMENT INCOME REPORT'!L26</f>
        <v>-4501307.4999999972</v>
      </c>
      <c r="H10" s="656">
        <v>0.25431436671275826</v>
      </c>
      <c r="I10" s="658">
        <v>3375000</v>
      </c>
      <c r="J10" s="657"/>
    </row>
    <row r="11" spans="1:11" ht="12" customHeight="1" x14ac:dyDescent="0.25">
      <c r="A11" s="654" t="s">
        <v>232</v>
      </c>
      <c r="C11" s="755">
        <v>735000000</v>
      </c>
      <c r="D11" s="757">
        <v>730000000</v>
      </c>
      <c r="E11" s="755">
        <f t="shared" si="0"/>
        <v>732500000</v>
      </c>
      <c r="F11" s="756"/>
      <c r="G11" s="755">
        <f>'INVESTMENT INCOME REPORT'!L20</f>
        <v>33037629.009999998</v>
      </c>
      <c r="H11" s="656">
        <v>2.7676522079813994E-2</v>
      </c>
      <c r="I11" s="658">
        <v>16750000</v>
      </c>
      <c r="J11" s="657"/>
    </row>
    <row r="12" spans="1:11" s="780" customFormat="1" ht="11.5" customHeight="1" x14ac:dyDescent="0.25">
      <c r="A12" s="780" t="s">
        <v>279</v>
      </c>
      <c r="C12" s="758">
        <v>170606927.68000001</v>
      </c>
      <c r="D12" s="757">
        <v>177245263.68000001</v>
      </c>
      <c r="E12" s="758">
        <f t="shared" si="0"/>
        <v>173926095.68000001</v>
      </c>
      <c r="F12" s="781"/>
      <c r="G12" s="758">
        <f>'INVESTMENT INCOME REPORT'!L31</f>
        <v>9642559.8499999903</v>
      </c>
      <c r="H12" s="789"/>
      <c r="I12" s="790"/>
      <c r="J12" s="791"/>
      <c r="K12" s="586"/>
    </row>
    <row r="13" spans="1:11" x14ac:dyDescent="0.25">
      <c r="A13" s="654" t="s">
        <v>233</v>
      </c>
      <c r="C13" s="755">
        <v>35599151.659999996</v>
      </c>
      <c r="D13" s="757">
        <v>29364074.539999999</v>
      </c>
      <c r="E13" s="755">
        <f t="shared" si="0"/>
        <v>32481613.099999998</v>
      </c>
      <c r="F13" s="756"/>
      <c r="G13" s="755">
        <f>'INVESTMENT INCOME REPORT'!F12+'INVESTMENT INCOME REPORT'!F13+'INVESTMENT INCOME REPORT'!F14</f>
        <v>1260856.78</v>
      </c>
      <c r="H13" s="656">
        <v>1.5895196956636822E-2</v>
      </c>
      <c r="I13" s="658">
        <v>2100000</v>
      </c>
      <c r="J13" s="657"/>
    </row>
    <row r="14" spans="1:11" ht="13.5" thickBot="1" x14ac:dyDescent="0.35">
      <c r="A14" s="654" t="s">
        <v>55</v>
      </c>
      <c r="C14" s="754">
        <f>SUM(C5:C13)</f>
        <v>8488763097.3199987</v>
      </c>
      <c r="D14" s="779">
        <f>SUM(D5:D13)</f>
        <v>8859708983.2900009</v>
      </c>
      <c r="E14" s="754">
        <f>(C14+D14)/2</f>
        <v>8674236040.3050003</v>
      </c>
      <c r="F14" s="756"/>
      <c r="G14" s="754">
        <f>SUM(G5:G13)</f>
        <v>443450007.40225005</v>
      </c>
      <c r="H14" s="660">
        <f>G14/E14*4/3</f>
        <v>6.8163544753566965E-2</v>
      </c>
      <c r="I14" s="659">
        <f>SUM(I5:I13)</f>
        <v>183125000</v>
      </c>
      <c r="J14" s="659"/>
    </row>
    <row r="15" spans="1:11" ht="13" thickTop="1" x14ac:dyDescent="0.25">
      <c r="C15" s="658">
        <v>8488763097.3199987</v>
      </c>
      <c r="D15" s="865">
        <f>((D14-C14)/C15)*100</f>
        <v>4.3698461332619125</v>
      </c>
      <c r="G15" s="755">
        <f>'INVESTMENT INCOME REPORT'!L33</f>
        <v>443450007.40225011</v>
      </c>
      <c r="H15" s="658"/>
      <c r="I15" s="658">
        <f>'[25]INVESTMENT INCOME REPORT'!M32</f>
        <v>183125000</v>
      </c>
      <c r="J15" s="657"/>
    </row>
    <row r="16" spans="1:11" x14ac:dyDescent="0.25">
      <c r="C16" s="663">
        <f>C14-C15</f>
        <v>0</v>
      </c>
      <c r="D16" s="823">
        <f>[26]Sheet1!$G$14</f>
        <v>0</v>
      </c>
      <c r="E16" s="808">
        <f>(D15-C15)/C15*100</f>
        <v>-99.999999948521989</v>
      </c>
      <c r="G16" s="661">
        <f>G15-G14</f>
        <v>0</v>
      </c>
      <c r="I16" s="661">
        <f>I15-I14</f>
        <v>0</v>
      </c>
      <c r="J16" s="662"/>
    </row>
    <row r="17" spans="1:11" x14ac:dyDescent="0.25">
      <c r="A17" s="654" t="s">
        <v>234</v>
      </c>
      <c r="D17" s="782">
        <f>D16-D14</f>
        <v>-8859708983.2900009</v>
      </c>
    </row>
    <row r="19" spans="1:11" s="650" customFormat="1" ht="13" x14ac:dyDescent="0.3">
      <c r="A19" s="650" t="s">
        <v>218</v>
      </c>
      <c r="C19" s="650" t="str">
        <f>C3</f>
        <v>Funds as at 31.12.2022</v>
      </c>
      <c r="D19" s="778" t="str">
        <f>D3</f>
        <v>Funds as at 30.06.2023</v>
      </c>
      <c r="E19" s="650" t="s">
        <v>219</v>
      </c>
      <c r="G19" s="650" t="s">
        <v>220</v>
      </c>
      <c r="H19" s="650" t="s">
        <v>221</v>
      </c>
      <c r="I19" s="650" t="s">
        <v>235</v>
      </c>
      <c r="J19" s="650" t="s">
        <v>236</v>
      </c>
      <c r="K19" s="651"/>
    </row>
    <row r="20" spans="1:11" s="650" customFormat="1" ht="13" x14ac:dyDescent="0.3">
      <c r="C20" s="650" t="s">
        <v>223</v>
      </c>
      <c r="D20" s="778" t="s">
        <v>224</v>
      </c>
      <c r="E20" s="650" t="s">
        <v>224</v>
      </c>
      <c r="G20" s="650" t="s">
        <v>224</v>
      </c>
      <c r="H20" s="656" t="s">
        <v>225</v>
      </c>
      <c r="K20" s="651"/>
    </row>
    <row r="21" spans="1:11" x14ac:dyDescent="0.25">
      <c r="A21" s="654" t="s">
        <v>237</v>
      </c>
      <c r="C21" s="755">
        <f>C5+C6</f>
        <v>5265937994.8199997</v>
      </c>
      <c r="D21" s="758">
        <f>D5+D6</f>
        <v>4992766081.6199999</v>
      </c>
      <c r="E21" s="755">
        <f t="shared" ref="E21:E29" si="1">(C21+D21)/2</f>
        <v>5129352038.2199993</v>
      </c>
      <c r="G21" s="755">
        <f>G5+G6</f>
        <v>296671192.49596167</v>
      </c>
      <c r="H21" s="633">
        <f t="shared" ref="H21:H28" si="2">(G21/E21)*12/6</f>
        <v>0.11567589445426844</v>
      </c>
      <c r="I21" s="656">
        <f t="shared" ref="I21:I28" si="3">E21/$E$31</f>
        <v>0.59133184921258408</v>
      </c>
      <c r="J21" s="656">
        <f t="shared" ref="J21:J26" si="4">H21*I21</f>
        <v>6.8402840576962262E-2</v>
      </c>
    </row>
    <row r="22" spans="1:11" x14ac:dyDescent="0.25">
      <c r="A22" s="654" t="s">
        <v>228</v>
      </c>
      <c r="C22" s="755">
        <f t="shared" ref="C22:D27" si="5">C7</f>
        <v>75774231.669999987</v>
      </c>
      <c r="D22" s="758">
        <f t="shared" si="5"/>
        <v>76016594.599999994</v>
      </c>
      <c r="E22" s="755">
        <f t="shared" si="1"/>
        <v>75895413.13499999</v>
      </c>
      <c r="G22" s="755">
        <f t="shared" ref="G22:G28" si="6">G7</f>
        <v>4592909.8430136992</v>
      </c>
      <c r="H22" s="633">
        <f t="shared" si="2"/>
        <v>0.12103260667002362</v>
      </c>
      <c r="I22" s="656">
        <f t="shared" si="3"/>
        <v>8.7495213160387296E-3</v>
      </c>
      <c r="J22" s="656">
        <f t="shared" si="4"/>
        <v>1.0589773719951029E-3</v>
      </c>
    </row>
    <row r="23" spans="1:11" x14ac:dyDescent="0.25">
      <c r="A23" s="654" t="s">
        <v>229</v>
      </c>
      <c r="C23" s="755">
        <f>C8</f>
        <v>1899009103.0599999</v>
      </c>
      <c r="D23" s="758">
        <f>D8</f>
        <v>2434743584.7399998</v>
      </c>
      <c r="E23" s="755">
        <f t="shared" si="1"/>
        <v>2166876343.8999996</v>
      </c>
      <c r="G23" s="755">
        <f t="shared" si="6"/>
        <v>102746166.92327474</v>
      </c>
      <c r="H23" s="633">
        <f t="shared" si="2"/>
        <v>9.4833438200123188E-2</v>
      </c>
      <c r="I23" s="656">
        <f t="shared" si="3"/>
        <v>0.24980601563429541</v>
      </c>
      <c r="J23" s="656">
        <f t="shared" si="4"/>
        <v>2.368996334567396E-2</v>
      </c>
    </row>
    <row r="24" spans="1:11" x14ac:dyDescent="0.25">
      <c r="A24" s="654" t="s">
        <v>230</v>
      </c>
      <c r="C24" s="755">
        <f t="shared" si="5"/>
        <v>272878621.89999998</v>
      </c>
      <c r="D24" s="758">
        <f t="shared" si="5"/>
        <v>397990368.57999998</v>
      </c>
      <c r="E24" s="755">
        <f t="shared" si="1"/>
        <v>335434495.24000001</v>
      </c>
      <c r="G24" s="755">
        <f t="shared" si="6"/>
        <v>0</v>
      </c>
      <c r="H24" s="633">
        <f t="shared" si="2"/>
        <v>0</v>
      </c>
      <c r="I24" s="656">
        <f t="shared" si="3"/>
        <v>3.8670206077099742E-2</v>
      </c>
      <c r="J24" s="656">
        <f t="shared" si="4"/>
        <v>0</v>
      </c>
    </row>
    <row r="25" spans="1:11" x14ac:dyDescent="0.25">
      <c r="A25" s="654" t="s">
        <v>231</v>
      </c>
      <c r="C25" s="755">
        <f t="shared" si="5"/>
        <v>33957066.530000001</v>
      </c>
      <c r="D25" s="758">
        <f t="shared" si="5"/>
        <v>21583015.530000001</v>
      </c>
      <c r="E25" s="755">
        <f t="shared" si="1"/>
        <v>27770041.030000001</v>
      </c>
      <c r="G25" s="755">
        <f t="shared" si="6"/>
        <v>-4501307.4999999972</v>
      </c>
      <c r="H25" s="633">
        <f t="shared" si="2"/>
        <v>-0.32418443279484033</v>
      </c>
      <c r="I25" s="656">
        <f t="shared" si="3"/>
        <v>3.2014394006533815E-3</v>
      </c>
      <c r="J25" s="656">
        <f t="shared" si="4"/>
        <v>-1.03785681622787E-3</v>
      </c>
    </row>
    <row r="26" spans="1:11" x14ac:dyDescent="0.25">
      <c r="A26" s="654" t="s">
        <v>232</v>
      </c>
      <c r="C26" s="755">
        <f t="shared" si="5"/>
        <v>735000000</v>
      </c>
      <c r="D26" s="758">
        <f t="shared" si="5"/>
        <v>730000000</v>
      </c>
      <c r="E26" s="755">
        <f t="shared" si="1"/>
        <v>732500000</v>
      </c>
      <c r="G26" s="755">
        <f t="shared" si="6"/>
        <v>33037629.009999998</v>
      </c>
      <c r="H26" s="633">
        <f t="shared" si="2"/>
        <v>9.0205130402730371E-2</v>
      </c>
      <c r="I26" s="656">
        <f t="shared" si="3"/>
        <v>8.4445476996063404E-2</v>
      </c>
      <c r="J26" s="656">
        <f t="shared" si="4"/>
        <v>7.617415264350667E-3</v>
      </c>
    </row>
    <row r="27" spans="1:11" s="780" customFormat="1" x14ac:dyDescent="0.25">
      <c r="A27" s="780" t="s">
        <v>279</v>
      </c>
      <c r="C27" s="758">
        <f t="shared" si="5"/>
        <v>170606927.68000001</v>
      </c>
      <c r="D27" s="758">
        <f t="shared" si="5"/>
        <v>177245263.68000001</v>
      </c>
      <c r="E27" s="758">
        <f>E12</f>
        <v>173926095.68000001</v>
      </c>
      <c r="G27" s="758">
        <f t="shared" si="6"/>
        <v>9642559.8499999903</v>
      </c>
      <c r="H27" s="810">
        <f t="shared" si="2"/>
        <v>0.11088111662945586</v>
      </c>
      <c r="I27" s="789">
        <f t="shared" si="3"/>
        <v>2.0050883429024658E-2</v>
      </c>
      <c r="J27" s="789"/>
      <c r="K27" s="586"/>
    </row>
    <row r="28" spans="1:11" x14ac:dyDescent="0.25">
      <c r="A28" s="654" t="s">
        <v>233</v>
      </c>
      <c r="C28" s="755">
        <f>C13</f>
        <v>35599151.659999996</v>
      </c>
      <c r="D28" s="758">
        <f>D13</f>
        <v>29364074.539999999</v>
      </c>
      <c r="E28" s="755">
        <f>(C28+D28)/2</f>
        <v>32481613.099999998</v>
      </c>
      <c r="G28" s="755">
        <f t="shared" si="6"/>
        <v>1260856.78</v>
      </c>
      <c r="H28" s="633">
        <f t="shared" si="2"/>
        <v>7.7635108583939141E-2</v>
      </c>
      <c r="I28" s="656">
        <f t="shared" si="3"/>
        <v>3.7446079342403843E-3</v>
      </c>
      <c r="J28" s="656">
        <f>H28*I28</f>
        <v>2.9071304357903226E-4</v>
      </c>
    </row>
    <row r="29" spans="1:11" x14ac:dyDescent="0.25">
      <c r="A29" s="654" t="s">
        <v>238</v>
      </c>
      <c r="C29" s="755"/>
      <c r="D29" s="758"/>
      <c r="E29" s="755">
        <f t="shared" si="1"/>
        <v>0</v>
      </c>
      <c r="G29" s="655"/>
      <c r="H29" s="656"/>
      <c r="I29" s="656"/>
      <c r="J29" s="656"/>
    </row>
    <row r="30" spans="1:11" x14ac:dyDescent="0.25">
      <c r="C30" s="756"/>
      <c r="D30" s="781"/>
      <c r="E30" s="756"/>
    </row>
    <row r="31" spans="1:11" s="655" customFormat="1" ht="13.5" thickBot="1" x14ac:dyDescent="0.35">
      <c r="A31" s="655" t="s">
        <v>55</v>
      </c>
      <c r="C31" s="754">
        <f>SUM(C21:C30)</f>
        <v>8488763097.3199987</v>
      </c>
      <c r="D31" s="779">
        <f>SUM(D21:D30)</f>
        <v>8859708983.2900009</v>
      </c>
      <c r="E31" s="754">
        <f>(C31+D31)/2</f>
        <v>8674236040.3050003</v>
      </c>
      <c r="G31" s="754">
        <f>SUM(G21:G30)</f>
        <v>443450007.40225005</v>
      </c>
      <c r="H31" s="807">
        <f>(G31/E31)*12/6</f>
        <v>0.10224531713035045</v>
      </c>
      <c r="I31" s="660">
        <f>SUM(I21:I30)</f>
        <v>0.99999999999999967</v>
      </c>
      <c r="J31" s="656">
        <f>H31*I31</f>
        <v>0.10224531713035043</v>
      </c>
    </row>
    <row r="32" spans="1:11" ht="13" thickTop="1" x14ac:dyDescent="0.25"/>
    <row r="33" spans="3:8" x14ac:dyDescent="0.25">
      <c r="C33" s="663">
        <f>C31-C14</f>
        <v>0</v>
      </c>
      <c r="D33" s="782">
        <f>D31-D14</f>
        <v>0</v>
      </c>
      <c r="E33" s="663">
        <f>E31-E14</f>
        <v>0</v>
      </c>
      <c r="G33" s="663">
        <f>G31-G14</f>
        <v>0</v>
      </c>
    </row>
    <row r="35" spans="3:8" x14ac:dyDescent="0.25">
      <c r="E35" s="756"/>
      <c r="G35" s="756"/>
    </row>
    <row r="36" spans="3:8" x14ac:dyDescent="0.25">
      <c r="C36" s="756">
        <f>C21+C22+C23+C24+C28</f>
        <v>7549199103.1099987</v>
      </c>
      <c r="D36" s="756">
        <f>D21+D22+D23+D24+D28</f>
        <v>7930880704.0799999</v>
      </c>
      <c r="E36" s="657">
        <f>(C36+D36)/2</f>
        <v>7740039903.5949993</v>
      </c>
      <c r="G36" s="657">
        <f>G21+G22+G23+G24+G28</f>
        <v>405271126.0422501</v>
      </c>
      <c r="H36" s="802">
        <f>(G36/E36)*12/6</f>
        <v>0.1047206813117371</v>
      </c>
    </row>
    <row r="39" spans="3:8" x14ac:dyDescent="0.25">
      <c r="E39" s="663">
        <f>E31*3%</f>
        <v>260227081.20914999</v>
      </c>
    </row>
  </sheetData>
  <printOptions gridLines="1"/>
  <pageMargins left="0.7" right="0.7" top="0.75" bottom="0.75" header="0.3" footer="0.3"/>
  <pageSetup scale="65"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A5"/>
  <sheetViews>
    <sheetView workbookViewId="0">
      <selection activeCell="A2" sqref="A2"/>
    </sheetView>
  </sheetViews>
  <sheetFormatPr defaultColWidth="8.81640625" defaultRowHeight="12.5" x14ac:dyDescent="0.25"/>
  <cols>
    <col min="1" max="1" width="28.1796875" style="538" bestFit="1" customWidth="1"/>
    <col min="2" max="16384" width="8.81640625" style="538"/>
  </cols>
  <sheetData>
    <row r="1" spans="1:1" x14ac:dyDescent="0.25">
      <c r="A1" s="530">
        <v>45107</v>
      </c>
    </row>
    <row r="3" spans="1:1" x14ac:dyDescent="0.25">
      <c r="A3" s="530" t="s">
        <v>336</v>
      </c>
    </row>
    <row r="4" spans="1:1" x14ac:dyDescent="0.25">
      <c r="A4" s="538" t="s">
        <v>174</v>
      </c>
    </row>
    <row r="5" spans="1:1" x14ac:dyDescent="0.25">
      <c r="A5" s="626"/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transitionEvaluation="1" codeName="Sheet3">
    <tabColor rgb="FFFFFF00"/>
  </sheetPr>
  <dimension ref="A1:WTB55"/>
  <sheetViews>
    <sheetView defaultGridColor="0" view="pageBreakPreview" colorId="22" zoomScale="57" zoomScaleNormal="57" zoomScaleSheetLayoutView="57" workbookViewId="0">
      <pane xSplit="1" ySplit="6" topLeftCell="C31" activePane="bottomRight" state="frozen"/>
      <selection activeCell="AD56" sqref="AD56"/>
      <selection pane="topRight" activeCell="AD56" sqref="AD56"/>
      <selection pane="bottomLeft" activeCell="AD56" sqref="AD56"/>
      <selection pane="bottomRight" activeCell="G9" sqref="G9"/>
    </sheetView>
  </sheetViews>
  <sheetFormatPr defaultColWidth="9.1796875" defaultRowHeight="32.5" customHeight="1" x14ac:dyDescent="0.4"/>
  <cols>
    <col min="1" max="1" width="64.81640625" style="409" customWidth="1"/>
    <col min="2" max="2" width="31.81640625" style="409" customWidth="1"/>
    <col min="3" max="3" width="21.7265625" style="409" customWidth="1"/>
    <col min="4" max="4" width="22.1796875" style="410" customWidth="1"/>
    <col min="5" max="5" width="1.81640625" style="409" customWidth="1"/>
    <col min="6" max="6" width="21.1796875" style="409" customWidth="1"/>
    <col min="7" max="7" width="23" style="409" bestFit="1" customWidth="1"/>
    <col min="8" max="8" width="20.1796875" style="409" bestFit="1" customWidth="1"/>
    <col min="9" max="9" width="22.1796875" style="409" bestFit="1" customWidth="1"/>
    <col min="10" max="10" width="21.81640625" style="409" bestFit="1" customWidth="1"/>
    <col min="11" max="11" width="21.81640625" style="409" customWidth="1"/>
    <col min="12" max="12" width="24" style="410" bestFit="1" customWidth="1"/>
    <col min="13" max="13" width="22.1796875" style="409" customWidth="1"/>
    <col min="14" max="14" width="18" style="409" customWidth="1"/>
    <col min="15" max="15" width="1.1796875" style="409" customWidth="1"/>
    <col min="16" max="16" width="15.54296875" style="410" bestFit="1" customWidth="1"/>
    <col min="17" max="16384" width="9.1796875" style="409"/>
  </cols>
  <sheetData>
    <row r="1" spans="1:16" ht="32.5" customHeight="1" x14ac:dyDescent="0.45">
      <c r="A1" s="496" t="s">
        <v>83</v>
      </c>
      <c r="B1" s="497"/>
      <c r="C1" s="497"/>
      <c r="D1" s="412"/>
      <c r="E1" s="411"/>
      <c r="F1" s="411"/>
      <c r="G1" s="619"/>
      <c r="H1" s="413"/>
      <c r="I1" s="413"/>
      <c r="J1" s="619"/>
      <c r="K1" s="632"/>
      <c r="L1" s="608"/>
      <c r="M1" s="620"/>
      <c r="N1" s="619"/>
      <c r="O1" s="411"/>
      <c r="P1" s="414"/>
    </row>
    <row r="2" spans="1:16" ht="32.5" customHeight="1" x14ac:dyDescent="0.5">
      <c r="A2" s="500" t="s">
        <v>104</v>
      </c>
      <c r="B2" s="498"/>
      <c r="C2" s="498"/>
      <c r="D2" s="416"/>
      <c r="E2" s="415"/>
      <c r="F2" s="609"/>
      <c r="G2" s="675"/>
      <c r="H2" s="627"/>
      <c r="I2" s="609"/>
      <c r="J2" s="627"/>
      <c r="K2" s="609"/>
      <c r="L2" s="668"/>
      <c r="M2" s="609"/>
      <c r="N2" s="415"/>
      <c r="O2" s="415"/>
      <c r="P2" s="417"/>
    </row>
    <row r="3" spans="1:16" ht="32.5" customHeight="1" thickBot="1" x14ac:dyDescent="0.55000000000000004">
      <c r="A3" s="500" t="s">
        <v>217</v>
      </c>
      <c r="B3" s="499" t="str">
        <f>DATE!A3</f>
        <v>AT 30TH JUNE 2023</v>
      </c>
      <c r="C3" s="498"/>
      <c r="D3" s="416"/>
      <c r="E3" s="415"/>
      <c r="F3" s="415"/>
      <c r="G3" s="609"/>
      <c r="H3" s="415"/>
      <c r="I3" s="415"/>
      <c r="J3" s="415"/>
      <c r="K3" s="415"/>
      <c r="L3" s="416"/>
      <c r="M3" s="415"/>
      <c r="N3" s="415"/>
      <c r="O3" s="415"/>
      <c r="P3" s="417"/>
    </row>
    <row r="4" spans="1:16" ht="32.5" customHeight="1" thickBot="1" x14ac:dyDescent="0.45">
      <c r="A4" s="436"/>
      <c r="B4" s="418"/>
      <c r="C4" s="419"/>
      <c r="D4" s="414"/>
      <c r="E4" s="415"/>
      <c r="F4" s="420"/>
      <c r="G4" s="411"/>
      <c r="H4" s="411"/>
      <c r="I4" s="421" t="s">
        <v>323</v>
      </c>
      <c r="J4" s="411"/>
      <c r="K4" s="411"/>
      <c r="L4" s="422"/>
      <c r="M4" s="423"/>
      <c r="N4" s="424"/>
      <c r="O4" s="415"/>
      <c r="P4" s="425"/>
    </row>
    <row r="5" spans="1:16" s="410" customFormat="1" ht="32.5" customHeight="1" thickBot="1" x14ac:dyDescent="0.45">
      <c r="A5" s="426"/>
      <c r="B5" s="421">
        <v>2022</v>
      </c>
      <c r="C5" s="427">
        <f>+B5</f>
        <v>2022</v>
      </c>
      <c r="D5" s="428">
        <f>+C5</f>
        <v>2022</v>
      </c>
      <c r="E5" s="429"/>
      <c r="F5" s="866" t="s">
        <v>172</v>
      </c>
      <c r="G5" s="867"/>
      <c r="H5" s="868"/>
      <c r="I5" s="869" t="s">
        <v>48</v>
      </c>
      <c r="J5" s="870"/>
      <c r="K5" s="871"/>
      <c r="L5" s="428" t="s">
        <v>173</v>
      </c>
      <c r="M5" s="430"/>
      <c r="N5" s="431" t="s">
        <v>84</v>
      </c>
      <c r="O5" s="432"/>
      <c r="P5" s="431" t="s">
        <v>84</v>
      </c>
    </row>
    <row r="6" spans="1:16" s="410" customFormat="1" ht="32.5" customHeight="1" thickBot="1" x14ac:dyDescent="0.45">
      <c r="A6" s="503"/>
      <c r="B6" s="433" t="s">
        <v>47</v>
      </c>
      <c r="C6" s="434" t="s">
        <v>48</v>
      </c>
      <c r="D6" s="435" t="s">
        <v>25</v>
      </c>
      <c r="E6" s="429"/>
      <c r="F6" s="804" t="s">
        <v>171</v>
      </c>
      <c r="G6" s="797" t="s">
        <v>270</v>
      </c>
      <c r="H6" s="798" t="s">
        <v>84</v>
      </c>
      <c r="I6" s="796" t="s">
        <v>171</v>
      </c>
      <c r="J6" s="797" t="s">
        <v>269</v>
      </c>
      <c r="K6" s="798" t="s">
        <v>84</v>
      </c>
      <c r="L6" s="435" t="s">
        <v>25</v>
      </c>
      <c r="M6" s="430" t="s">
        <v>269</v>
      </c>
      <c r="N6" s="431" t="s">
        <v>85</v>
      </c>
      <c r="O6" s="432"/>
      <c r="P6" s="431" t="s">
        <v>325</v>
      </c>
    </row>
    <row r="7" spans="1:16" ht="32.5" customHeight="1" x14ac:dyDescent="0.4">
      <c r="A7" s="436" t="s">
        <v>119</v>
      </c>
      <c r="B7" s="438">
        <v>12814271.43</v>
      </c>
      <c r="C7" s="438">
        <v>782571.43</v>
      </c>
      <c r="D7" s="439">
        <f t="shared" ref="D7:D14" si="0">B7+C7</f>
        <v>13596842.859999999</v>
      </c>
      <c r="E7" s="440">
        <v>4022621.1538461535</v>
      </c>
      <c r="F7" s="440">
        <f>+TBILLS!J28+TBILLS!J13</f>
        <v>711601.64835164766</v>
      </c>
      <c r="G7" s="441"/>
      <c r="H7" s="442"/>
      <c r="I7" s="440">
        <f>+TBILLS!J32+TBILLS!J17</f>
        <v>71142.857142857043</v>
      </c>
      <c r="J7" s="508"/>
      <c r="K7" s="437"/>
      <c r="L7" s="439">
        <f t="shared" ref="L7:L14" si="1">F7+I7</f>
        <v>782744.5054945047</v>
      </c>
      <c r="M7" s="443"/>
      <c r="N7" s="438"/>
      <c r="O7" s="438"/>
      <c r="P7" s="591">
        <f t="shared" ref="P7:P14" si="2">(L7-D7)/D7</f>
        <v>-0.94243189293617347</v>
      </c>
    </row>
    <row r="8" spans="1:16" ht="32.5" customHeight="1" x14ac:dyDescent="0.4">
      <c r="A8" s="436" t="s">
        <v>86</v>
      </c>
      <c r="B8" s="438">
        <v>213617300.19999999</v>
      </c>
      <c r="C8" s="438">
        <v>71352422.060000002</v>
      </c>
      <c r="D8" s="439">
        <f t="shared" si="0"/>
        <v>284969722.25999999</v>
      </c>
      <c r="E8" s="440">
        <v>23894137.21470888</v>
      </c>
      <c r="F8" s="440">
        <f>'BONDS HELD (3)'!V384+'BONDS HELD (3)'!V158+59633+1592939</f>
        <v>221013845.07516503</v>
      </c>
      <c r="G8" s="441"/>
      <c r="H8" s="442"/>
      <c r="I8" s="440">
        <f>'BONDS HELD (3)'!V225+'BONDS HELD (3)'!V452+839731+839731</f>
        <v>74874602.915302187</v>
      </c>
      <c r="J8" s="441"/>
      <c r="K8" s="437"/>
      <c r="L8" s="439">
        <f t="shared" si="1"/>
        <v>295888447.99046719</v>
      </c>
      <c r="M8" s="443"/>
      <c r="N8" s="438"/>
      <c r="O8" s="438"/>
      <c r="P8" s="591">
        <f t="shared" si="2"/>
        <v>3.8315388890701865E-2</v>
      </c>
    </row>
    <row r="9" spans="1:16" ht="32.5" customHeight="1" x14ac:dyDescent="0.4">
      <c r="A9" s="436" t="s">
        <v>87</v>
      </c>
      <c r="B9" s="438">
        <v>1991212.95</v>
      </c>
      <c r="C9" s="438">
        <v>1991212.95</v>
      </c>
      <c r="D9" s="439">
        <f>B9+C9</f>
        <v>3982425.9</v>
      </c>
      <c r="E9" s="440">
        <v>6051087.655818155</v>
      </c>
      <c r="F9" s="440">
        <f>'BONDS HELD (3)'!V470+'BONDS HELD (3)'!V517</f>
        <v>2311725.3253424661</v>
      </c>
      <c r="G9" s="441"/>
      <c r="H9" s="442"/>
      <c r="I9" s="440">
        <f>'BONDS HELD (3)'!V545+'BONDS HELD (3)'!V485</f>
        <v>2281184.517671233</v>
      </c>
      <c r="J9" s="441"/>
      <c r="K9" s="437"/>
      <c r="L9" s="439">
        <f t="shared" si="1"/>
        <v>4592909.8430136992</v>
      </c>
      <c r="M9" s="443"/>
      <c r="N9" s="438"/>
      <c r="O9" s="438"/>
      <c r="P9" s="591">
        <f t="shared" si="2"/>
        <v>0.15329448892286968</v>
      </c>
    </row>
    <row r="10" spans="1:16" ht="27.75" customHeight="1" x14ac:dyDescent="0.4">
      <c r="A10" s="436" t="s">
        <v>103</v>
      </c>
      <c r="B10" s="438">
        <v>54609991.850000001</v>
      </c>
      <c r="C10" s="438">
        <v>16274826.18</v>
      </c>
      <c r="D10" s="439">
        <f t="shared" si="0"/>
        <v>70884818.030000001</v>
      </c>
      <c r="E10" s="440">
        <v>67282332.399264142</v>
      </c>
      <c r="F10" s="440">
        <f>'BANK DEPOSITS'!P276</f>
        <v>86805366.101515591</v>
      </c>
      <c r="G10" s="441"/>
      <c r="H10" s="442"/>
      <c r="I10" s="438">
        <f>'BANK DEPOSITS'!P277</f>
        <v>15940800.821759148</v>
      </c>
      <c r="J10" s="441"/>
      <c r="K10" s="437"/>
      <c r="L10" s="439">
        <f t="shared" si="1"/>
        <v>102746166.92327474</v>
      </c>
      <c r="M10" s="443"/>
      <c r="N10" s="438"/>
      <c r="O10" s="438"/>
      <c r="P10" s="591">
        <f t="shared" si="2"/>
        <v>0.44948057678289194</v>
      </c>
    </row>
    <row r="11" spans="1:16" ht="32.5" customHeight="1" x14ac:dyDescent="0.4">
      <c r="A11" s="436" t="s">
        <v>94</v>
      </c>
      <c r="B11" s="438"/>
      <c r="C11" s="438">
        <v>0</v>
      </c>
      <c r="D11" s="439">
        <f t="shared" si="0"/>
        <v>0</v>
      </c>
      <c r="E11" s="440">
        <v>0</v>
      </c>
      <c r="F11" s="440"/>
      <c r="G11" s="441"/>
      <c r="H11" s="442"/>
      <c r="I11" s="438">
        <v>0</v>
      </c>
      <c r="J11" s="440"/>
      <c r="K11" s="437"/>
      <c r="L11" s="439">
        <f t="shared" si="1"/>
        <v>0</v>
      </c>
      <c r="M11" s="443"/>
      <c r="N11" s="438"/>
      <c r="O11" s="438"/>
      <c r="P11" s="591" t="e">
        <f t="shared" si="2"/>
        <v>#DIV/0!</v>
      </c>
    </row>
    <row r="12" spans="1:16" ht="32.5" customHeight="1" x14ac:dyDescent="0.4">
      <c r="A12" s="436" t="s">
        <v>88</v>
      </c>
      <c r="B12" s="438"/>
      <c r="C12" s="438">
        <v>0</v>
      </c>
      <c r="D12" s="439">
        <f t="shared" si="0"/>
        <v>0</v>
      </c>
      <c r="E12" s="440">
        <v>0</v>
      </c>
      <c r="F12" s="440">
        <v>62999.97</v>
      </c>
      <c r="G12" s="441"/>
      <c r="H12" s="442"/>
      <c r="I12" s="438">
        <v>0</v>
      </c>
      <c r="J12" s="440"/>
      <c r="K12" s="437"/>
      <c r="L12" s="439">
        <f t="shared" si="1"/>
        <v>62999.97</v>
      </c>
      <c r="M12" s="443"/>
      <c r="N12" s="438"/>
      <c r="O12" s="438"/>
      <c r="P12" s="591" t="e">
        <f t="shared" si="2"/>
        <v>#DIV/0!</v>
      </c>
    </row>
    <row r="13" spans="1:16" ht="32.5" customHeight="1" x14ac:dyDescent="0.4">
      <c r="A13" s="436" t="s">
        <v>105</v>
      </c>
      <c r="B13" s="438">
        <v>1078156.48</v>
      </c>
      <c r="C13" s="438">
        <v>0</v>
      </c>
      <c r="D13" s="439">
        <f t="shared" si="0"/>
        <v>1078156.48</v>
      </c>
      <c r="E13" s="438">
        <v>0</v>
      </c>
      <c r="F13" s="443">
        <v>944077.24</v>
      </c>
      <c r="G13" s="640"/>
      <c r="H13" s="442"/>
      <c r="I13" s="438">
        <v>0</v>
      </c>
      <c r="J13" s="440"/>
      <c r="K13" s="437"/>
      <c r="L13" s="439">
        <f t="shared" si="1"/>
        <v>944077.24</v>
      </c>
      <c r="M13" s="443"/>
      <c r="N13" s="438"/>
      <c r="O13" s="438"/>
      <c r="P13" s="591">
        <f t="shared" si="2"/>
        <v>-0.12435972188378443</v>
      </c>
    </row>
    <row r="14" spans="1:16" ht="32.5" customHeight="1" thickBot="1" x14ac:dyDescent="0.45">
      <c r="A14" s="436" t="s">
        <v>89</v>
      </c>
      <c r="B14" s="438">
        <v>179023.66</v>
      </c>
      <c r="C14" s="438">
        <v>0</v>
      </c>
      <c r="D14" s="439">
        <f t="shared" si="0"/>
        <v>179023.66</v>
      </c>
      <c r="E14" s="438">
        <v>0</v>
      </c>
      <c r="F14" s="438">
        <v>253779.57</v>
      </c>
      <c r="G14" s="442"/>
      <c r="H14" s="442"/>
      <c r="I14" s="438">
        <v>0</v>
      </c>
      <c r="J14" s="440"/>
      <c r="K14" s="437"/>
      <c r="L14" s="439">
        <f t="shared" si="1"/>
        <v>253779.57</v>
      </c>
      <c r="M14" s="443"/>
      <c r="N14" s="438"/>
      <c r="O14" s="445"/>
      <c r="P14" s="591">
        <f t="shared" si="2"/>
        <v>0.41757558749497137</v>
      </c>
    </row>
    <row r="15" spans="1:16" ht="32.5" customHeight="1" thickBot="1" x14ac:dyDescent="0.45">
      <c r="A15" s="436"/>
      <c r="B15" s="442"/>
      <c r="C15" s="438"/>
      <c r="D15" s="446"/>
      <c r="E15" s="438"/>
      <c r="F15" s="442"/>
      <c r="G15" s="507"/>
      <c r="H15" s="506"/>
      <c r="I15" s="442"/>
      <c r="J15" s="507"/>
      <c r="K15" s="443"/>
      <c r="L15" s="439"/>
      <c r="M15" s="443"/>
      <c r="N15" s="442"/>
      <c r="O15" s="445"/>
      <c r="P15" s="592"/>
    </row>
    <row r="16" spans="1:16" ht="32.5" customHeight="1" thickBot="1" x14ac:dyDescent="0.45">
      <c r="A16" s="447" t="s">
        <v>90</v>
      </c>
      <c r="B16" s="448">
        <f>SUM(B7:B15)</f>
        <v>284289956.57000005</v>
      </c>
      <c r="C16" s="449">
        <f>SUM(C7:C15)</f>
        <v>90401032.620000005</v>
      </c>
      <c r="D16" s="448">
        <f>SUM(D7:D14)</f>
        <v>374690989.19</v>
      </c>
      <c r="E16" s="450"/>
      <c r="F16" s="451">
        <f>SUM(F7:F14)</f>
        <v>312103394.9303748</v>
      </c>
      <c r="G16" s="451">
        <f>600000000*6/12</f>
        <v>300000000</v>
      </c>
      <c r="H16" s="593">
        <f>(F16-G16)/G16</f>
        <v>4.0344649767916005E-2</v>
      </c>
      <c r="I16" s="451">
        <f>SUM(I7:I14)</f>
        <v>93167731.111875415</v>
      </c>
      <c r="J16" s="450">
        <f>185000000*6/12</f>
        <v>92500000</v>
      </c>
      <c r="K16" s="453">
        <f>(I16-J16)/J16</f>
        <v>7.2187147229774576E-3</v>
      </c>
      <c r="L16" s="450">
        <f>SUM(L7:L14)</f>
        <v>405271126.04225016</v>
      </c>
      <c r="M16" s="454">
        <f>+G16+J16</f>
        <v>392500000</v>
      </c>
      <c r="N16" s="593">
        <f>(L16-M16)/M16</f>
        <v>3.2537900744586387E-2</v>
      </c>
      <c r="O16" s="450"/>
      <c r="P16" s="591">
        <f>(L16-D16)/D16</f>
        <v>8.1614284128790307E-2</v>
      </c>
    </row>
    <row r="17" spans="1:16070" s="410" customFormat="1" ht="32.5" customHeight="1" thickBot="1" x14ac:dyDescent="0.45">
      <c r="A17" s="447"/>
      <c r="B17" s="446"/>
      <c r="C17" s="449"/>
      <c r="D17" s="448"/>
      <c r="E17" s="456"/>
      <c r="F17" s="786"/>
      <c r="G17" s="777"/>
      <c r="H17" s="448"/>
      <c r="I17" s="456"/>
      <c r="J17" s="449"/>
      <c r="K17" s="457"/>
      <c r="L17" s="449"/>
      <c r="M17" s="457"/>
      <c r="N17" s="449"/>
      <c r="O17" s="449"/>
      <c r="P17" s="458"/>
    </row>
    <row r="18" spans="1:16070" ht="32.5" customHeight="1" thickBot="1" x14ac:dyDescent="0.45">
      <c r="A18" s="436" t="s">
        <v>202</v>
      </c>
      <c r="B18" s="805">
        <v>-10000000</v>
      </c>
      <c r="C18" s="449"/>
      <c r="D18" s="448">
        <f>B18+C18</f>
        <v>-10000000</v>
      </c>
      <c r="E18" s="452"/>
      <c r="F18" s="805">
        <v>-5000000</v>
      </c>
      <c r="G18" s="448">
        <f>-10000000*6/12</f>
        <v>-5000000</v>
      </c>
      <c r="H18" s="621">
        <f>(F18-G18)/G18</f>
        <v>0</v>
      </c>
      <c r="I18" s="452"/>
      <c r="J18" s="450">
        <v>0</v>
      </c>
      <c r="K18" s="460"/>
      <c r="L18" s="450">
        <f>F18+I18</f>
        <v>-5000000</v>
      </c>
      <c r="M18" s="454">
        <f>+G18+J18</f>
        <v>-5000000</v>
      </c>
      <c r="N18" s="461">
        <f>(L18-M18)/M18</f>
        <v>0</v>
      </c>
      <c r="O18" s="450"/>
      <c r="P18" s="594">
        <f>(L18-D18)/D18</f>
        <v>-0.5</v>
      </c>
      <c r="Q18" s="460"/>
      <c r="R18" s="450"/>
      <c r="S18" s="454"/>
      <c r="T18" s="461"/>
      <c r="U18" s="450"/>
      <c r="V18" s="594"/>
      <c r="W18" s="436"/>
      <c r="X18" s="448"/>
      <c r="Y18" s="449"/>
      <c r="Z18" s="448"/>
      <c r="AA18" s="452"/>
      <c r="AB18" s="452"/>
      <c r="AC18" s="451"/>
      <c r="AD18" s="459"/>
      <c r="AE18" s="452"/>
      <c r="AF18" s="450"/>
      <c r="AG18" s="460"/>
      <c r="AH18" s="450"/>
      <c r="AI18" s="454"/>
      <c r="AJ18" s="461"/>
      <c r="AK18" s="450"/>
      <c r="AL18" s="594"/>
      <c r="AM18" s="436"/>
      <c r="AN18" s="448"/>
      <c r="AO18" s="449"/>
      <c r="AP18" s="448"/>
      <c r="AQ18" s="452"/>
      <c r="AR18" s="452"/>
      <c r="AS18" s="451"/>
      <c r="AT18" s="459"/>
      <c r="AU18" s="452"/>
      <c r="AV18" s="450"/>
      <c r="AW18" s="460"/>
      <c r="AX18" s="450"/>
      <c r="AY18" s="454"/>
      <c r="AZ18" s="461"/>
      <c r="BA18" s="450"/>
      <c r="BB18" s="594"/>
      <c r="BC18" s="436"/>
      <c r="BD18" s="448"/>
      <c r="BE18" s="449"/>
      <c r="BF18" s="448"/>
      <c r="BG18" s="452"/>
      <c r="BH18" s="452"/>
      <c r="BI18" s="451"/>
      <c r="BJ18" s="459"/>
      <c r="BK18" s="452"/>
      <c r="BL18" s="450"/>
      <c r="BM18" s="460"/>
      <c r="BN18" s="450"/>
      <c r="BO18" s="454"/>
      <c r="BP18" s="461"/>
      <c r="BQ18" s="450"/>
      <c r="BR18" s="594"/>
      <c r="BS18" s="436" t="s">
        <v>141</v>
      </c>
      <c r="BT18" s="448">
        <v>54850667.799999997</v>
      </c>
      <c r="BU18" s="449"/>
      <c r="BV18" s="448">
        <f>BT18+BU18</f>
        <v>54850667.799999997</v>
      </c>
      <c r="BW18" s="452"/>
      <c r="BX18" s="452">
        <v>62201294.850000001</v>
      </c>
      <c r="BY18" s="451">
        <f>60000000</f>
        <v>60000000</v>
      </c>
      <c r="BZ18" s="459"/>
      <c r="CA18" s="452"/>
      <c r="CB18" s="450">
        <v>0</v>
      </c>
      <c r="CC18" s="460"/>
      <c r="CD18" s="450">
        <f>BX18+CA18</f>
        <v>62201294.850000001</v>
      </c>
      <c r="CE18" s="454">
        <f>+BY18+CB18</f>
        <v>60000000</v>
      </c>
      <c r="CF18" s="461"/>
      <c r="CG18" s="450"/>
      <c r="CH18" s="594">
        <f>(CD18-BV18)/BV18</f>
        <v>0.13401162364699606</v>
      </c>
      <c r="CI18" s="436" t="s">
        <v>141</v>
      </c>
      <c r="CJ18" s="448">
        <v>54850667.799999997</v>
      </c>
      <c r="CK18" s="449"/>
      <c r="CL18" s="448">
        <f>CJ18+CK18</f>
        <v>54850667.799999997</v>
      </c>
      <c r="CM18" s="452"/>
      <c r="CN18" s="452">
        <v>62201294.850000001</v>
      </c>
      <c r="CO18" s="451">
        <f>60000000</f>
        <v>60000000</v>
      </c>
      <c r="CP18" s="459"/>
      <c r="CQ18" s="452"/>
      <c r="CR18" s="450">
        <v>0</v>
      </c>
      <c r="CS18" s="460"/>
      <c r="CT18" s="450">
        <f>CN18+CQ18</f>
        <v>62201294.850000001</v>
      </c>
      <c r="CU18" s="454">
        <f>+CO18+CR18</f>
        <v>60000000</v>
      </c>
      <c r="CV18" s="461"/>
      <c r="CW18" s="450"/>
      <c r="CX18" s="594">
        <f>(CT18-CL18)/CL18</f>
        <v>0.13401162364699606</v>
      </c>
      <c r="CY18" s="436" t="s">
        <v>141</v>
      </c>
      <c r="CZ18" s="448">
        <v>54850667.799999997</v>
      </c>
      <c r="DA18" s="449"/>
      <c r="DB18" s="448">
        <f>CZ18+DA18</f>
        <v>54850667.799999997</v>
      </c>
      <c r="DC18" s="452"/>
      <c r="DD18" s="452">
        <v>62201294.850000001</v>
      </c>
      <c r="DE18" s="451">
        <f>60000000</f>
        <v>60000000</v>
      </c>
      <c r="DF18" s="459"/>
      <c r="DG18" s="452"/>
      <c r="DH18" s="450">
        <v>0</v>
      </c>
      <c r="DI18" s="460"/>
      <c r="DJ18" s="450">
        <f>DD18+DG18</f>
        <v>62201294.850000001</v>
      </c>
      <c r="DK18" s="454">
        <f>+DE18+DH18</f>
        <v>60000000</v>
      </c>
      <c r="DL18" s="461"/>
      <c r="DM18" s="450"/>
      <c r="DN18" s="594">
        <f>(DJ18-DB18)/DB18</f>
        <v>0.13401162364699606</v>
      </c>
      <c r="DO18" s="436" t="s">
        <v>141</v>
      </c>
      <c r="DP18" s="448">
        <v>54850667.799999997</v>
      </c>
      <c r="DQ18" s="449"/>
      <c r="DR18" s="448">
        <f>DP18+DQ18</f>
        <v>54850667.799999997</v>
      </c>
      <c r="DS18" s="452"/>
      <c r="DT18" s="452">
        <v>62201294.850000001</v>
      </c>
      <c r="DU18" s="451">
        <f>60000000</f>
        <v>60000000</v>
      </c>
      <c r="DV18" s="459"/>
      <c r="DW18" s="452"/>
      <c r="DX18" s="450">
        <v>0</v>
      </c>
      <c r="DY18" s="460"/>
      <c r="DZ18" s="450">
        <f>DT18+DW18</f>
        <v>62201294.850000001</v>
      </c>
      <c r="EA18" s="454">
        <f>+DU18+DX18</f>
        <v>60000000</v>
      </c>
      <c r="EB18" s="461"/>
      <c r="EC18" s="450"/>
      <c r="ED18" s="594">
        <f>(DZ18-DR18)/DR18</f>
        <v>0.13401162364699606</v>
      </c>
      <c r="EE18" s="436" t="s">
        <v>141</v>
      </c>
      <c r="EF18" s="448">
        <v>54850667.799999997</v>
      </c>
      <c r="EG18" s="449"/>
      <c r="EH18" s="448">
        <f>EF18+EG18</f>
        <v>54850667.799999997</v>
      </c>
      <c r="EI18" s="452"/>
      <c r="EJ18" s="452">
        <v>62201294.850000001</v>
      </c>
      <c r="EK18" s="451">
        <f>60000000</f>
        <v>60000000</v>
      </c>
      <c r="EL18" s="459"/>
      <c r="EM18" s="452"/>
      <c r="EN18" s="450">
        <v>0</v>
      </c>
      <c r="EO18" s="460"/>
      <c r="EP18" s="450">
        <f>EJ18+EM18</f>
        <v>62201294.850000001</v>
      </c>
      <c r="EQ18" s="454">
        <f>+EK18+EN18</f>
        <v>60000000</v>
      </c>
      <c r="ER18" s="461"/>
      <c r="ES18" s="450"/>
      <c r="ET18" s="594">
        <f>(EP18-EH18)/EH18</f>
        <v>0.13401162364699606</v>
      </c>
      <c r="EU18" s="436" t="s">
        <v>141</v>
      </c>
      <c r="EV18" s="448">
        <v>54850667.799999997</v>
      </c>
      <c r="EW18" s="449"/>
      <c r="EX18" s="448">
        <f>EV18+EW18</f>
        <v>54850667.799999997</v>
      </c>
      <c r="EY18" s="452"/>
      <c r="EZ18" s="452">
        <v>62201294.850000001</v>
      </c>
      <c r="FA18" s="451">
        <f>60000000</f>
        <v>60000000</v>
      </c>
      <c r="FB18" s="459"/>
      <c r="FC18" s="452"/>
      <c r="FD18" s="450">
        <v>0</v>
      </c>
      <c r="FE18" s="460"/>
      <c r="FF18" s="450">
        <f>EZ18+FC18</f>
        <v>62201294.850000001</v>
      </c>
      <c r="FG18" s="454">
        <f>+FA18+FD18</f>
        <v>60000000</v>
      </c>
      <c r="FH18" s="461"/>
      <c r="FI18" s="450"/>
      <c r="FJ18" s="594">
        <f>(FF18-EX18)/EX18</f>
        <v>0.13401162364699606</v>
      </c>
      <c r="FK18" s="436" t="s">
        <v>141</v>
      </c>
      <c r="FL18" s="448">
        <v>54850667.799999997</v>
      </c>
      <c r="FM18" s="449"/>
      <c r="FN18" s="448">
        <f>FL18+FM18</f>
        <v>54850667.799999997</v>
      </c>
      <c r="FO18" s="452"/>
      <c r="FP18" s="452">
        <v>62201294.850000001</v>
      </c>
      <c r="FQ18" s="451">
        <f>60000000</f>
        <v>60000000</v>
      </c>
      <c r="FR18" s="459"/>
      <c r="FS18" s="452"/>
      <c r="FT18" s="450">
        <v>0</v>
      </c>
      <c r="FU18" s="460"/>
      <c r="FV18" s="450">
        <f>FP18+FS18</f>
        <v>62201294.850000001</v>
      </c>
      <c r="FW18" s="454">
        <f>+FQ18+FT18</f>
        <v>60000000</v>
      </c>
      <c r="FX18" s="461"/>
      <c r="FY18" s="450"/>
      <c r="FZ18" s="594">
        <f>(FV18-FN18)/FN18</f>
        <v>0.13401162364699606</v>
      </c>
      <c r="GA18" s="436" t="s">
        <v>141</v>
      </c>
      <c r="GB18" s="448">
        <v>54850667.799999997</v>
      </c>
      <c r="GC18" s="449"/>
      <c r="GD18" s="448">
        <f>GB18+GC18</f>
        <v>54850667.799999997</v>
      </c>
      <c r="GE18" s="452"/>
      <c r="GF18" s="452">
        <v>62201294.850000001</v>
      </c>
      <c r="GG18" s="451">
        <f>60000000</f>
        <v>60000000</v>
      </c>
      <c r="GH18" s="459"/>
      <c r="GI18" s="452"/>
      <c r="GJ18" s="450">
        <v>0</v>
      </c>
      <c r="GK18" s="460"/>
      <c r="GL18" s="450">
        <f>GF18+GI18</f>
        <v>62201294.850000001</v>
      </c>
      <c r="GM18" s="454">
        <f>+GG18+GJ18</f>
        <v>60000000</v>
      </c>
      <c r="GN18" s="461"/>
      <c r="GO18" s="450"/>
      <c r="GP18" s="594">
        <f>(GL18-GD18)/GD18</f>
        <v>0.13401162364699606</v>
      </c>
      <c r="GQ18" s="436" t="s">
        <v>141</v>
      </c>
      <c r="GR18" s="448">
        <v>54850667.799999997</v>
      </c>
      <c r="GS18" s="449"/>
      <c r="GT18" s="448">
        <f>GR18+GS18</f>
        <v>54850667.799999997</v>
      </c>
      <c r="GU18" s="452"/>
      <c r="GV18" s="452">
        <v>62201294.850000001</v>
      </c>
      <c r="GW18" s="451">
        <f>60000000</f>
        <v>60000000</v>
      </c>
      <c r="GX18" s="459"/>
      <c r="GY18" s="452"/>
      <c r="GZ18" s="450">
        <v>0</v>
      </c>
      <c r="HA18" s="460"/>
      <c r="HB18" s="450">
        <f>GV18+GY18</f>
        <v>62201294.850000001</v>
      </c>
      <c r="HC18" s="454">
        <f>+GW18+GZ18</f>
        <v>60000000</v>
      </c>
      <c r="HD18" s="461"/>
      <c r="HE18" s="450"/>
      <c r="HF18" s="594">
        <f>(HB18-GT18)/GT18</f>
        <v>0.13401162364699606</v>
      </c>
      <c r="HG18" s="436" t="s">
        <v>141</v>
      </c>
      <c r="HH18" s="448">
        <v>54850667.799999997</v>
      </c>
      <c r="HI18" s="449"/>
      <c r="HJ18" s="448">
        <f>HH18+HI18</f>
        <v>54850667.799999997</v>
      </c>
      <c r="HK18" s="452"/>
      <c r="HL18" s="452">
        <v>62201294.850000001</v>
      </c>
      <c r="HM18" s="451">
        <f>60000000</f>
        <v>60000000</v>
      </c>
      <c r="HN18" s="459"/>
      <c r="HO18" s="452"/>
      <c r="HP18" s="450">
        <v>0</v>
      </c>
      <c r="HQ18" s="460"/>
      <c r="HR18" s="450">
        <f>HL18+HO18</f>
        <v>62201294.850000001</v>
      </c>
      <c r="HS18" s="454">
        <f>+HM18+HP18</f>
        <v>60000000</v>
      </c>
      <c r="HT18" s="461"/>
      <c r="HU18" s="450"/>
      <c r="HV18" s="594">
        <f>(HR18-HJ18)/HJ18</f>
        <v>0.13401162364699606</v>
      </c>
      <c r="HW18" s="436" t="s">
        <v>141</v>
      </c>
      <c r="HX18" s="448">
        <v>54850667.799999997</v>
      </c>
      <c r="HY18" s="449"/>
      <c r="HZ18" s="448">
        <f>HX18+HY18</f>
        <v>54850667.799999997</v>
      </c>
      <c r="IA18" s="452"/>
      <c r="IB18" s="452">
        <v>62201294.850000001</v>
      </c>
      <c r="IC18" s="451">
        <f>60000000</f>
        <v>60000000</v>
      </c>
      <c r="ID18" s="459"/>
      <c r="IE18" s="452"/>
      <c r="IF18" s="450">
        <v>0</v>
      </c>
      <c r="IG18" s="460"/>
      <c r="IH18" s="450">
        <f>IB18+IE18</f>
        <v>62201294.850000001</v>
      </c>
      <c r="II18" s="454">
        <f>+IC18+IF18</f>
        <v>60000000</v>
      </c>
      <c r="IJ18" s="461"/>
      <c r="IK18" s="450"/>
      <c r="IL18" s="594">
        <f>(IH18-HZ18)/HZ18</f>
        <v>0.13401162364699606</v>
      </c>
      <c r="IM18" s="436" t="s">
        <v>141</v>
      </c>
      <c r="IN18" s="448">
        <v>54850667.799999997</v>
      </c>
      <c r="IO18" s="449"/>
      <c r="IP18" s="448">
        <f>IN18+IO18</f>
        <v>54850667.799999997</v>
      </c>
      <c r="IQ18" s="452"/>
      <c r="IR18" s="452">
        <v>62201294.850000001</v>
      </c>
      <c r="IS18" s="451">
        <f>60000000</f>
        <v>60000000</v>
      </c>
      <c r="IT18" s="459"/>
      <c r="IU18" s="452"/>
      <c r="IV18" s="450">
        <v>0</v>
      </c>
      <c r="IW18" s="460"/>
      <c r="IX18" s="450">
        <f>IR18+IU18</f>
        <v>62201294.850000001</v>
      </c>
      <c r="IY18" s="454">
        <f>+IS18+IV18</f>
        <v>60000000</v>
      </c>
      <c r="IZ18" s="461"/>
      <c r="JA18" s="450"/>
      <c r="JB18" s="594">
        <f>(IX18-IP18)/IP18</f>
        <v>0.13401162364699606</v>
      </c>
      <c r="JC18" s="436" t="s">
        <v>141</v>
      </c>
      <c r="JD18" s="448">
        <v>54850667.799999997</v>
      </c>
      <c r="JE18" s="449"/>
      <c r="JF18" s="448">
        <f>JD18+JE18</f>
        <v>54850667.799999997</v>
      </c>
      <c r="JG18" s="452"/>
      <c r="JH18" s="452">
        <v>62201294.850000001</v>
      </c>
      <c r="JI18" s="451">
        <f>60000000</f>
        <v>60000000</v>
      </c>
      <c r="JJ18" s="459"/>
      <c r="JK18" s="452"/>
      <c r="JL18" s="450">
        <v>0</v>
      </c>
      <c r="JM18" s="460"/>
      <c r="JN18" s="450">
        <f>JH18+JK18</f>
        <v>62201294.850000001</v>
      </c>
      <c r="JO18" s="454">
        <f>+JI18+JL18</f>
        <v>60000000</v>
      </c>
      <c r="JP18" s="461"/>
      <c r="JQ18" s="450"/>
      <c r="JR18" s="594">
        <f>(JN18-JF18)/JF18</f>
        <v>0.13401162364699606</v>
      </c>
      <c r="JS18" s="436" t="s">
        <v>141</v>
      </c>
      <c r="JT18" s="448">
        <v>54850667.799999997</v>
      </c>
      <c r="JU18" s="449"/>
      <c r="JV18" s="448">
        <f>JT18+JU18</f>
        <v>54850667.799999997</v>
      </c>
      <c r="JW18" s="452"/>
      <c r="JX18" s="452">
        <v>62201294.850000001</v>
      </c>
      <c r="JY18" s="451">
        <f>60000000</f>
        <v>60000000</v>
      </c>
      <c r="JZ18" s="459"/>
      <c r="KA18" s="452"/>
      <c r="KB18" s="450">
        <v>0</v>
      </c>
      <c r="KC18" s="460"/>
      <c r="KD18" s="450">
        <f>JX18+KA18</f>
        <v>62201294.850000001</v>
      </c>
      <c r="KE18" s="454">
        <f>+JY18+KB18</f>
        <v>60000000</v>
      </c>
      <c r="KF18" s="461"/>
      <c r="KG18" s="450"/>
      <c r="KH18" s="594">
        <f>(KD18-JV18)/JV18</f>
        <v>0.13401162364699606</v>
      </c>
      <c r="KI18" s="436" t="s">
        <v>141</v>
      </c>
      <c r="KJ18" s="448">
        <v>54850667.799999997</v>
      </c>
      <c r="KK18" s="449"/>
      <c r="KL18" s="448">
        <f>KJ18+KK18</f>
        <v>54850667.799999997</v>
      </c>
      <c r="KM18" s="452"/>
      <c r="KN18" s="452">
        <v>62201294.850000001</v>
      </c>
      <c r="KO18" s="451">
        <f>60000000</f>
        <v>60000000</v>
      </c>
      <c r="KP18" s="459"/>
      <c r="KQ18" s="452"/>
      <c r="KR18" s="450">
        <v>0</v>
      </c>
      <c r="KS18" s="460"/>
      <c r="KT18" s="450">
        <f>KN18+KQ18</f>
        <v>62201294.850000001</v>
      </c>
      <c r="KU18" s="454">
        <f>+KO18+KR18</f>
        <v>60000000</v>
      </c>
      <c r="KV18" s="461"/>
      <c r="KW18" s="450"/>
      <c r="KX18" s="594">
        <f>(KT18-KL18)/KL18</f>
        <v>0.13401162364699606</v>
      </c>
      <c r="KY18" s="436" t="s">
        <v>141</v>
      </c>
      <c r="KZ18" s="448">
        <v>54850667.799999997</v>
      </c>
      <c r="LA18" s="449"/>
      <c r="LB18" s="448">
        <f>KZ18+LA18</f>
        <v>54850667.799999997</v>
      </c>
      <c r="LC18" s="452"/>
      <c r="LD18" s="452">
        <v>62201294.850000001</v>
      </c>
      <c r="LE18" s="451">
        <f>60000000</f>
        <v>60000000</v>
      </c>
      <c r="LF18" s="459"/>
      <c r="LG18" s="452"/>
      <c r="LH18" s="450">
        <v>0</v>
      </c>
      <c r="LI18" s="460"/>
      <c r="LJ18" s="450">
        <f>LD18+LG18</f>
        <v>62201294.850000001</v>
      </c>
      <c r="LK18" s="454">
        <f>+LE18+LH18</f>
        <v>60000000</v>
      </c>
      <c r="LL18" s="461"/>
      <c r="LM18" s="450"/>
      <c r="LN18" s="594">
        <f>(LJ18-LB18)/LB18</f>
        <v>0.13401162364699606</v>
      </c>
      <c r="LO18" s="436" t="s">
        <v>141</v>
      </c>
      <c r="LP18" s="448">
        <v>54850667.799999997</v>
      </c>
      <c r="LQ18" s="449"/>
      <c r="LR18" s="448">
        <f>LP18+LQ18</f>
        <v>54850667.799999997</v>
      </c>
      <c r="LS18" s="452"/>
      <c r="LT18" s="452">
        <v>62201294.850000001</v>
      </c>
      <c r="LU18" s="451">
        <f>60000000</f>
        <v>60000000</v>
      </c>
      <c r="LV18" s="459"/>
      <c r="LW18" s="452"/>
      <c r="LX18" s="450">
        <v>0</v>
      </c>
      <c r="LY18" s="460"/>
      <c r="LZ18" s="450">
        <f>LT18+LW18</f>
        <v>62201294.850000001</v>
      </c>
      <c r="MA18" s="454">
        <f>+LU18+LX18</f>
        <v>60000000</v>
      </c>
      <c r="MB18" s="461"/>
      <c r="MC18" s="450"/>
      <c r="MD18" s="594">
        <f>(LZ18-LR18)/LR18</f>
        <v>0.13401162364699606</v>
      </c>
      <c r="ME18" s="436" t="s">
        <v>141</v>
      </c>
      <c r="MF18" s="448">
        <v>54850667.799999997</v>
      </c>
      <c r="MG18" s="449"/>
      <c r="MH18" s="448">
        <f>MF18+MG18</f>
        <v>54850667.799999997</v>
      </c>
      <c r="MI18" s="452"/>
      <c r="MJ18" s="452">
        <v>62201294.850000001</v>
      </c>
      <c r="MK18" s="451">
        <f>60000000</f>
        <v>60000000</v>
      </c>
      <c r="ML18" s="459"/>
      <c r="MM18" s="452"/>
      <c r="MN18" s="450">
        <v>0</v>
      </c>
      <c r="MO18" s="460"/>
      <c r="MP18" s="450">
        <f>MJ18+MM18</f>
        <v>62201294.850000001</v>
      </c>
      <c r="MQ18" s="454">
        <f>+MK18+MN18</f>
        <v>60000000</v>
      </c>
      <c r="MR18" s="461"/>
      <c r="MS18" s="450"/>
      <c r="MT18" s="594">
        <f>(MP18-MH18)/MH18</f>
        <v>0.13401162364699606</v>
      </c>
      <c r="MU18" s="436" t="s">
        <v>141</v>
      </c>
      <c r="MV18" s="448">
        <v>54850667.799999997</v>
      </c>
      <c r="MW18" s="449"/>
      <c r="MX18" s="448">
        <f>MV18+MW18</f>
        <v>54850667.799999997</v>
      </c>
      <c r="MY18" s="452"/>
      <c r="MZ18" s="452">
        <v>62201294.850000001</v>
      </c>
      <c r="NA18" s="451">
        <f>60000000</f>
        <v>60000000</v>
      </c>
      <c r="NB18" s="459"/>
      <c r="NC18" s="452"/>
      <c r="ND18" s="450">
        <v>0</v>
      </c>
      <c r="NE18" s="460"/>
      <c r="NF18" s="450">
        <f>MZ18+NC18</f>
        <v>62201294.850000001</v>
      </c>
      <c r="NG18" s="454">
        <f>+NA18+ND18</f>
        <v>60000000</v>
      </c>
      <c r="NH18" s="461"/>
      <c r="NI18" s="450"/>
      <c r="NJ18" s="594">
        <f>(NF18-MX18)/MX18</f>
        <v>0.13401162364699606</v>
      </c>
      <c r="NK18" s="436" t="s">
        <v>141</v>
      </c>
      <c r="NL18" s="448">
        <v>54850667.799999997</v>
      </c>
      <c r="NM18" s="449"/>
      <c r="NN18" s="448">
        <f>NL18+NM18</f>
        <v>54850667.799999997</v>
      </c>
      <c r="NO18" s="452"/>
      <c r="NP18" s="452">
        <v>62201294.850000001</v>
      </c>
      <c r="NQ18" s="451">
        <f>60000000</f>
        <v>60000000</v>
      </c>
      <c r="NR18" s="459"/>
      <c r="NS18" s="452"/>
      <c r="NT18" s="450">
        <v>0</v>
      </c>
      <c r="NU18" s="460"/>
      <c r="NV18" s="450">
        <f>NP18+NS18</f>
        <v>62201294.850000001</v>
      </c>
      <c r="NW18" s="454">
        <f>+NQ18+NT18</f>
        <v>60000000</v>
      </c>
      <c r="NX18" s="461"/>
      <c r="NY18" s="450"/>
      <c r="NZ18" s="594">
        <f>(NV18-NN18)/NN18</f>
        <v>0.13401162364699606</v>
      </c>
      <c r="OA18" s="436" t="s">
        <v>141</v>
      </c>
      <c r="OB18" s="448">
        <v>54850667.799999997</v>
      </c>
      <c r="OC18" s="449"/>
      <c r="OD18" s="448">
        <f>OB18+OC18</f>
        <v>54850667.799999997</v>
      </c>
      <c r="OE18" s="452"/>
      <c r="OF18" s="452">
        <v>62201294.850000001</v>
      </c>
      <c r="OG18" s="451">
        <f>60000000</f>
        <v>60000000</v>
      </c>
      <c r="OH18" s="459"/>
      <c r="OI18" s="452"/>
      <c r="OJ18" s="450">
        <v>0</v>
      </c>
      <c r="OK18" s="460"/>
      <c r="OL18" s="450">
        <f>OF18+OI18</f>
        <v>62201294.850000001</v>
      </c>
      <c r="OM18" s="454">
        <f>+OG18+OJ18</f>
        <v>60000000</v>
      </c>
      <c r="ON18" s="461"/>
      <c r="OO18" s="450"/>
      <c r="OP18" s="594">
        <f>(OL18-OD18)/OD18</f>
        <v>0.13401162364699606</v>
      </c>
      <c r="OQ18" s="436" t="s">
        <v>141</v>
      </c>
      <c r="OR18" s="448">
        <v>54850667.799999997</v>
      </c>
      <c r="OS18" s="449"/>
      <c r="OT18" s="448">
        <f>OR18+OS18</f>
        <v>54850667.799999997</v>
      </c>
      <c r="OU18" s="452"/>
      <c r="OV18" s="452">
        <v>62201294.850000001</v>
      </c>
      <c r="OW18" s="451">
        <f>60000000</f>
        <v>60000000</v>
      </c>
      <c r="OX18" s="459"/>
      <c r="OY18" s="452"/>
      <c r="OZ18" s="450">
        <v>0</v>
      </c>
      <c r="PA18" s="460"/>
      <c r="PB18" s="450">
        <f>OV18+OY18</f>
        <v>62201294.850000001</v>
      </c>
      <c r="PC18" s="454">
        <f>+OW18+OZ18</f>
        <v>60000000</v>
      </c>
      <c r="PD18" s="461"/>
      <c r="PE18" s="450"/>
      <c r="PF18" s="594">
        <f>(PB18-OT18)/OT18</f>
        <v>0.13401162364699606</v>
      </c>
      <c r="PG18" s="436" t="s">
        <v>141</v>
      </c>
      <c r="PH18" s="448">
        <v>54850667.799999997</v>
      </c>
      <c r="PI18" s="449"/>
      <c r="PJ18" s="448">
        <f>PH18+PI18</f>
        <v>54850667.799999997</v>
      </c>
      <c r="PK18" s="452"/>
      <c r="PL18" s="452">
        <v>62201294.850000001</v>
      </c>
      <c r="PM18" s="451">
        <f>60000000</f>
        <v>60000000</v>
      </c>
      <c r="PN18" s="459"/>
      <c r="PO18" s="452"/>
      <c r="PP18" s="450">
        <v>0</v>
      </c>
      <c r="PQ18" s="460"/>
      <c r="PR18" s="450">
        <f>PL18+PO18</f>
        <v>62201294.850000001</v>
      </c>
      <c r="PS18" s="454">
        <f>+PM18+PP18</f>
        <v>60000000</v>
      </c>
      <c r="PT18" s="461"/>
      <c r="PU18" s="450"/>
      <c r="PV18" s="594">
        <f>(PR18-PJ18)/PJ18</f>
        <v>0.13401162364699606</v>
      </c>
      <c r="PW18" s="436" t="s">
        <v>141</v>
      </c>
      <c r="PX18" s="448">
        <v>54850667.799999997</v>
      </c>
      <c r="PY18" s="449"/>
      <c r="PZ18" s="448">
        <f>PX18+PY18</f>
        <v>54850667.799999997</v>
      </c>
      <c r="QA18" s="452"/>
      <c r="QB18" s="452">
        <v>62201294.850000001</v>
      </c>
      <c r="QC18" s="451">
        <f>60000000</f>
        <v>60000000</v>
      </c>
      <c r="QD18" s="459"/>
      <c r="QE18" s="452"/>
      <c r="QF18" s="450">
        <v>0</v>
      </c>
      <c r="QG18" s="460"/>
      <c r="QH18" s="450">
        <f>QB18+QE18</f>
        <v>62201294.850000001</v>
      </c>
      <c r="QI18" s="454">
        <f>+QC18+QF18</f>
        <v>60000000</v>
      </c>
      <c r="QJ18" s="461"/>
      <c r="QK18" s="450"/>
      <c r="QL18" s="594">
        <f>(QH18-PZ18)/PZ18</f>
        <v>0.13401162364699606</v>
      </c>
      <c r="QM18" s="436" t="s">
        <v>141</v>
      </c>
      <c r="QN18" s="448">
        <v>54850667.799999997</v>
      </c>
      <c r="QO18" s="449"/>
      <c r="QP18" s="448">
        <f>QN18+QO18</f>
        <v>54850667.799999997</v>
      </c>
      <c r="QQ18" s="452"/>
      <c r="QR18" s="452">
        <v>62201294.850000001</v>
      </c>
      <c r="QS18" s="451">
        <f>60000000</f>
        <v>60000000</v>
      </c>
      <c r="QT18" s="459"/>
      <c r="QU18" s="452"/>
      <c r="QV18" s="450">
        <v>0</v>
      </c>
      <c r="QW18" s="460"/>
      <c r="QX18" s="450">
        <f>QR18+QU18</f>
        <v>62201294.850000001</v>
      </c>
      <c r="QY18" s="454">
        <f>+QS18+QV18</f>
        <v>60000000</v>
      </c>
      <c r="QZ18" s="461"/>
      <c r="RA18" s="450"/>
      <c r="RB18" s="594">
        <f>(QX18-QP18)/QP18</f>
        <v>0.13401162364699606</v>
      </c>
      <c r="RC18" s="436" t="s">
        <v>141</v>
      </c>
      <c r="RD18" s="448">
        <v>54850667.799999997</v>
      </c>
      <c r="RE18" s="449"/>
      <c r="RF18" s="448">
        <f>RD18+RE18</f>
        <v>54850667.799999997</v>
      </c>
      <c r="RG18" s="452"/>
      <c r="RH18" s="452">
        <v>62201294.850000001</v>
      </c>
      <c r="RI18" s="451">
        <f>60000000</f>
        <v>60000000</v>
      </c>
      <c r="RJ18" s="459"/>
      <c r="RK18" s="452"/>
      <c r="RL18" s="450">
        <v>0</v>
      </c>
      <c r="RM18" s="460"/>
      <c r="RN18" s="450">
        <f>RH18+RK18</f>
        <v>62201294.850000001</v>
      </c>
      <c r="RO18" s="454">
        <f>+RI18+RL18</f>
        <v>60000000</v>
      </c>
      <c r="RP18" s="461"/>
      <c r="RQ18" s="450"/>
      <c r="RR18" s="594">
        <f>(RN18-RF18)/RF18</f>
        <v>0.13401162364699606</v>
      </c>
      <c r="RS18" s="436" t="s">
        <v>141</v>
      </c>
      <c r="RT18" s="448">
        <v>54850667.799999997</v>
      </c>
      <c r="RU18" s="449"/>
      <c r="RV18" s="448">
        <f>RT18+RU18</f>
        <v>54850667.799999997</v>
      </c>
      <c r="RW18" s="452"/>
      <c r="RX18" s="452">
        <v>62201294.850000001</v>
      </c>
      <c r="RY18" s="451">
        <f>60000000</f>
        <v>60000000</v>
      </c>
      <c r="RZ18" s="459"/>
      <c r="SA18" s="452"/>
      <c r="SB18" s="450">
        <v>0</v>
      </c>
      <c r="SC18" s="460"/>
      <c r="SD18" s="450">
        <f>RX18+SA18</f>
        <v>62201294.850000001</v>
      </c>
      <c r="SE18" s="454">
        <f>+RY18+SB18</f>
        <v>60000000</v>
      </c>
      <c r="SF18" s="461"/>
      <c r="SG18" s="450"/>
      <c r="SH18" s="594">
        <f>(SD18-RV18)/RV18</f>
        <v>0.13401162364699606</v>
      </c>
      <c r="SI18" s="436" t="s">
        <v>141</v>
      </c>
      <c r="SJ18" s="448">
        <v>54850667.799999997</v>
      </c>
      <c r="SK18" s="449"/>
      <c r="SL18" s="448">
        <f>SJ18+SK18</f>
        <v>54850667.799999997</v>
      </c>
      <c r="SM18" s="452"/>
      <c r="SN18" s="452">
        <v>62201294.850000001</v>
      </c>
      <c r="SO18" s="451">
        <f>60000000</f>
        <v>60000000</v>
      </c>
      <c r="SP18" s="459"/>
      <c r="SQ18" s="452"/>
      <c r="SR18" s="450">
        <v>0</v>
      </c>
      <c r="SS18" s="460"/>
      <c r="ST18" s="450">
        <f>SN18+SQ18</f>
        <v>62201294.850000001</v>
      </c>
      <c r="SU18" s="454">
        <f>+SO18+SR18</f>
        <v>60000000</v>
      </c>
      <c r="SV18" s="461"/>
      <c r="SW18" s="450"/>
      <c r="SX18" s="594">
        <f>(ST18-SL18)/SL18</f>
        <v>0.13401162364699606</v>
      </c>
      <c r="SY18" s="436" t="s">
        <v>141</v>
      </c>
      <c r="SZ18" s="448">
        <v>54850667.799999997</v>
      </c>
      <c r="TA18" s="449"/>
      <c r="TB18" s="448">
        <f>SZ18+TA18</f>
        <v>54850667.799999997</v>
      </c>
      <c r="TC18" s="452"/>
      <c r="TD18" s="452">
        <v>62201294.850000001</v>
      </c>
      <c r="TE18" s="451">
        <f>60000000</f>
        <v>60000000</v>
      </c>
      <c r="TF18" s="459"/>
      <c r="TG18" s="452"/>
      <c r="TH18" s="450">
        <v>0</v>
      </c>
      <c r="TI18" s="460"/>
      <c r="TJ18" s="450">
        <f>TD18+TG18</f>
        <v>62201294.850000001</v>
      </c>
      <c r="TK18" s="454">
        <f>+TE18+TH18</f>
        <v>60000000</v>
      </c>
      <c r="TL18" s="461"/>
      <c r="TM18" s="450"/>
      <c r="TN18" s="594">
        <f>(TJ18-TB18)/TB18</f>
        <v>0.13401162364699606</v>
      </c>
      <c r="TO18" s="436" t="s">
        <v>141</v>
      </c>
      <c r="TP18" s="448">
        <v>54850667.799999997</v>
      </c>
      <c r="TQ18" s="449"/>
      <c r="TR18" s="448">
        <f>TP18+TQ18</f>
        <v>54850667.799999997</v>
      </c>
      <c r="TS18" s="452"/>
      <c r="TT18" s="452">
        <v>62201294.850000001</v>
      </c>
      <c r="TU18" s="451">
        <f>60000000</f>
        <v>60000000</v>
      </c>
      <c r="TV18" s="459"/>
      <c r="TW18" s="452"/>
      <c r="TX18" s="450">
        <v>0</v>
      </c>
      <c r="TY18" s="460"/>
      <c r="TZ18" s="450">
        <f>TT18+TW18</f>
        <v>62201294.850000001</v>
      </c>
      <c r="UA18" s="454">
        <f>+TU18+TX18</f>
        <v>60000000</v>
      </c>
      <c r="UB18" s="461"/>
      <c r="UC18" s="450"/>
      <c r="UD18" s="594">
        <f>(TZ18-TR18)/TR18</f>
        <v>0.13401162364699606</v>
      </c>
      <c r="UE18" s="436" t="s">
        <v>141</v>
      </c>
      <c r="UF18" s="448">
        <v>54850667.799999997</v>
      </c>
      <c r="UG18" s="449"/>
      <c r="UH18" s="448">
        <f>UF18+UG18</f>
        <v>54850667.799999997</v>
      </c>
      <c r="UI18" s="452"/>
      <c r="UJ18" s="452">
        <v>62201294.850000001</v>
      </c>
      <c r="UK18" s="451">
        <f>60000000</f>
        <v>60000000</v>
      </c>
      <c r="UL18" s="459"/>
      <c r="UM18" s="452"/>
      <c r="UN18" s="450">
        <v>0</v>
      </c>
      <c r="UO18" s="460"/>
      <c r="UP18" s="450">
        <f>UJ18+UM18</f>
        <v>62201294.850000001</v>
      </c>
      <c r="UQ18" s="454">
        <f>+UK18+UN18</f>
        <v>60000000</v>
      </c>
      <c r="UR18" s="461"/>
      <c r="US18" s="450"/>
      <c r="UT18" s="594">
        <f>(UP18-UH18)/UH18</f>
        <v>0.13401162364699606</v>
      </c>
      <c r="UU18" s="436" t="s">
        <v>141</v>
      </c>
      <c r="UV18" s="448">
        <v>54850667.799999997</v>
      </c>
      <c r="UW18" s="449"/>
      <c r="UX18" s="448">
        <f>UV18+UW18</f>
        <v>54850667.799999997</v>
      </c>
      <c r="UY18" s="452"/>
      <c r="UZ18" s="452">
        <v>62201294.850000001</v>
      </c>
      <c r="VA18" s="451">
        <f>60000000</f>
        <v>60000000</v>
      </c>
      <c r="VB18" s="459"/>
      <c r="VC18" s="452"/>
      <c r="VD18" s="450">
        <v>0</v>
      </c>
      <c r="VE18" s="460"/>
      <c r="VF18" s="450">
        <f>UZ18+VC18</f>
        <v>62201294.850000001</v>
      </c>
      <c r="VG18" s="454">
        <f>+VA18+VD18</f>
        <v>60000000</v>
      </c>
      <c r="VH18" s="461"/>
      <c r="VI18" s="450"/>
      <c r="VJ18" s="594">
        <f>(VF18-UX18)/UX18</f>
        <v>0.13401162364699606</v>
      </c>
      <c r="VK18" s="436" t="s">
        <v>141</v>
      </c>
      <c r="VL18" s="448">
        <v>54850667.799999997</v>
      </c>
      <c r="VM18" s="449"/>
      <c r="VN18" s="448">
        <f>VL18+VM18</f>
        <v>54850667.799999997</v>
      </c>
      <c r="VO18" s="452"/>
      <c r="VP18" s="452">
        <v>62201294.850000001</v>
      </c>
      <c r="VQ18" s="451">
        <f>60000000</f>
        <v>60000000</v>
      </c>
      <c r="VR18" s="459"/>
      <c r="VS18" s="452"/>
      <c r="VT18" s="450">
        <v>0</v>
      </c>
      <c r="VU18" s="460"/>
      <c r="VV18" s="450">
        <f>VP18+VS18</f>
        <v>62201294.850000001</v>
      </c>
      <c r="VW18" s="454">
        <f>+VQ18+VT18</f>
        <v>60000000</v>
      </c>
      <c r="VX18" s="461"/>
      <c r="VY18" s="450"/>
      <c r="VZ18" s="594">
        <f>(VV18-VN18)/VN18</f>
        <v>0.13401162364699606</v>
      </c>
      <c r="WA18" s="436" t="s">
        <v>141</v>
      </c>
      <c r="WB18" s="448">
        <v>54850667.799999997</v>
      </c>
      <c r="WC18" s="449"/>
      <c r="WD18" s="448">
        <f>WB18+WC18</f>
        <v>54850667.799999997</v>
      </c>
      <c r="WE18" s="452"/>
      <c r="WF18" s="452">
        <v>62201294.850000001</v>
      </c>
      <c r="WG18" s="451">
        <f>60000000</f>
        <v>60000000</v>
      </c>
      <c r="WH18" s="459"/>
      <c r="WI18" s="452"/>
      <c r="WJ18" s="450">
        <v>0</v>
      </c>
      <c r="WK18" s="460"/>
      <c r="WL18" s="450">
        <f>WF18+WI18</f>
        <v>62201294.850000001</v>
      </c>
      <c r="WM18" s="454">
        <f>+WG18+WJ18</f>
        <v>60000000</v>
      </c>
      <c r="WN18" s="461"/>
      <c r="WO18" s="450"/>
      <c r="WP18" s="594">
        <f>(WL18-WD18)/WD18</f>
        <v>0.13401162364699606</v>
      </c>
      <c r="WQ18" s="436" t="s">
        <v>141</v>
      </c>
      <c r="WR18" s="448">
        <v>54850667.799999997</v>
      </c>
      <c r="WS18" s="449"/>
      <c r="WT18" s="448">
        <f>WR18+WS18</f>
        <v>54850667.799999997</v>
      </c>
      <c r="WU18" s="452"/>
      <c r="WV18" s="452">
        <v>62201294.850000001</v>
      </c>
      <c r="WW18" s="451">
        <f>60000000</f>
        <v>60000000</v>
      </c>
      <c r="WX18" s="459"/>
      <c r="WY18" s="452"/>
      <c r="WZ18" s="450">
        <v>0</v>
      </c>
      <c r="XA18" s="460"/>
      <c r="XB18" s="450">
        <f>WV18+WY18</f>
        <v>62201294.850000001</v>
      </c>
      <c r="XC18" s="454">
        <f>+WW18+WZ18</f>
        <v>60000000</v>
      </c>
      <c r="XD18" s="461"/>
      <c r="XE18" s="450"/>
      <c r="XF18" s="594">
        <f>(XB18-WT18)/WT18</f>
        <v>0.13401162364699606</v>
      </c>
      <c r="XG18" s="436" t="s">
        <v>141</v>
      </c>
      <c r="XH18" s="448">
        <v>54850667.799999997</v>
      </c>
      <c r="XI18" s="449"/>
      <c r="XJ18" s="448">
        <f>XH18+XI18</f>
        <v>54850667.799999997</v>
      </c>
      <c r="XK18" s="452"/>
      <c r="XL18" s="452">
        <v>62201294.850000001</v>
      </c>
      <c r="XM18" s="451">
        <f>60000000</f>
        <v>60000000</v>
      </c>
      <c r="XN18" s="459"/>
      <c r="XO18" s="452"/>
      <c r="XP18" s="450">
        <v>0</v>
      </c>
      <c r="XQ18" s="460"/>
      <c r="XR18" s="450">
        <f>XL18+XO18</f>
        <v>62201294.850000001</v>
      </c>
      <c r="XS18" s="454">
        <f>+XM18+XP18</f>
        <v>60000000</v>
      </c>
      <c r="XT18" s="461"/>
      <c r="XU18" s="450"/>
      <c r="XV18" s="594">
        <f>(XR18-XJ18)/XJ18</f>
        <v>0.13401162364699606</v>
      </c>
      <c r="XW18" s="436" t="s">
        <v>141</v>
      </c>
      <c r="XX18" s="448">
        <v>54850667.799999997</v>
      </c>
      <c r="XY18" s="449"/>
      <c r="XZ18" s="448">
        <f>XX18+XY18</f>
        <v>54850667.799999997</v>
      </c>
      <c r="YA18" s="452"/>
      <c r="YB18" s="452">
        <v>62201294.850000001</v>
      </c>
      <c r="YC18" s="451">
        <f>60000000</f>
        <v>60000000</v>
      </c>
      <c r="YD18" s="459"/>
      <c r="YE18" s="452"/>
      <c r="YF18" s="450">
        <v>0</v>
      </c>
      <c r="YG18" s="460"/>
      <c r="YH18" s="450">
        <f>YB18+YE18</f>
        <v>62201294.850000001</v>
      </c>
      <c r="YI18" s="454">
        <f>+YC18+YF18</f>
        <v>60000000</v>
      </c>
      <c r="YJ18" s="461"/>
      <c r="YK18" s="450"/>
      <c r="YL18" s="594">
        <f>(YH18-XZ18)/XZ18</f>
        <v>0.13401162364699606</v>
      </c>
      <c r="YM18" s="436" t="s">
        <v>141</v>
      </c>
      <c r="YN18" s="448">
        <v>54850667.799999997</v>
      </c>
      <c r="YO18" s="449"/>
      <c r="YP18" s="448">
        <f>YN18+YO18</f>
        <v>54850667.799999997</v>
      </c>
      <c r="YQ18" s="452"/>
      <c r="YR18" s="452">
        <v>62201294.850000001</v>
      </c>
      <c r="YS18" s="451">
        <f>60000000</f>
        <v>60000000</v>
      </c>
      <c r="YT18" s="459"/>
      <c r="YU18" s="452"/>
      <c r="YV18" s="450">
        <v>0</v>
      </c>
      <c r="YW18" s="460"/>
      <c r="YX18" s="450">
        <f>YR18+YU18</f>
        <v>62201294.850000001</v>
      </c>
      <c r="YY18" s="454">
        <f>+YS18+YV18</f>
        <v>60000000</v>
      </c>
      <c r="YZ18" s="461"/>
      <c r="ZA18" s="450"/>
      <c r="ZB18" s="594">
        <f>(YX18-YP18)/YP18</f>
        <v>0.13401162364699606</v>
      </c>
      <c r="ZC18" s="436" t="s">
        <v>141</v>
      </c>
      <c r="ZD18" s="448">
        <v>54850667.799999997</v>
      </c>
      <c r="ZE18" s="449"/>
      <c r="ZF18" s="448">
        <f>ZD18+ZE18</f>
        <v>54850667.799999997</v>
      </c>
      <c r="ZG18" s="452"/>
      <c r="ZH18" s="452">
        <v>62201294.850000001</v>
      </c>
      <c r="ZI18" s="451">
        <f>60000000</f>
        <v>60000000</v>
      </c>
      <c r="ZJ18" s="459"/>
      <c r="ZK18" s="452"/>
      <c r="ZL18" s="450">
        <v>0</v>
      </c>
      <c r="ZM18" s="460"/>
      <c r="ZN18" s="450">
        <f>ZH18+ZK18</f>
        <v>62201294.850000001</v>
      </c>
      <c r="ZO18" s="454">
        <f>+ZI18+ZL18</f>
        <v>60000000</v>
      </c>
      <c r="ZP18" s="461"/>
      <c r="ZQ18" s="450"/>
      <c r="ZR18" s="594">
        <f>(ZN18-ZF18)/ZF18</f>
        <v>0.13401162364699606</v>
      </c>
      <c r="ZS18" s="436" t="s">
        <v>141</v>
      </c>
      <c r="ZT18" s="448">
        <v>54850667.799999997</v>
      </c>
      <c r="ZU18" s="449"/>
      <c r="ZV18" s="448">
        <f>ZT18+ZU18</f>
        <v>54850667.799999997</v>
      </c>
      <c r="ZW18" s="452"/>
      <c r="ZX18" s="452">
        <v>62201294.850000001</v>
      </c>
      <c r="ZY18" s="451">
        <f>60000000</f>
        <v>60000000</v>
      </c>
      <c r="ZZ18" s="459"/>
      <c r="AAA18" s="452"/>
      <c r="AAB18" s="450">
        <v>0</v>
      </c>
      <c r="AAC18" s="460"/>
      <c r="AAD18" s="450">
        <f>ZX18+AAA18</f>
        <v>62201294.850000001</v>
      </c>
      <c r="AAE18" s="454">
        <f>+ZY18+AAB18</f>
        <v>60000000</v>
      </c>
      <c r="AAF18" s="461"/>
      <c r="AAG18" s="450"/>
      <c r="AAH18" s="594">
        <f>(AAD18-ZV18)/ZV18</f>
        <v>0.13401162364699606</v>
      </c>
      <c r="AAI18" s="436" t="s">
        <v>141</v>
      </c>
      <c r="AAJ18" s="448">
        <v>54850667.799999997</v>
      </c>
      <c r="AAK18" s="449"/>
      <c r="AAL18" s="448">
        <f>AAJ18+AAK18</f>
        <v>54850667.799999997</v>
      </c>
      <c r="AAM18" s="452"/>
      <c r="AAN18" s="452">
        <v>62201294.850000001</v>
      </c>
      <c r="AAO18" s="451">
        <f>60000000</f>
        <v>60000000</v>
      </c>
      <c r="AAP18" s="459"/>
      <c r="AAQ18" s="452"/>
      <c r="AAR18" s="450">
        <v>0</v>
      </c>
      <c r="AAS18" s="460"/>
      <c r="AAT18" s="450">
        <f>AAN18+AAQ18</f>
        <v>62201294.850000001</v>
      </c>
      <c r="AAU18" s="454">
        <f>+AAO18+AAR18</f>
        <v>60000000</v>
      </c>
      <c r="AAV18" s="461"/>
      <c r="AAW18" s="450"/>
      <c r="AAX18" s="594">
        <f>(AAT18-AAL18)/AAL18</f>
        <v>0.13401162364699606</v>
      </c>
      <c r="AAY18" s="436" t="s">
        <v>141</v>
      </c>
      <c r="AAZ18" s="448">
        <v>54850667.799999997</v>
      </c>
      <c r="ABA18" s="449"/>
      <c r="ABB18" s="448">
        <f>AAZ18+ABA18</f>
        <v>54850667.799999997</v>
      </c>
      <c r="ABC18" s="452"/>
      <c r="ABD18" s="452">
        <v>62201294.850000001</v>
      </c>
      <c r="ABE18" s="451">
        <f>60000000</f>
        <v>60000000</v>
      </c>
      <c r="ABF18" s="459"/>
      <c r="ABG18" s="452"/>
      <c r="ABH18" s="450">
        <v>0</v>
      </c>
      <c r="ABI18" s="460"/>
      <c r="ABJ18" s="450">
        <f>ABD18+ABG18</f>
        <v>62201294.850000001</v>
      </c>
      <c r="ABK18" s="454">
        <f>+ABE18+ABH18</f>
        <v>60000000</v>
      </c>
      <c r="ABL18" s="461"/>
      <c r="ABM18" s="450"/>
      <c r="ABN18" s="594">
        <f>(ABJ18-ABB18)/ABB18</f>
        <v>0.13401162364699606</v>
      </c>
      <c r="ABO18" s="436" t="s">
        <v>141</v>
      </c>
      <c r="ABP18" s="448">
        <v>54850667.799999997</v>
      </c>
      <c r="ABQ18" s="449"/>
      <c r="ABR18" s="448">
        <f>ABP18+ABQ18</f>
        <v>54850667.799999997</v>
      </c>
      <c r="ABS18" s="452"/>
      <c r="ABT18" s="452">
        <v>62201294.850000001</v>
      </c>
      <c r="ABU18" s="451">
        <f>60000000</f>
        <v>60000000</v>
      </c>
      <c r="ABV18" s="459"/>
      <c r="ABW18" s="452"/>
      <c r="ABX18" s="450">
        <v>0</v>
      </c>
      <c r="ABY18" s="460"/>
      <c r="ABZ18" s="450">
        <f>ABT18+ABW18</f>
        <v>62201294.850000001</v>
      </c>
      <c r="ACA18" s="454">
        <f>+ABU18+ABX18</f>
        <v>60000000</v>
      </c>
      <c r="ACB18" s="461"/>
      <c r="ACC18" s="450"/>
      <c r="ACD18" s="594">
        <f>(ABZ18-ABR18)/ABR18</f>
        <v>0.13401162364699606</v>
      </c>
      <c r="ACE18" s="436" t="s">
        <v>141</v>
      </c>
      <c r="ACF18" s="448">
        <v>54850667.799999997</v>
      </c>
      <c r="ACG18" s="449"/>
      <c r="ACH18" s="448">
        <f>ACF18+ACG18</f>
        <v>54850667.799999997</v>
      </c>
      <c r="ACI18" s="452"/>
      <c r="ACJ18" s="452">
        <v>62201294.850000001</v>
      </c>
      <c r="ACK18" s="451">
        <f>60000000</f>
        <v>60000000</v>
      </c>
      <c r="ACL18" s="459"/>
      <c r="ACM18" s="452"/>
      <c r="ACN18" s="450">
        <v>0</v>
      </c>
      <c r="ACO18" s="460"/>
      <c r="ACP18" s="450">
        <f>ACJ18+ACM18</f>
        <v>62201294.850000001</v>
      </c>
      <c r="ACQ18" s="454">
        <f>+ACK18+ACN18</f>
        <v>60000000</v>
      </c>
      <c r="ACR18" s="461"/>
      <c r="ACS18" s="450"/>
      <c r="ACT18" s="594">
        <f>(ACP18-ACH18)/ACH18</f>
        <v>0.13401162364699606</v>
      </c>
      <c r="ACU18" s="436" t="s">
        <v>141</v>
      </c>
      <c r="ACV18" s="448">
        <v>54850667.799999997</v>
      </c>
      <c r="ACW18" s="449"/>
      <c r="ACX18" s="448">
        <f>ACV18+ACW18</f>
        <v>54850667.799999997</v>
      </c>
      <c r="ACY18" s="452"/>
      <c r="ACZ18" s="452">
        <v>62201294.850000001</v>
      </c>
      <c r="ADA18" s="451">
        <f>60000000</f>
        <v>60000000</v>
      </c>
      <c r="ADB18" s="459"/>
      <c r="ADC18" s="452"/>
      <c r="ADD18" s="450">
        <v>0</v>
      </c>
      <c r="ADE18" s="460"/>
      <c r="ADF18" s="450">
        <f>ACZ18+ADC18</f>
        <v>62201294.850000001</v>
      </c>
      <c r="ADG18" s="454">
        <f>+ADA18+ADD18</f>
        <v>60000000</v>
      </c>
      <c r="ADH18" s="461"/>
      <c r="ADI18" s="450"/>
      <c r="ADJ18" s="594">
        <f>(ADF18-ACX18)/ACX18</f>
        <v>0.13401162364699606</v>
      </c>
      <c r="ADK18" s="436" t="s">
        <v>141</v>
      </c>
      <c r="ADL18" s="448">
        <v>54850667.799999997</v>
      </c>
      <c r="ADM18" s="449"/>
      <c r="ADN18" s="448">
        <f>ADL18+ADM18</f>
        <v>54850667.799999997</v>
      </c>
      <c r="ADO18" s="452"/>
      <c r="ADP18" s="452">
        <v>62201294.850000001</v>
      </c>
      <c r="ADQ18" s="451">
        <f>60000000</f>
        <v>60000000</v>
      </c>
      <c r="ADR18" s="459"/>
      <c r="ADS18" s="452"/>
      <c r="ADT18" s="450">
        <v>0</v>
      </c>
      <c r="ADU18" s="460"/>
      <c r="ADV18" s="450">
        <f>ADP18+ADS18</f>
        <v>62201294.850000001</v>
      </c>
      <c r="ADW18" s="454">
        <f>+ADQ18+ADT18</f>
        <v>60000000</v>
      </c>
      <c r="ADX18" s="461"/>
      <c r="ADY18" s="450"/>
      <c r="ADZ18" s="594">
        <f>(ADV18-ADN18)/ADN18</f>
        <v>0.13401162364699606</v>
      </c>
      <c r="AEA18" s="436" t="s">
        <v>141</v>
      </c>
      <c r="AEB18" s="448">
        <v>54850667.799999997</v>
      </c>
      <c r="AEC18" s="449"/>
      <c r="AED18" s="448">
        <f>AEB18+AEC18</f>
        <v>54850667.799999997</v>
      </c>
      <c r="AEE18" s="452"/>
      <c r="AEF18" s="452">
        <v>62201294.850000001</v>
      </c>
      <c r="AEG18" s="451">
        <f>60000000</f>
        <v>60000000</v>
      </c>
      <c r="AEH18" s="459"/>
      <c r="AEI18" s="452"/>
      <c r="AEJ18" s="450">
        <v>0</v>
      </c>
      <c r="AEK18" s="460"/>
      <c r="AEL18" s="450">
        <f>AEF18+AEI18</f>
        <v>62201294.850000001</v>
      </c>
      <c r="AEM18" s="454">
        <f>+AEG18+AEJ18</f>
        <v>60000000</v>
      </c>
      <c r="AEN18" s="461"/>
      <c r="AEO18" s="450"/>
      <c r="AEP18" s="594">
        <f>(AEL18-AED18)/AED18</f>
        <v>0.13401162364699606</v>
      </c>
      <c r="AEQ18" s="436" t="s">
        <v>141</v>
      </c>
      <c r="AER18" s="448">
        <v>54850667.799999997</v>
      </c>
      <c r="AES18" s="449"/>
      <c r="AET18" s="448">
        <f>AER18+AES18</f>
        <v>54850667.799999997</v>
      </c>
      <c r="AEU18" s="452"/>
      <c r="AEV18" s="452">
        <v>62201294.850000001</v>
      </c>
      <c r="AEW18" s="451">
        <f>60000000</f>
        <v>60000000</v>
      </c>
      <c r="AEX18" s="459"/>
      <c r="AEY18" s="452"/>
      <c r="AEZ18" s="450">
        <v>0</v>
      </c>
      <c r="AFA18" s="460"/>
      <c r="AFB18" s="450">
        <f>AEV18+AEY18</f>
        <v>62201294.850000001</v>
      </c>
      <c r="AFC18" s="454">
        <f>+AEW18+AEZ18</f>
        <v>60000000</v>
      </c>
      <c r="AFD18" s="461"/>
      <c r="AFE18" s="450"/>
      <c r="AFF18" s="594">
        <f>(AFB18-AET18)/AET18</f>
        <v>0.13401162364699606</v>
      </c>
      <c r="AFG18" s="436" t="s">
        <v>141</v>
      </c>
      <c r="AFH18" s="448">
        <v>54850667.799999997</v>
      </c>
      <c r="AFI18" s="449"/>
      <c r="AFJ18" s="448">
        <f>AFH18+AFI18</f>
        <v>54850667.799999997</v>
      </c>
      <c r="AFK18" s="452"/>
      <c r="AFL18" s="452">
        <v>62201294.850000001</v>
      </c>
      <c r="AFM18" s="451">
        <f>60000000</f>
        <v>60000000</v>
      </c>
      <c r="AFN18" s="459"/>
      <c r="AFO18" s="452"/>
      <c r="AFP18" s="450">
        <v>0</v>
      </c>
      <c r="AFQ18" s="460"/>
      <c r="AFR18" s="450">
        <f>AFL18+AFO18</f>
        <v>62201294.850000001</v>
      </c>
      <c r="AFS18" s="454">
        <f>+AFM18+AFP18</f>
        <v>60000000</v>
      </c>
      <c r="AFT18" s="461"/>
      <c r="AFU18" s="450"/>
      <c r="AFV18" s="594">
        <f>(AFR18-AFJ18)/AFJ18</f>
        <v>0.13401162364699606</v>
      </c>
      <c r="AFW18" s="436" t="s">
        <v>141</v>
      </c>
      <c r="AFX18" s="448">
        <v>54850667.799999997</v>
      </c>
      <c r="AFY18" s="449"/>
      <c r="AFZ18" s="448">
        <f>AFX18+AFY18</f>
        <v>54850667.799999997</v>
      </c>
      <c r="AGA18" s="452"/>
      <c r="AGB18" s="452">
        <v>62201294.850000001</v>
      </c>
      <c r="AGC18" s="451">
        <f>60000000</f>
        <v>60000000</v>
      </c>
      <c r="AGD18" s="459"/>
      <c r="AGE18" s="452"/>
      <c r="AGF18" s="450">
        <v>0</v>
      </c>
      <c r="AGG18" s="460"/>
      <c r="AGH18" s="450">
        <f>AGB18+AGE18</f>
        <v>62201294.850000001</v>
      </c>
      <c r="AGI18" s="454">
        <f>+AGC18+AGF18</f>
        <v>60000000</v>
      </c>
      <c r="AGJ18" s="461"/>
      <c r="AGK18" s="450"/>
      <c r="AGL18" s="594">
        <f>(AGH18-AFZ18)/AFZ18</f>
        <v>0.13401162364699606</v>
      </c>
      <c r="AGM18" s="436" t="s">
        <v>141</v>
      </c>
      <c r="AGN18" s="448">
        <v>54850667.799999997</v>
      </c>
      <c r="AGO18" s="449"/>
      <c r="AGP18" s="448">
        <f>AGN18+AGO18</f>
        <v>54850667.799999997</v>
      </c>
      <c r="AGQ18" s="452"/>
      <c r="AGR18" s="452">
        <v>62201294.850000001</v>
      </c>
      <c r="AGS18" s="451">
        <f>60000000</f>
        <v>60000000</v>
      </c>
      <c r="AGT18" s="459"/>
      <c r="AGU18" s="452"/>
      <c r="AGV18" s="450">
        <v>0</v>
      </c>
      <c r="AGW18" s="460"/>
      <c r="AGX18" s="450">
        <f>AGR18+AGU18</f>
        <v>62201294.850000001</v>
      </c>
      <c r="AGY18" s="454">
        <f>+AGS18+AGV18</f>
        <v>60000000</v>
      </c>
      <c r="AGZ18" s="461"/>
      <c r="AHA18" s="450"/>
      <c r="AHB18" s="594">
        <f>(AGX18-AGP18)/AGP18</f>
        <v>0.13401162364699606</v>
      </c>
      <c r="AHC18" s="436" t="s">
        <v>141</v>
      </c>
      <c r="AHD18" s="448">
        <v>54850667.799999997</v>
      </c>
      <c r="AHE18" s="449"/>
      <c r="AHF18" s="448">
        <f>AHD18+AHE18</f>
        <v>54850667.799999997</v>
      </c>
      <c r="AHG18" s="452"/>
      <c r="AHH18" s="452">
        <v>62201294.850000001</v>
      </c>
      <c r="AHI18" s="451">
        <f>60000000</f>
        <v>60000000</v>
      </c>
      <c r="AHJ18" s="459"/>
      <c r="AHK18" s="452"/>
      <c r="AHL18" s="450">
        <v>0</v>
      </c>
      <c r="AHM18" s="460"/>
      <c r="AHN18" s="450">
        <f>AHH18+AHK18</f>
        <v>62201294.850000001</v>
      </c>
      <c r="AHO18" s="454">
        <f>+AHI18+AHL18</f>
        <v>60000000</v>
      </c>
      <c r="AHP18" s="461"/>
      <c r="AHQ18" s="450"/>
      <c r="AHR18" s="594">
        <f>(AHN18-AHF18)/AHF18</f>
        <v>0.13401162364699606</v>
      </c>
      <c r="AHS18" s="436" t="s">
        <v>141</v>
      </c>
      <c r="AHT18" s="448">
        <v>54850667.799999997</v>
      </c>
      <c r="AHU18" s="449"/>
      <c r="AHV18" s="448">
        <f>AHT18+AHU18</f>
        <v>54850667.799999997</v>
      </c>
      <c r="AHW18" s="452"/>
      <c r="AHX18" s="452">
        <v>62201294.850000001</v>
      </c>
      <c r="AHY18" s="451">
        <f>60000000</f>
        <v>60000000</v>
      </c>
      <c r="AHZ18" s="459"/>
      <c r="AIA18" s="452"/>
      <c r="AIB18" s="450">
        <v>0</v>
      </c>
      <c r="AIC18" s="460"/>
      <c r="AID18" s="450">
        <f>AHX18+AIA18</f>
        <v>62201294.850000001</v>
      </c>
      <c r="AIE18" s="454">
        <f>+AHY18+AIB18</f>
        <v>60000000</v>
      </c>
      <c r="AIF18" s="461"/>
      <c r="AIG18" s="450"/>
      <c r="AIH18" s="594">
        <f>(AID18-AHV18)/AHV18</f>
        <v>0.13401162364699606</v>
      </c>
      <c r="AII18" s="436" t="s">
        <v>141</v>
      </c>
      <c r="AIJ18" s="448">
        <v>54850667.799999997</v>
      </c>
      <c r="AIK18" s="449"/>
      <c r="AIL18" s="448">
        <f>AIJ18+AIK18</f>
        <v>54850667.799999997</v>
      </c>
      <c r="AIM18" s="452"/>
      <c r="AIN18" s="452">
        <v>62201294.850000001</v>
      </c>
      <c r="AIO18" s="451">
        <f>60000000</f>
        <v>60000000</v>
      </c>
      <c r="AIP18" s="459"/>
      <c r="AIQ18" s="452"/>
      <c r="AIR18" s="450">
        <v>0</v>
      </c>
      <c r="AIS18" s="460"/>
      <c r="AIT18" s="450">
        <f>AIN18+AIQ18</f>
        <v>62201294.850000001</v>
      </c>
      <c r="AIU18" s="454">
        <f>+AIO18+AIR18</f>
        <v>60000000</v>
      </c>
      <c r="AIV18" s="461"/>
      <c r="AIW18" s="450"/>
      <c r="AIX18" s="594">
        <f>(AIT18-AIL18)/AIL18</f>
        <v>0.13401162364699606</v>
      </c>
      <c r="AIY18" s="436" t="s">
        <v>141</v>
      </c>
      <c r="AIZ18" s="448">
        <v>54850667.799999997</v>
      </c>
      <c r="AJA18" s="449"/>
      <c r="AJB18" s="448">
        <f>AIZ18+AJA18</f>
        <v>54850667.799999997</v>
      </c>
      <c r="AJC18" s="452"/>
      <c r="AJD18" s="452">
        <v>62201294.850000001</v>
      </c>
      <c r="AJE18" s="451">
        <f>60000000</f>
        <v>60000000</v>
      </c>
      <c r="AJF18" s="459"/>
      <c r="AJG18" s="452"/>
      <c r="AJH18" s="450">
        <v>0</v>
      </c>
      <c r="AJI18" s="460"/>
      <c r="AJJ18" s="450">
        <f>AJD18+AJG18</f>
        <v>62201294.850000001</v>
      </c>
      <c r="AJK18" s="454">
        <f>+AJE18+AJH18</f>
        <v>60000000</v>
      </c>
      <c r="AJL18" s="461"/>
      <c r="AJM18" s="450"/>
      <c r="AJN18" s="594">
        <f>(AJJ18-AJB18)/AJB18</f>
        <v>0.13401162364699606</v>
      </c>
      <c r="AJO18" s="436" t="s">
        <v>141</v>
      </c>
      <c r="AJP18" s="448">
        <v>54850667.799999997</v>
      </c>
      <c r="AJQ18" s="449"/>
      <c r="AJR18" s="448">
        <f>AJP18+AJQ18</f>
        <v>54850667.799999997</v>
      </c>
      <c r="AJS18" s="452"/>
      <c r="AJT18" s="452">
        <v>62201294.850000001</v>
      </c>
      <c r="AJU18" s="451">
        <f>60000000</f>
        <v>60000000</v>
      </c>
      <c r="AJV18" s="459"/>
      <c r="AJW18" s="452"/>
      <c r="AJX18" s="450">
        <v>0</v>
      </c>
      <c r="AJY18" s="460"/>
      <c r="AJZ18" s="450">
        <f>AJT18+AJW18</f>
        <v>62201294.850000001</v>
      </c>
      <c r="AKA18" s="454">
        <f>+AJU18+AJX18</f>
        <v>60000000</v>
      </c>
      <c r="AKB18" s="461"/>
      <c r="AKC18" s="450"/>
      <c r="AKD18" s="594">
        <f>(AJZ18-AJR18)/AJR18</f>
        <v>0.13401162364699606</v>
      </c>
      <c r="AKE18" s="436" t="s">
        <v>141</v>
      </c>
      <c r="AKF18" s="448">
        <v>54850667.799999997</v>
      </c>
      <c r="AKG18" s="449"/>
      <c r="AKH18" s="448">
        <f>AKF18+AKG18</f>
        <v>54850667.799999997</v>
      </c>
      <c r="AKI18" s="452"/>
      <c r="AKJ18" s="452">
        <v>62201294.850000001</v>
      </c>
      <c r="AKK18" s="451">
        <f>60000000</f>
        <v>60000000</v>
      </c>
      <c r="AKL18" s="459"/>
      <c r="AKM18" s="452"/>
      <c r="AKN18" s="450">
        <v>0</v>
      </c>
      <c r="AKO18" s="460"/>
      <c r="AKP18" s="450">
        <f>AKJ18+AKM18</f>
        <v>62201294.850000001</v>
      </c>
      <c r="AKQ18" s="454">
        <f>+AKK18+AKN18</f>
        <v>60000000</v>
      </c>
      <c r="AKR18" s="461"/>
      <c r="AKS18" s="450"/>
      <c r="AKT18" s="594">
        <f>(AKP18-AKH18)/AKH18</f>
        <v>0.13401162364699606</v>
      </c>
      <c r="AKU18" s="436" t="s">
        <v>141</v>
      </c>
      <c r="AKV18" s="448">
        <v>54850667.799999997</v>
      </c>
      <c r="AKW18" s="449"/>
      <c r="AKX18" s="448">
        <f>AKV18+AKW18</f>
        <v>54850667.799999997</v>
      </c>
      <c r="AKY18" s="452"/>
      <c r="AKZ18" s="452">
        <v>62201294.850000001</v>
      </c>
      <c r="ALA18" s="451">
        <f>60000000</f>
        <v>60000000</v>
      </c>
      <c r="ALB18" s="459"/>
      <c r="ALC18" s="452"/>
      <c r="ALD18" s="450">
        <v>0</v>
      </c>
      <c r="ALE18" s="460"/>
      <c r="ALF18" s="450">
        <f>AKZ18+ALC18</f>
        <v>62201294.850000001</v>
      </c>
      <c r="ALG18" s="454">
        <f>+ALA18+ALD18</f>
        <v>60000000</v>
      </c>
      <c r="ALH18" s="461"/>
      <c r="ALI18" s="450"/>
      <c r="ALJ18" s="594">
        <f>(ALF18-AKX18)/AKX18</f>
        <v>0.13401162364699606</v>
      </c>
      <c r="ALK18" s="436" t="s">
        <v>141</v>
      </c>
      <c r="ALL18" s="448">
        <v>54850667.799999997</v>
      </c>
      <c r="ALM18" s="449"/>
      <c r="ALN18" s="448">
        <f>ALL18+ALM18</f>
        <v>54850667.799999997</v>
      </c>
      <c r="ALO18" s="452"/>
      <c r="ALP18" s="452">
        <v>62201294.850000001</v>
      </c>
      <c r="ALQ18" s="451">
        <f>60000000</f>
        <v>60000000</v>
      </c>
      <c r="ALR18" s="459"/>
      <c r="ALS18" s="452"/>
      <c r="ALT18" s="450">
        <v>0</v>
      </c>
      <c r="ALU18" s="460"/>
      <c r="ALV18" s="450">
        <f>ALP18+ALS18</f>
        <v>62201294.850000001</v>
      </c>
      <c r="ALW18" s="454">
        <f>+ALQ18+ALT18</f>
        <v>60000000</v>
      </c>
      <c r="ALX18" s="461"/>
      <c r="ALY18" s="450"/>
      <c r="ALZ18" s="594">
        <f>(ALV18-ALN18)/ALN18</f>
        <v>0.13401162364699606</v>
      </c>
      <c r="AMA18" s="436" t="s">
        <v>141</v>
      </c>
      <c r="AMB18" s="448">
        <v>54850667.799999997</v>
      </c>
      <c r="AMC18" s="449"/>
      <c r="AMD18" s="448">
        <f>AMB18+AMC18</f>
        <v>54850667.799999997</v>
      </c>
      <c r="AME18" s="452"/>
      <c r="AMF18" s="452">
        <v>62201294.850000001</v>
      </c>
      <c r="AMG18" s="451">
        <f>60000000</f>
        <v>60000000</v>
      </c>
      <c r="AMH18" s="459"/>
      <c r="AMI18" s="452"/>
      <c r="AMJ18" s="450">
        <v>0</v>
      </c>
      <c r="AMK18" s="460"/>
      <c r="AML18" s="450">
        <f>AMF18+AMI18</f>
        <v>62201294.850000001</v>
      </c>
      <c r="AMM18" s="454">
        <f>+AMG18+AMJ18</f>
        <v>60000000</v>
      </c>
      <c r="AMN18" s="461"/>
      <c r="AMO18" s="450"/>
      <c r="AMP18" s="594">
        <f>(AML18-AMD18)/AMD18</f>
        <v>0.13401162364699606</v>
      </c>
      <c r="AMQ18" s="436" t="s">
        <v>141</v>
      </c>
      <c r="AMR18" s="448">
        <v>54850667.799999997</v>
      </c>
      <c r="AMS18" s="449"/>
      <c r="AMT18" s="448">
        <f>AMR18+AMS18</f>
        <v>54850667.799999997</v>
      </c>
      <c r="AMU18" s="452"/>
      <c r="AMV18" s="452">
        <v>62201294.850000001</v>
      </c>
      <c r="AMW18" s="451">
        <f>60000000</f>
        <v>60000000</v>
      </c>
      <c r="AMX18" s="459"/>
      <c r="AMY18" s="452"/>
      <c r="AMZ18" s="450">
        <v>0</v>
      </c>
      <c r="ANA18" s="460"/>
      <c r="ANB18" s="450">
        <f>AMV18+AMY18</f>
        <v>62201294.850000001</v>
      </c>
      <c r="ANC18" s="454">
        <f>+AMW18+AMZ18</f>
        <v>60000000</v>
      </c>
      <c r="AND18" s="461"/>
      <c r="ANE18" s="450"/>
      <c r="ANF18" s="594">
        <f>(ANB18-AMT18)/AMT18</f>
        <v>0.13401162364699606</v>
      </c>
      <c r="ANG18" s="436" t="s">
        <v>141</v>
      </c>
      <c r="ANH18" s="448">
        <v>54850667.799999997</v>
      </c>
      <c r="ANI18" s="449"/>
      <c r="ANJ18" s="448">
        <f>ANH18+ANI18</f>
        <v>54850667.799999997</v>
      </c>
      <c r="ANK18" s="452"/>
      <c r="ANL18" s="452">
        <v>62201294.850000001</v>
      </c>
      <c r="ANM18" s="451">
        <f>60000000</f>
        <v>60000000</v>
      </c>
      <c r="ANN18" s="459"/>
      <c r="ANO18" s="452"/>
      <c r="ANP18" s="450">
        <v>0</v>
      </c>
      <c r="ANQ18" s="460"/>
      <c r="ANR18" s="450">
        <f>ANL18+ANO18</f>
        <v>62201294.850000001</v>
      </c>
      <c r="ANS18" s="454">
        <f>+ANM18+ANP18</f>
        <v>60000000</v>
      </c>
      <c r="ANT18" s="461"/>
      <c r="ANU18" s="450"/>
      <c r="ANV18" s="594">
        <f>(ANR18-ANJ18)/ANJ18</f>
        <v>0.13401162364699606</v>
      </c>
      <c r="ANW18" s="436" t="s">
        <v>141</v>
      </c>
      <c r="ANX18" s="448">
        <v>54850667.799999997</v>
      </c>
      <c r="ANY18" s="449"/>
      <c r="ANZ18" s="448">
        <f>ANX18+ANY18</f>
        <v>54850667.799999997</v>
      </c>
      <c r="AOA18" s="452"/>
      <c r="AOB18" s="452">
        <v>62201294.850000001</v>
      </c>
      <c r="AOC18" s="451">
        <f>60000000</f>
        <v>60000000</v>
      </c>
      <c r="AOD18" s="459"/>
      <c r="AOE18" s="452"/>
      <c r="AOF18" s="450">
        <v>0</v>
      </c>
      <c r="AOG18" s="460"/>
      <c r="AOH18" s="450">
        <f>AOB18+AOE18</f>
        <v>62201294.850000001</v>
      </c>
      <c r="AOI18" s="454">
        <f>+AOC18+AOF18</f>
        <v>60000000</v>
      </c>
      <c r="AOJ18" s="461"/>
      <c r="AOK18" s="450"/>
      <c r="AOL18" s="594">
        <f>(AOH18-ANZ18)/ANZ18</f>
        <v>0.13401162364699606</v>
      </c>
      <c r="AOM18" s="436" t="s">
        <v>141</v>
      </c>
      <c r="AON18" s="448">
        <v>54850667.799999997</v>
      </c>
      <c r="AOO18" s="449"/>
      <c r="AOP18" s="448">
        <f>AON18+AOO18</f>
        <v>54850667.799999997</v>
      </c>
      <c r="AOQ18" s="452"/>
      <c r="AOR18" s="452">
        <v>62201294.850000001</v>
      </c>
      <c r="AOS18" s="451">
        <f>60000000</f>
        <v>60000000</v>
      </c>
      <c r="AOT18" s="459"/>
      <c r="AOU18" s="452"/>
      <c r="AOV18" s="450">
        <v>0</v>
      </c>
      <c r="AOW18" s="460"/>
      <c r="AOX18" s="450">
        <f>AOR18+AOU18</f>
        <v>62201294.850000001</v>
      </c>
      <c r="AOY18" s="454">
        <f>+AOS18+AOV18</f>
        <v>60000000</v>
      </c>
      <c r="AOZ18" s="461"/>
      <c r="APA18" s="450"/>
      <c r="APB18" s="594">
        <f>(AOX18-AOP18)/AOP18</f>
        <v>0.13401162364699606</v>
      </c>
      <c r="APC18" s="436" t="s">
        <v>141</v>
      </c>
      <c r="APD18" s="448">
        <v>54850667.799999997</v>
      </c>
      <c r="APE18" s="449"/>
      <c r="APF18" s="448">
        <f>APD18+APE18</f>
        <v>54850667.799999997</v>
      </c>
      <c r="APG18" s="452"/>
      <c r="APH18" s="452">
        <v>62201294.850000001</v>
      </c>
      <c r="API18" s="451">
        <f>60000000</f>
        <v>60000000</v>
      </c>
      <c r="APJ18" s="459"/>
      <c r="APK18" s="452"/>
      <c r="APL18" s="450">
        <v>0</v>
      </c>
      <c r="APM18" s="460"/>
      <c r="APN18" s="450">
        <f>APH18+APK18</f>
        <v>62201294.850000001</v>
      </c>
      <c r="APO18" s="454">
        <f>+API18+APL18</f>
        <v>60000000</v>
      </c>
      <c r="APP18" s="461"/>
      <c r="APQ18" s="450"/>
      <c r="APR18" s="594">
        <f>(APN18-APF18)/APF18</f>
        <v>0.13401162364699606</v>
      </c>
      <c r="APS18" s="436" t="s">
        <v>141</v>
      </c>
      <c r="APT18" s="448">
        <v>54850667.799999997</v>
      </c>
      <c r="APU18" s="449"/>
      <c r="APV18" s="448">
        <f>APT18+APU18</f>
        <v>54850667.799999997</v>
      </c>
      <c r="APW18" s="452"/>
      <c r="APX18" s="452">
        <v>62201294.850000001</v>
      </c>
      <c r="APY18" s="451">
        <f>60000000</f>
        <v>60000000</v>
      </c>
      <c r="APZ18" s="459"/>
      <c r="AQA18" s="452"/>
      <c r="AQB18" s="450">
        <v>0</v>
      </c>
      <c r="AQC18" s="460"/>
      <c r="AQD18" s="450">
        <f>APX18+AQA18</f>
        <v>62201294.850000001</v>
      </c>
      <c r="AQE18" s="454">
        <f>+APY18+AQB18</f>
        <v>60000000</v>
      </c>
      <c r="AQF18" s="461"/>
      <c r="AQG18" s="450"/>
      <c r="AQH18" s="594">
        <f>(AQD18-APV18)/APV18</f>
        <v>0.13401162364699606</v>
      </c>
      <c r="AQI18" s="436" t="s">
        <v>141</v>
      </c>
      <c r="AQJ18" s="448">
        <v>54850667.799999997</v>
      </c>
      <c r="AQK18" s="449"/>
      <c r="AQL18" s="448">
        <f>AQJ18+AQK18</f>
        <v>54850667.799999997</v>
      </c>
      <c r="AQM18" s="452"/>
      <c r="AQN18" s="452">
        <v>62201294.850000001</v>
      </c>
      <c r="AQO18" s="451">
        <f>60000000</f>
        <v>60000000</v>
      </c>
      <c r="AQP18" s="459"/>
      <c r="AQQ18" s="452"/>
      <c r="AQR18" s="450">
        <v>0</v>
      </c>
      <c r="AQS18" s="460"/>
      <c r="AQT18" s="450">
        <f>AQN18+AQQ18</f>
        <v>62201294.850000001</v>
      </c>
      <c r="AQU18" s="454">
        <f>+AQO18+AQR18</f>
        <v>60000000</v>
      </c>
      <c r="AQV18" s="461"/>
      <c r="AQW18" s="450"/>
      <c r="AQX18" s="594">
        <f>(AQT18-AQL18)/AQL18</f>
        <v>0.13401162364699606</v>
      </c>
      <c r="AQY18" s="436" t="s">
        <v>141</v>
      </c>
      <c r="AQZ18" s="448">
        <v>54850667.799999997</v>
      </c>
      <c r="ARA18" s="449"/>
      <c r="ARB18" s="448">
        <f>AQZ18+ARA18</f>
        <v>54850667.799999997</v>
      </c>
      <c r="ARC18" s="452"/>
      <c r="ARD18" s="452">
        <v>62201294.850000001</v>
      </c>
      <c r="ARE18" s="451">
        <f>60000000</f>
        <v>60000000</v>
      </c>
      <c r="ARF18" s="459"/>
      <c r="ARG18" s="452"/>
      <c r="ARH18" s="450">
        <v>0</v>
      </c>
      <c r="ARI18" s="460"/>
      <c r="ARJ18" s="450">
        <f>ARD18+ARG18</f>
        <v>62201294.850000001</v>
      </c>
      <c r="ARK18" s="454">
        <f>+ARE18+ARH18</f>
        <v>60000000</v>
      </c>
      <c r="ARL18" s="461"/>
      <c r="ARM18" s="450"/>
      <c r="ARN18" s="594">
        <f>(ARJ18-ARB18)/ARB18</f>
        <v>0.13401162364699606</v>
      </c>
      <c r="ARO18" s="436" t="s">
        <v>141</v>
      </c>
      <c r="ARP18" s="448">
        <v>54850667.799999997</v>
      </c>
      <c r="ARQ18" s="449"/>
      <c r="ARR18" s="448">
        <f>ARP18+ARQ18</f>
        <v>54850667.799999997</v>
      </c>
      <c r="ARS18" s="452"/>
      <c r="ART18" s="452">
        <v>62201294.850000001</v>
      </c>
      <c r="ARU18" s="451">
        <f>60000000</f>
        <v>60000000</v>
      </c>
      <c r="ARV18" s="459"/>
      <c r="ARW18" s="452"/>
      <c r="ARX18" s="450">
        <v>0</v>
      </c>
      <c r="ARY18" s="460"/>
      <c r="ARZ18" s="450">
        <f>ART18+ARW18</f>
        <v>62201294.850000001</v>
      </c>
      <c r="ASA18" s="454">
        <f>+ARU18+ARX18</f>
        <v>60000000</v>
      </c>
      <c r="ASB18" s="461"/>
      <c r="ASC18" s="450"/>
      <c r="ASD18" s="594">
        <f>(ARZ18-ARR18)/ARR18</f>
        <v>0.13401162364699606</v>
      </c>
      <c r="ASE18" s="436" t="s">
        <v>141</v>
      </c>
      <c r="ASF18" s="448">
        <v>54850667.799999997</v>
      </c>
      <c r="ASG18" s="449"/>
      <c r="ASH18" s="448">
        <f>ASF18+ASG18</f>
        <v>54850667.799999997</v>
      </c>
      <c r="ASI18" s="452"/>
      <c r="ASJ18" s="452">
        <v>62201294.850000001</v>
      </c>
      <c r="ASK18" s="451">
        <f>60000000</f>
        <v>60000000</v>
      </c>
      <c r="ASL18" s="459"/>
      <c r="ASM18" s="452"/>
      <c r="ASN18" s="450">
        <v>0</v>
      </c>
      <c r="ASO18" s="460"/>
      <c r="ASP18" s="450">
        <f>ASJ18+ASM18</f>
        <v>62201294.850000001</v>
      </c>
      <c r="ASQ18" s="454">
        <f>+ASK18+ASN18</f>
        <v>60000000</v>
      </c>
      <c r="ASR18" s="461"/>
      <c r="ASS18" s="450"/>
      <c r="AST18" s="594">
        <f>(ASP18-ASH18)/ASH18</f>
        <v>0.13401162364699606</v>
      </c>
      <c r="ASU18" s="436" t="s">
        <v>141</v>
      </c>
      <c r="ASV18" s="448">
        <v>54850667.799999997</v>
      </c>
      <c r="ASW18" s="449"/>
      <c r="ASX18" s="448">
        <f>ASV18+ASW18</f>
        <v>54850667.799999997</v>
      </c>
      <c r="ASY18" s="452"/>
      <c r="ASZ18" s="452">
        <v>62201294.850000001</v>
      </c>
      <c r="ATA18" s="451">
        <f>60000000</f>
        <v>60000000</v>
      </c>
      <c r="ATB18" s="459"/>
      <c r="ATC18" s="452"/>
      <c r="ATD18" s="450">
        <v>0</v>
      </c>
      <c r="ATE18" s="460"/>
      <c r="ATF18" s="450">
        <f>ASZ18+ATC18</f>
        <v>62201294.850000001</v>
      </c>
      <c r="ATG18" s="454">
        <f>+ATA18+ATD18</f>
        <v>60000000</v>
      </c>
      <c r="ATH18" s="461"/>
      <c r="ATI18" s="450"/>
      <c r="ATJ18" s="594">
        <f>(ATF18-ASX18)/ASX18</f>
        <v>0.13401162364699606</v>
      </c>
      <c r="ATK18" s="436" t="s">
        <v>141</v>
      </c>
      <c r="ATL18" s="448">
        <v>54850667.799999997</v>
      </c>
      <c r="ATM18" s="449"/>
      <c r="ATN18" s="448">
        <f>ATL18+ATM18</f>
        <v>54850667.799999997</v>
      </c>
      <c r="ATO18" s="452"/>
      <c r="ATP18" s="452">
        <v>62201294.850000001</v>
      </c>
      <c r="ATQ18" s="451">
        <f>60000000</f>
        <v>60000000</v>
      </c>
      <c r="ATR18" s="459"/>
      <c r="ATS18" s="452"/>
      <c r="ATT18" s="450">
        <v>0</v>
      </c>
      <c r="ATU18" s="460"/>
      <c r="ATV18" s="450">
        <f>ATP18+ATS18</f>
        <v>62201294.850000001</v>
      </c>
      <c r="ATW18" s="454">
        <f>+ATQ18+ATT18</f>
        <v>60000000</v>
      </c>
      <c r="ATX18" s="461"/>
      <c r="ATY18" s="450"/>
      <c r="ATZ18" s="594">
        <f>(ATV18-ATN18)/ATN18</f>
        <v>0.13401162364699606</v>
      </c>
      <c r="AUA18" s="436" t="s">
        <v>141</v>
      </c>
      <c r="AUB18" s="448">
        <v>54850667.799999997</v>
      </c>
      <c r="AUC18" s="449"/>
      <c r="AUD18" s="448">
        <f>AUB18+AUC18</f>
        <v>54850667.799999997</v>
      </c>
      <c r="AUE18" s="452"/>
      <c r="AUF18" s="452">
        <v>62201294.850000001</v>
      </c>
      <c r="AUG18" s="451">
        <f>60000000</f>
        <v>60000000</v>
      </c>
      <c r="AUH18" s="459"/>
      <c r="AUI18" s="452"/>
      <c r="AUJ18" s="450">
        <v>0</v>
      </c>
      <c r="AUK18" s="460"/>
      <c r="AUL18" s="450">
        <f>AUF18+AUI18</f>
        <v>62201294.850000001</v>
      </c>
      <c r="AUM18" s="454">
        <f>+AUG18+AUJ18</f>
        <v>60000000</v>
      </c>
      <c r="AUN18" s="461"/>
      <c r="AUO18" s="450"/>
      <c r="AUP18" s="594">
        <f>(AUL18-AUD18)/AUD18</f>
        <v>0.13401162364699606</v>
      </c>
      <c r="AUQ18" s="436" t="s">
        <v>141</v>
      </c>
      <c r="AUR18" s="448">
        <v>54850667.799999997</v>
      </c>
      <c r="AUS18" s="449"/>
      <c r="AUT18" s="448">
        <f>AUR18+AUS18</f>
        <v>54850667.799999997</v>
      </c>
      <c r="AUU18" s="452"/>
      <c r="AUV18" s="452">
        <v>62201294.850000001</v>
      </c>
      <c r="AUW18" s="451">
        <f>60000000</f>
        <v>60000000</v>
      </c>
      <c r="AUX18" s="459"/>
      <c r="AUY18" s="452"/>
      <c r="AUZ18" s="450">
        <v>0</v>
      </c>
      <c r="AVA18" s="460"/>
      <c r="AVB18" s="450">
        <f>AUV18+AUY18</f>
        <v>62201294.850000001</v>
      </c>
      <c r="AVC18" s="454">
        <f>+AUW18+AUZ18</f>
        <v>60000000</v>
      </c>
      <c r="AVD18" s="461"/>
      <c r="AVE18" s="450"/>
      <c r="AVF18" s="594">
        <f>(AVB18-AUT18)/AUT18</f>
        <v>0.13401162364699606</v>
      </c>
      <c r="AVG18" s="436" t="s">
        <v>141</v>
      </c>
      <c r="AVH18" s="448">
        <v>54850667.799999997</v>
      </c>
      <c r="AVI18" s="449"/>
      <c r="AVJ18" s="448">
        <f>AVH18+AVI18</f>
        <v>54850667.799999997</v>
      </c>
      <c r="AVK18" s="452"/>
      <c r="AVL18" s="452">
        <v>62201294.850000001</v>
      </c>
      <c r="AVM18" s="451">
        <f>60000000</f>
        <v>60000000</v>
      </c>
      <c r="AVN18" s="459"/>
      <c r="AVO18" s="452"/>
      <c r="AVP18" s="450">
        <v>0</v>
      </c>
      <c r="AVQ18" s="460"/>
      <c r="AVR18" s="450">
        <f>AVL18+AVO18</f>
        <v>62201294.850000001</v>
      </c>
      <c r="AVS18" s="454">
        <f>+AVM18+AVP18</f>
        <v>60000000</v>
      </c>
      <c r="AVT18" s="461"/>
      <c r="AVU18" s="450"/>
      <c r="AVV18" s="594">
        <f>(AVR18-AVJ18)/AVJ18</f>
        <v>0.13401162364699606</v>
      </c>
      <c r="AVW18" s="436" t="s">
        <v>141</v>
      </c>
      <c r="AVX18" s="448">
        <v>54850667.799999997</v>
      </c>
      <c r="AVY18" s="449"/>
      <c r="AVZ18" s="448">
        <f>AVX18+AVY18</f>
        <v>54850667.799999997</v>
      </c>
      <c r="AWA18" s="452"/>
      <c r="AWB18" s="452">
        <v>62201294.850000001</v>
      </c>
      <c r="AWC18" s="451">
        <f>60000000</f>
        <v>60000000</v>
      </c>
      <c r="AWD18" s="459"/>
      <c r="AWE18" s="452"/>
      <c r="AWF18" s="450">
        <v>0</v>
      </c>
      <c r="AWG18" s="460"/>
      <c r="AWH18" s="450">
        <f>AWB18+AWE18</f>
        <v>62201294.850000001</v>
      </c>
      <c r="AWI18" s="454">
        <f>+AWC18+AWF18</f>
        <v>60000000</v>
      </c>
      <c r="AWJ18" s="461"/>
      <c r="AWK18" s="450"/>
      <c r="AWL18" s="594">
        <f>(AWH18-AVZ18)/AVZ18</f>
        <v>0.13401162364699606</v>
      </c>
      <c r="AWM18" s="436" t="s">
        <v>141</v>
      </c>
      <c r="AWN18" s="448">
        <v>54850667.799999997</v>
      </c>
      <c r="AWO18" s="449"/>
      <c r="AWP18" s="448">
        <f>AWN18+AWO18</f>
        <v>54850667.799999997</v>
      </c>
      <c r="AWQ18" s="452"/>
      <c r="AWR18" s="452">
        <v>62201294.850000001</v>
      </c>
      <c r="AWS18" s="451">
        <f>60000000</f>
        <v>60000000</v>
      </c>
      <c r="AWT18" s="459"/>
      <c r="AWU18" s="452"/>
      <c r="AWV18" s="450">
        <v>0</v>
      </c>
      <c r="AWW18" s="460"/>
      <c r="AWX18" s="450">
        <f>AWR18+AWU18</f>
        <v>62201294.850000001</v>
      </c>
      <c r="AWY18" s="454">
        <f>+AWS18+AWV18</f>
        <v>60000000</v>
      </c>
      <c r="AWZ18" s="461"/>
      <c r="AXA18" s="450"/>
      <c r="AXB18" s="594">
        <f>(AWX18-AWP18)/AWP18</f>
        <v>0.13401162364699606</v>
      </c>
      <c r="AXC18" s="436" t="s">
        <v>141</v>
      </c>
      <c r="AXD18" s="448">
        <v>54850667.799999997</v>
      </c>
      <c r="AXE18" s="449"/>
      <c r="AXF18" s="448">
        <f>AXD18+AXE18</f>
        <v>54850667.799999997</v>
      </c>
      <c r="AXG18" s="452"/>
      <c r="AXH18" s="452">
        <v>62201294.850000001</v>
      </c>
      <c r="AXI18" s="451">
        <f>60000000</f>
        <v>60000000</v>
      </c>
      <c r="AXJ18" s="459"/>
      <c r="AXK18" s="452"/>
      <c r="AXL18" s="450">
        <v>0</v>
      </c>
      <c r="AXM18" s="460"/>
      <c r="AXN18" s="450">
        <f>AXH18+AXK18</f>
        <v>62201294.850000001</v>
      </c>
      <c r="AXO18" s="454">
        <f>+AXI18+AXL18</f>
        <v>60000000</v>
      </c>
      <c r="AXP18" s="461"/>
      <c r="AXQ18" s="450"/>
      <c r="AXR18" s="594">
        <f>(AXN18-AXF18)/AXF18</f>
        <v>0.13401162364699606</v>
      </c>
      <c r="AXS18" s="436" t="s">
        <v>141</v>
      </c>
      <c r="AXT18" s="448">
        <v>54850667.799999997</v>
      </c>
      <c r="AXU18" s="449"/>
      <c r="AXV18" s="448">
        <f>AXT18+AXU18</f>
        <v>54850667.799999997</v>
      </c>
      <c r="AXW18" s="452"/>
      <c r="AXX18" s="452">
        <v>62201294.850000001</v>
      </c>
      <c r="AXY18" s="451">
        <f>60000000</f>
        <v>60000000</v>
      </c>
      <c r="AXZ18" s="459"/>
      <c r="AYA18" s="452"/>
      <c r="AYB18" s="450">
        <v>0</v>
      </c>
      <c r="AYC18" s="460"/>
      <c r="AYD18" s="450">
        <f>AXX18+AYA18</f>
        <v>62201294.850000001</v>
      </c>
      <c r="AYE18" s="454">
        <f>+AXY18+AYB18</f>
        <v>60000000</v>
      </c>
      <c r="AYF18" s="461"/>
      <c r="AYG18" s="450"/>
      <c r="AYH18" s="594">
        <f>(AYD18-AXV18)/AXV18</f>
        <v>0.13401162364699606</v>
      </c>
      <c r="AYI18" s="436" t="s">
        <v>141</v>
      </c>
      <c r="AYJ18" s="448">
        <v>54850667.799999997</v>
      </c>
      <c r="AYK18" s="449"/>
      <c r="AYL18" s="448">
        <f>AYJ18+AYK18</f>
        <v>54850667.799999997</v>
      </c>
      <c r="AYM18" s="452"/>
      <c r="AYN18" s="452">
        <v>62201294.850000001</v>
      </c>
      <c r="AYO18" s="451">
        <f>60000000</f>
        <v>60000000</v>
      </c>
      <c r="AYP18" s="459"/>
      <c r="AYQ18" s="452"/>
      <c r="AYR18" s="450">
        <v>0</v>
      </c>
      <c r="AYS18" s="460"/>
      <c r="AYT18" s="450">
        <f>AYN18+AYQ18</f>
        <v>62201294.850000001</v>
      </c>
      <c r="AYU18" s="454">
        <f>+AYO18+AYR18</f>
        <v>60000000</v>
      </c>
      <c r="AYV18" s="461"/>
      <c r="AYW18" s="450"/>
      <c r="AYX18" s="594">
        <f>(AYT18-AYL18)/AYL18</f>
        <v>0.13401162364699606</v>
      </c>
      <c r="AYY18" s="436" t="s">
        <v>141</v>
      </c>
      <c r="AYZ18" s="448">
        <v>54850667.799999997</v>
      </c>
      <c r="AZA18" s="449"/>
      <c r="AZB18" s="448">
        <f>AYZ18+AZA18</f>
        <v>54850667.799999997</v>
      </c>
      <c r="AZC18" s="452"/>
      <c r="AZD18" s="452">
        <v>62201294.850000001</v>
      </c>
      <c r="AZE18" s="451">
        <f>60000000</f>
        <v>60000000</v>
      </c>
      <c r="AZF18" s="459"/>
      <c r="AZG18" s="452"/>
      <c r="AZH18" s="450">
        <v>0</v>
      </c>
      <c r="AZI18" s="460"/>
      <c r="AZJ18" s="450">
        <f>AZD18+AZG18</f>
        <v>62201294.850000001</v>
      </c>
      <c r="AZK18" s="454">
        <f>+AZE18+AZH18</f>
        <v>60000000</v>
      </c>
      <c r="AZL18" s="461"/>
      <c r="AZM18" s="450"/>
      <c r="AZN18" s="594">
        <f>(AZJ18-AZB18)/AZB18</f>
        <v>0.13401162364699606</v>
      </c>
      <c r="AZO18" s="436" t="s">
        <v>141</v>
      </c>
      <c r="AZP18" s="448">
        <v>54850667.799999997</v>
      </c>
      <c r="AZQ18" s="449"/>
      <c r="AZR18" s="448">
        <f>AZP18+AZQ18</f>
        <v>54850667.799999997</v>
      </c>
      <c r="AZS18" s="452"/>
      <c r="AZT18" s="452">
        <v>62201294.850000001</v>
      </c>
      <c r="AZU18" s="451">
        <f>60000000</f>
        <v>60000000</v>
      </c>
      <c r="AZV18" s="459"/>
      <c r="AZW18" s="452"/>
      <c r="AZX18" s="450">
        <v>0</v>
      </c>
      <c r="AZY18" s="460"/>
      <c r="AZZ18" s="450">
        <f>AZT18+AZW18</f>
        <v>62201294.850000001</v>
      </c>
      <c r="BAA18" s="454">
        <f>+AZU18+AZX18</f>
        <v>60000000</v>
      </c>
      <c r="BAB18" s="461"/>
      <c r="BAC18" s="450"/>
      <c r="BAD18" s="594">
        <f>(AZZ18-AZR18)/AZR18</f>
        <v>0.13401162364699606</v>
      </c>
      <c r="BAE18" s="436" t="s">
        <v>141</v>
      </c>
      <c r="BAF18" s="448">
        <v>54850667.799999997</v>
      </c>
      <c r="BAG18" s="449"/>
      <c r="BAH18" s="448">
        <f>BAF18+BAG18</f>
        <v>54850667.799999997</v>
      </c>
      <c r="BAI18" s="452"/>
      <c r="BAJ18" s="452">
        <v>62201294.850000001</v>
      </c>
      <c r="BAK18" s="451">
        <f>60000000</f>
        <v>60000000</v>
      </c>
      <c r="BAL18" s="459"/>
      <c r="BAM18" s="452"/>
      <c r="BAN18" s="450">
        <v>0</v>
      </c>
      <c r="BAO18" s="460"/>
      <c r="BAP18" s="450">
        <f>BAJ18+BAM18</f>
        <v>62201294.850000001</v>
      </c>
      <c r="BAQ18" s="454">
        <f>+BAK18+BAN18</f>
        <v>60000000</v>
      </c>
      <c r="BAR18" s="461"/>
      <c r="BAS18" s="450"/>
      <c r="BAT18" s="594">
        <f>(BAP18-BAH18)/BAH18</f>
        <v>0.13401162364699606</v>
      </c>
      <c r="BAU18" s="436" t="s">
        <v>141</v>
      </c>
      <c r="BAV18" s="448">
        <v>54850667.799999997</v>
      </c>
      <c r="BAW18" s="449"/>
      <c r="BAX18" s="448">
        <f>BAV18+BAW18</f>
        <v>54850667.799999997</v>
      </c>
      <c r="BAY18" s="452"/>
      <c r="BAZ18" s="452">
        <v>62201294.850000001</v>
      </c>
      <c r="BBA18" s="451">
        <f>60000000</f>
        <v>60000000</v>
      </c>
      <c r="BBB18" s="459"/>
      <c r="BBC18" s="452"/>
      <c r="BBD18" s="450">
        <v>0</v>
      </c>
      <c r="BBE18" s="460"/>
      <c r="BBF18" s="450">
        <f>BAZ18+BBC18</f>
        <v>62201294.850000001</v>
      </c>
      <c r="BBG18" s="454">
        <f>+BBA18+BBD18</f>
        <v>60000000</v>
      </c>
      <c r="BBH18" s="461"/>
      <c r="BBI18" s="450"/>
      <c r="BBJ18" s="594">
        <f>(BBF18-BAX18)/BAX18</f>
        <v>0.13401162364699606</v>
      </c>
      <c r="BBK18" s="436" t="s">
        <v>141</v>
      </c>
      <c r="BBL18" s="448">
        <v>54850667.799999997</v>
      </c>
      <c r="BBM18" s="449"/>
      <c r="BBN18" s="448">
        <f>BBL18+BBM18</f>
        <v>54850667.799999997</v>
      </c>
      <c r="BBO18" s="452"/>
      <c r="BBP18" s="452">
        <v>62201294.850000001</v>
      </c>
      <c r="BBQ18" s="451">
        <f>60000000</f>
        <v>60000000</v>
      </c>
      <c r="BBR18" s="459"/>
      <c r="BBS18" s="452"/>
      <c r="BBT18" s="450">
        <v>0</v>
      </c>
      <c r="BBU18" s="460"/>
      <c r="BBV18" s="450">
        <f>BBP18+BBS18</f>
        <v>62201294.850000001</v>
      </c>
      <c r="BBW18" s="454">
        <f>+BBQ18+BBT18</f>
        <v>60000000</v>
      </c>
      <c r="BBX18" s="461"/>
      <c r="BBY18" s="450"/>
      <c r="BBZ18" s="594">
        <f>(BBV18-BBN18)/BBN18</f>
        <v>0.13401162364699606</v>
      </c>
      <c r="BCA18" s="436" t="s">
        <v>141</v>
      </c>
      <c r="BCB18" s="448">
        <v>54850667.799999997</v>
      </c>
      <c r="BCC18" s="449"/>
      <c r="BCD18" s="448">
        <f>BCB18+BCC18</f>
        <v>54850667.799999997</v>
      </c>
      <c r="BCE18" s="452"/>
      <c r="BCF18" s="452">
        <v>62201294.850000001</v>
      </c>
      <c r="BCG18" s="451">
        <f>60000000</f>
        <v>60000000</v>
      </c>
      <c r="BCH18" s="459"/>
      <c r="BCI18" s="452"/>
      <c r="BCJ18" s="450">
        <v>0</v>
      </c>
      <c r="BCK18" s="460"/>
      <c r="BCL18" s="450">
        <f>BCF18+BCI18</f>
        <v>62201294.850000001</v>
      </c>
      <c r="BCM18" s="454">
        <f>+BCG18+BCJ18</f>
        <v>60000000</v>
      </c>
      <c r="BCN18" s="461"/>
      <c r="BCO18" s="450"/>
      <c r="BCP18" s="594">
        <f>(BCL18-BCD18)/BCD18</f>
        <v>0.13401162364699606</v>
      </c>
      <c r="BCQ18" s="436" t="s">
        <v>141</v>
      </c>
      <c r="BCR18" s="448">
        <v>54850667.799999997</v>
      </c>
      <c r="BCS18" s="449"/>
      <c r="BCT18" s="448">
        <f>BCR18+BCS18</f>
        <v>54850667.799999997</v>
      </c>
      <c r="BCU18" s="452"/>
      <c r="BCV18" s="452">
        <v>62201294.850000001</v>
      </c>
      <c r="BCW18" s="451">
        <f>60000000</f>
        <v>60000000</v>
      </c>
      <c r="BCX18" s="459"/>
      <c r="BCY18" s="452"/>
      <c r="BCZ18" s="450">
        <v>0</v>
      </c>
      <c r="BDA18" s="460"/>
      <c r="BDB18" s="450">
        <f>BCV18+BCY18</f>
        <v>62201294.850000001</v>
      </c>
      <c r="BDC18" s="454">
        <f>+BCW18+BCZ18</f>
        <v>60000000</v>
      </c>
      <c r="BDD18" s="461"/>
      <c r="BDE18" s="450"/>
      <c r="BDF18" s="594">
        <f>(BDB18-BCT18)/BCT18</f>
        <v>0.13401162364699606</v>
      </c>
      <c r="BDG18" s="436" t="s">
        <v>141</v>
      </c>
      <c r="BDH18" s="448">
        <v>54850667.799999997</v>
      </c>
      <c r="BDI18" s="449"/>
      <c r="BDJ18" s="448">
        <f>BDH18+BDI18</f>
        <v>54850667.799999997</v>
      </c>
      <c r="BDK18" s="452"/>
      <c r="BDL18" s="452">
        <v>62201294.850000001</v>
      </c>
      <c r="BDM18" s="451">
        <f>60000000</f>
        <v>60000000</v>
      </c>
      <c r="BDN18" s="459"/>
      <c r="BDO18" s="452"/>
      <c r="BDP18" s="450">
        <v>0</v>
      </c>
      <c r="BDQ18" s="460"/>
      <c r="BDR18" s="450">
        <f>BDL18+BDO18</f>
        <v>62201294.850000001</v>
      </c>
      <c r="BDS18" s="454">
        <f>+BDM18+BDP18</f>
        <v>60000000</v>
      </c>
      <c r="BDT18" s="461"/>
      <c r="BDU18" s="450"/>
      <c r="BDV18" s="594">
        <f>(BDR18-BDJ18)/BDJ18</f>
        <v>0.13401162364699606</v>
      </c>
      <c r="BDW18" s="436" t="s">
        <v>141</v>
      </c>
      <c r="BDX18" s="448">
        <v>54850667.799999997</v>
      </c>
      <c r="BDY18" s="449"/>
      <c r="BDZ18" s="448">
        <f>BDX18+BDY18</f>
        <v>54850667.799999997</v>
      </c>
      <c r="BEA18" s="452"/>
      <c r="BEB18" s="452">
        <v>62201294.850000001</v>
      </c>
      <c r="BEC18" s="451">
        <f>60000000</f>
        <v>60000000</v>
      </c>
      <c r="BED18" s="459"/>
      <c r="BEE18" s="452"/>
      <c r="BEF18" s="450">
        <v>0</v>
      </c>
      <c r="BEG18" s="460"/>
      <c r="BEH18" s="450">
        <f>BEB18+BEE18</f>
        <v>62201294.850000001</v>
      </c>
      <c r="BEI18" s="454">
        <f>+BEC18+BEF18</f>
        <v>60000000</v>
      </c>
      <c r="BEJ18" s="461"/>
      <c r="BEK18" s="450"/>
      <c r="BEL18" s="594">
        <f>(BEH18-BDZ18)/BDZ18</f>
        <v>0.13401162364699606</v>
      </c>
      <c r="BEM18" s="436" t="s">
        <v>141</v>
      </c>
      <c r="BEN18" s="448">
        <v>54850667.799999997</v>
      </c>
      <c r="BEO18" s="449"/>
      <c r="BEP18" s="448">
        <f>BEN18+BEO18</f>
        <v>54850667.799999997</v>
      </c>
      <c r="BEQ18" s="452"/>
      <c r="BER18" s="452">
        <v>62201294.850000001</v>
      </c>
      <c r="BES18" s="451">
        <f>60000000</f>
        <v>60000000</v>
      </c>
      <c r="BET18" s="459"/>
      <c r="BEU18" s="452"/>
      <c r="BEV18" s="450">
        <v>0</v>
      </c>
      <c r="BEW18" s="460"/>
      <c r="BEX18" s="450">
        <f>BER18+BEU18</f>
        <v>62201294.850000001</v>
      </c>
      <c r="BEY18" s="454">
        <f>+BES18+BEV18</f>
        <v>60000000</v>
      </c>
      <c r="BEZ18" s="461"/>
      <c r="BFA18" s="450"/>
      <c r="BFB18" s="594">
        <f>(BEX18-BEP18)/BEP18</f>
        <v>0.13401162364699606</v>
      </c>
      <c r="BFC18" s="436" t="s">
        <v>141</v>
      </c>
      <c r="BFD18" s="448">
        <v>54850667.799999997</v>
      </c>
      <c r="BFE18" s="449"/>
      <c r="BFF18" s="448">
        <f>BFD18+BFE18</f>
        <v>54850667.799999997</v>
      </c>
      <c r="BFG18" s="452"/>
      <c r="BFH18" s="452">
        <v>62201294.850000001</v>
      </c>
      <c r="BFI18" s="451">
        <f>60000000</f>
        <v>60000000</v>
      </c>
      <c r="BFJ18" s="459"/>
      <c r="BFK18" s="452"/>
      <c r="BFL18" s="450">
        <v>0</v>
      </c>
      <c r="BFM18" s="460"/>
      <c r="BFN18" s="450">
        <f>BFH18+BFK18</f>
        <v>62201294.850000001</v>
      </c>
      <c r="BFO18" s="454">
        <f>+BFI18+BFL18</f>
        <v>60000000</v>
      </c>
      <c r="BFP18" s="461"/>
      <c r="BFQ18" s="450"/>
      <c r="BFR18" s="594">
        <f>(BFN18-BFF18)/BFF18</f>
        <v>0.13401162364699606</v>
      </c>
      <c r="BFS18" s="436" t="s">
        <v>141</v>
      </c>
      <c r="BFT18" s="448">
        <v>54850667.799999997</v>
      </c>
      <c r="BFU18" s="449"/>
      <c r="BFV18" s="448">
        <f>BFT18+BFU18</f>
        <v>54850667.799999997</v>
      </c>
      <c r="BFW18" s="452"/>
      <c r="BFX18" s="452">
        <v>62201294.850000001</v>
      </c>
      <c r="BFY18" s="451">
        <f>60000000</f>
        <v>60000000</v>
      </c>
      <c r="BFZ18" s="459"/>
      <c r="BGA18" s="452"/>
      <c r="BGB18" s="450">
        <v>0</v>
      </c>
      <c r="BGC18" s="460"/>
      <c r="BGD18" s="450">
        <f>BFX18+BGA18</f>
        <v>62201294.850000001</v>
      </c>
      <c r="BGE18" s="454">
        <f>+BFY18+BGB18</f>
        <v>60000000</v>
      </c>
      <c r="BGF18" s="461"/>
      <c r="BGG18" s="450"/>
      <c r="BGH18" s="594">
        <f>(BGD18-BFV18)/BFV18</f>
        <v>0.13401162364699606</v>
      </c>
      <c r="BGI18" s="436" t="s">
        <v>141</v>
      </c>
      <c r="BGJ18" s="448">
        <v>54850667.799999997</v>
      </c>
      <c r="BGK18" s="449"/>
      <c r="BGL18" s="448">
        <f>BGJ18+BGK18</f>
        <v>54850667.799999997</v>
      </c>
      <c r="BGM18" s="452"/>
      <c r="BGN18" s="452">
        <v>62201294.850000001</v>
      </c>
      <c r="BGO18" s="451">
        <f>60000000</f>
        <v>60000000</v>
      </c>
      <c r="BGP18" s="459"/>
      <c r="BGQ18" s="452"/>
      <c r="BGR18" s="450">
        <v>0</v>
      </c>
      <c r="BGS18" s="460"/>
      <c r="BGT18" s="450">
        <f>BGN18+BGQ18</f>
        <v>62201294.850000001</v>
      </c>
      <c r="BGU18" s="454">
        <f>+BGO18+BGR18</f>
        <v>60000000</v>
      </c>
      <c r="BGV18" s="461"/>
      <c r="BGW18" s="450"/>
      <c r="BGX18" s="594">
        <f>(BGT18-BGL18)/BGL18</f>
        <v>0.13401162364699606</v>
      </c>
      <c r="BGY18" s="436" t="s">
        <v>141</v>
      </c>
      <c r="BGZ18" s="448">
        <v>54850667.799999997</v>
      </c>
      <c r="BHA18" s="449"/>
      <c r="BHB18" s="448">
        <f>BGZ18+BHA18</f>
        <v>54850667.799999997</v>
      </c>
      <c r="BHC18" s="452"/>
      <c r="BHD18" s="452">
        <v>62201294.850000001</v>
      </c>
      <c r="BHE18" s="451">
        <f>60000000</f>
        <v>60000000</v>
      </c>
      <c r="BHF18" s="459"/>
      <c r="BHG18" s="452"/>
      <c r="BHH18" s="450">
        <v>0</v>
      </c>
      <c r="BHI18" s="460"/>
      <c r="BHJ18" s="450">
        <f>BHD18+BHG18</f>
        <v>62201294.850000001</v>
      </c>
      <c r="BHK18" s="454">
        <f>+BHE18+BHH18</f>
        <v>60000000</v>
      </c>
      <c r="BHL18" s="461"/>
      <c r="BHM18" s="450"/>
      <c r="BHN18" s="594">
        <f>(BHJ18-BHB18)/BHB18</f>
        <v>0.13401162364699606</v>
      </c>
      <c r="BHO18" s="436" t="s">
        <v>141</v>
      </c>
      <c r="BHP18" s="448">
        <v>54850667.799999997</v>
      </c>
      <c r="BHQ18" s="449"/>
      <c r="BHR18" s="448">
        <f>BHP18+BHQ18</f>
        <v>54850667.799999997</v>
      </c>
      <c r="BHS18" s="452"/>
      <c r="BHT18" s="452">
        <v>62201294.850000001</v>
      </c>
      <c r="BHU18" s="451">
        <f>60000000</f>
        <v>60000000</v>
      </c>
      <c r="BHV18" s="459"/>
      <c r="BHW18" s="452"/>
      <c r="BHX18" s="450">
        <v>0</v>
      </c>
      <c r="BHY18" s="460"/>
      <c r="BHZ18" s="450">
        <f>BHT18+BHW18</f>
        <v>62201294.850000001</v>
      </c>
      <c r="BIA18" s="454">
        <f>+BHU18+BHX18</f>
        <v>60000000</v>
      </c>
      <c r="BIB18" s="461"/>
      <c r="BIC18" s="450"/>
      <c r="BID18" s="594">
        <f>(BHZ18-BHR18)/BHR18</f>
        <v>0.13401162364699606</v>
      </c>
      <c r="BIE18" s="436" t="s">
        <v>141</v>
      </c>
      <c r="BIF18" s="448">
        <v>54850667.799999997</v>
      </c>
      <c r="BIG18" s="449"/>
      <c r="BIH18" s="448">
        <f>BIF18+BIG18</f>
        <v>54850667.799999997</v>
      </c>
      <c r="BII18" s="452"/>
      <c r="BIJ18" s="452">
        <v>62201294.850000001</v>
      </c>
      <c r="BIK18" s="451">
        <f>60000000</f>
        <v>60000000</v>
      </c>
      <c r="BIL18" s="459"/>
      <c r="BIM18" s="452"/>
      <c r="BIN18" s="450">
        <v>0</v>
      </c>
      <c r="BIO18" s="460"/>
      <c r="BIP18" s="450">
        <f>BIJ18+BIM18</f>
        <v>62201294.850000001</v>
      </c>
      <c r="BIQ18" s="454">
        <f>+BIK18+BIN18</f>
        <v>60000000</v>
      </c>
      <c r="BIR18" s="461"/>
      <c r="BIS18" s="450"/>
      <c r="BIT18" s="594">
        <f>(BIP18-BIH18)/BIH18</f>
        <v>0.13401162364699606</v>
      </c>
      <c r="BIU18" s="436" t="s">
        <v>141</v>
      </c>
      <c r="BIV18" s="448">
        <v>54850667.799999997</v>
      </c>
      <c r="BIW18" s="449"/>
      <c r="BIX18" s="448">
        <f>BIV18+BIW18</f>
        <v>54850667.799999997</v>
      </c>
      <c r="BIY18" s="452"/>
      <c r="BIZ18" s="452">
        <v>62201294.850000001</v>
      </c>
      <c r="BJA18" s="451">
        <f>60000000</f>
        <v>60000000</v>
      </c>
      <c r="BJB18" s="459"/>
      <c r="BJC18" s="452"/>
      <c r="BJD18" s="450">
        <v>0</v>
      </c>
      <c r="BJE18" s="460"/>
      <c r="BJF18" s="450">
        <f>BIZ18+BJC18</f>
        <v>62201294.850000001</v>
      </c>
      <c r="BJG18" s="454">
        <f>+BJA18+BJD18</f>
        <v>60000000</v>
      </c>
      <c r="BJH18" s="461"/>
      <c r="BJI18" s="450"/>
      <c r="BJJ18" s="594">
        <f>(BJF18-BIX18)/BIX18</f>
        <v>0.13401162364699606</v>
      </c>
      <c r="BJK18" s="436" t="s">
        <v>141</v>
      </c>
      <c r="BJL18" s="448">
        <v>54850667.799999997</v>
      </c>
      <c r="BJM18" s="449"/>
      <c r="BJN18" s="448">
        <f>BJL18+BJM18</f>
        <v>54850667.799999997</v>
      </c>
      <c r="BJO18" s="452"/>
      <c r="BJP18" s="452">
        <v>62201294.850000001</v>
      </c>
      <c r="BJQ18" s="451">
        <f>60000000</f>
        <v>60000000</v>
      </c>
      <c r="BJR18" s="459"/>
      <c r="BJS18" s="452"/>
      <c r="BJT18" s="450">
        <v>0</v>
      </c>
      <c r="BJU18" s="460"/>
      <c r="BJV18" s="450">
        <f>BJP18+BJS18</f>
        <v>62201294.850000001</v>
      </c>
      <c r="BJW18" s="454">
        <f>+BJQ18+BJT18</f>
        <v>60000000</v>
      </c>
      <c r="BJX18" s="461"/>
      <c r="BJY18" s="450"/>
      <c r="BJZ18" s="594">
        <f>(BJV18-BJN18)/BJN18</f>
        <v>0.13401162364699606</v>
      </c>
      <c r="BKA18" s="436" t="s">
        <v>141</v>
      </c>
      <c r="BKB18" s="448">
        <v>54850667.799999997</v>
      </c>
      <c r="BKC18" s="449"/>
      <c r="BKD18" s="448">
        <f>BKB18+BKC18</f>
        <v>54850667.799999997</v>
      </c>
      <c r="BKE18" s="452"/>
      <c r="BKF18" s="452">
        <v>62201294.850000001</v>
      </c>
      <c r="BKG18" s="451">
        <f>60000000</f>
        <v>60000000</v>
      </c>
      <c r="BKH18" s="459"/>
      <c r="BKI18" s="452"/>
      <c r="BKJ18" s="450">
        <v>0</v>
      </c>
      <c r="BKK18" s="460"/>
      <c r="BKL18" s="450">
        <f>BKF18+BKI18</f>
        <v>62201294.850000001</v>
      </c>
      <c r="BKM18" s="454">
        <f>+BKG18+BKJ18</f>
        <v>60000000</v>
      </c>
      <c r="BKN18" s="461"/>
      <c r="BKO18" s="450"/>
      <c r="BKP18" s="594">
        <f>(BKL18-BKD18)/BKD18</f>
        <v>0.13401162364699606</v>
      </c>
      <c r="BKQ18" s="436" t="s">
        <v>141</v>
      </c>
      <c r="BKR18" s="448">
        <v>54850667.799999997</v>
      </c>
      <c r="BKS18" s="449"/>
      <c r="BKT18" s="448">
        <f>BKR18+BKS18</f>
        <v>54850667.799999997</v>
      </c>
      <c r="BKU18" s="452"/>
      <c r="BKV18" s="452">
        <v>62201294.850000001</v>
      </c>
      <c r="BKW18" s="451">
        <f>60000000</f>
        <v>60000000</v>
      </c>
      <c r="BKX18" s="459"/>
      <c r="BKY18" s="452"/>
      <c r="BKZ18" s="450">
        <v>0</v>
      </c>
      <c r="BLA18" s="460"/>
      <c r="BLB18" s="450">
        <f>BKV18+BKY18</f>
        <v>62201294.850000001</v>
      </c>
      <c r="BLC18" s="454">
        <f>+BKW18+BKZ18</f>
        <v>60000000</v>
      </c>
      <c r="BLD18" s="461"/>
      <c r="BLE18" s="450"/>
      <c r="BLF18" s="594">
        <f>(BLB18-BKT18)/BKT18</f>
        <v>0.13401162364699606</v>
      </c>
      <c r="BLG18" s="436" t="s">
        <v>141</v>
      </c>
      <c r="BLH18" s="448">
        <v>54850667.799999997</v>
      </c>
      <c r="BLI18" s="449"/>
      <c r="BLJ18" s="448">
        <f>BLH18+BLI18</f>
        <v>54850667.799999997</v>
      </c>
      <c r="BLK18" s="452"/>
      <c r="BLL18" s="452">
        <v>62201294.850000001</v>
      </c>
      <c r="BLM18" s="451">
        <f>60000000</f>
        <v>60000000</v>
      </c>
      <c r="BLN18" s="459"/>
      <c r="BLO18" s="452"/>
      <c r="BLP18" s="450">
        <v>0</v>
      </c>
      <c r="BLQ18" s="460"/>
      <c r="BLR18" s="450">
        <f>BLL18+BLO18</f>
        <v>62201294.850000001</v>
      </c>
      <c r="BLS18" s="454">
        <f>+BLM18+BLP18</f>
        <v>60000000</v>
      </c>
      <c r="BLT18" s="461"/>
      <c r="BLU18" s="450"/>
      <c r="BLV18" s="594">
        <f>(BLR18-BLJ18)/BLJ18</f>
        <v>0.13401162364699606</v>
      </c>
      <c r="BLW18" s="436" t="s">
        <v>141</v>
      </c>
      <c r="BLX18" s="448">
        <v>54850667.799999997</v>
      </c>
      <c r="BLY18" s="449"/>
      <c r="BLZ18" s="448">
        <f>BLX18+BLY18</f>
        <v>54850667.799999997</v>
      </c>
      <c r="BMA18" s="452"/>
      <c r="BMB18" s="452">
        <v>62201294.850000001</v>
      </c>
      <c r="BMC18" s="451">
        <f>60000000</f>
        <v>60000000</v>
      </c>
      <c r="BMD18" s="459"/>
      <c r="BME18" s="452"/>
      <c r="BMF18" s="450">
        <v>0</v>
      </c>
      <c r="BMG18" s="460"/>
      <c r="BMH18" s="450">
        <f>BMB18+BME18</f>
        <v>62201294.850000001</v>
      </c>
      <c r="BMI18" s="454">
        <f>+BMC18+BMF18</f>
        <v>60000000</v>
      </c>
      <c r="BMJ18" s="461"/>
      <c r="BMK18" s="450"/>
      <c r="BML18" s="594">
        <f>(BMH18-BLZ18)/BLZ18</f>
        <v>0.13401162364699606</v>
      </c>
      <c r="BMM18" s="436" t="s">
        <v>141</v>
      </c>
      <c r="BMN18" s="448">
        <v>54850667.799999997</v>
      </c>
      <c r="BMO18" s="449"/>
      <c r="BMP18" s="448">
        <f>BMN18+BMO18</f>
        <v>54850667.799999997</v>
      </c>
      <c r="BMQ18" s="452"/>
      <c r="BMR18" s="452">
        <v>62201294.850000001</v>
      </c>
      <c r="BMS18" s="451">
        <f>60000000</f>
        <v>60000000</v>
      </c>
      <c r="BMT18" s="459"/>
      <c r="BMU18" s="452"/>
      <c r="BMV18" s="450">
        <v>0</v>
      </c>
      <c r="BMW18" s="460"/>
      <c r="BMX18" s="450">
        <f>BMR18+BMU18</f>
        <v>62201294.850000001</v>
      </c>
      <c r="BMY18" s="454">
        <f>+BMS18+BMV18</f>
        <v>60000000</v>
      </c>
      <c r="BMZ18" s="461"/>
      <c r="BNA18" s="450"/>
      <c r="BNB18" s="594">
        <f>(BMX18-BMP18)/BMP18</f>
        <v>0.13401162364699606</v>
      </c>
      <c r="BNC18" s="436" t="s">
        <v>141</v>
      </c>
      <c r="BND18" s="448">
        <v>54850667.799999997</v>
      </c>
      <c r="BNE18" s="449"/>
      <c r="BNF18" s="448">
        <f>BND18+BNE18</f>
        <v>54850667.799999997</v>
      </c>
      <c r="BNG18" s="452"/>
      <c r="BNH18" s="452">
        <v>62201294.850000001</v>
      </c>
      <c r="BNI18" s="451">
        <f>60000000</f>
        <v>60000000</v>
      </c>
      <c r="BNJ18" s="459"/>
      <c r="BNK18" s="452"/>
      <c r="BNL18" s="450">
        <v>0</v>
      </c>
      <c r="BNM18" s="460"/>
      <c r="BNN18" s="450">
        <f>BNH18+BNK18</f>
        <v>62201294.850000001</v>
      </c>
      <c r="BNO18" s="454">
        <f>+BNI18+BNL18</f>
        <v>60000000</v>
      </c>
      <c r="BNP18" s="461"/>
      <c r="BNQ18" s="450"/>
      <c r="BNR18" s="594">
        <f>(BNN18-BNF18)/BNF18</f>
        <v>0.13401162364699606</v>
      </c>
      <c r="BNS18" s="436" t="s">
        <v>141</v>
      </c>
      <c r="BNT18" s="448">
        <v>54850667.799999997</v>
      </c>
      <c r="BNU18" s="449"/>
      <c r="BNV18" s="448">
        <f>BNT18+BNU18</f>
        <v>54850667.799999997</v>
      </c>
      <c r="BNW18" s="452"/>
      <c r="BNX18" s="452">
        <v>62201294.850000001</v>
      </c>
      <c r="BNY18" s="451">
        <f>60000000</f>
        <v>60000000</v>
      </c>
      <c r="BNZ18" s="459"/>
      <c r="BOA18" s="452"/>
      <c r="BOB18" s="450">
        <v>0</v>
      </c>
      <c r="BOC18" s="460"/>
      <c r="BOD18" s="450">
        <f>BNX18+BOA18</f>
        <v>62201294.850000001</v>
      </c>
      <c r="BOE18" s="454">
        <f>+BNY18+BOB18</f>
        <v>60000000</v>
      </c>
      <c r="BOF18" s="461"/>
      <c r="BOG18" s="450"/>
      <c r="BOH18" s="594">
        <f>(BOD18-BNV18)/BNV18</f>
        <v>0.13401162364699606</v>
      </c>
      <c r="BOI18" s="436" t="s">
        <v>141</v>
      </c>
      <c r="BOJ18" s="448">
        <v>54850667.799999997</v>
      </c>
      <c r="BOK18" s="449"/>
      <c r="BOL18" s="448">
        <f>BOJ18+BOK18</f>
        <v>54850667.799999997</v>
      </c>
      <c r="BOM18" s="452"/>
      <c r="BON18" s="452">
        <v>62201294.850000001</v>
      </c>
      <c r="BOO18" s="451">
        <f>60000000</f>
        <v>60000000</v>
      </c>
      <c r="BOP18" s="459"/>
      <c r="BOQ18" s="452"/>
      <c r="BOR18" s="450">
        <v>0</v>
      </c>
      <c r="BOS18" s="460"/>
      <c r="BOT18" s="450">
        <f>BON18+BOQ18</f>
        <v>62201294.850000001</v>
      </c>
      <c r="BOU18" s="454">
        <f>+BOO18+BOR18</f>
        <v>60000000</v>
      </c>
      <c r="BOV18" s="461"/>
      <c r="BOW18" s="450"/>
      <c r="BOX18" s="594">
        <f>(BOT18-BOL18)/BOL18</f>
        <v>0.13401162364699606</v>
      </c>
      <c r="BOY18" s="436" t="s">
        <v>141</v>
      </c>
      <c r="BOZ18" s="448">
        <v>54850667.799999997</v>
      </c>
      <c r="BPA18" s="449"/>
      <c r="BPB18" s="448">
        <f>BOZ18+BPA18</f>
        <v>54850667.799999997</v>
      </c>
      <c r="BPC18" s="452"/>
      <c r="BPD18" s="452">
        <v>62201294.850000001</v>
      </c>
      <c r="BPE18" s="451">
        <f>60000000</f>
        <v>60000000</v>
      </c>
      <c r="BPF18" s="459"/>
      <c r="BPG18" s="452"/>
      <c r="BPH18" s="450">
        <v>0</v>
      </c>
      <c r="BPI18" s="460"/>
      <c r="BPJ18" s="450">
        <f>BPD18+BPG18</f>
        <v>62201294.850000001</v>
      </c>
      <c r="BPK18" s="454">
        <f>+BPE18+BPH18</f>
        <v>60000000</v>
      </c>
      <c r="BPL18" s="461"/>
      <c r="BPM18" s="450"/>
      <c r="BPN18" s="594">
        <f>(BPJ18-BPB18)/BPB18</f>
        <v>0.13401162364699606</v>
      </c>
      <c r="BPO18" s="436" t="s">
        <v>141</v>
      </c>
      <c r="BPP18" s="448">
        <v>54850667.799999997</v>
      </c>
      <c r="BPQ18" s="449"/>
      <c r="BPR18" s="448">
        <f>BPP18+BPQ18</f>
        <v>54850667.799999997</v>
      </c>
      <c r="BPS18" s="452"/>
      <c r="BPT18" s="452">
        <v>62201294.850000001</v>
      </c>
      <c r="BPU18" s="451">
        <f>60000000</f>
        <v>60000000</v>
      </c>
      <c r="BPV18" s="459"/>
      <c r="BPW18" s="452"/>
      <c r="BPX18" s="450">
        <v>0</v>
      </c>
      <c r="BPY18" s="460"/>
      <c r="BPZ18" s="450">
        <f>BPT18+BPW18</f>
        <v>62201294.850000001</v>
      </c>
      <c r="BQA18" s="454">
        <f>+BPU18+BPX18</f>
        <v>60000000</v>
      </c>
      <c r="BQB18" s="461"/>
      <c r="BQC18" s="450"/>
      <c r="BQD18" s="594">
        <f>(BPZ18-BPR18)/BPR18</f>
        <v>0.13401162364699606</v>
      </c>
      <c r="BQE18" s="436" t="s">
        <v>141</v>
      </c>
      <c r="BQF18" s="448">
        <v>54850667.799999997</v>
      </c>
      <c r="BQG18" s="449"/>
      <c r="BQH18" s="448">
        <f>BQF18+BQG18</f>
        <v>54850667.799999997</v>
      </c>
      <c r="BQI18" s="452"/>
      <c r="BQJ18" s="452">
        <v>62201294.850000001</v>
      </c>
      <c r="BQK18" s="451">
        <f>60000000</f>
        <v>60000000</v>
      </c>
      <c r="BQL18" s="459"/>
      <c r="BQM18" s="452"/>
      <c r="BQN18" s="450">
        <v>0</v>
      </c>
      <c r="BQO18" s="460"/>
      <c r="BQP18" s="450">
        <f>BQJ18+BQM18</f>
        <v>62201294.850000001</v>
      </c>
      <c r="BQQ18" s="454">
        <f>+BQK18+BQN18</f>
        <v>60000000</v>
      </c>
      <c r="BQR18" s="461"/>
      <c r="BQS18" s="450"/>
      <c r="BQT18" s="594">
        <f>(BQP18-BQH18)/BQH18</f>
        <v>0.13401162364699606</v>
      </c>
      <c r="BQU18" s="436" t="s">
        <v>141</v>
      </c>
      <c r="BQV18" s="448">
        <v>54850667.799999997</v>
      </c>
      <c r="BQW18" s="449"/>
      <c r="BQX18" s="448">
        <f>BQV18+BQW18</f>
        <v>54850667.799999997</v>
      </c>
      <c r="BQY18" s="452"/>
      <c r="BQZ18" s="452">
        <v>62201294.850000001</v>
      </c>
      <c r="BRA18" s="451">
        <f>60000000</f>
        <v>60000000</v>
      </c>
      <c r="BRB18" s="459"/>
      <c r="BRC18" s="452"/>
      <c r="BRD18" s="450">
        <v>0</v>
      </c>
      <c r="BRE18" s="460"/>
      <c r="BRF18" s="450">
        <f>BQZ18+BRC18</f>
        <v>62201294.850000001</v>
      </c>
      <c r="BRG18" s="454">
        <f>+BRA18+BRD18</f>
        <v>60000000</v>
      </c>
      <c r="BRH18" s="461"/>
      <c r="BRI18" s="450"/>
      <c r="BRJ18" s="594">
        <f>(BRF18-BQX18)/BQX18</f>
        <v>0.13401162364699606</v>
      </c>
      <c r="BRK18" s="436" t="s">
        <v>141</v>
      </c>
      <c r="BRL18" s="448">
        <v>54850667.799999997</v>
      </c>
      <c r="BRM18" s="449"/>
      <c r="BRN18" s="448">
        <f>BRL18+BRM18</f>
        <v>54850667.799999997</v>
      </c>
      <c r="BRO18" s="452"/>
      <c r="BRP18" s="452">
        <v>62201294.850000001</v>
      </c>
      <c r="BRQ18" s="451">
        <f>60000000</f>
        <v>60000000</v>
      </c>
      <c r="BRR18" s="459"/>
      <c r="BRS18" s="452"/>
      <c r="BRT18" s="450">
        <v>0</v>
      </c>
      <c r="BRU18" s="460"/>
      <c r="BRV18" s="450">
        <f>BRP18+BRS18</f>
        <v>62201294.850000001</v>
      </c>
      <c r="BRW18" s="454">
        <f>+BRQ18+BRT18</f>
        <v>60000000</v>
      </c>
      <c r="BRX18" s="461"/>
      <c r="BRY18" s="450"/>
      <c r="BRZ18" s="594">
        <f>(BRV18-BRN18)/BRN18</f>
        <v>0.13401162364699606</v>
      </c>
      <c r="BSA18" s="436" t="s">
        <v>141</v>
      </c>
      <c r="BSB18" s="448">
        <v>54850667.799999997</v>
      </c>
      <c r="BSC18" s="449"/>
      <c r="BSD18" s="448">
        <f>BSB18+BSC18</f>
        <v>54850667.799999997</v>
      </c>
      <c r="BSE18" s="452"/>
      <c r="BSF18" s="452">
        <v>62201294.850000001</v>
      </c>
      <c r="BSG18" s="451">
        <f>60000000</f>
        <v>60000000</v>
      </c>
      <c r="BSH18" s="459"/>
      <c r="BSI18" s="452"/>
      <c r="BSJ18" s="450">
        <v>0</v>
      </c>
      <c r="BSK18" s="460"/>
      <c r="BSL18" s="450">
        <f>BSF18+BSI18</f>
        <v>62201294.850000001</v>
      </c>
      <c r="BSM18" s="454">
        <f>+BSG18+BSJ18</f>
        <v>60000000</v>
      </c>
      <c r="BSN18" s="461"/>
      <c r="BSO18" s="450"/>
      <c r="BSP18" s="594">
        <f>(BSL18-BSD18)/BSD18</f>
        <v>0.13401162364699606</v>
      </c>
      <c r="BSQ18" s="436" t="s">
        <v>141</v>
      </c>
      <c r="BSR18" s="448">
        <v>54850667.799999997</v>
      </c>
      <c r="BSS18" s="449"/>
      <c r="BST18" s="448">
        <f>BSR18+BSS18</f>
        <v>54850667.799999997</v>
      </c>
      <c r="BSU18" s="452"/>
      <c r="BSV18" s="452">
        <v>62201294.850000001</v>
      </c>
      <c r="BSW18" s="451">
        <f>60000000</f>
        <v>60000000</v>
      </c>
      <c r="BSX18" s="459"/>
      <c r="BSY18" s="452"/>
      <c r="BSZ18" s="450">
        <v>0</v>
      </c>
      <c r="BTA18" s="460"/>
      <c r="BTB18" s="450">
        <f>BSV18+BSY18</f>
        <v>62201294.850000001</v>
      </c>
      <c r="BTC18" s="454">
        <f>+BSW18+BSZ18</f>
        <v>60000000</v>
      </c>
      <c r="BTD18" s="461"/>
      <c r="BTE18" s="450"/>
      <c r="BTF18" s="594">
        <f>(BTB18-BST18)/BST18</f>
        <v>0.13401162364699606</v>
      </c>
      <c r="BTG18" s="436" t="s">
        <v>141</v>
      </c>
      <c r="BTH18" s="448">
        <v>54850667.799999997</v>
      </c>
      <c r="BTI18" s="449"/>
      <c r="BTJ18" s="448">
        <f>BTH18+BTI18</f>
        <v>54850667.799999997</v>
      </c>
      <c r="BTK18" s="452"/>
      <c r="BTL18" s="452">
        <v>62201294.850000001</v>
      </c>
      <c r="BTM18" s="451">
        <f>60000000</f>
        <v>60000000</v>
      </c>
      <c r="BTN18" s="459"/>
      <c r="BTO18" s="452"/>
      <c r="BTP18" s="450">
        <v>0</v>
      </c>
      <c r="BTQ18" s="460"/>
      <c r="BTR18" s="450">
        <f>BTL18+BTO18</f>
        <v>62201294.850000001</v>
      </c>
      <c r="BTS18" s="454">
        <f>+BTM18+BTP18</f>
        <v>60000000</v>
      </c>
      <c r="BTT18" s="461"/>
      <c r="BTU18" s="450"/>
      <c r="BTV18" s="594">
        <f>(BTR18-BTJ18)/BTJ18</f>
        <v>0.13401162364699606</v>
      </c>
      <c r="BTW18" s="436" t="s">
        <v>141</v>
      </c>
      <c r="BTX18" s="448">
        <v>54850667.799999997</v>
      </c>
      <c r="BTY18" s="449"/>
      <c r="BTZ18" s="448">
        <f>BTX18+BTY18</f>
        <v>54850667.799999997</v>
      </c>
      <c r="BUA18" s="452"/>
      <c r="BUB18" s="452">
        <v>62201294.850000001</v>
      </c>
      <c r="BUC18" s="451">
        <f>60000000</f>
        <v>60000000</v>
      </c>
      <c r="BUD18" s="459"/>
      <c r="BUE18" s="452"/>
      <c r="BUF18" s="450">
        <v>0</v>
      </c>
      <c r="BUG18" s="460"/>
      <c r="BUH18" s="450">
        <f>BUB18+BUE18</f>
        <v>62201294.850000001</v>
      </c>
      <c r="BUI18" s="454">
        <f>+BUC18+BUF18</f>
        <v>60000000</v>
      </c>
      <c r="BUJ18" s="461"/>
      <c r="BUK18" s="450"/>
      <c r="BUL18" s="594">
        <f>(BUH18-BTZ18)/BTZ18</f>
        <v>0.13401162364699606</v>
      </c>
      <c r="BUM18" s="436" t="s">
        <v>141</v>
      </c>
      <c r="BUN18" s="448">
        <v>54850667.799999997</v>
      </c>
      <c r="BUO18" s="449"/>
      <c r="BUP18" s="448">
        <f>BUN18+BUO18</f>
        <v>54850667.799999997</v>
      </c>
      <c r="BUQ18" s="452"/>
      <c r="BUR18" s="452">
        <v>62201294.850000001</v>
      </c>
      <c r="BUS18" s="451">
        <f>60000000</f>
        <v>60000000</v>
      </c>
      <c r="BUT18" s="459"/>
      <c r="BUU18" s="452"/>
      <c r="BUV18" s="450">
        <v>0</v>
      </c>
      <c r="BUW18" s="460"/>
      <c r="BUX18" s="450">
        <f>BUR18+BUU18</f>
        <v>62201294.850000001</v>
      </c>
      <c r="BUY18" s="454">
        <f>+BUS18+BUV18</f>
        <v>60000000</v>
      </c>
      <c r="BUZ18" s="461"/>
      <c r="BVA18" s="450"/>
      <c r="BVB18" s="594">
        <f>(BUX18-BUP18)/BUP18</f>
        <v>0.13401162364699606</v>
      </c>
      <c r="BVC18" s="436" t="s">
        <v>141</v>
      </c>
      <c r="BVD18" s="448">
        <v>54850667.799999997</v>
      </c>
      <c r="BVE18" s="449"/>
      <c r="BVF18" s="448">
        <f>BVD18+BVE18</f>
        <v>54850667.799999997</v>
      </c>
      <c r="BVG18" s="452"/>
      <c r="BVH18" s="452">
        <v>62201294.850000001</v>
      </c>
      <c r="BVI18" s="451">
        <f>60000000</f>
        <v>60000000</v>
      </c>
      <c r="BVJ18" s="459"/>
      <c r="BVK18" s="452"/>
      <c r="BVL18" s="450">
        <v>0</v>
      </c>
      <c r="BVM18" s="460"/>
      <c r="BVN18" s="450">
        <f>BVH18+BVK18</f>
        <v>62201294.850000001</v>
      </c>
      <c r="BVO18" s="454">
        <f>+BVI18+BVL18</f>
        <v>60000000</v>
      </c>
      <c r="BVP18" s="461"/>
      <c r="BVQ18" s="450"/>
      <c r="BVR18" s="594">
        <f>(BVN18-BVF18)/BVF18</f>
        <v>0.13401162364699606</v>
      </c>
      <c r="BVS18" s="436" t="s">
        <v>141</v>
      </c>
      <c r="BVT18" s="448">
        <v>54850667.799999997</v>
      </c>
      <c r="BVU18" s="449"/>
      <c r="BVV18" s="448">
        <f>BVT18+BVU18</f>
        <v>54850667.799999997</v>
      </c>
      <c r="BVW18" s="452"/>
      <c r="BVX18" s="452">
        <v>62201294.850000001</v>
      </c>
      <c r="BVY18" s="451">
        <f>60000000</f>
        <v>60000000</v>
      </c>
      <c r="BVZ18" s="459"/>
      <c r="BWA18" s="452"/>
      <c r="BWB18" s="450">
        <v>0</v>
      </c>
      <c r="BWC18" s="460"/>
      <c r="BWD18" s="450">
        <f>BVX18+BWA18</f>
        <v>62201294.850000001</v>
      </c>
      <c r="BWE18" s="454">
        <f>+BVY18+BWB18</f>
        <v>60000000</v>
      </c>
      <c r="BWF18" s="461"/>
      <c r="BWG18" s="450"/>
      <c r="BWH18" s="594">
        <f>(BWD18-BVV18)/BVV18</f>
        <v>0.13401162364699606</v>
      </c>
      <c r="BWI18" s="436" t="s">
        <v>141</v>
      </c>
      <c r="BWJ18" s="448">
        <v>54850667.799999997</v>
      </c>
      <c r="BWK18" s="449"/>
      <c r="BWL18" s="448">
        <f>BWJ18+BWK18</f>
        <v>54850667.799999997</v>
      </c>
      <c r="BWM18" s="452"/>
      <c r="BWN18" s="452">
        <v>62201294.850000001</v>
      </c>
      <c r="BWO18" s="451">
        <f>60000000</f>
        <v>60000000</v>
      </c>
      <c r="BWP18" s="459"/>
      <c r="BWQ18" s="452"/>
      <c r="BWR18" s="450">
        <v>0</v>
      </c>
      <c r="BWS18" s="460"/>
      <c r="BWT18" s="450">
        <f>BWN18+BWQ18</f>
        <v>62201294.850000001</v>
      </c>
      <c r="BWU18" s="454">
        <f>+BWO18+BWR18</f>
        <v>60000000</v>
      </c>
      <c r="BWV18" s="461"/>
      <c r="BWW18" s="450"/>
      <c r="BWX18" s="594">
        <f>(BWT18-BWL18)/BWL18</f>
        <v>0.13401162364699606</v>
      </c>
      <c r="BWY18" s="436" t="s">
        <v>141</v>
      </c>
      <c r="BWZ18" s="448">
        <v>54850667.799999997</v>
      </c>
      <c r="BXA18" s="449"/>
      <c r="BXB18" s="448">
        <f>BWZ18+BXA18</f>
        <v>54850667.799999997</v>
      </c>
      <c r="BXC18" s="452"/>
      <c r="BXD18" s="452">
        <v>62201294.850000001</v>
      </c>
      <c r="BXE18" s="451">
        <f>60000000</f>
        <v>60000000</v>
      </c>
      <c r="BXF18" s="459"/>
      <c r="BXG18" s="452"/>
      <c r="BXH18" s="450">
        <v>0</v>
      </c>
      <c r="BXI18" s="460"/>
      <c r="BXJ18" s="450">
        <f>BXD18+BXG18</f>
        <v>62201294.850000001</v>
      </c>
      <c r="BXK18" s="454">
        <f>+BXE18+BXH18</f>
        <v>60000000</v>
      </c>
      <c r="BXL18" s="461"/>
      <c r="BXM18" s="450"/>
      <c r="BXN18" s="594">
        <f>(BXJ18-BXB18)/BXB18</f>
        <v>0.13401162364699606</v>
      </c>
      <c r="BXO18" s="436" t="s">
        <v>141</v>
      </c>
      <c r="BXP18" s="448">
        <v>54850667.799999997</v>
      </c>
      <c r="BXQ18" s="449"/>
      <c r="BXR18" s="448">
        <f>BXP18+BXQ18</f>
        <v>54850667.799999997</v>
      </c>
      <c r="BXS18" s="452"/>
      <c r="BXT18" s="452">
        <v>62201294.850000001</v>
      </c>
      <c r="BXU18" s="451">
        <f>60000000</f>
        <v>60000000</v>
      </c>
      <c r="BXV18" s="459"/>
      <c r="BXW18" s="452"/>
      <c r="BXX18" s="450">
        <v>0</v>
      </c>
      <c r="BXY18" s="460"/>
      <c r="BXZ18" s="450">
        <f>BXT18+BXW18</f>
        <v>62201294.850000001</v>
      </c>
      <c r="BYA18" s="454">
        <f>+BXU18+BXX18</f>
        <v>60000000</v>
      </c>
      <c r="BYB18" s="461"/>
      <c r="BYC18" s="450"/>
      <c r="BYD18" s="594">
        <f>(BXZ18-BXR18)/BXR18</f>
        <v>0.13401162364699606</v>
      </c>
      <c r="BYE18" s="436" t="s">
        <v>141</v>
      </c>
      <c r="BYF18" s="448">
        <v>54850667.799999997</v>
      </c>
      <c r="BYG18" s="449"/>
      <c r="BYH18" s="448">
        <f>BYF18+BYG18</f>
        <v>54850667.799999997</v>
      </c>
      <c r="BYI18" s="452"/>
      <c r="BYJ18" s="452">
        <v>62201294.850000001</v>
      </c>
      <c r="BYK18" s="451">
        <f>60000000</f>
        <v>60000000</v>
      </c>
      <c r="BYL18" s="459"/>
      <c r="BYM18" s="452"/>
      <c r="BYN18" s="450">
        <v>0</v>
      </c>
      <c r="BYO18" s="460"/>
      <c r="BYP18" s="450">
        <f>BYJ18+BYM18</f>
        <v>62201294.850000001</v>
      </c>
      <c r="BYQ18" s="454">
        <f>+BYK18+BYN18</f>
        <v>60000000</v>
      </c>
      <c r="BYR18" s="461"/>
      <c r="BYS18" s="450"/>
      <c r="BYT18" s="594">
        <f>(BYP18-BYH18)/BYH18</f>
        <v>0.13401162364699606</v>
      </c>
      <c r="BYU18" s="436" t="s">
        <v>141</v>
      </c>
      <c r="BYV18" s="448">
        <v>54850667.799999997</v>
      </c>
      <c r="BYW18" s="449"/>
      <c r="BYX18" s="448">
        <f>BYV18+BYW18</f>
        <v>54850667.799999997</v>
      </c>
      <c r="BYY18" s="452"/>
      <c r="BYZ18" s="452">
        <v>62201294.850000001</v>
      </c>
      <c r="BZA18" s="451">
        <f>60000000</f>
        <v>60000000</v>
      </c>
      <c r="BZB18" s="459"/>
      <c r="BZC18" s="452"/>
      <c r="BZD18" s="450">
        <v>0</v>
      </c>
      <c r="BZE18" s="460"/>
      <c r="BZF18" s="450">
        <f>BYZ18+BZC18</f>
        <v>62201294.850000001</v>
      </c>
      <c r="BZG18" s="454">
        <f>+BZA18+BZD18</f>
        <v>60000000</v>
      </c>
      <c r="BZH18" s="461"/>
      <c r="BZI18" s="450"/>
      <c r="BZJ18" s="594">
        <f>(BZF18-BYX18)/BYX18</f>
        <v>0.13401162364699606</v>
      </c>
      <c r="BZK18" s="436" t="s">
        <v>141</v>
      </c>
      <c r="BZL18" s="448">
        <v>54850667.799999997</v>
      </c>
      <c r="BZM18" s="449"/>
      <c r="BZN18" s="448">
        <f>BZL18+BZM18</f>
        <v>54850667.799999997</v>
      </c>
      <c r="BZO18" s="452"/>
      <c r="BZP18" s="452">
        <v>62201294.850000001</v>
      </c>
      <c r="BZQ18" s="451">
        <f>60000000</f>
        <v>60000000</v>
      </c>
      <c r="BZR18" s="459"/>
      <c r="BZS18" s="452"/>
      <c r="BZT18" s="450">
        <v>0</v>
      </c>
      <c r="BZU18" s="460"/>
      <c r="BZV18" s="450">
        <f>BZP18+BZS18</f>
        <v>62201294.850000001</v>
      </c>
      <c r="BZW18" s="454">
        <f>+BZQ18+BZT18</f>
        <v>60000000</v>
      </c>
      <c r="BZX18" s="461"/>
      <c r="BZY18" s="450"/>
      <c r="BZZ18" s="594">
        <f>(BZV18-BZN18)/BZN18</f>
        <v>0.13401162364699606</v>
      </c>
      <c r="CAA18" s="436" t="s">
        <v>141</v>
      </c>
      <c r="CAB18" s="448">
        <v>54850667.799999997</v>
      </c>
      <c r="CAC18" s="449"/>
      <c r="CAD18" s="448">
        <f>CAB18+CAC18</f>
        <v>54850667.799999997</v>
      </c>
      <c r="CAE18" s="452"/>
      <c r="CAF18" s="452">
        <v>62201294.850000001</v>
      </c>
      <c r="CAG18" s="451">
        <f>60000000</f>
        <v>60000000</v>
      </c>
      <c r="CAH18" s="459"/>
      <c r="CAI18" s="452"/>
      <c r="CAJ18" s="450">
        <v>0</v>
      </c>
      <c r="CAK18" s="460"/>
      <c r="CAL18" s="450">
        <f>CAF18+CAI18</f>
        <v>62201294.850000001</v>
      </c>
      <c r="CAM18" s="454">
        <f>+CAG18+CAJ18</f>
        <v>60000000</v>
      </c>
      <c r="CAN18" s="461"/>
      <c r="CAO18" s="450"/>
      <c r="CAP18" s="594">
        <f>(CAL18-CAD18)/CAD18</f>
        <v>0.13401162364699606</v>
      </c>
      <c r="CAQ18" s="436" t="s">
        <v>141</v>
      </c>
      <c r="CAR18" s="448">
        <v>54850667.799999997</v>
      </c>
      <c r="CAS18" s="449"/>
      <c r="CAT18" s="448">
        <f>CAR18+CAS18</f>
        <v>54850667.799999997</v>
      </c>
      <c r="CAU18" s="452"/>
      <c r="CAV18" s="452">
        <v>62201294.850000001</v>
      </c>
      <c r="CAW18" s="451">
        <f>60000000</f>
        <v>60000000</v>
      </c>
      <c r="CAX18" s="459"/>
      <c r="CAY18" s="452"/>
      <c r="CAZ18" s="450">
        <v>0</v>
      </c>
      <c r="CBA18" s="460"/>
      <c r="CBB18" s="450">
        <f>CAV18+CAY18</f>
        <v>62201294.850000001</v>
      </c>
      <c r="CBC18" s="454">
        <f>+CAW18+CAZ18</f>
        <v>60000000</v>
      </c>
      <c r="CBD18" s="461"/>
      <c r="CBE18" s="450"/>
      <c r="CBF18" s="594">
        <f>(CBB18-CAT18)/CAT18</f>
        <v>0.13401162364699606</v>
      </c>
      <c r="CBG18" s="436" t="s">
        <v>141</v>
      </c>
      <c r="CBH18" s="448">
        <v>54850667.799999997</v>
      </c>
      <c r="CBI18" s="449"/>
      <c r="CBJ18" s="448">
        <f>CBH18+CBI18</f>
        <v>54850667.799999997</v>
      </c>
      <c r="CBK18" s="452"/>
      <c r="CBL18" s="452">
        <v>62201294.850000001</v>
      </c>
      <c r="CBM18" s="451">
        <f>60000000</f>
        <v>60000000</v>
      </c>
      <c r="CBN18" s="459"/>
      <c r="CBO18" s="452"/>
      <c r="CBP18" s="450">
        <v>0</v>
      </c>
      <c r="CBQ18" s="460"/>
      <c r="CBR18" s="450">
        <f>CBL18+CBO18</f>
        <v>62201294.850000001</v>
      </c>
      <c r="CBS18" s="454">
        <f>+CBM18+CBP18</f>
        <v>60000000</v>
      </c>
      <c r="CBT18" s="461"/>
      <c r="CBU18" s="450"/>
      <c r="CBV18" s="594">
        <f>(CBR18-CBJ18)/CBJ18</f>
        <v>0.13401162364699606</v>
      </c>
      <c r="CBW18" s="436" t="s">
        <v>141</v>
      </c>
      <c r="CBX18" s="448">
        <v>54850667.799999997</v>
      </c>
      <c r="CBY18" s="449"/>
      <c r="CBZ18" s="448">
        <f>CBX18+CBY18</f>
        <v>54850667.799999997</v>
      </c>
      <c r="CCA18" s="452"/>
      <c r="CCB18" s="452">
        <v>62201294.850000001</v>
      </c>
      <c r="CCC18" s="451">
        <f>60000000</f>
        <v>60000000</v>
      </c>
      <c r="CCD18" s="459"/>
      <c r="CCE18" s="452"/>
      <c r="CCF18" s="450">
        <v>0</v>
      </c>
      <c r="CCG18" s="460"/>
      <c r="CCH18" s="450">
        <f>CCB18+CCE18</f>
        <v>62201294.850000001</v>
      </c>
      <c r="CCI18" s="454">
        <f>+CCC18+CCF18</f>
        <v>60000000</v>
      </c>
      <c r="CCJ18" s="461"/>
      <c r="CCK18" s="450"/>
      <c r="CCL18" s="594">
        <f>(CCH18-CBZ18)/CBZ18</f>
        <v>0.13401162364699606</v>
      </c>
      <c r="CCM18" s="436" t="s">
        <v>141</v>
      </c>
      <c r="CCN18" s="448">
        <v>54850667.799999997</v>
      </c>
      <c r="CCO18" s="449"/>
      <c r="CCP18" s="448">
        <f>CCN18+CCO18</f>
        <v>54850667.799999997</v>
      </c>
      <c r="CCQ18" s="452"/>
      <c r="CCR18" s="452">
        <v>62201294.850000001</v>
      </c>
      <c r="CCS18" s="451">
        <f>60000000</f>
        <v>60000000</v>
      </c>
      <c r="CCT18" s="459"/>
      <c r="CCU18" s="452"/>
      <c r="CCV18" s="450">
        <v>0</v>
      </c>
      <c r="CCW18" s="460"/>
      <c r="CCX18" s="450">
        <f>CCR18+CCU18</f>
        <v>62201294.850000001</v>
      </c>
      <c r="CCY18" s="454">
        <f>+CCS18+CCV18</f>
        <v>60000000</v>
      </c>
      <c r="CCZ18" s="461"/>
      <c r="CDA18" s="450"/>
      <c r="CDB18" s="594">
        <f>(CCX18-CCP18)/CCP18</f>
        <v>0.13401162364699606</v>
      </c>
      <c r="CDC18" s="436" t="s">
        <v>141</v>
      </c>
      <c r="CDD18" s="448">
        <v>54850667.799999997</v>
      </c>
      <c r="CDE18" s="449"/>
      <c r="CDF18" s="448">
        <f>CDD18+CDE18</f>
        <v>54850667.799999997</v>
      </c>
      <c r="CDG18" s="452"/>
      <c r="CDH18" s="452">
        <v>62201294.850000001</v>
      </c>
      <c r="CDI18" s="451">
        <f>60000000</f>
        <v>60000000</v>
      </c>
      <c r="CDJ18" s="459"/>
      <c r="CDK18" s="452"/>
      <c r="CDL18" s="450">
        <v>0</v>
      </c>
      <c r="CDM18" s="460"/>
      <c r="CDN18" s="450">
        <f>CDH18+CDK18</f>
        <v>62201294.850000001</v>
      </c>
      <c r="CDO18" s="454">
        <f>+CDI18+CDL18</f>
        <v>60000000</v>
      </c>
      <c r="CDP18" s="461"/>
      <c r="CDQ18" s="450"/>
      <c r="CDR18" s="594">
        <f>(CDN18-CDF18)/CDF18</f>
        <v>0.13401162364699606</v>
      </c>
      <c r="CDS18" s="436" t="s">
        <v>141</v>
      </c>
      <c r="CDT18" s="448">
        <v>54850667.799999997</v>
      </c>
      <c r="CDU18" s="449"/>
      <c r="CDV18" s="448">
        <f>CDT18+CDU18</f>
        <v>54850667.799999997</v>
      </c>
      <c r="CDW18" s="452"/>
      <c r="CDX18" s="452">
        <v>62201294.850000001</v>
      </c>
      <c r="CDY18" s="451">
        <f>60000000</f>
        <v>60000000</v>
      </c>
      <c r="CDZ18" s="459"/>
      <c r="CEA18" s="452"/>
      <c r="CEB18" s="450">
        <v>0</v>
      </c>
      <c r="CEC18" s="460"/>
      <c r="CED18" s="450">
        <f>CDX18+CEA18</f>
        <v>62201294.850000001</v>
      </c>
      <c r="CEE18" s="454">
        <f>+CDY18+CEB18</f>
        <v>60000000</v>
      </c>
      <c r="CEF18" s="461"/>
      <c r="CEG18" s="450"/>
      <c r="CEH18" s="594">
        <f>(CED18-CDV18)/CDV18</f>
        <v>0.13401162364699606</v>
      </c>
      <c r="CEI18" s="436" t="s">
        <v>141</v>
      </c>
      <c r="CEJ18" s="448">
        <v>54850667.799999997</v>
      </c>
      <c r="CEK18" s="449"/>
      <c r="CEL18" s="448">
        <f>CEJ18+CEK18</f>
        <v>54850667.799999997</v>
      </c>
      <c r="CEM18" s="452"/>
      <c r="CEN18" s="452">
        <v>62201294.850000001</v>
      </c>
      <c r="CEO18" s="451">
        <f>60000000</f>
        <v>60000000</v>
      </c>
      <c r="CEP18" s="459"/>
      <c r="CEQ18" s="452"/>
      <c r="CER18" s="450">
        <v>0</v>
      </c>
      <c r="CES18" s="460"/>
      <c r="CET18" s="450">
        <f>CEN18+CEQ18</f>
        <v>62201294.850000001</v>
      </c>
      <c r="CEU18" s="454">
        <f>+CEO18+CER18</f>
        <v>60000000</v>
      </c>
      <c r="CEV18" s="461"/>
      <c r="CEW18" s="450"/>
      <c r="CEX18" s="594">
        <f>(CET18-CEL18)/CEL18</f>
        <v>0.13401162364699606</v>
      </c>
      <c r="CEY18" s="436" t="s">
        <v>141</v>
      </c>
      <c r="CEZ18" s="448">
        <v>54850667.799999997</v>
      </c>
      <c r="CFA18" s="449"/>
      <c r="CFB18" s="448">
        <f>CEZ18+CFA18</f>
        <v>54850667.799999997</v>
      </c>
      <c r="CFC18" s="452"/>
      <c r="CFD18" s="452">
        <v>62201294.850000001</v>
      </c>
      <c r="CFE18" s="451">
        <f>60000000</f>
        <v>60000000</v>
      </c>
      <c r="CFF18" s="459"/>
      <c r="CFG18" s="452"/>
      <c r="CFH18" s="450">
        <v>0</v>
      </c>
      <c r="CFI18" s="460"/>
      <c r="CFJ18" s="450">
        <f>CFD18+CFG18</f>
        <v>62201294.850000001</v>
      </c>
      <c r="CFK18" s="454">
        <f>+CFE18+CFH18</f>
        <v>60000000</v>
      </c>
      <c r="CFL18" s="461"/>
      <c r="CFM18" s="450"/>
      <c r="CFN18" s="594">
        <f>(CFJ18-CFB18)/CFB18</f>
        <v>0.13401162364699606</v>
      </c>
      <c r="CFO18" s="436" t="s">
        <v>141</v>
      </c>
      <c r="CFP18" s="448">
        <v>54850667.799999997</v>
      </c>
      <c r="CFQ18" s="449"/>
      <c r="CFR18" s="448">
        <f>CFP18+CFQ18</f>
        <v>54850667.799999997</v>
      </c>
      <c r="CFS18" s="452"/>
      <c r="CFT18" s="452">
        <v>62201294.850000001</v>
      </c>
      <c r="CFU18" s="451">
        <f>60000000</f>
        <v>60000000</v>
      </c>
      <c r="CFV18" s="459"/>
      <c r="CFW18" s="452"/>
      <c r="CFX18" s="450">
        <v>0</v>
      </c>
      <c r="CFY18" s="460"/>
      <c r="CFZ18" s="450">
        <f>CFT18+CFW18</f>
        <v>62201294.850000001</v>
      </c>
      <c r="CGA18" s="454">
        <f>+CFU18+CFX18</f>
        <v>60000000</v>
      </c>
      <c r="CGB18" s="461"/>
      <c r="CGC18" s="450"/>
      <c r="CGD18" s="594">
        <f>(CFZ18-CFR18)/CFR18</f>
        <v>0.13401162364699606</v>
      </c>
      <c r="CGE18" s="436" t="s">
        <v>141</v>
      </c>
      <c r="CGF18" s="448">
        <v>54850667.799999997</v>
      </c>
      <c r="CGG18" s="449"/>
      <c r="CGH18" s="448">
        <f>CGF18+CGG18</f>
        <v>54850667.799999997</v>
      </c>
      <c r="CGI18" s="452"/>
      <c r="CGJ18" s="452">
        <v>62201294.850000001</v>
      </c>
      <c r="CGK18" s="451">
        <f>60000000</f>
        <v>60000000</v>
      </c>
      <c r="CGL18" s="459"/>
      <c r="CGM18" s="452"/>
      <c r="CGN18" s="450">
        <v>0</v>
      </c>
      <c r="CGO18" s="460"/>
      <c r="CGP18" s="450">
        <f>CGJ18+CGM18</f>
        <v>62201294.850000001</v>
      </c>
      <c r="CGQ18" s="454">
        <f>+CGK18+CGN18</f>
        <v>60000000</v>
      </c>
      <c r="CGR18" s="461"/>
      <c r="CGS18" s="450"/>
      <c r="CGT18" s="594">
        <f>(CGP18-CGH18)/CGH18</f>
        <v>0.13401162364699606</v>
      </c>
      <c r="CGU18" s="436" t="s">
        <v>141</v>
      </c>
      <c r="CGV18" s="448">
        <v>54850667.799999997</v>
      </c>
      <c r="CGW18" s="449"/>
      <c r="CGX18" s="448">
        <f>CGV18+CGW18</f>
        <v>54850667.799999997</v>
      </c>
      <c r="CGY18" s="452"/>
      <c r="CGZ18" s="452">
        <v>62201294.850000001</v>
      </c>
      <c r="CHA18" s="451">
        <f>60000000</f>
        <v>60000000</v>
      </c>
      <c r="CHB18" s="459"/>
      <c r="CHC18" s="452"/>
      <c r="CHD18" s="450">
        <v>0</v>
      </c>
      <c r="CHE18" s="460"/>
      <c r="CHF18" s="450">
        <f>CGZ18+CHC18</f>
        <v>62201294.850000001</v>
      </c>
      <c r="CHG18" s="454">
        <f>+CHA18+CHD18</f>
        <v>60000000</v>
      </c>
      <c r="CHH18" s="461"/>
      <c r="CHI18" s="450"/>
      <c r="CHJ18" s="594">
        <f>(CHF18-CGX18)/CGX18</f>
        <v>0.13401162364699606</v>
      </c>
      <c r="CHK18" s="436" t="s">
        <v>141</v>
      </c>
      <c r="CHL18" s="448">
        <v>54850667.799999997</v>
      </c>
      <c r="CHM18" s="449"/>
      <c r="CHN18" s="448">
        <f>CHL18+CHM18</f>
        <v>54850667.799999997</v>
      </c>
      <c r="CHO18" s="452"/>
      <c r="CHP18" s="452">
        <v>62201294.850000001</v>
      </c>
      <c r="CHQ18" s="451">
        <f>60000000</f>
        <v>60000000</v>
      </c>
      <c r="CHR18" s="459"/>
      <c r="CHS18" s="452"/>
      <c r="CHT18" s="450">
        <v>0</v>
      </c>
      <c r="CHU18" s="460"/>
      <c r="CHV18" s="450">
        <f>CHP18+CHS18</f>
        <v>62201294.850000001</v>
      </c>
      <c r="CHW18" s="454">
        <f>+CHQ18+CHT18</f>
        <v>60000000</v>
      </c>
      <c r="CHX18" s="461"/>
      <c r="CHY18" s="450"/>
      <c r="CHZ18" s="594">
        <f>(CHV18-CHN18)/CHN18</f>
        <v>0.13401162364699606</v>
      </c>
      <c r="CIA18" s="436" t="s">
        <v>141</v>
      </c>
      <c r="CIB18" s="448">
        <v>54850667.799999997</v>
      </c>
      <c r="CIC18" s="449"/>
      <c r="CID18" s="448">
        <f>CIB18+CIC18</f>
        <v>54850667.799999997</v>
      </c>
      <c r="CIE18" s="452"/>
      <c r="CIF18" s="452">
        <v>62201294.850000001</v>
      </c>
      <c r="CIG18" s="451">
        <f>60000000</f>
        <v>60000000</v>
      </c>
      <c r="CIH18" s="459"/>
      <c r="CII18" s="452"/>
      <c r="CIJ18" s="450">
        <v>0</v>
      </c>
      <c r="CIK18" s="460"/>
      <c r="CIL18" s="450">
        <f>CIF18+CII18</f>
        <v>62201294.850000001</v>
      </c>
      <c r="CIM18" s="454">
        <f>+CIG18+CIJ18</f>
        <v>60000000</v>
      </c>
      <c r="CIN18" s="461"/>
      <c r="CIO18" s="450"/>
      <c r="CIP18" s="594">
        <f>(CIL18-CID18)/CID18</f>
        <v>0.13401162364699606</v>
      </c>
      <c r="CIQ18" s="436" t="s">
        <v>141</v>
      </c>
      <c r="CIR18" s="448">
        <v>54850667.799999997</v>
      </c>
      <c r="CIS18" s="449"/>
      <c r="CIT18" s="448">
        <f>CIR18+CIS18</f>
        <v>54850667.799999997</v>
      </c>
      <c r="CIU18" s="452"/>
      <c r="CIV18" s="452">
        <v>62201294.850000001</v>
      </c>
      <c r="CIW18" s="451">
        <f>60000000</f>
        <v>60000000</v>
      </c>
      <c r="CIX18" s="459"/>
      <c r="CIY18" s="452"/>
      <c r="CIZ18" s="450">
        <v>0</v>
      </c>
      <c r="CJA18" s="460"/>
      <c r="CJB18" s="450">
        <f>CIV18+CIY18</f>
        <v>62201294.850000001</v>
      </c>
      <c r="CJC18" s="454">
        <f>+CIW18+CIZ18</f>
        <v>60000000</v>
      </c>
      <c r="CJD18" s="461"/>
      <c r="CJE18" s="450"/>
      <c r="CJF18" s="594">
        <f>(CJB18-CIT18)/CIT18</f>
        <v>0.13401162364699606</v>
      </c>
      <c r="CJG18" s="436" t="s">
        <v>141</v>
      </c>
      <c r="CJH18" s="448">
        <v>54850667.799999997</v>
      </c>
      <c r="CJI18" s="449"/>
      <c r="CJJ18" s="448">
        <f>CJH18+CJI18</f>
        <v>54850667.799999997</v>
      </c>
      <c r="CJK18" s="452"/>
      <c r="CJL18" s="452">
        <v>62201294.850000001</v>
      </c>
      <c r="CJM18" s="451">
        <f>60000000</f>
        <v>60000000</v>
      </c>
      <c r="CJN18" s="459"/>
      <c r="CJO18" s="452"/>
      <c r="CJP18" s="450">
        <v>0</v>
      </c>
      <c r="CJQ18" s="460"/>
      <c r="CJR18" s="450">
        <f>CJL18+CJO18</f>
        <v>62201294.850000001</v>
      </c>
      <c r="CJS18" s="454">
        <f>+CJM18+CJP18</f>
        <v>60000000</v>
      </c>
      <c r="CJT18" s="461"/>
      <c r="CJU18" s="450"/>
      <c r="CJV18" s="594">
        <f>(CJR18-CJJ18)/CJJ18</f>
        <v>0.13401162364699606</v>
      </c>
      <c r="CJW18" s="436" t="s">
        <v>141</v>
      </c>
      <c r="CJX18" s="448">
        <v>54850667.799999997</v>
      </c>
      <c r="CJY18" s="449"/>
      <c r="CJZ18" s="448">
        <f>CJX18+CJY18</f>
        <v>54850667.799999997</v>
      </c>
      <c r="CKA18" s="452"/>
      <c r="CKB18" s="452">
        <v>62201294.850000001</v>
      </c>
      <c r="CKC18" s="451">
        <f>60000000</f>
        <v>60000000</v>
      </c>
      <c r="CKD18" s="459"/>
      <c r="CKE18" s="452"/>
      <c r="CKF18" s="450">
        <v>0</v>
      </c>
      <c r="CKG18" s="460"/>
      <c r="CKH18" s="450">
        <f>CKB18+CKE18</f>
        <v>62201294.850000001</v>
      </c>
      <c r="CKI18" s="454">
        <f>+CKC18+CKF18</f>
        <v>60000000</v>
      </c>
      <c r="CKJ18" s="461"/>
      <c r="CKK18" s="450"/>
      <c r="CKL18" s="594">
        <f>(CKH18-CJZ18)/CJZ18</f>
        <v>0.13401162364699606</v>
      </c>
      <c r="CKM18" s="436" t="s">
        <v>141</v>
      </c>
      <c r="CKN18" s="448">
        <v>54850667.799999997</v>
      </c>
      <c r="CKO18" s="449"/>
      <c r="CKP18" s="448">
        <f>CKN18+CKO18</f>
        <v>54850667.799999997</v>
      </c>
      <c r="CKQ18" s="452"/>
      <c r="CKR18" s="452">
        <v>62201294.850000001</v>
      </c>
      <c r="CKS18" s="451">
        <f>60000000</f>
        <v>60000000</v>
      </c>
      <c r="CKT18" s="459"/>
      <c r="CKU18" s="452"/>
      <c r="CKV18" s="450">
        <v>0</v>
      </c>
      <c r="CKW18" s="460"/>
      <c r="CKX18" s="450">
        <f>CKR18+CKU18</f>
        <v>62201294.850000001</v>
      </c>
      <c r="CKY18" s="454">
        <f>+CKS18+CKV18</f>
        <v>60000000</v>
      </c>
      <c r="CKZ18" s="461"/>
      <c r="CLA18" s="450"/>
      <c r="CLB18" s="594">
        <f>(CKX18-CKP18)/CKP18</f>
        <v>0.13401162364699606</v>
      </c>
      <c r="CLC18" s="436" t="s">
        <v>141</v>
      </c>
      <c r="CLD18" s="448">
        <v>54850667.799999997</v>
      </c>
      <c r="CLE18" s="449"/>
      <c r="CLF18" s="448">
        <f>CLD18+CLE18</f>
        <v>54850667.799999997</v>
      </c>
      <c r="CLG18" s="452"/>
      <c r="CLH18" s="452">
        <v>62201294.850000001</v>
      </c>
      <c r="CLI18" s="451">
        <f>60000000</f>
        <v>60000000</v>
      </c>
      <c r="CLJ18" s="459"/>
      <c r="CLK18" s="452"/>
      <c r="CLL18" s="450">
        <v>0</v>
      </c>
      <c r="CLM18" s="460"/>
      <c r="CLN18" s="450">
        <f>CLH18+CLK18</f>
        <v>62201294.850000001</v>
      </c>
      <c r="CLO18" s="454">
        <f>+CLI18+CLL18</f>
        <v>60000000</v>
      </c>
      <c r="CLP18" s="461"/>
      <c r="CLQ18" s="450"/>
      <c r="CLR18" s="594">
        <f>(CLN18-CLF18)/CLF18</f>
        <v>0.13401162364699606</v>
      </c>
      <c r="CLS18" s="436" t="s">
        <v>141</v>
      </c>
      <c r="CLT18" s="448">
        <v>54850667.799999997</v>
      </c>
      <c r="CLU18" s="449"/>
      <c r="CLV18" s="448">
        <f>CLT18+CLU18</f>
        <v>54850667.799999997</v>
      </c>
      <c r="CLW18" s="452"/>
      <c r="CLX18" s="452">
        <v>62201294.850000001</v>
      </c>
      <c r="CLY18" s="451">
        <f>60000000</f>
        <v>60000000</v>
      </c>
      <c r="CLZ18" s="459"/>
      <c r="CMA18" s="452"/>
      <c r="CMB18" s="450">
        <v>0</v>
      </c>
      <c r="CMC18" s="460"/>
      <c r="CMD18" s="450">
        <f>CLX18+CMA18</f>
        <v>62201294.850000001</v>
      </c>
      <c r="CME18" s="454">
        <f>+CLY18+CMB18</f>
        <v>60000000</v>
      </c>
      <c r="CMF18" s="461"/>
      <c r="CMG18" s="450"/>
      <c r="CMH18" s="594">
        <f>(CMD18-CLV18)/CLV18</f>
        <v>0.13401162364699606</v>
      </c>
      <c r="CMI18" s="436" t="s">
        <v>141</v>
      </c>
      <c r="CMJ18" s="448">
        <v>54850667.799999997</v>
      </c>
      <c r="CMK18" s="449"/>
      <c r="CML18" s="448">
        <f>CMJ18+CMK18</f>
        <v>54850667.799999997</v>
      </c>
      <c r="CMM18" s="452"/>
      <c r="CMN18" s="452">
        <v>62201294.850000001</v>
      </c>
      <c r="CMO18" s="451">
        <f>60000000</f>
        <v>60000000</v>
      </c>
      <c r="CMP18" s="459"/>
      <c r="CMQ18" s="452"/>
      <c r="CMR18" s="450">
        <v>0</v>
      </c>
      <c r="CMS18" s="460"/>
      <c r="CMT18" s="450">
        <f>CMN18+CMQ18</f>
        <v>62201294.850000001</v>
      </c>
      <c r="CMU18" s="454">
        <f>+CMO18+CMR18</f>
        <v>60000000</v>
      </c>
      <c r="CMV18" s="461"/>
      <c r="CMW18" s="450"/>
      <c r="CMX18" s="594">
        <f>(CMT18-CML18)/CML18</f>
        <v>0.13401162364699606</v>
      </c>
      <c r="CMY18" s="436" t="s">
        <v>141</v>
      </c>
      <c r="CMZ18" s="448">
        <v>54850667.799999997</v>
      </c>
      <c r="CNA18" s="449"/>
      <c r="CNB18" s="448">
        <f>CMZ18+CNA18</f>
        <v>54850667.799999997</v>
      </c>
      <c r="CNC18" s="452"/>
      <c r="CND18" s="452">
        <v>62201294.850000001</v>
      </c>
      <c r="CNE18" s="451">
        <f>60000000</f>
        <v>60000000</v>
      </c>
      <c r="CNF18" s="459"/>
      <c r="CNG18" s="452"/>
      <c r="CNH18" s="450">
        <v>0</v>
      </c>
      <c r="CNI18" s="460"/>
      <c r="CNJ18" s="450">
        <f>CND18+CNG18</f>
        <v>62201294.850000001</v>
      </c>
      <c r="CNK18" s="454">
        <f>+CNE18+CNH18</f>
        <v>60000000</v>
      </c>
      <c r="CNL18" s="461"/>
      <c r="CNM18" s="450"/>
      <c r="CNN18" s="594">
        <f>(CNJ18-CNB18)/CNB18</f>
        <v>0.13401162364699606</v>
      </c>
      <c r="CNO18" s="436" t="s">
        <v>141</v>
      </c>
      <c r="CNP18" s="448">
        <v>54850667.799999997</v>
      </c>
      <c r="CNQ18" s="449"/>
      <c r="CNR18" s="448">
        <f>CNP18+CNQ18</f>
        <v>54850667.799999997</v>
      </c>
      <c r="CNS18" s="452"/>
      <c r="CNT18" s="452">
        <v>62201294.850000001</v>
      </c>
      <c r="CNU18" s="451">
        <f>60000000</f>
        <v>60000000</v>
      </c>
      <c r="CNV18" s="459"/>
      <c r="CNW18" s="452"/>
      <c r="CNX18" s="450">
        <v>0</v>
      </c>
      <c r="CNY18" s="460"/>
      <c r="CNZ18" s="450">
        <f>CNT18+CNW18</f>
        <v>62201294.850000001</v>
      </c>
      <c r="COA18" s="454">
        <f>+CNU18+CNX18</f>
        <v>60000000</v>
      </c>
      <c r="COB18" s="461"/>
      <c r="COC18" s="450"/>
      <c r="COD18" s="594">
        <f>(CNZ18-CNR18)/CNR18</f>
        <v>0.13401162364699606</v>
      </c>
      <c r="COE18" s="436" t="s">
        <v>141</v>
      </c>
      <c r="COF18" s="448">
        <v>54850667.799999997</v>
      </c>
      <c r="COG18" s="449"/>
      <c r="COH18" s="448">
        <f>COF18+COG18</f>
        <v>54850667.799999997</v>
      </c>
      <c r="COI18" s="452"/>
      <c r="COJ18" s="452">
        <v>62201294.850000001</v>
      </c>
      <c r="COK18" s="451">
        <f>60000000</f>
        <v>60000000</v>
      </c>
      <c r="COL18" s="459"/>
      <c r="COM18" s="452"/>
      <c r="CON18" s="450">
        <v>0</v>
      </c>
      <c r="COO18" s="460"/>
      <c r="COP18" s="450">
        <f>COJ18+COM18</f>
        <v>62201294.850000001</v>
      </c>
      <c r="COQ18" s="454">
        <f>+COK18+CON18</f>
        <v>60000000</v>
      </c>
      <c r="COR18" s="461"/>
      <c r="COS18" s="450"/>
      <c r="COT18" s="594">
        <f>(COP18-COH18)/COH18</f>
        <v>0.13401162364699606</v>
      </c>
      <c r="COU18" s="436" t="s">
        <v>141</v>
      </c>
      <c r="COV18" s="448">
        <v>54850667.799999997</v>
      </c>
      <c r="COW18" s="449"/>
      <c r="COX18" s="448">
        <f>COV18+COW18</f>
        <v>54850667.799999997</v>
      </c>
      <c r="COY18" s="452"/>
      <c r="COZ18" s="452">
        <v>62201294.850000001</v>
      </c>
      <c r="CPA18" s="451">
        <f>60000000</f>
        <v>60000000</v>
      </c>
      <c r="CPB18" s="459"/>
      <c r="CPC18" s="452"/>
      <c r="CPD18" s="450">
        <v>0</v>
      </c>
      <c r="CPE18" s="460"/>
      <c r="CPF18" s="450">
        <f>COZ18+CPC18</f>
        <v>62201294.850000001</v>
      </c>
      <c r="CPG18" s="454">
        <f>+CPA18+CPD18</f>
        <v>60000000</v>
      </c>
      <c r="CPH18" s="461"/>
      <c r="CPI18" s="450"/>
      <c r="CPJ18" s="594">
        <f>(CPF18-COX18)/COX18</f>
        <v>0.13401162364699606</v>
      </c>
      <c r="CPK18" s="436" t="s">
        <v>141</v>
      </c>
      <c r="CPL18" s="448">
        <v>54850667.799999997</v>
      </c>
      <c r="CPM18" s="449"/>
      <c r="CPN18" s="448">
        <f>CPL18+CPM18</f>
        <v>54850667.799999997</v>
      </c>
      <c r="CPO18" s="452"/>
      <c r="CPP18" s="452">
        <v>62201294.850000001</v>
      </c>
      <c r="CPQ18" s="451">
        <f>60000000</f>
        <v>60000000</v>
      </c>
      <c r="CPR18" s="459"/>
      <c r="CPS18" s="452"/>
      <c r="CPT18" s="450">
        <v>0</v>
      </c>
      <c r="CPU18" s="460"/>
      <c r="CPV18" s="450">
        <f>CPP18+CPS18</f>
        <v>62201294.850000001</v>
      </c>
      <c r="CPW18" s="454">
        <f>+CPQ18+CPT18</f>
        <v>60000000</v>
      </c>
      <c r="CPX18" s="461"/>
      <c r="CPY18" s="450"/>
      <c r="CPZ18" s="594">
        <f>(CPV18-CPN18)/CPN18</f>
        <v>0.13401162364699606</v>
      </c>
      <c r="CQA18" s="436" t="s">
        <v>141</v>
      </c>
      <c r="CQB18" s="448">
        <v>54850667.799999997</v>
      </c>
      <c r="CQC18" s="449"/>
      <c r="CQD18" s="448">
        <f>CQB18+CQC18</f>
        <v>54850667.799999997</v>
      </c>
      <c r="CQE18" s="452"/>
      <c r="CQF18" s="452">
        <v>62201294.850000001</v>
      </c>
      <c r="CQG18" s="451">
        <f>60000000</f>
        <v>60000000</v>
      </c>
      <c r="CQH18" s="459"/>
      <c r="CQI18" s="452"/>
      <c r="CQJ18" s="450">
        <v>0</v>
      </c>
      <c r="CQK18" s="460"/>
      <c r="CQL18" s="450">
        <f>CQF18+CQI18</f>
        <v>62201294.850000001</v>
      </c>
      <c r="CQM18" s="454">
        <f>+CQG18+CQJ18</f>
        <v>60000000</v>
      </c>
      <c r="CQN18" s="461"/>
      <c r="CQO18" s="450"/>
      <c r="CQP18" s="594">
        <f>(CQL18-CQD18)/CQD18</f>
        <v>0.13401162364699606</v>
      </c>
      <c r="CQQ18" s="436" t="s">
        <v>141</v>
      </c>
      <c r="CQR18" s="448">
        <v>54850667.799999997</v>
      </c>
      <c r="CQS18" s="449"/>
      <c r="CQT18" s="448">
        <f>CQR18+CQS18</f>
        <v>54850667.799999997</v>
      </c>
      <c r="CQU18" s="452"/>
      <c r="CQV18" s="452">
        <v>62201294.850000001</v>
      </c>
      <c r="CQW18" s="451">
        <f>60000000</f>
        <v>60000000</v>
      </c>
      <c r="CQX18" s="459"/>
      <c r="CQY18" s="452"/>
      <c r="CQZ18" s="450">
        <v>0</v>
      </c>
      <c r="CRA18" s="460"/>
      <c r="CRB18" s="450">
        <f>CQV18+CQY18</f>
        <v>62201294.850000001</v>
      </c>
      <c r="CRC18" s="454">
        <f>+CQW18+CQZ18</f>
        <v>60000000</v>
      </c>
      <c r="CRD18" s="461"/>
      <c r="CRE18" s="450"/>
      <c r="CRF18" s="594">
        <f>(CRB18-CQT18)/CQT18</f>
        <v>0.13401162364699606</v>
      </c>
      <c r="CRG18" s="436" t="s">
        <v>141</v>
      </c>
      <c r="CRH18" s="448">
        <v>54850667.799999997</v>
      </c>
      <c r="CRI18" s="449"/>
      <c r="CRJ18" s="448">
        <f>CRH18+CRI18</f>
        <v>54850667.799999997</v>
      </c>
      <c r="CRK18" s="452"/>
      <c r="CRL18" s="452">
        <v>62201294.850000001</v>
      </c>
      <c r="CRM18" s="451">
        <f>60000000</f>
        <v>60000000</v>
      </c>
      <c r="CRN18" s="459"/>
      <c r="CRO18" s="452"/>
      <c r="CRP18" s="450">
        <v>0</v>
      </c>
      <c r="CRQ18" s="460"/>
      <c r="CRR18" s="450">
        <f>CRL18+CRO18</f>
        <v>62201294.850000001</v>
      </c>
      <c r="CRS18" s="454">
        <f>+CRM18+CRP18</f>
        <v>60000000</v>
      </c>
      <c r="CRT18" s="461"/>
      <c r="CRU18" s="450"/>
      <c r="CRV18" s="594">
        <f>(CRR18-CRJ18)/CRJ18</f>
        <v>0.13401162364699606</v>
      </c>
      <c r="CRW18" s="436" t="s">
        <v>141</v>
      </c>
      <c r="CRX18" s="448">
        <v>54850667.799999997</v>
      </c>
      <c r="CRY18" s="449"/>
      <c r="CRZ18" s="448">
        <f>CRX18+CRY18</f>
        <v>54850667.799999997</v>
      </c>
      <c r="CSA18" s="452"/>
      <c r="CSB18" s="452">
        <v>62201294.850000001</v>
      </c>
      <c r="CSC18" s="451">
        <f>60000000</f>
        <v>60000000</v>
      </c>
      <c r="CSD18" s="459"/>
      <c r="CSE18" s="452"/>
      <c r="CSF18" s="450">
        <v>0</v>
      </c>
      <c r="CSG18" s="460"/>
      <c r="CSH18" s="450">
        <f>CSB18+CSE18</f>
        <v>62201294.850000001</v>
      </c>
      <c r="CSI18" s="454">
        <f>+CSC18+CSF18</f>
        <v>60000000</v>
      </c>
      <c r="CSJ18" s="461"/>
      <c r="CSK18" s="450"/>
      <c r="CSL18" s="594">
        <f>(CSH18-CRZ18)/CRZ18</f>
        <v>0.13401162364699606</v>
      </c>
      <c r="CSM18" s="436" t="s">
        <v>141</v>
      </c>
      <c r="CSN18" s="448">
        <v>54850667.799999997</v>
      </c>
      <c r="CSO18" s="449"/>
      <c r="CSP18" s="448">
        <f>CSN18+CSO18</f>
        <v>54850667.799999997</v>
      </c>
      <c r="CSQ18" s="452"/>
      <c r="CSR18" s="452">
        <v>62201294.850000001</v>
      </c>
      <c r="CSS18" s="451">
        <f>60000000</f>
        <v>60000000</v>
      </c>
      <c r="CST18" s="459"/>
      <c r="CSU18" s="452"/>
      <c r="CSV18" s="450">
        <v>0</v>
      </c>
      <c r="CSW18" s="460"/>
      <c r="CSX18" s="450">
        <f>CSR18+CSU18</f>
        <v>62201294.850000001</v>
      </c>
      <c r="CSY18" s="454">
        <f>+CSS18+CSV18</f>
        <v>60000000</v>
      </c>
      <c r="CSZ18" s="461"/>
      <c r="CTA18" s="450"/>
      <c r="CTB18" s="594">
        <f>(CSX18-CSP18)/CSP18</f>
        <v>0.13401162364699606</v>
      </c>
      <c r="CTC18" s="436" t="s">
        <v>141</v>
      </c>
      <c r="CTD18" s="448">
        <v>54850667.799999997</v>
      </c>
      <c r="CTE18" s="449"/>
      <c r="CTF18" s="448">
        <f>CTD18+CTE18</f>
        <v>54850667.799999997</v>
      </c>
      <c r="CTG18" s="452"/>
      <c r="CTH18" s="452">
        <v>62201294.850000001</v>
      </c>
      <c r="CTI18" s="451">
        <f>60000000</f>
        <v>60000000</v>
      </c>
      <c r="CTJ18" s="459"/>
      <c r="CTK18" s="452"/>
      <c r="CTL18" s="450">
        <v>0</v>
      </c>
      <c r="CTM18" s="460"/>
      <c r="CTN18" s="450">
        <f>CTH18+CTK18</f>
        <v>62201294.850000001</v>
      </c>
      <c r="CTO18" s="454">
        <f>+CTI18+CTL18</f>
        <v>60000000</v>
      </c>
      <c r="CTP18" s="461"/>
      <c r="CTQ18" s="450"/>
      <c r="CTR18" s="594">
        <f>(CTN18-CTF18)/CTF18</f>
        <v>0.13401162364699606</v>
      </c>
      <c r="CTS18" s="436" t="s">
        <v>141</v>
      </c>
      <c r="CTT18" s="448">
        <v>54850667.799999997</v>
      </c>
      <c r="CTU18" s="449"/>
      <c r="CTV18" s="448">
        <f>CTT18+CTU18</f>
        <v>54850667.799999997</v>
      </c>
      <c r="CTW18" s="452"/>
      <c r="CTX18" s="452">
        <v>62201294.850000001</v>
      </c>
      <c r="CTY18" s="451">
        <f>60000000</f>
        <v>60000000</v>
      </c>
      <c r="CTZ18" s="459"/>
      <c r="CUA18" s="452"/>
      <c r="CUB18" s="450">
        <v>0</v>
      </c>
      <c r="CUC18" s="460"/>
      <c r="CUD18" s="450">
        <f>CTX18+CUA18</f>
        <v>62201294.850000001</v>
      </c>
      <c r="CUE18" s="454">
        <f>+CTY18+CUB18</f>
        <v>60000000</v>
      </c>
      <c r="CUF18" s="461"/>
      <c r="CUG18" s="450"/>
      <c r="CUH18" s="594">
        <f>(CUD18-CTV18)/CTV18</f>
        <v>0.13401162364699606</v>
      </c>
      <c r="CUI18" s="436" t="s">
        <v>141</v>
      </c>
      <c r="CUJ18" s="448">
        <v>54850667.799999997</v>
      </c>
      <c r="CUK18" s="449"/>
      <c r="CUL18" s="448">
        <f>CUJ18+CUK18</f>
        <v>54850667.799999997</v>
      </c>
      <c r="CUM18" s="452"/>
      <c r="CUN18" s="452">
        <v>62201294.850000001</v>
      </c>
      <c r="CUO18" s="451">
        <f>60000000</f>
        <v>60000000</v>
      </c>
      <c r="CUP18" s="459"/>
      <c r="CUQ18" s="452"/>
      <c r="CUR18" s="450">
        <v>0</v>
      </c>
      <c r="CUS18" s="460"/>
      <c r="CUT18" s="450">
        <f>CUN18+CUQ18</f>
        <v>62201294.850000001</v>
      </c>
      <c r="CUU18" s="454">
        <f>+CUO18+CUR18</f>
        <v>60000000</v>
      </c>
      <c r="CUV18" s="461"/>
      <c r="CUW18" s="450"/>
      <c r="CUX18" s="594">
        <f>(CUT18-CUL18)/CUL18</f>
        <v>0.13401162364699606</v>
      </c>
      <c r="CUY18" s="436" t="s">
        <v>141</v>
      </c>
      <c r="CUZ18" s="448">
        <v>54850667.799999997</v>
      </c>
      <c r="CVA18" s="449"/>
      <c r="CVB18" s="448">
        <f>CUZ18+CVA18</f>
        <v>54850667.799999997</v>
      </c>
      <c r="CVC18" s="452"/>
      <c r="CVD18" s="452">
        <v>62201294.850000001</v>
      </c>
      <c r="CVE18" s="451">
        <f>60000000</f>
        <v>60000000</v>
      </c>
      <c r="CVF18" s="459"/>
      <c r="CVG18" s="452"/>
      <c r="CVH18" s="450">
        <v>0</v>
      </c>
      <c r="CVI18" s="460"/>
      <c r="CVJ18" s="450">
        <f>CVD18+CVG18</f>
        <v>62201294.850000001</v>
      </c>
      <c r="CVK18" s="454">
        <f>+CVE18+CVH18</f>
        <v>60000000</v>
      </c>
      <c r="CVL18" s="461"/>
      <c r="CVM18" s="450"/>
      <c r="CVN18" s="594">
        <f>(CVJ18-CVB18)/CVB18</f>
        <v>0.13401162364699606</v>
      </c>
      <c r="CVO18" s="436" t="s">
        <v>141</v>
      </c>
      <c r="CVP18" s="448">
        <v>54850667.799999997</v>
      </c>
      <c r="CVQ18" s="449"/>
      <c r="CVR18" s="448">
        <f>CVP18+CVQ18</f>
        <v>54850667.799999997</v>
      </c>
      <c r="CVS18" s="452"/>
      <c r="CVT18" s="452">
        <v>62201294.850000001</v>
      </c>
      <c r="CVU18" s="451">
        <f>60000000</f>
        <v>60000000</v>
      </c>
      <c r="CVV18" s="459"/>
      <c r="CVW18" s="452"/>
      <c r="CVX18" s="450">
        <v>0</v>
      </c>
      <c r="CVY18" s="460"/>
      <c r="CVZ18" s="450">
        <f>CVT18+CVW18</f>
        <v>62201294.850000001</v>
      </c>
      <c r="CWA18" s="454">
        <f>+CVU18+CVX18</f>
        <v>60000000</v>
      </c>
      <c r="CWB18" s="461"/>
      <c r="CWC18" s="450"/>
      <c r="CWD18" s="594">
        <f>(CVZ18-CVR18)/CVR18</f>
        <v>0.13401162364699606</v>
      </c>
      <c r="CWE18" s="436" t="s">
        <v>141</v>
      </c>
      <c r="CWF18" s="448">
        <v>54850667.799999997</v>
      </c>
      <c r="CWG18" s="449"/>
      <c r="CWH18" s="448">
        <f>CWF18+CWG18</f>
        <v>54850667.799999997</v>
      </c>
      <c r="CWI18" s="452"/>
      <c r="CWJ18" s="452">
        <v>62201294.850000001</v>
      </c>
      <c r="CWK18" s="451">
        <f>60000000</f>
        <v>60000000</v>
      </c>
      <c r="CWL18" s="459"/>
      <c r="CWM18" s="452"/>
      <c r="CWN18" s="450">
        <v>0</v>
      </c>
      <c r="CWO18" s="460"/>
      <c r="CWP18" s="450">
        <f>CWJ18+CWM18</f>
        <v>62201294.850000001</v>
      </c>
      <c r="CWQ18" s="454">
        <f>+CWK18+CWN18</f>
        <v>60000000</v>
      </c>
      <c r="CWR18" s="461"/>
      <c r="CWS18" s="450"/>
      <c r="CWT18" s="594">
        <f>(CWP18-CWH18)/CWH18</f>
        <v>0.13401162364699606</v>
      </c>
      <c r="CWU18" s="436" t="s">
        <v>141</v>
      </c>
      <c r="CWV18" s="448">
        <v>54850667.799999997</v>
      </c>
      <c r="CWW18" s="449"/>
      <c r="CWX18" s="448">
        <f>CWV18+CWW18</f>
        <v>54850667.799999997</v>
      </c>
      <c r="CWY18" s="452"/>
      <c r="CWZ18" s="452">
        <v>62201294.850000001</v>
      </c>
      <c r="CXA18" s="451">
        <f>60000000</f>
        <v>60000000</v>
      </c>
      <c r="CXB18" s="459"/>
      <c r="CXC18" s="452"/>
      <c r="CXD18" s="450">
        <v>0</v>
      </c>
      <c r="CXE18" s="460"/>
      <c r="CXF18" s="450">
        <f>CWZ18+CXC18</f>
        <v>62201294.850000001</v>
      </c>
      <c r="CXG18" s="454">
        <f>+CXA18+CXD18</f>
        <v>60000000</v>
      </c>
      <c r="CXH18" s="461"/>
      <c r="CXI18" s="450"/>
      <c r="CXJ18" s="594">
        <f>(CXF18-CWX18)/CWX18</f>
        <v>0.13401162364699606</v>
      </c>
      <c r="CXK18" s="436" t="s">
        <v>141</v>
      </c>
      <c r="CXL18" s="448">
        <v>54850667.799999997</v>
      </c>
      <c r="CXM18" s="449"/>
      <c r="CXN18" s="448">
        <f>CXL18+CXM18</f>
        <v>54850667.799999997</v>
      </c>
      <c r="CXO18" s="452"/>
      <c r="CXP18" s="452">
        <v>62201294.850000001</v>
      </c>
      <c r="CXQ18" s="451">
        <f>60000000</f>
        <v>60000000</v>
      </c>
      <c r="CXR18" s="459"/>
      <c r="CXS18" s="452"/>
      <c r="CXT18" s="450">
        <v>0</v>
      </c>
      <c r="CXU18" s="460"/>
      <c r="CXV18" s="450">
        <f>CXP18+CXS18</f>
        <v>62201294.850000001</v>
      </c>
      <c r="CXW18" s="454">
        <f>+CXQ18+CXT18</f>
        <v>60000000</v>
      </c>
      <c r="CXX18" s="461"/>
      <c r="CXY18" s="450"/>
      <c r="CXZ18" s="594">
        <f>(CXV18-CXN18)/CXN18</f>
        <v>0.13401162364699606</v>
      </c>
      <c r="CYA18" s="436" t="s">
        <v>141</v>
      </c>
      <c r="CYB18" s="448">
        <v>54850667.799999997</v>
      </c>
      <c r="CYC18" s="449"/>
      <c r="CYD18" s="448">
        <f>CYB18+CYC18</f>
        <v>54850667.799999997</v>
      </c>
      <c r="CYE18" s="452"/>
      <c r="CYF18" s="452">
        <v>62201294.850000001</v>
      </c>
      <c r="CYG18" s="451">
        <f>60000000</f>
        <v>60000000</v>
      </c>
      <c r="CYH18" s="459"/>
      <c r="CYI18" s="452"/>
      <c r="CYJ18" s="450">
        <v>0</v>
      </c>
      <c r="CYK18" s="460"/>
      <c r="CYL18" s="450">
        <f>CYF18+CYI18</f>
        <v>62201294.850000001</v>
      </c>
      <c r="CYM18" s="454">
        <f>+CYG18+CYJ18</f>
        <v>60000000</v>
      </c>
      <c r="CYN18" s="461"/>
      <c r="CYO18" s="450"/>
      <c r="CYP18" s="594">
        <f>(CYL18-CYD18)/CYD18</f>
        <v>0.13401162364699606</v>
      </c>
      <c r="CYQ18" s="436" t="s">
        <v>141</v>
      </c>
      <c r="CYR18" s="448">
        <v>54850667.799999997</v>
      </c>
      <c r="CYS18" s="449"/>
      <c r="CYT18" s="448">
        <f>CYR18+CYS18</f>
        <v>54850667.799999997</v>
      </c>
      <c r="CYU18" s="452"/>
      <c r="CYV18" s="452">
        <v>62201294.850000001</v>
      </c>
      <c r="CYW18" s="451">
        <f>60000000</f>
        <v>60000000</v>
      </c>
      <c r="CYX18" s="459"/>
      <c r="CYY18" s="452"/>
      <c r="CYZ18" s="450">
        <v>0</v>
      </c>
      <c r="CZA18" s="460"/>
      <c r="CZB18" s="450">
        <f>CYV18+CYY18</f>
        <v>62201294.850000001</v>
      </c>
      <c r="CZC18" s="454">
        <f>+CYW18+CYZ18</f>
        <v>60000000</v>
      </c>
      <c r="CZD18" s="461"/>
      <c r="CZE18" s="450"/>
      <c r="CZF18" s="594">
        <f>(CZB18-CYT18)/CYT18</f>
        <v>0.13401162364699606</v>
      </c>
      <c r="CZG18" s="436" t="s">
        <v>141</v>
      </c>
      <c r="CZH18" s="448">
        <v>54850667.799999997</v>
      </c>
      <c r="CZI18" s="449"/>
      <c r="CZJ18" s="448">
        <f>CZH18+CZI18</f>
        <v>54850667.799999997</v>
      </c>
      <c r="CZK18" s="452"/>
      <c r="CZL18" s="452">
        <v>62201294.850000001</v>
      </c>
      <c r="CZM18" s="451">
        <f>60000000</f>
        <v>60000000</v>
      </c>
      <c r="CZN18" s="459"/>
      <c r="CZO18" s="452"/>
      <c r="CZP18" s="450">
        <v>0</v>
      </c>
      <c r="CZQ18" s="460"/>
      <c r="CZR18" s="450">
        <f>CZL18+CZO18</f>
        <v>62201294.850000001</v>
      </c>
      <c r="CZS18" s="454">
        <f>+CZM18+CZP18</f>
        <v>60000000</v>
      </c>
      <c r="CZT18" s="461"/>
      <c r="CZU18" s="450"/>
      <c r="CZV18" s="594">
        <f>(CZR18-CZJ18)/CZJ18</f>
        <v>0.13401162364699606</v>
      </c>
      <c r="CZW18" s="436" t="s">
        <v>141</v>
      </c>
      <c r="CZX18" s="448">
        <v>54850667.799999997</v>
      </c>
      <c r="CZY18" s="449"/>
      <c r="CZZ18" s="448">
        <f>CZX18+CZY18</f>
        <v>54850667.799999997</v>
      </c>
      <c r="DAA18" s="452"/>
      <c r="DAB18" s="452">
        <v>62201294.850000001</v>
      </c>
      <c r="DAC18" s="451">
        <f>60000000</f>
        <v>60000000</v>
      </c>
      <c r="DAD18" s="459"/>
      <c r="DAE18" s="452"/>
      <c r="DAF18" s="450">
        <v>0</v>
      </c>
      <c r="DAG18" s="460"/>
      <c r="DAH18" s="450">
        <f>DAB18+DAE18</f>
        <v>62201294.850000001</v>
      </c>
      <c r="DAI18" s="454">
        <f>+DAC18+DAF18</f>
        <v>60000000</v>
      </c>
      <c r="DAJ18" s="461"/>
      <c r="DAK18" s="450"/>
      <c r="DAL18" s="594">
        <f>(DAH18-CZZ18)/CZZ18</f>
        <v>0.13401162364699606</v>
      </c>
      <c r="DAM18" s="436" t="s">
        <v>141</v>
      </c>
      <c r="DAN18" s="448">
        <v>54850667.799999997</v>
      </c>
      <c r="DAO18" s="449"/>
      <c r="DAP18" s="448">
        <f>DAN18+DAO18</f>
        <v>54850667.799999997</v>
      </c>
      <c r="DAQ18" s="452"/>
      <c r="DAR18" s="452">
        <v>62201294.850000001</v>
      </c>
      <c r="DAS18" s="451">
        <f>60000000</f>
        <v>60000000</v>
      </c>
      <c r="DAT18" s="459"/>
      <c r="DAU18" s="452"/>
      <c r="DAV18" s="450">
        <v>0</v>
      </c>
      <c r="DAW18" s="460"/>
      <c r="DAX18" s="450">
        <f>DAR18+DAU18</f>
        <v>62201294.850000001</v>
      </c>
      <c r="DAY18" s="454">
        <f>+DAS18+DAV18</f>
        <v>60000000</v>
      </c>
      <c r="DAZ18" s="461"/>
      <c r="DBA18" s="450"/>
      <c r="DBB18" s="594">
        <f>(DAX18-DAP18)/DAP18</f>
        <v>0.13401162364699606</v>
      </c>
      <c r="DBC18" s="436" t="s">
        <v>141</v>
      </c>
      <c r="DBD18" s="448">
        <v>54850667.799999997</v>
      </c>
      <c r="DBE18" s="449"/>
      <c r="DBF18" s="448">
        <f>DBD18+DBE18</f>
        <v>54850667.799999997</v>
      </c>
      <c r="DBG18" s="452"/>
      <c r="DBH18" s="452">
        <v>62201294.850000001</v>
      </c>
      <c r="DBI18" s="451">
        <f>60000000</f>
        <v>60000000</v>
      </c>
      <c r="DBJ18" s="459"/>
      <c r="DBK18" s="452"/>
      <c r="DBL18" s="450">
        <v>0</v>
      </c>
      <c r="DBM18" s="460"/>
      <c r="DBN18" s="450">
        <f>DBH18+DBK18</f>
        <v>62201294.850000001</v>
      </c>
      <c r="DBO18" s="454">
        <f>+DBI18+DBL18</f>
        <v>60000000</v>
      </c>
      <c r="DBP18" s="461"/>
      <c r="DBQ18" s="450"/>
      <c r="DBR18" s="594">
        <f>(DBN18-DBF18)/DBF18</f>
        <v>0.13401162364699606</v>
      </c>
      <c r="DBS18" s="436" t="s">
        <v>141</v>
      </c>
      <c r="DBT18" s="448">
        <v>54850667.799999997</v>
      </c>
      <c r="DBU18" s="449"/>
      <c r="DBV18" s="448">
        <f>DBT18+DBU18</f>
        <v>54850667.799999997</v>
      </c>
      <c r="DBW18" s="452"/>
      <c r="DBX18" s="452">
        <v>62201294.850000001</v>
      </c>
      <c r="DBY18" s="451">
        <f>60000000</f>
        <v>60000000</v>
      </c>
      <c r="DBZ18" s="459"/>
      <c r="DCA18" s="452"/>
      <c r="DCB18" s="450">
        <v>0</v>
      </c>
      <c r="DCC18" s="460"/>
      <c r="DCD18" s="450">
        <f>DBX18+DCA18</f>
        <v>62201294.850000001</v>
      </c>
      <c r="DCE18" s="454">
        <f>+DBY18+DCB18</f>
        <v>60000000</v>
      </c>
      <c r="DCF18" s="461"/>
      <c r="DCG18" s="450"/>
      <c r="DCH18" s="594">
        <f>(DCD18-DBV18)/DBV18</f>
        <v>0.13401162364699606</v>
      </c>
      <c r="DCI18" s="436" t="s">
        <v>141</v>
      </c>
      <c r="DCJ18" s="448">
        <v>54850667.799999997</v>
      </c>
      <c r="DCK18" s="449"/>
      <c r="DCL18" s="448">
        <f>DCJ18+DCK18</f>
        <v>54850667.799999997</v>
      </c>
      <c r="DCM18" s="452"/>
      <c r="DCN18" s="452">
        <v>62201294.850000001</v>
      </c>
      <c r="DCO18" s="451">
        <f>60000000</f>
        <v>60000000</v>
      </c>
      <c r="DCP18" s="459"/>
      <c r="DCQ18" s="452"/>
      <c r="DCR18" s="450">
        <v>0</v>
      </c>
      <c r="DCS18" s="460"/>
      <c r="DCT18" s="450">
        <f>DCN18+DCQ18</f>
        <v>62201294.850000001</v>
      </c>
      <c r="DCU18" s="454">
        <f>+DCO18+DCR18</f>
        <v>60000000</v>
      </c>
      <c r="DCV18" s="461"/>
      <c r="DCW18" s="450"/>
      <c r="DCX18" s="594">
        <f>(DCT18-DCL18)/DCL18</f>
        <v>0.13401162364699606</v>
      </c>
      <c r="DCY18" s="436" t="s">
        <v>141</v>
      </c>
      <c r="DCZ18" s="448">
        <v>54850667.799999997</v>
      </c>
      <c r="DDA18" s="449"/>
      <c r="DDB18" s="448">
        <f>DCZ18+DDA18</f>
        <v>54850667.799999997</v>
      </c>
      <c r="DDC18" s="452"/>
      <c r="DDD18" s="452">
        <v>62201294.850000001</v>
      </c>
      <c r="DDE18" s="451">
        <f>60000000</f>
        <v>60000000</v>
      </c>
      <c r="DDF18" s="459"/>
      <c r="DDG18" s="452"/>
      <c r="DDH18" s="450">
        <v>0</v>
      </c>
      <c r="DDI18" s="460"/>
      <c r="DDJ18" s="450">
        <f>DDD18+DDG18</f>
        <v>62201294.850000001</v>
      </c>
      <c r="DDK18" s="454">
        <f>+DDE18+DDH18</f>
        <v>60000000</v>
      </c>
      <c r="DDL18" s="461"/>
      <c r="DDM18" s="450"/>
      <c r="DDN18" s="594">
        <f>(DDJ18-DDB18)/DDB18</f>
        <v>0.13401162364699606</v>
      </c>
      <c r="DDO18" s="436" t="s">
        <v>141</v>
      </c>
      <c r="DDP18" s="448">
        <v>54850667.799999997</v>
      </c>
      <c r="DDQ18" s="449"/>
      <c r="DDR18" s="448">
        <f>DDP18+DDQ18</f>
        <v>54850667.799999997</v>
      </c>
      <c r="DDS18" s="452"/>
      <c r="DDT18" s="452">
        <v>62201294.850000001</v>
      </c>
      <c r="DDU18" s="451">
        <f>60000000</f>
        <v>60000000</v>
      </c>
      <c r="DDV18" s="459"/>
      <c r="DDW18" s="452"/>
      <c r="DDX18" s="450">
        <v>0</v>
      </c>
      <c r="DDY18" s="460"/>
      <c r="DDZ18" s="450">
        <f>DDT18+DDW18</f>
        <v>62201294.850000001</v>
      </c>
      <c r="DEA18" s="454">
        <f>+DDU18+DDX18</f>
        <v>60000000</v>
      </c>
      <c r="DEB18" s="461"/>
      <c r="DEC18" s="450"/>
      <c r="DED18" s="594">
        <f>(DDZ18-DDR18)/DDR18</f>
        <v>0.13401162364699606</v>
      </c>
      <c r="DEE18" s="436" t="s">
        <v>141</v>
      </c>
      <c r="DEF18" s="448">
        <v>54850667.799999997</v>
      </c>
      <c r="DEG18" s="449"/>
      <c r="DEH18" s="448">
        <f>DEF18+DEG18</f>
        <v>54850667.799999997</v>
      </c>
      <c r="DEI18" s="452"/>
      <c r="DEJ18" s="452">
        <v>62201294.850000001</v>
      </c>
      <c r="DEK18" s="451">
        <f>60000000</f>
        <v>60000000</v>
      </c>
      <c r="DEL18" s="459"/>
      <c r="DEM18" s="452"/>
      <c r="DEN18" s="450">
        <v>0</v>
      </c>
      <c r="DEO18" s="460"/>
      <c r="DEP18" s="450">
        <f>DEJ18+DEM18</f>
        <v>62201294.850000001</v>
      </c>
      <c r="DEQ18" s="454">
        <f>+DEK18+DEN18</f>
        <v>60000000</v>
      </c>
      <c r="DER18" s="461"/>
      <c r="DES18" s="450"/>
      <c r="DET18" s="594">
        <f>(DEP18-DEH18)/DEH18</f>
        <v>0.13401162364699606</v>
      </c>
      <c r="DEU18" s="436" t="s">
        <v>141</v>
      </c>
      <c r="DEV18" s="448">
        <v>54850667.799999997</v>
      </c>
      <c r="DEW18" s="449"/>
      <c r="DEX18" s="448">
        <f>DEV18+DEW18</f>
        <v>54850667.799999997</v>
      </c>
      <c r="DEY18" s="452"/>
      <c r="DEZ18" s="452">
        <v>62201294.850000001</v>
      </c>
      <c r="DFA18" s="451">
        <f>60000000</f>
        <v>60000000</v>
      </c>
      <c r="DFB18" s="459"/>
      <c r="DFC18" s="452"/>
      <c r="DFD18" s="450">
        <v>0</v>
      </c>
      <c r="DFE18" s="460"/>
      <c r="DFF18" s="450">
        <f>DEZ18+DFC18</f>
        <v>62201294.850000001</v>
      </c>
      <c r="DFG18" s="454">
        <f>+DFA18+DFD18</f>
        <v>60000000</v>
      </c>
      <c r="DFH18" s="461"/>
      <c r="DFI18" s="450"/>
      <c r="DFJ18" s="594">
        <f>(DFF18-DEX18)/DEX18</f>
        <v>0.13401162364699606</v>
      </c>
      <c r="DFK18" s="436" t="s">
        <v>141</v>
      </c>
      <c r="DFL18" s="448">
        <v>54850667.799999997</v>
      </c>
      <c r="DFM18" s="449"/>
      <c r="DFN18" s="448">
        <f>DFL18+DFM18</f>
        <v>54850667.799999997</v>
      </c>
      <c r="DFO18" s="452"/>
      <c r="DFP18" s="452">
        <v>62201294.850000001</v>
      </c>
      <c r="DFQ18" s="451">
        <f>60000000</f>
        <v>60000000</v>
      </c>
      <c r="DFR18" s="459"/>
      <c r="DFS18" s="452"/>
      <c r="DFT18" s="450">
        <v>0</v>
      </c>
      <c r="DFU18" s="460"/>
      <c r="DFV18" s="450">
        <f>DFP18+DFS18</f>
        <v>62201294.850000001</v>
      </c>
      <c r="DFW18" s="454">
        <f>+DFQ18+DFT18</f>
        <v>60000000</v>
      </c>
      <c r="DFX18" s="461"/>
      <c r="DFY18" s="450"/>
      <c r="DFZ18" s="594">
        <f>(DFV18-DFN18)/DFN18</f>
        <v>0.13401162364699606</v>
      </c>
      <c r="DGA18" s="436" t="s">
        <v>141</v>
      </c>
      <c r="DGB18" s="448">
        <v>54850667.799999997</v>
      </c>
      <c r="DGC18" s="449"/>
      <c r="DGD18" s="448">
        <f>DGB18+DGC18</f>
        <v>54850667.799999997</v>
      </c>
      <c r="DGE18" s="452"/>
      <c r="DGF18" s="452">
        <v>62201294.850000001</v>
      </c>
      <c r="DGG18" s="451">
        <f>60000000</f>
        <v>60000000</v>
      </c>
      <c r="DGH18" s="459"/>
      <c r="DGI18" s="452"/>
      <c r="DGJ18" s="450">
        <v>0</v>
      </c>
      <c r="DGK18" s="460"/>
      <c r="DGL18" s="450">
        <f>DGF18+DGI18</f>
        <v>62201294.850000001</v>
      </c>
      <c r="DGM18" s="454">
        <f>+DGG18+DGJ18</f>
        <v>60000000</v>
      </c>
      <c r="DGN18" s="461"/>
      <c r="DGO18" s="450"/>
      <c r="DGP18" s="594">
        <f>(DGL18-DGD18)/DGD18</f>
        <v>0.13401162364699606</v>
      </c>
      <c r="DGQ18" s="436" t="s">
        <v>141</v>
      </c>
      <c r="DGR18" s="448">
        <v>54850667.799999997</v>
      </c>
      <c r="DGS18" s="449"/>
      <c r="DGT18" s="448">
        <f>DGR18+DGS18</f>
        <v>54850667.799999997</v>
      </c>
      <c r="DGU18" s="452"/>
      <c r="DGV18" s="452">
        <v>62201294.850000001</v>
      </c>
      <c r="DGW18" s="451">
        <f>60000000</f>
        <v>60000000</v>
      </c>
      <c r="DGX18" s="459"/>
      <c r="DGY18" s="452"/>
      <c r="DGZ18" s="450">
        <v>0</v>
      </c>
      <c r="DHA18" s="460"/>
      <c r="DHB18" s="450">
        <f>DGV18+DGY18</f>
        <v>62201294.850000001</v>
      </c>
      <c r="DHC18" s="454">
        <f>+DGW18+DGZ18</f>
        <v>60000000</v>
      </c>
      <c r="DHD18" s="461"/>
      <c r="DHE18" s="450"/>
      <c r="DHF18" s="594">
        <f>(DHB18-DGT18)/DGT18</f>
        <v>0.13401162364699606</v>
      </c>
      <c r="DHG18" s="436" t="s">
        <v>141</v>
      </c>
      <c r="DHH18" s="448">
        <v>54850667.799999997</v>
      </c>
      <c r="DHI18" s="449"/>
      <c r="DHJ18" s="448">
        <f>DHH18+DHI18</f>
        <v>54850667.799999997</v>
      </c>
      <c r="DHK18" s="452"/>
      <c r="DHL18" s="452">
        <v>62201294.850000001</v>
      </c>
      <c r="DHM18" s="451">
        <f>60000000</f>
        <v>60000000</v>
      </c>
      <c r="DHN18" s="459"/>
      <c r="DHO18" s="452"/>
      <c r="DHP18" s="450">
        <v>0</v>
      </c>
      <c r="DHQ18" s="460"/>
      <c r="DHR18" s="450">
        <f>DHL18+DHO18</f>
        <v>62201294.850000001</v>
      </c>
      <c r="DHS18" s="454">
        <f>+DHM18+DHP18</f>
        <v>60000000</v>
      </c>
      <c r="DHT18" s="461"/>
      <c r="DHU18" s="450"/>
      <c r="DHV18" s="594">
        <f>(DHR18-DHJ18)/DHJ18</f>
        <v>0.13401162364699606</v>
      </c>
      <c r="DHW18" s="436" t="s">
        <v>141</v>
      </c>
      <c r="DHX18" s="448">
        <v>54850667.799999997</v>
      </c>
      <c r="DHY18" s="449"/>
      <c r="DHZ18" s="448">
        <f>DHX18+DHY18</f>
        <v>54850667.799999997</v>
      </c>
      <c r="DIA18" s="452"/>
      <c r="DIB18" s="452">
        <v>62201294.850000001</v>
      </c>
      <c r="DIC18" s="451">
        <f>60000000</f>
        <v>60000000</v>
      </c>
      <c r="DID18" s="459"/>
      <c r="DIE18" s="452"/>
      <c r="DIF18" s="450">
        <v>0</v>
      </c>
      <c r="DIG18" s="460"/>
      <c r="DIH18" s="450">
        <f>DIB18+DIE18</f>
        <v>62201294.850000001</v>
      </c>
      <c r="DII18" s="454">
        <f>+DIC18+DIF18</f>
        <v>60000000</v>
      </c>
      <c r="DIJ18" s="461"/>
      <c r="DIK18" s="450"/>
      <c r="DIL18" s="594">
        <f>(DIH18-DHZ18)/DHZ18</f>
        <v>0.13401162364699606</v>
      </c>
      <c r="DIM18" s="436" t="s">
        <v>141</v>
      </c>
      <c r="DIN18" s="448">
        <v>54850667.799999997</v>
      </c>
      <c r="DIO18" s="449"/>
      <c r="DIP18" s="448">
        <f>DIN18+DIO18</f>
        <v>54850667.799999997</v>
      </c>
      <c r="DIQ18" s="452"/>
      <c r="DIR18" s="452">
        <v>62201294.850000001</v>
      </c>
      <c r="DIS18" s="451">
        <f>60000000</f>
        <v>60000000</v>
      </c>
      <c r="DIT18" s="459"/>
      <c r="DIU18" s="452"/>
      <c r="DIV18" s="450">
        <v>0</v>
      </c>
      <c r="DIW18" s="460"/>
      <c r="DIX18" s="450">
        <f>DIR18+DIU18</f>
        <v>62201294.850000001</v>
      </c>
      <c r="DIY18" s="454">
        <f>+DIS18+DIV18</f>
        <v>60000000</v>
      </c>
      <c r="DIZ18" s="461"/>
      <c r="DJA18" s="450"/>
      <c r="DJB18" s="594">
        <f>(DIX18-DIP18)/DIP18</f>
        <v>0.13401162364699606</v>
      </c>
      <c r="DJC18" s="436" t="s">
        <v>141</v>
      </c>
      <c r="DJD18" s="448">
        <v>54850667.799999997</v>
      </c>
      <c r="DJE18" s="449"/>
      <c r="DJF18" s="448">
        <f>DJD18+DJE18</f>
        <v>54850667.799999997</v>
      </c>
      <c r="DJG18" s="452"/>
      <c r="DJH18" s="452">
        <v>62201294.850000001</v>
      </c>
      <c r="DJI18" s="451">
        <f>60000000</f>
        <v>60000000</v>
      </c>
      <c r="DJJ18" s="459"/>
      <c r="DJK18" s="452"/>
      <c r="DJL18" s="450">
        <v>0</v>
      </c>
      <c r="DJM18" s="460"/>
      <c r="DJN18" s="450">
        <f>DJH18+DJK18</f>
        <v>62201294.850000001</v>
      </c>
      <c r="DJO18" s="454">
        <f>+DJI18+DJL18</f>
        <v>60000000</v>
      </c>
      <c r="DJP18" s="461"/>
      <c r="DJQ18" s="450"/>
      <c r="DJR18" s="594">
        <f>(DJN18-DJF18)/DJF18</f>
        <v>0.13401162364699606</v>
      </c>
      <c r="DJS18" s="436" t="s">
        <v>141</v>
      </c>
      <c r="DJT18" s="448">
        <v>54850667.799999997</v>
      </c>
      <c r="DJU18" s="449"/>
      <c r="DJV18" s="448">
        <f>DJT18+DJU18</f>
        <v>54850667.799999997</v>
      </c>
      <c r="DJW18" s="452"/>
      <c r="DJX18" s="452">
        <v>62201294.850000001</v>
      </c>
      <c r="DJY18" s="451">
        <f>60000000</f>
        <v>60000000</v>
      </c>
      <c r="DJZ18" s="459"/>
      <c r="DKA18" s="452"/>
      <c r="DKB18" s="450">
        <v>0</v>
      </c>
      <c r="DKC18" s="460"/>
      <c r="DKD18" s="450">
        <f>DJX18+DKA18</f>
        <v>62201294.850000001</v>
      </c>
      <c r="DKE18" s="454">
        <f>+DJY18+DKB18</f>
        <v>60000000</v>
      </c>
      <c r="DKF18" s="461"/>
      <c r="DKG18" s="450"/>
      <c r="DKH18" s="594">
        <f>(DKD18-DJV18)/DJV18</f>
        <v>0.13401162364699606</v>
      </c>
      <c r="DKI18" s="436" t="s">
        <v>141</v>
      </c>
      <c r="DKJ18" s="448">
        <v>54850667.799999997</v>
      </c>
      <c r="DKK18" s="449"/>
      <c r="DKL18" s="448">
        <f>DKJ18+DKK18</f>
        <v>54850667.799999997</v>
      </c>
      <c r="DKM18" s="452"/>
      <c r="DKN18" s="452">
        <v>62201294.850000001</v>
      </c>
      <c r="DKO18" s="451">
        <f>60000000</f>
        <v>60000000</v>
      </c>
      <c r="DKP18" s="459"/>
      <c r="DKQ18" s="452"/>
      <c r="DKR18" s="450">
        <v>0</v>
      </c>
      <c r="DKS18" s="460"/>
      <c r="DKT18" s="450">
        <f>DKN18+DKQ18</f>
        <v>62201294.850000001</v>
      </c>
      <c r="DKU18" s="454">
        <f>+DKO18+DKR18</f>
        <v>60000000</v>
      </c>
      <c r="DKV18" s="461"/>
      <c r="DKW18" s="450"/>
      <c r="DKX18" s="594">
        <f>(DKT18-DKL18)/DKL18</f>
        <v>0.13401162364699606</v>
      </c>
      <c r="DKY18" s="436" t="s">
        <v>141</v>
      </c>
      <c r="DKZ18" s="448">
        <v>54850667.799999997</v>
      </c>
      <c r="DLA18" s="449"/>
      <c r="DLB18" s="448">
        <f>DKZ18+DLA18</f>
        <v>54850667.799999997</v>
      </c>
      <c r="DLC18" s="452"/>
      <c r="DLD18" s="452">
        <v>62201294.850000001</v>
      </c>
      <c r="DLE18" s="451">
        <f>60000000</f>
        <v>60000000</v>
      </c>
      <c r="DLF18" s="459"/>
      <c r="DLG18" s="452"/>
      <c r="DLH18" s="450">
        <v>0</v>
      </c>
      <c r="DLI18" s="460"/>
      <c r="DLJ18" s="450">
        <f>DLD18+DLG18</f>
        <v>62201294.850000001</v>
      </c>
      <c r="DLK18" s="454">
        <f>+DLE18+DLH18</f>
        <v>60000000</v>
      </c>
      <c r="DLL18" s="461"/>
      <c r="DLM18" s="450"/>
      <c r="DLN18" s="594">
        <f>(DLJ18-DLB18)/DLB18</f>
        <v>0.13401162364699606</v>
      </c>
      <c r="DLO18" s="436" t="s">
        <v>141</v>
      </c>
      <c r="DLP18" s="448">
        <v>54850667.799999997</v>
      </c>
      <c r="DLQ18" s="449"/>
      <c r="DLR18" s="448">
        <f>DLP18+DLQ18</f>
        <v>54850667.799999997</v>
      </c>
      <c r="DLS18" s="452"/>
      <c r="DLT18" s="452">
        <v>62201294.850000001</v>
      </c>
      <c r="DLU18" s="451">
        <f>60000000</f>
        <v>60000000</v>
      </c>
      <c r="DLV18" s="459"/>
      <c r="DLW18" s="452"/>
      <c r="DLX18" s="450">
        <v>0</v>
      </c>
      <c r="DLY18" s="460"/>
      <c r="DLZ18" s="450">
        <f>DLT18+DLW18</f>
        <v>62201294.850000001</v>
      </c>
      <c r="DMA18" s="454">
        <f>+DLU18+DLX18</f>
        <v>60000000</v>
      </c>
      <c r="DMB18" s="461"/>
      <c r="DMC18" s="450"/>
      <c r="DMD18" s="594">
        <f>(DLZ18-DLR18)/DLR18</f>
        <v>0.13401162364699606</v>
      </c>
      <c r="DME18" s="436" t="s">
        <v>141</v>
      </c>
      <c r="DMF18" s="448">
        <v>54850667.799999997</v>
      </c>
      <c r="DMG18" s="449"/>
      <c r="DMH18" s="448">
        <f>DMF18+DMG18</f>
        <v>54850667.799999997</v>
      </c>
      <c r="DMI18" s="452"/>
      <c r="DMJ18" s="452">
        <v>62201294.850000001</v>
      </c>
      <c r="DMK18" s="451">
        <f>60000000</f>
        <v>60000000</v>
      </c>
      <c r="DML18" s="459"/>
      <c r="DMM18" s="452"/>
      <c r="DMN18" s="450">
        <v>0</v>
      </c>
      <c r="DMO18" s="460"/>
      <c r="DMP18" s="450">
        <f>DMJ18+DMM18</f>
        <v>62201294.850000001</v>
      </c>
      <c r="DMQ18" s="454">
        <f>+DMK18+DMN18</f>
        <v>60000000</v>
      </c>
      <c r="DMR18" s="461"/>
      <c r="DMS18" s="450"/>
      <c r="DMT18" s="594">
        <f>(DMP18-DMH18)/DMH18</f>
        <v>0.13401162364699606</v>
      </c>
      <c r="DMU18" s="436" t="s">
        <v>141</v>
      </c>
      <c r="DMV18" s="448">
        <v>54850667.799999997</v>
      </c>
      <c r="DMW18" s="449"/>
      <c r="DMX18" s="448">
        <f>DMV18+DMW18</f>
        <v>54850667.799999997</v>
      </c>
      <c r="DMY18" s="452"/>
      <c r="DMZ18" s="452">
        <v>62201294.850000001</v>
      </c>
      <c r="DNA18" s="451">
        <f>60000000</f>
        <v>60000000</v>
      </c>
      <c r="DNB18" s="459"/>
      <c r="DNC18" s="452"/>
      <c r="DND18" s="450">
        <v>0</v>
      </c>
      <c r="DNE18" s="460"/>
      <c r="DNF18" s="450">
        <f>DMZ18+DNC18</f>
        <v>62201294.850000001</v>
      </c>
      <c r="DNG18" s="454">
        <f>+DNA18+DND18</f>
        <v>60000000</v>
      </c>
      <c r="DNH18" s="461"/>
      <c r="DNI18" s="450"/>
      <c r="DNJ18" s="594">
        <f>(DNF18-DMX18)/DMX18</f>
        <v>0.13401162364699606</v>
      </c>
      <c r="DNK18" s="436" t="s">
        <v>141</v>
      </c>
      <c r="DNL18" s="448">
        <v>54850667.799999997</v>
      </c>
      <c r="DNM18" s="449"/>
      <c r="DNN18" s="448">
        <f>DNL18+DNM18</f>
        <v>54850667.799999997</v>
      </c>
      <c r="DNO18" s="452"/>
      <c r="DNP18" s="452">
        <v>62201294.850000001</v>
      </c>
      <c r="DNQ18" s="451">
        <f>60000000</f>
        <v>60000000</v>
      </c>
      <c r="DNR18" s="459"/>
      <c r="DNS18" s="452"/>
      <c r="DNT18" s="450">
        <v>0</v>
      </c>
      <c r="DNU18" s="460"/>
      <c r="DNV18" s="450">
        <f>DNP18+DNS18</f>
        <v>62201294.850000001</v>
      </c>
      <c r="DNW18" s="454">
        <f>+DNQ18+DNT18</f>
        <v>60000000</v>
      </c>
      <c r="DNX18" s="461"/>
      <c r="DNY18" s="450"/>
      <c r="DNZ18" s="594">
        <f>(DNV18-DNN18)/DNN18</f>
        <v>0.13401162364699606</v>
      </c>
      <c r="DOA18" s="436" t="s">
        <v>141</v>
      </c>
      <c r="DOB18" s="448">
        <v>54850667.799999997</v>
      </c>
      <c r="DOC18" s="449"/>
      <c r="DOD18" s="448">
        <f>DOB18+DOC18</f>
        <v>54850667.799999997</v>
      </c>
      <c r="DOE18" s="452"/>
      <c r="DOF18" s="452">
        <v>62201294.850000001</v>
      </c>
      <c r="DOG18" s="451">
        <f>60000000</f>
        <v>60000000</v>
      </c>
      <c r="DOH18" s="459"/>
      <c r="DOI18" s="452"/>
      <c r="DOJ18" s="450">
        <v>0</v>
      </c>
      <c r="DOK18" s="460"/>
      <c r="DOL18" s="450">
        <f>DOF18+DOI18</f>
        <v>62201294.850000001</v>
      </c>
      <c r="DOM18" s="454">
        <f>+DOG18+DOJ18</f>
        <v>60000000</v>
      </c>
      <c r="DON18" s="461"/>
      <c r="DOO18" s="450"/>
      <c r="DOP18" s="594">
        <f>(DOL18-DOD18)/DOD18</f>
        <v>0.13401162364699606</v>
      </c>
      <c r="DOQ18" s="436" t="s">
        <v>141</v>
      </c>
      <c r="DOR18" s="448">
        <v>54850667.799999997</v>
      </c>
      <c r="DOS18" s="449"/>
      <c r="DOT18" s="448">
        <f>DOR18+DOS18</f>
        <v>54850667.799999997</v>
      </c>
      <c r="DOU18" s="452"/>
      <c r="DOV18" s="452">
        <v>62201294.850000001</v>
      </c>
      <c r="DOW18" s="451">
        <f>60000000</f>
        <v>60000000</v>
      </c>
      <c r="DOX18" s="459"/>
      <c r="DOY18" s="452"/>
      <c r="DOZ18" s="450">
        <v>0</v>
      </c>
      <c r="DPA18" s="460"/>
      <c r="DPB18" s="450">
        <f>DOV18+DOY18</f>
        <v>62201294.850000001</v>
      </c>
      <c r="DPC18" s="454">
        <f>+DOW18+DOZ18</f>
        <v>60000000</v>
      </c>
      <c r="DPD18" s="461"/>
      <c r="DPE18" s="450"/>
      <c r="DPF18" s="594">
        <f>(DPB18-DOT18)/DOT18</f>
        <v>0.13401162364699606</v>
      </c>
      <c r="DPG18" s="436" t="s">
        <v>141</v>
      </c>
      <c r="DPH18" s="448">
        <v>54850667.799999997</v>
      </c>
      <c r="DPI18" s="449"/>
      <c r="DPJ18" s="448">
        <f>DPH18+DPI18</f>
        <v>54850667.799999997</v>
      </c>
      <c r="DPK18" s="452"/>
      <c r="DPL18" s="452">
        <v>62201294.850000001</v>
      </c>
      <c r="DPM18" s="451">
        <f>60000000</f>
        <v>60000000</v>
      </c>
      <c r="DPN18" s="459"/>
      <c r="DPO18" s="452"/>
      <c r="DPP18" s="450">
        <v>0</v>
      </c>
      <c r="DPQ18" s="460"/>
      <c r="DPR18" s="450">
        <f>DPL18+DPO18</f>
        <v>62201294.850000001</v>
      </c>
      <c r="DPS18" s="454">
        <f>+DPM18+DPP18</f>
        <v>60000000</v>
      </c>
      <c r="DPT18" s="461"/>
      <c r="DPU18" s="450"/>
      <c r="DPV18" s="594">
        <f>(DPR18-DPJ18)/DPJ18</f>
        <v>0.13401162364699606</v>
      </c>
      <c r="DPW18" s="436" t="s">
        <v>141</v>
      </c>
      <c r="DPX18" s="448">
        <v>54850667.799999997</v>
      </c>
      <c r="DPY18" s="449"/>
      <c r="DPZ18" s="448">
        <f>DPX18+DPY18</f>
        <v>54850667.799999997</v>
      </c>
      <c r="DQA18" s="452"/>
      <c r="DQB18" s="452">
        <v>62201294.850000001</v>
      </c>
      <c r="DQC18" s="451">
        <f>60000000</f>
        <v>60000000</v>
      </c>
      <c r="DQD18" s="459"/>
      <c r="DQE18" s="452"/>
      <c r="DQF18" s="450">
        <v>0</v>
      </c>
      <c r="DQG18" s="460"/>
      <c r="DQH18" s="450">
        <f>DQB18+DQE18</f>
        <v>62201294.850000001</v>
      </c>
      <c r="DQI18" s="454">
        <f>+DQC18+DQF18</f>
        <v>60000000</v>
      </c>
      <c r="DQJ18" s="461"/>
      <c r="DQK18" s="450"/>
      <c r="DQL18" s="594">
        <f>(DQH18-DPZ18)/DPZ18</f>
        <v>0.13401162364699606</v>
      </c>
      <c r="DQM18" s="436" t="s">
        <v>141</v>
      </c>
      <c r="DQN18" s="448">
        <v>54850667.799999997</v>
      </c>
      <c r="DQO18" s="449"/>
      <c r="DQP18" s="448">
        <f>DQN18+DQO18</f>
        <v>54850667.799999997</v>
      </c>
      <c r="DQQ18" s="452"/>
      <c r="DQR18" s="452">
        <v>62201294.850000001</v>
      </c>
      <c r="DQS18" s="451">
        <f>60000000</f>
        <v>60000000</v>
      </c>
      <c r="DQT18" s="459"/>
      <c r="DQU18" s="452"/>
      <c r="DQV18" s="450">
        <v>0</v>
      </c>
      <c r="DQW18" s="460"/>
      <c r="DQX18" s="450">
        <f>DQR18+DQU18</f>
        <v>62201294.850000001</v>
      </c>
      <c r="DQY18" s="454">
        <f>+DQS18+DQV18</f>
        <v>60000000</v>
      </c>
      <c r="DQZ18" s="461"/>
      <c r="DRA18" s="450"/>
      <c r="DRB18" s="594">
        <f>(DQX18-DQP18)/DQP18</f>
        <v>0.13401162364699606</v>
      </c>
      <c r="DRC18" s="436" t="s">
        <v>141</v>
      </c>
      <c r="DRD18" s="448">
        <v>54850667.799999997</v>
      </c>
      <c r="DRE18" s="449"/>
      <c r="DRF18" s="448">
        <f>DRD18+DRE18</f>
        <v>54850667.799999997</v>
      </c>
      <c r="DRG18" s="452"/>
      <c r="DRH18" s="452">
        <v>62201294.850000001</v>
      </c>
      <c r="DRI18" s="451">
        <f>60000000</f>
        <v>60000000</v>
      </c>
      <c r="DRJ18" s="459"/>
      <c r="DRK18" s="452"/>
      <c r="DRL18" s="450">
        <v>0</v>
      </c>
      <c r="DRM18" s="460"/>
      <c r="DRN18" s="450">
        <f>DRH18+DRK18</f>
        <v>62201294.850000001</v>
      </c>
      <c r="DRO18" s="454">
        <f>+DRI18+DRL18</f>
        <v>60000000</v>
      </c>
      <c r="DRP18" s="461"/>
      <c r="DRQ18" s="450"/>
      <c r="DRR18" s="594">
        <f>(DRN18-DRF18)/DRF18</f>
        <v>0.13401162364699606</v>
      </c>
      <c r="DRS18" s="436" t="s">
        <v>141</v>
      </c>
      <c r="DRT18" s="448">
        <v>54850667.799999997</v>
      </c>
      <c r="DRU18" s="449"/>
      <c r="DRV18" s="448">
        <f>DRT18+DRU18</f>
        <v>54850667.799999997</v>
      </c>
      <c r="DRW18" s="452"/>
      <c r="DRX18" s="452">
        <v>62201294.850000001</v>
      </c>
      <c r="DRY18" s="451">
        <f>60000000</f>
        <v>60000000</v>
      </c>
      <c r="DRZ18" s="459"/>
      <c r="DSA18" s="452"/>
      <c r="DSB18" s="450">
        <v>0</v>
      </c>
      <c r="DSC18" s="460"/>
      <c r="DSD18" s="450">
        <f>DRX18+DSA18</f>
        <v>62201294.850000001</v>
      </c>
      <c r="DSE18" s="454">
        <f>+DRY18+DSB18</f>
        <v>60000000</v>
      </c>
      <c r="DSF18" s="461"/>
      <c r="DSG18" s="450"/>
      <c r="DSH18" s="594">
        <f>(DSD18-DRV18)/DRV18</f>
        <v>0.13401162364699606</v>
      </c>
      <c r="DSI18" s="436" t="s">
        <v>141</v>
      </c>
      <c r="DSJ18" s="448">
        <v>54850667.799999997</v>
      </c>
      <c r="DSK18" s="449"/>
      <c r="DSL18" s="448">
        <f>DSJ18+DSK18</f>
        <v>54850667.799999997</v>
      </c>
      <c r="DSM18" s="452"/>
      <c r="DSN18" s="452">
        <v>62201294.850000001</v>
      </c>
      <c r="DSO18" s="451">
        <f>60000000</f>
        <v>60000000</v>
      </c>
      <c r="DSP18" s="459"/>
      <c r="DSQ18" s="452"/>
      <c r="DSR18" s="450">
        <v>0</v>
      </c>
      <c r="DSS18" s="460"/>
      <c r="DST18" s="450">
        <f>DSN18+DSQ18</f>
        <v>62201294.850000001</v>
      </c>
      <c r="DSU18" s="454">
        <f>+DSO18+DSR18</f>
        <v>60000000</v>
      </c>
      <c r="DSV18" s="461"/>
      <c r="DSW18" s="450"/>
      <c r="DSX18" s="594">
        <f>(DST18-DSL18)/DSL18</f>
        <v>0.13401162364699606</v>
      </c>
      <c r="DSY18" s="436" t="s">
        <v>141</v>
      </c>
      <c r="DSZ18" s="448">
        <v>54850667.799999997</v>
      </c>
      <c r="DTA18" s="449"/>
      <c r="DTB18" s="448">
        <f>DSZ18+DTA18</f>
        <v>54850667.799999997</v>
      </c>
      <c r="DTC18" s="452"/>
      <c r="DTD18" s="452">
        <v>62201294.850000001</v>
      </c>
      <c r="DTE18" s="451">
        <f>60000000</f>
        <v>60000000</v>
      </c>
      <c r="DTF18" s="459"/>
      <c r="DTG18" s="452"/>
      <c r="DTH18" s="450">
        <v>0</v>
      </c>
      <c r="DTI18" s="460"/>
      <c r="DTJ18" s="450">
        <f>DTD18+DTG18</f>
        <v>62201294.850000001</v>
      </c>
      <c r="DTK18" s="454">
        <f>+DTE18+DTH18</f>
        <v>60000000</v>
      </c>
      <c r="DTL18" s="461"/>
      <c r="DTM18" s="450"/>
      <c r="DTN18" s="594">
        <f>(DTJ18-DTB18)/DTB18</f>
        <v>0.13401162364699606</v>
      </c>
      <c r="DTO18" s="436" t="s">
        <v>141</v>
      </c>
      <c r="DTP18" s="448">
        <v>54850667.799999997</v>
      </c>
      <c r="DTQ18" s="449"/>
      <c r="DTR18" s="448">
        <f>DTP18+DTQ18</f>
        <v>54850667.799999997</v>
      </c>
      <c r="DTS18" s="452"/>
      <c r="DTT18" s="452">
        <v>62201294.850000001</v>
      </c>
      <c r="DTU18" s="451">
        <f>60000000</f>
        <v>60000000</v>
      </c>
      <c r="DTV18" s="459"/>
      <c r="DTW18" s="452"/>
      <c r="DTX18" s="450">
        <v>0</v>
      </c>
      <c r="DTY18" s="460"/>
      <c r="DTZ18" s="450">
        <f>DTT18+DTW18</f>
        <v>62201294.850000001</v>
      </c>
      <c r="DUA18" s="454">
        <f>+DTU18+DTX18</f>
        <v>60000000</v>
      </c>
      <c r="DUB18" s="461"/>
      <c r="DUC18" s="450"/>
      <c r="DUD18" s="594">
        <f>(DTZ18-DTR18)/DTR18</f>
        <v>0.13401162364699606</v>
      </c>
      <c r="DUE18" s="436" t="s">
        <v>141</v>
      </c>
      <c r="DUF18" s="448">
        <v>54850667.799999997</v>
      </c>
      <c r="DUG18" s="449"/>
      <c r="DUH18" s="448">
        <f>DUF18+DUG18</f>
        <v>54850667.799999997</v>
      </c>
      <c r="DUI18" s="452"/>
      <c r="DUJ18" s="452">
        <v>62201294.850000001</v>
      </c>
      <c r="DUK18" s="451">
        <f>60000000</f>
        <v>60000000</v>
      </c>
      <c r="DUL18" s="459"/>
      <c r="DUM18" s="452"/>
      <c r="DUN18" s="450">
        <v>0</v>
      </c>
      <c r="DUO18" s="460"/>
      <c r="DUP18" s="450">
        <f>DUJ18+DUM18</f>
        <v>62201294.850000001</v>
      </c>
      <c r="DUQ18" s="454">
        <f>+DUK18+DUN18</f>
        <v>60000000</v>
      </c>
      <c r="DUR18" s="461"/>
      <c r="DUS18" s="450"/>
      <c r="DUT18" s="594">
        <f>(DUP18-DUH18)/DUH18</f>
        <v>0.13401162364699606</v>
      </c>
      <c r="DUU18" s="436" t="s">
        <v>141</v>
      </c>
      <c r="DUV18" s="448">
        <v>54850667.799999997</v>
      </c>
      <c r="DUW18" s="449"/>
      <c r="DUX18" s="448">
        <f>DUV18+DUW18</f>
        <v>54850667.799999997</v>
      </c>
      <c r="DUY18" s="452"/>
      <c r="DUZ18" s="452">
        <v>62201294.850000001</v>
      </c>
      <c r="DVA18" s="451">
        <f>60000000</f>
        <v>60000000</v>
      </c>
      <c r="DVB18" s="459"/>
      <c r="DVC18" s="452"/>
      <c r="DVD18" s="450">
        <v>0</v>
      </c>
      <c r="DVE18" s="460"/>
      <c r="DVF18" s="450">
        <f>DUZ18+DVC18</f>
        <v>62201294.850000001</v>
      </c>
      <c r="DVG18" s="454">
        <f>+DVA18+DVD18</f>
        <v>60000000</v>
      </c>
      <c r="DVH18" s="461"/>
      <c r="DVI18" s="450"/>
      <c r="DVJ18" s="594">
        <f>(DVF18-DUX18)/DUX18</f>
        <v>0.13401162364699606</v>
      </c>
      <c r="DVK18" s="436" t="s">
        <v>141</v>
      </c>
      <c r="DVL18" s="448">
        <v>54850667.799999997</v>
      </c>
      <c r="DVM18" s="449"/>
      <c r="DVN18" s="448">
        <f>DVL18+DVM18</f>
        <v>54850667.799999997</v>
      </c>
      <c r="DVO18" s="452"/>
      <c r="DVP18" s="452">
        <v>62201294.850000001</v>
      </c>
      <c r="DVQ18" s="451">
        <f>60000000</f>
        <v>60000000</v>
      </c>
      <c r="DVR18" s="459"/>
      <c r="DVS18" s="452"/>
      <c r="DVT18" s="450">
        <v>0</v>
      </c>
      <c r="DVU18" s="460"/>
      <c r="DVV18" s="450">
        <f>DVP18+DVS18</f>
        <v>62201294.850000001</v>
      </c>
      <c r="DVW18" s="454">
        <f>+DVQ18+DVT18</f>
        <v>60000000</v>
      </c>
      <c r="DVX18" s="461"/>
      <c r="DVY18" s="450"/>
      <c r="DVZ18" s="594">
        <f>(DVV18-DVN18)/DVN18</f>
        <v>0.13401162364699606</v>
      </c>
      <c r="DWA18" s="436" t="s">
        <v>141</v>
      </c>
      <c r="DWB18" s="448">
        <v>54850667.799999997</v>
      </c>
      <c r="DWC18" s="449"/>
      <c r="DWD18" s="448">
        <f>DWB18+DWC18</f>
        <v>54850667.799999997</v>
      </c>
      <c r="DWE18" s="452"/>
      <c r="DWF18" s="452">
        <v>62201294.850000001</v>
      </c>
      <c r="DWG18" s="451">
        <f>60000000</f>
        <v>60000000</v>
      </c>
      <c r="DWH18" s="459"/>
      <c r="DWI18" s="452"/>
      <c r="DWJ18" s="450">
        <v>0</v>
      </c>
      <c r="DWK18" s="460"/>
      <c r="DWL18" s="450">
        <f>DWF18+DWI18</f>
        <v>62201294.850000001</v>
      </c>
      <c r="DWM18" s="454">
        <f>+DWG18+DWJ18</f>
        <v>60000000</v>
      </c>
      <c r="DWN18" s="461"/>
      <c r="DWO18" s="450"/>
      <c r="DWP18" s="594">
        <f>(DWL18-DWD18)/DWD18</f>
        <v>0.13401162364699606</v>
      </c>
      <c r="DWQ18" s="436" t="s">
        <v>141</v>
      </c>
      <c r="DWR18" s="448">
        <v>54850667.799999997</v>
      </c>
      <c r="DWS18" s="449"/>
      <c r="DWT18" s="448">
        <f>DWR18+DWS18</f>
        <v>54850667.799999997</v>
      </c>
      <c r="DWU18" s="452"/>
      <c r="DWV18" s="452">
        <v>62201294.850000001</v>
      </c>
      <c r="DWW18" s="451">
        <f>60000000</f>
        <v>60000000</v>
      </c>
      <c r="DWX18" s="459"/>
      <c r="DWY18" s="452"/>
      <c r="DWZ18" s="450">
        <v>0</v>
      </c>
      <c r="DXA18" s="460"/>
      <c r="DXB18" s="450">
        <f>DWV18+DWY18</f>
        <v>62201294.850000001</v>
      </c>
      <c r="DXC18" s="454">
        <f>+DWW18+DWZ18</f>
        <v>60000000</v>
      </c>
      <c r="DXD18" s="461"/>
      <c r="DXE18" s="450"/>
      <c r="DXF18" s="594">
        <f>(DXB18-DWT18)/DWT18</f>
        <v>0.13401162364699606</v>
      </c>
      <c r="DXG18" s="436" t="s">
        <v>141</v>
      </c>
      <c r="DXH18" s="448">
        <v>54850667.799999997</v>
      </c>
      <c r="DXI18" s="449"/>
      <c r="DXJ18" s="448">
        <f>DXH18+DXI18</f>
        <v>54850667.799999997</v>
      </c>
      <c r="DXK18" s="452"/>
      <c r="DXL18" s="452">
        <v>62201294.850000001</v>
      </c>
      <c r="DXM18" s="451">
        <f>60000000</f>
        <v>60000000</v>
      </c>
      <c r="DXN18" s="459"/>
      <c r="DXO18" s="452"/>
      <c r="DXP18" s="450">
        <v>0</v>
      </c>
      <c r="DXQ18" s="460"/>
      <c r="DXR18" s="450">
        <f>DXL18+DXO18</f>
        <v>62201294.850000001</v>
      </c>
      <c r="DXS18" s="454">
        <f>+DXM18+DXP18</f>
        <v>60000000</v>
      </c>
      <c r="DXT18" s="461"/>
      <c r="DXU18" s="450"/>
      <c r="DXV18" s="594">
        <f>(DXR18-DXJ18)/DXJ18</f>
        <v>0.13401162364699606</v>
      </c>
      <c r="DXW18" s="436" t="s">
        <v>141</v>
      </c>
      <c r="DXX18" s="448">
        <v>54850667.799999997</v>
      </c>
      <c r="DXY18" s="449"/>
      <c r="DXZ18" s="448">
        <f>DXX18+DXY18</f>
        <v>54850667.799999997</v>
      </c>
      <c r="DYA18" s="452"/>
      <c r="DYB18" s="452">
        <v>62201294.850000001</v>
      </c>
      <c r="DYC18" s="451">
        <f>60000000</f>
        <v>60000000</v>
      </c>
      <c r="DYD18" s="459"/>
      <c r="DYE18" s="452"/>
      <c r="DYF18" s="450">
        <v>0</v>
      </c>
      <c r="DYG18" s="460"/>
      <c r="DYH18" s="450">
        <f>DYB18+DYE18</f>
        <v>62201294.850000001</v>
      </c>
      <c r="DYI18" s="454">
        <f>+DYC18+DYF18</f>
        <v>60000000</v>
      </c>
      <c r="DYJ18" s="461"/>
      <c r="DYK18" s="450"/>
      <c r="DYL18" s="594">
        <f>(DYH18-DXZ18)/DXZ18</f>
        <v>0.13401162364699606</v>
      </c>
      <c r="DYM18" s="436" t="s">
        <v>141</v>
      </c>
      <c r="DYN18" s="448">
        <v>54850667.799999997</v>
      </c>
      <c r="DYO18" s="449"/>
      <c r="DYP18" s="448">
        <f>DYN18+DYO18</f>
        <v>54850667.799999997</v>
      </c>
      <c r="DYQ18" s="452"/>
      <c r="DYR18" s="452">
        <v>62201294.850000001</v>
      </c>
      <c r="DYS18" s="451">
        <f>60000000</f>
        <v>60000000</v>
      </c>
      <c r="DYT18" s="459"/>
      <c r="DYU18" s="452"/>
      <c r="DYV18" s="450">
        <v>0</v>
      </c>
      <c r="DYW18" s="460"/>
      <c r="DYX18" s="450">
        <f>DYR18+DYU18</f>
        <v>62201294.850000001</v>
      </c>
      <c r="DYY18" s="454">
        <f>+DYS18+DYV18</f>
        <v>60000000</v>
      </c>
      <c r="DYZ18" s="461"/>
      <c r="DZA18" s="450"/>
      <c r="DZB18" s="594">
        <f>(DYX18-DYP18)/DYP18</f>
        <v>0.13401162364699606</v>
      </c>
      <c r="DZC18" s="436" t="s">
        <v>141</v>
      </c>
      <c r="DZD18" s="448">
        <v>54850667.799999997</v>
      </c>
      <c r="DZE18" s="449"/>
      <c r="DZF18" s="448">
        <f>DZD18+DZE18</f>
        <v>54850667.799999997</v>
      </c>
      <c r="DZG18" s="452"/>
      <c r="DZH18" s="452">
        <v>62201294.850000001</v>
      </c>
      <c r="DZI18" s="451">
        <f>60000000</f>
        <v>60000000</v>
      </c>
      <c r="DZJ18" s="459"/>
      <c r="DZK18" s="452"/>
      <c r="DZL18" s="450">
        <v>0</v>
      </c>
      <c r="DZM18" s="460"/>
      <c r="DZN18" s="450">
        <f>DZH18+DZK18</f>
        <v>62201294.850000001</v>
      </c>
      <c r="DZO18" s="454">
        <f>+DZI18+DZL18</f>
        <v>60000000</v>
      </c>
      <c r="DZP18" s="461"/>
      <c r="DZQ18" s="450"/>
      <c r="DZR18" s="594">
        <f>(DZN18-DZF18)/DZF18</f>
        <v>0.13401162364699606</v>
      </c>
      <c r="DZS18" s="436" t="s">
        <v>141</v>
      </c>
      <c r="DZT18" s="448">
        <v>54850667.799999997</v>
      </c>
      <c r="DZU18" s="449"/>
      <c r="DZV18" s="448">
        <f>DZT18+DZU18</f>
        <v>54850667.799999997</v>
      </c>
      <c r="DZW18" s="452"/>
      <c r="DZX18" s="452">
        <v>62201294.850000001</v>
      </c>
      <c r="DZY18" s="451">
        <f>60000000</f>
        <v>60000000</v>
      </c>
      <c r="DZZ18" s="459"/>
      <c r="EAA18" s="452"/>
      <c r="EAB18" s="450">
        <v>0</v>
      </c>
      <c r="EAC18" s="460"/>
      <c r="EAD18" s="450">
        <f>DZX18+EAA18</f>
        <v>62201294.850000001</v>
      </c>
      <c r="EAE18" s="454">
        <f>+DZY18+EAB18</f>
        <v>60000000</v>
      </c>
      <c r="EAF18" s="461"/>
      <c r="EAG18" s="450"/>
      <c r="EAH18" s="594">
        <f>(EAD18-DZV18)/DZV18</f>
        <v>0.13401162364699606</v>
      </c>
      <c r="EAI18" s="436" t="s">
        <v>141</v>
      </c>
      <c r="EAJ18" s="448">
        <v>54850667.799999997</v>
      </c>
      <c r="EAK18" s="449"/>
      <c r="EAL18" s="448">
        <f>EAJ18+EAK18</f>
        <v>54850667.799999997</v>
      </c>
      <c r="EAM18" s="452"/>
      <c r="EAN18" s="452">
        <v>62201294.850000001</v>
      </c>
      <c r="EAO18" s="451">
        <f>60000000</f>
        <v>60000000</v>
      </c>
      <c r="EAP18" s="459"/>
      <c r="EAQ18" s="452"/>
      <c r="EAR18" s="450">
        <v>0</v>
      </c>
      <c r="EAS18" s="460"/>
      <c r="EAT18" s="450">
        <f>EAN18+EAQ18</f>
        <v>62201294.850000001</v>
      </c>
      <c r="EAU18" s="454">
        <f>+EAO18+EAR18</f>
        <v>60000000</v>
      </c>
      <c r="EAV18" s="461"/>
      <c r="EAW18" s="450"/>
      <c r="EAX18" s="594">
        <f>(EAT18-EAL18)/EAL18</f>
        <v>0.13401162364699606</v>
      </c>
      <c r="EAY18" s="436" t="s">
        <v>141</v>
      </c>
      <c r="EAZ18" s="448">
        <v>54850667.799999997</v>
      </c>
      <c r="EBA18" s="449"/>
      <c r="EBB18" s="448">
        <f>EAZ18+EBA18</f>
        <v>54850667.799999997</v>
      </c>
      <c r="EBC18" s="452"/>
      <c r="EBD18" s="452">
        <v>62201294.850000001</v>
      </c>
      <c r="EBE18" s="451">
        <f>60000000</f>
        <v>60000000</v>
      </c>
      <c r="EBF18" s="459"/>
      <c r="EBG18" s="452"/>
      <c r="EBH18" s="450">
        <v>0</v>
      </c>
      <c r="EBI18" s="460"/>
      <c r="EBJ18" s="450">
        <f>EBD18+EBG18</f>
        <v>62201294.850000001</v>
      </c>
      <c r="EBK18" s="454">
        <f>+EBE18+EBH18</f>
        <v>60000000</v>
      </c>
      <c r="EBL18" s="461"/>
      <c r="EBM18" s="450"/>
      <c r="EBN18" s="594">
        <f>(EBJ18-EBB18)/EBB18</f>
        <v>0.13401162364699606</v>
      </c>
      <c r="EBO18" s="436" t="s">
        <v>141</v>
      </c>
      <c r="EBP18" s="448">
        <v>54850667.799999997</v>
      </c>
      <c r="EBQ18" s="449"/>
      <c r="EBR18" s="448">
        <f>EBP18+EBQ18</f>
        <v>54850667.799999997</v>
      </c>
      <c r="EBS18" s="452"/>
      <c r="EBT18" s="452">
        <v>62201294.850000001</v>
      </c>
      <c r="EBU18" s="451">
        <f>60000000</f>
        <v>60000000</v>
      </c>
      <c r="EBV18" s="459"/>
      <c r="EBW18" s="452"/>
      <c r="EBX18" s="450">
        <v>0</v>
      </c>
      <c r="EBY18" s="460"/>
      <c r="EBZ18" s="450">
        <f>EBT18+EBW18</f>
        <v>62201294.850000001</v>
      </c>
      <c r="ECA18" s="454">
        <f>+EBU18+EBX18</f>
        <v>60000000</v>
      </c>
      <c r="ECB18" s="461"/>
      <c r="ECC18" s="450"/>
      <c r="ECD18" s="594">
        <f>(EBZ18-EBR18)/EBR18</f>
        <v>0.13401162364699606</v>
      </c>
      <c r="ECE18" s="436" t="s">
        <v>141</v>
      </c>
      <c r="ECF18" s="448">
        <v>54850667.799999997</v>
      </c>
      <c r="ECG18" s="449"/>
      <c r="ECH18" s="448">
        <f>ECF18+ECG18</f>
        <v>54850667.799999997</v>
      </c>
      <c r="ECI18" s="452"/>
      <c r="ECJ18" s="452">
        <v>62201294.850000001</v>
      </c>
      <c r="ECK18" s="451">
        <f>60000000</f>
        <v>60000000</v>
      </c>
      <c r="ECL18" s="459"/>
      <c r="ECM18" s="452"/>
      <c r="ECN18" s="450">
        <v>0</v>
      </c>
      <c r="ECO18" s="460"/>
      <c r="ECP18" s="450">
        <f>ECJ18+ECM18</f>
        <v>62201294.850000001</v>
      </c>
      <c r="ECQ18" s="454">
        <f>+ECK18+ECN18</f>
        <v>60000000</v>
      </c>
      <c r="ECR18" s="461"/>
      <c r="ECS18" s="450"/>
      <c r="ECT18" s="594">
        <f>(ECP18-ECH18)/ECH18</f>
        <v>0.13401162364699606</v>
      </c>
      <c r="ECU18" s="436" t="s">
        <v>141</v>
      </c>
      <c r="ECV18" s="448">
        <v>54850667.799999997</v>
      </c>
      <c r="ECW18" s="449"/>
      <c r="ECX18" s="448">
        <f>ECV18+ECW18</f>
        <v>54850667.799999997</v>
      </c>
      <c r="ECY18" s="452"/>
      <c r="ECZ18" s="452">
        <v>62201294.850000001</v>
      </c>
      <c r="EDA18" s="451">
        <f>60000000</f>
        <v>60000000</v>
      </c>
      <c r="EDB18" s="459"/>
      <c r="EDC18" s="452"/>
      <c r="EDD18" s="450">
        <v>0</v>
      </c>
      <c r="EDE18" s="460"/>
      <c r="EDF18" s="450">
        <f>ECZ18+EDC18</f>
        <v>62201294.850000001</v>
      </c>
      <c r="EDG18" s="454">
        <f>+EDA18+EDD18</f>
        <v>60000000</v>
      </c>
      <c r="EDH18" s="461"/>
      <c r="EDI18" s="450"/>
      <c r="EDJ18" s="594">
        <f>(EDF18-ECX18)/ECX18</f>
        <v>0.13401162364699606</v>
      </c>
      <c r="EDK18" s="436" t="s">
        <v>141</v>
      </c>
      <c r="EDL18" s="448">
        <v>54850667.799999997</v>
      </c>
      <c r="EDM18" s="449"/>
      <c r="EDN18" s="448">
        <f>EDL18+EDM18</f>
        <v>54850667.799999997</v>
      </c>
      <c r="EDO18" s="452"/>
      <c r="EDP18" s="452">
        <v>62201294.850000001</v>
      </c>
      <c r="EDQ18" s="451">
        <f>60000000</f>
        <v>60000000</v>
      </c>
      <c r="EDR18" s="459"/>
      <c r="EDS18" s="452"/>
      <c r="EDT18" s="450">
        <v>0</v>
      </c>
      <c r="EDU18" s="460"/>
      <c r="EDV18" s="450">
        <f>EDP18+EDS18</f>
        <v>62201294.850000001</v>
      </c>
      <c r="EDW18" s="454">
        <f>+EDQ18+EDT18</f>
        <v>60000000</v>
      </c>
      <c r="EDX18" s="461"/>
      <c r="EDY18" s="450"/>
      <c r="EDZ18" s="594">
        <f>(EDV18-EDN18)/EDN18</f>
        <v>0.13401162364699606</v>
      </c>
      <c r="EEA18" s="436" t="s">
        <v>141</v>
      </c>
      <c r="EEB18" s="448">
        <v>54850667.799999997</v>
      </c>
      <c r="EEC18" s="449"/>
      <c r="EED18" s="448">
        <f>EEB18+EEC18</f>
        <v>54850667.799999997</v>
      </c>
      <c r="EEE18" s="452"/>
      <c r="EEF18" s="452">
        <v>62201294.850000001</v>
      </c>
      <c r="EEG18" s="451">
        <f>60000000</f>
        <v>60000000</v>
      </c>
      <c r="EEH18" s="459"/>
      <c r="EEI18" s="452"/>
      <c r="EEJ18" s="450">
        <v>0</v>
      </c>
      <c r="EEK18" s="460"/>
      <c r="EEL18" s="450">
        <f>EEF18+EEI18</f>
        <v>62201294.850000001</v>
      </c>
      <c r="EEM18" s="454">
        <f>+EEG18+EEJ18</f>
        <v>60000000</v>
      </c>
      <c r="EEN18" s="461"/>
      <c r="EEO18" s="450"/>
      <c r="EEP18" s="594">
        <f>(EEL18-EED18)/EED18</f>
        <v>0.13401162364699606</v>
      </c>
      <c r="EEQ18" s="436" t="s">
        <v>141</v>
      </c>
      <c r="EER18" s="448">
        <v>54850667.799999997</v>
      </c>
      <c r="EES18" s="449"/>
      <c r="EET18" s="448">
        <f>EER18+EES18</f>
        <v>54850667.799999997</v>
      </c>
      <c r="EEU18" s="452"/>
      <c r="EEV18" s="452">
        <v>62201294.850000001</v>
      </c>
      <c r="EEW18" s="451">
        <f>60000000</f>
        <v>60000000</v>
      </c>
      <c r="EEX18" s="459"/>
      <c r="EEY18" s="452"/>
      <c r="EEZ18" s="450">
        <v>0</v>
      </c>
      <c r="EFA18" s="460"/>
      <c r="EFB18" s="450">
        <f>EEV18+EEY18</f>
        <v>62201294.850000001</v>
      </c>
      <c r="EFC18" s="454">
        <f>+EEW18+EEZ18</f>
        <v>60000000</v>
      </c>
      <c r="EFD18" s="461"/>
      <c r="EFE18" s="450"/>
      <c r="EFF18" s="594">
        <f>(EFB18-EET18)/EET18</f>
        <v>0.13401162364699606</v>
      </c>
      <c r="EFG18" s="436" t="s">
        <v>141</v>
      </c>
      <c r="EFH18" s="448">
        <v>54850667.799999997</v>
      </c>
      <c r="EFI18" s="449"/>
      <c r="EFJ18" s="448">
        <f>EFH18+EFI18</f>
        <v>54850667.799999997</v>
      </c>
      <c r="EFK18" s="452"/>
      <c r="EFL18" s="452">
        <v>62201294.850000001</v>
      </c>
      <c r="EFM18" s="451">
        <f>60000000</f>
        <v>60000000</v>
      </c>
      <c r="EFN18" s="459"/>
      <c r="EFO18" s="452"/>
      <c r="EFP18" s="450">
        <v>0</v>
      </c>
      <c r="EFQ18" s="460"/>
      <c r="EFR18" s="450">
        <f>EFL18+EFO18</f>
        <v>62201294.850000001</v>
      </c>
      <c r="EFS18" s="454">
        <f>+EFM18+EFP18</f>
        <v>60000000</v>
      </c>
      <c r="EFT18" s="461"/>
      <c r="EFU18" s="450"/>
      <c r="EFV18" s="594">
        <f>(EFR18-EFJ18)/EFJ18</f>
        <v>0.13401162364699606</v>
      </c>
      <c r="EFW18" s="436" t="s">
        <v>141</v>
      </c>
      <c r="EFX18" s="448">
        <v>54850667.799999997</v>
      </c>
      <c r="EFY18" s="449"/>
      <c r="EFZ18" s="448">
        <f>EFX18+EFY18</f>
        <v>54850667.799999997</v>
      </c>
      <c r="EGA18" s="452"/>
      <c r="EGB18" s="452">
        <v>62201294.850000001</v>
      </c>
      <c r="EGC18" s="451">
        <f>60000000</f>
        <v>60000000</v>
      </c>
      <c r="EGD18" s="459"/>
      <c r="EGE18" s="452"/>
      <c r="EGF18" s="450">
        <v>0</v>
      </c>
      <c r="EGG18" s="460"/>
      <c r="EGH18" s="450">
        <f>EGB18+EGE18</f>
        <v>62201294.850000001</v>
      </c>
      <c r="EGI18" s="454">
        <f>+EGC18+EGF18</f>
        <v>60000000</v>
      </c>
      <c r="EGJ18" s="461"/>
      <c r="EGK18" s="450"/>
      <c r="EGL18" s="594">
        <f>(EGH18-EFZ18)/EFZ18</f>
        <v>0.13401162364699606</v>
      </c>
      <c r="EGM18" s="436" t="s">
        <v>141</v>
      </c>
      <c r="EGN18" s="448">
        <v>54850667.799999997</v>
      </c>
      <c r="EGO18" s="449"/>
      <c r="EGP18" s="448">
        <f>EGN18+EGO18</f>
        <v>54850667.799999997</v>
      </c>
      <c r="EGQ18" s="452"/>
      <c r="EGR18" s="452">
        <v>62201294.850000001</v>
      </c>
      <c r="EGS18" s="451">
        <f>60000000</f>
        <v>60000000</v>
      </c>
      <c r="EGT18" s="459"/>
      <c r="EGU18" s="452"/>
      <c r="EGV18" s="450">
        <v>0</v>
      </c>
      <c r="EGW18" s="460"/>
      <c r="EGX18" s="450">
        <f>EGR18+EGU18</f>
        <v>62201294.850000001</v>
      </c>
      <c r="EGY18" s="454">
        <f>+EGS18+EGV18</f>
        <v>60000000</v>
      </c>
      <c r="EGZ18" s="461"/>
      <c r="EHA18" s="450"/>
      <c r="EHB18" s="594">
        <f>(EGX18-EGP18)/EGP18</f>
        <v>0.13401162364699606</v>
      </c>
      <c r="EHC18" s="436" t="s">
        <v>141</v>
      </c>
      <c r="EHD18" s="448">
        <v>54850667.799999997</v>
      </c>
      <c r="EHE18" s="449"/>
      <c r="EHF18" s="448">
        <f>EHD18+EHE18</f>
        <v>54850667.799999997</v>
      </c>
      <c r="EHG18" s="452"/>
      <c r="EHH18" s="452">
        <v>62201294.850000001</v>
      </c>
      <c r="EHI18" s="451">
        <f>60000000</f>
        <v>60000000</v>
      </c>
      <c r="EHJ18" s="459"/>
      <c r="EHK18" s="452"/>
      <c r="EHL18" s="450">
        <v>0</v>
      </c>
      <c r="EHM18" s="460"/>
      <c r="EHN18" s="450">
        <f>EHH18+EHK18</f>
        <v>62201294.850000001</v>
      </c>
      <c r="EHO18" s="454">
        <f>+EHI18+EHL18</f>
        <v>60000000</v>
      </c>
      <c r="EHP18" s="461"/>
      <c r="EHQ18" s="450"/>
      <c r="EHR18" s="594">
        <f>(EHN18-EHF18)/EHF18</f>
        <v>0.13401162364699606</v>
      </c>
      <c r="EHS18" s="436" t="s">
        <v>141</v>
      </c>
      <c r="EHT18" s="448">
        <v>54850667.799999997</v>
      </c>
      <c r="EHU18" s="449"/>
      <c r="EHV18" s="448">
        <f>EHT18+EHU18</f>
        <v>54850667.799999997</v>
      </c>
      <c r="EHW18" s="452"/>
      <c r="EHX18" s="452">
        <v>62201294.850000001</v>
      </c>
      <c r="EHY18" s="451">
        <f>60000000</f>
        <v>60000000</v>
      </c>
      <c r="EHZ18" s="459"/>
      <c r="EIA18" s="452"/>
      <c r="EIB18" s="450">
        <v>0</v>
      </c>
      <c r="EIC18" s="460"/>
      <c r="EID18" s="450">
        <f>EHX18+EIA18</f>
        <v>62201294.850000001</v>
      </c>
      <c r="EIE18" s="454">
        <f>+EHY18+EIB18</f>
        <v>60000000</v>
      </c>
      <c r="EIF18" s="461"/>
      <c r="EIG18" s="450"/>
      <c r="EIH18" s="594">
        <f>(EID18-EHV18)/EHV18</f>
        <v>0.13401162364699606</v>
      </c>
      <c r="EII18" s="436" t="s">
        <v>141</v>
      </c>
      <c r="EIJ18" s="448">
        <v>54850667.799999997</v>
      </c>
      <c r="EIK18" s="449"/>
      <c r="EIL18" s="448">
        <f>EIJ18+EIK18</f>
        <v>54850667.799999997</v>
      </c>
      <c r="EIM18" s="452"/>
      <c r="EIN18" s="452">
        <v>62201294.850000001</v>
      </c>
      <c r="EIO18" s="451">
        <f>60000000</f>
        <v>60000000</v>
      </c>
      <c r="EIP18" s="459"/>
      <c r="EIQ18" s="452"/>
      <c r="EIR18" s="450">
        <v>0</v>
      </c>
      <c r="EIS18" s="460"/>
      <c r="EIT18" s="450">
        <f>EIN18+EIQ18</f>
        <v>62201294.850000001</v>
      </c>
      <c r="EIU18" s="454">
        <f>+EIO18+EIR18</f>
        <v>60000000</v>
      </c>
      <c r="EIV18" s="461"/>
      <c r="EIW18" s="450"/>
      <c r="EIX18" s="594">
        <f>(EIT18-EIL18)/EIL18</f>
        <v>0.13401162364699606</v>
      </c>
      <c r="EIY18" s="436" t="s">
        <v>141</v>
      </c>
      <c r="EIZ18" s="448">
        <v>54850667.799999997</v>
      </c>
      <c r="EJA18" s="449"/>
      <c r="EJB18" s="448">
        <f>EIZ18+EJA18</f>
        <v>54850667.799999997</v>
      </c>
      <c r="EJC18" s="452"/>
      <c r="EJD18" s="452">
        <v>62201294.850000001</v>
      </c>
      <c r="EJE18" s="451">
        <f>60000000</f>
        <v>60000000</v>
      </c>
      <c r="EJF18" s="459"/>
      <c r="EJG18" s="452"/>
      <c r="EJH18" s="450">
        <v>0</v>
      </c>
      <c r="EJI18" s="460"/>
      <c r="EJJ18" s="450">
        <f>EJD18+EJG18</f>
        <v>62201294.850000001</v>
      </c>
      <c r="EJK18" s="454">
        <f>+EJE18+EJH18</f>
        <v>60000000</v>
      </c>
      <c r="EJL18" s="461"/>
      <c r="EJM18" s="450"/>
      <c r="EJN18" s="594">
        <f>(EJJ18-EJB18)/EJB18</f>
        <v>0.13401162364699606</v>
      </c>
      <c r="EJO18" s="436" t="s">
        <v>141</v>
      </c>
      <c r="EJP18" s="448">
        <v>54850667.799999997</v>
      </c>
      <c r="EJQ18" s="449"/>
      <c r="EJR18" s="448">
        <f>EJP18+EJQ18</f>
        <v>54850667.799999997</v>
      </c>
      <c r="EJS18" s="452"/>
      <c r="EJT18" s="452">
        <v>62201294.850000001</v>
      </c>
      <c r="EJU18" s="451">
        <f>60000000</f>
        <v>60000000</v>
      </c>
      <c r="EJV18" s="459"/>
      <c r="EJW18" s="452"/>
      <c r="EJX18" s="450">
        <v>0</v>
      </c>
      <c r="EJY18" s="460"/>
      <c r="EJZ18" s="450">
        <f>EJT18+EJW18</f>
        <v>62201294.850000001</v>
      </c>
      <c r="EKA18" s="454">
        <f>+EJU18+EJX18</f>
        <v>60000000</v>
      </c>
      <c r="EKB18" s="461"/>
      <c r="EKC18" s="450"/>
      <c r="EKD18" s="594">
        <f>(EJZ18-EJR18)/EJR18</f>
        <v>0.13401162364699606</v>
      </c>
      <c r="EKE18" s="436" t="s">
        <v>141</v>
      </c>
      <c r="EKF18" s="448">
        <v>54850667.799999997</v>
      </c>
      <c r="EKG18" s="449"/>
      <c r="EKH18" s="448">
        <f>EKF18+EKG18</f>
        <v>54850667.799999997</v>
      </c>
      <c r="EKI18" s="452"/>
      <c r="EKJ18" s="452">
        <v>62201294.850000001</v>
      </c>
      <c r="EKK18" s="451">
        <f>60000000</f>
        <v>60000000</v>
      </c>
      <c r="EKL18" s="459"/>
      <c r="EKM18" s="452"/>
      <c r="EKN18" s="450">
        <v>0</v>
      </c>
      <c r="EKO18" s="460"/>
      <c r="EKP18" s="450">
        <f>EKJ18+EKM18</f>
        <v>62201294.850000001</v>
      </c>
      <c r="EKQ18" s="454">
        <f>+EKK18+EKN18</f>
        <v>60000000</v>
      </c>
      <c r="EKR18" s="461"/>
      <c r="EKS18" s="450"/>
      <c r="EKT18" s="594">
        <f>(EKP18-EKH18)/EKH18</f>
        <v>0.13401162364699606</v>
      </c>
      <c r="EKU18" s="436" t="s">
        <v>141</v>
      </c>
      <c r="EKV18" s="448">
        <v>54850667.799999997</v>
      </c>
      <c r="EKW18" s="449"/>
      <c r="EKX18" s="448">
        <f>EKV18+EKW18</f>
        <v>54850667.799999997</v>
      </c>
      <c r="EKY18" s="452"/>
      <c r="EKZ18" s="452">
        <v>62201294.850000001</v>
      </c>
      <c r="ELA18" s="451">
        <f>60000000</f>
        <v>60000000</v>
      </c>
      <c r="ELB18" s="459"/>
      <c r="ELC18" s="452"/>
      <c r="ELD18" s="450">
        <v>0</v>
      </c>
      <c r="ELE18" s="460"/>
      <c r="ELF18" s="450">
        <f>EKZ18+ELC18</f>
        <v>62201294.850000001</v>
      </c>
      <c r="ELG18" s="454">
        <f>+ELA18+ELD18</f>
        <v>60000000</v>
      </c>
      <c r="ELH18" s="461"/>
      <c r="ELI18" s="450"/>
      <c r="ELJ18" s="594">
        <f>(ELF18-EKX18)/EKX18</f>
        <v>0.13401162364699606</v>
      </c>
      <c r="ELK18" s="436" t="s">
        <v>141</v>
      </c>
      <c r="ELL18" s="448">
        <v>54850667.799999997</v>
      </c>
      <c r="ELM18" s="449"/>
      <c r="ELN18" s="448">
        <f>ELL18+ELM18</f>
        <v>54850667.799999997</v>
      </c>
      <c r="ELO18" s="452"/>
      <c r="ELP18" s="452">
        <v>62201294.850000001</v>
      </c>
      <c r="ELQ18" s="451">
        <f>60000000</f>
        <v>60000000</v>
      </c>
      <c r="ELR18" s="459"/>
      <c r="ELS18" s="452"/>
      <c r="ELT18" s="450">
        <v>0</v>
      </c>
      <c r="ELU18" s="460"/>
      <c r="ELV18" s="450">
        <f>ELP18+ELS18</f>
        <v>62201294.850000001</v>
      </c>
      <c r="ELW18" s="454">
        <f>+ELQ18+ELT18</f>
        <v>60000000</v>
      </c>
      <c r="ELX18" s="461"/>
      <c r="ELY18" s="450"/>
      <c r="ELZ18" s="594">
        <f>(ELV18-ELN18)/ELN18</f>
        <v>0.13401162364699606</v>
      </c>
      <c r="EMA18" s="436" t="s">
        <v>141</v>
      </c>
      <c r="EMB18" s="448">
        <v>54850667.799999997</v>
      </c>
      <c r="EMC18" s="449"/>
      <c r="EMD18" s="448">
        <f>EMB18+EMC18</f>
        <v>54850667.799999997</v>
      </c>
      <c r="EME18" s="452"/>
      <c r="EMF18" s="452">
        <v>62201294.850000001</v>
      </c>
      <c r="EMG18" s="451">
        <f>60000000</f>
        <v>60000000</v>
      </c>
      <c r="EMH18" s="459"/>
      <c r="EMI18" s="452"/>
      <c r="EMJ18" s="450">
        <v>0</v>
      </c>
      <c r="EMK18" s="460"/>
      <c r="EML18" s="450">
        <f>EMF18+EMI18</f>
        <v>62201294.850000001</v>
      </c>
      <c r="EMM18" s="454">
        <f>+EMG18+EMJ18</f>
        <v>60000000</v>
      </c>
      <c r="EMN18" s="461"/>
      <c r="EMO18" s="450"/>
      <c r="EMP18" s="594">
        <f>(EML18-EMD18)/EMD18</f>
        <v>0.13401162364699606</v>
      </c>
      <c r="EMQ18" s="436" t="s">
        <v>141</v>
      </c>
      <c r="EMR18" s="448">
        <v>54850667.799999997</v>
      </c>
      <c r="EMS18" s="449"/>
      <c r="EMT18" s="448">
        <f>EMR18+EMS18</f>
        <v>54850667.799999997</v>
      </c>
      <c r="EMU18" s="452"/>
      <c r="EMV18" s="452">
        <v>62201294.850000001</v>
      </c>
      <c r="EMW18" s="451">
        <f>60000000</f>
        <v>60000000</v>
      </c>
      <c r="EMX18" s="459"/>
      <c r="EMY18" s="452"/>
      <c r="EMZ18" s="450">
        <v>0</v>
      </c>
      <c r="ENA18" s="460"/>
      <c r="ENB18" s="450">
        <f>EMV18+EMY18</f>
        <v>62201294.850000001</v>
      </c>
      <c r="ENC18" s="454">
        <f>+EMW18+EMZ18</f>
        <v>60000000</v>
      </c>
      <c r="END18" s="461"/>
      <c r="ENE18" s="450"/>
      <c r="ENF18" s="594">
        <f>(ENB18-EMT18)/EMT18</f>
        <v>0.13401162364699606</v>
      </c>
      <c r="ENG18" s="436" t="s">
        <v>141</v>
      </c>
      <c r="ENH18" s="448">
        <v>54850667.799999997</v>
      </c>
      <c r="ENI18" s="449"/>
      <c r="ENJ18" s="448">
        <f>ENH18+ENI18</f>
        <v>54850667.799999997</v>
      </c>
      <c r="ENK18" s="452"/>
      <c r="ENL18" s="452">
        <v>62201294.850000001</v>
      </c>
      <c r="ENM18" s="451">
        <f>60000000</f>
        <v>60000000</v>
      </c>
      <c r="ENN18" s="459"/>
      <c r="ENO18" s="452"/>
      <c r="ENP18" s="450">
        <v>0</v>
      </c>
      <c r="ENQ18" s="460"/>
      <c r="ENR18" s="450">
        <f>ENL18+ENO18</f>
        <v>62201294.850000001</v>
      </c>
      <c r="ENS18" s="454">
        <f>+ENM18+ENP18</f>
        <v>60000000</v>
      </c>
      <c r="ENT18" s="461"/>
      <c r="ENU18" s="450"/>
      <c r="ENV18" s="594">
        <f>(ENR18-ENJ18)/ENJ18</f>
        <v>0.13401162364699606</v>
      </c>
      <c r="ENW18" s="436" t="s">
        <v>141</v>
      </c>
      <c r="ENX18" s="448">
        <v>54850667.799999997</v>
      </c>
      <c r="ENY18" s="449"/>
      <c r="ENZ18" s="448">
        <f>ENX18+ENY18</f>
        <v>54850667.799999997</v>
      </c>
      <c r="EOA18" s="452"/>
      <c r="EOB18" s="452">
        <v>62201294.850000001</v>
      </c>
      <c r="EOC18" s="451">
        <f>60000000</f>
        <v>60000000</v>
      </c>
      <c r="EOD18" s="459"/>
      <c r="EOE18" s="452"/>
      <c r="EOF18" s="450">
        <v>0</v>
      </c>
      <c r="EOG18" s="460"/>
      <c r="EOH18" s="450">
        <f>EOB18+EOE18</f>
        <v>62201294.850000001</v>
      </c>
      <c r="EOI18" s="454">
        <f>+EOC18+EOF18</f>
        <v>60000000</v>
      </c>
      <c r="EOJ18" s="461"/>
      <c r="EOK18" s="450"/>
      <c r="EOL18" s="594">
        <f>(EOH18-ENZ18)/ENZ18</f>
        <v>0.13401162364699606</v>
      </c>
      <c r="EOM18" s="436" t="s">
        <v>141</v>
      </c>
      <c r="EON18" s="448">
        <v>54850667.799999997</v>
      </c>
      <c r="EOO18" s="449"/>
      <c r="EOP18" s="448">
        <f>EON18+EOO18</f>
        <v>54850667.799999997</v>
      </c>
      <c r="EOQ18" s="452"/>
      <c r="EOR18" s="452">
        <v>62201294.850000001</v>
      </c>
      <c r="EOS18" s="451">
        <f>60000000</f>
        <v>60000000</v>
      </c>
      <c r="EOT18" s="459"/>
      <c r="EOU18" s="452"/>
      <c r="EOV18" s="450">
        <v>0</v>
      </c>
      <c r="EOW18" s="460"/>
      <c r="EOX18" s="450">
        <f>EOR18+EOU18</f>
        <v>62201294.850000001</v>
      </c>
      <c r="EOY18" s="454">
        <f>+EOS18+EOV18</f>
        <v>60000000</v>
      </c>
      <c r="EOZ18" s="461"/>
      <c r="EPA18" s="450"/>
      <c r="EPB18" s="594">
        <f>(EOX18-EOP18)/EOP18</f>
        <v>0.13401162364699606</v>
      </c>
      <c r="EPC18" s="436" t="s">
        <v>141</v>
      </c>
      <c r="EPD18" s="448">
        <v>54850667.799999997</v>
      </c>
      <c r="EPE18" s="449"/>
      <c r="EPF18" s="448">
        <f>EPD18+EPE18</f>
        <v>54850667.799999997</v>
      </c>
      <c r="EPG18" s="452"/>
      <c r="EPH18" s="452">
        <v>62201294.850000001</v>
      </c>
      <c r="EPI18" s="451">
        <f>60000000</f>
        <v>60000000</v>
      </c>
      <c r="EPJ18" s="459"/>
      <c r="EPK18" s="452"/>
      <c r="EPL18" s="450">
        <v>0</v>
      </c>
      <c r="EPM18" s="460"/>
      <c r="EPN18" s="450">
        <f>EPH18+EPK18</f>
        <v>62201294.850000001</v>
      </c>
      <c r="EPO18" s="454">
        <f>+EPI18+EPL18</f>
        <v>60000000</v>
      </c>
      <c r="EPP18" s="461"/>
      <c r="EPQ18" s="450"/>
      <c r="EPR18" s="594">
        <f>(EPN18-EPF18)/EPF18</f>
        <v>0.13401162364699606</v>
      </c>
      <c r="EPS18" s="436" t="s">
        <v>141</v>
      </c>
      <c r="EPT18" s="448">
        <v>54850667.799999997</v>
      </c>
      <c r="EPU18" s="449"/>
      <c r="EPV18" s="448">
        <f>EPT18+EPU18</f>
        <v>54850667.799999997</v>
      </c>
      <c r="EPW18" s="452"/>
      <c r="EPX18" s="452">
        <v>62201294.850000001</v>
      </c>
      <c r="EPY18" s="451">
        <f>60000000</f>
        <v>60000000</v>
      </c>
      <c r="EPZ18" s="459"/>
      <c r="EQA18" s="452"/>
      <c r="EQB18" s="450">
        <v>0</v>
      </c>
      <c r="EQC18" s="460"/>
      <c r="EQD18" s="450">
        <f>EPX18+EQA18</f>
        <v>62201294.850000001</v>
      </c>
      <c r="EQE18" s="454">
        <f>+EPY18+EQB18</f>
        <v>60000000</v>
      </c>
      <c r="EQF18" s="461"/>
      <c r="EQG18" s="450"/>
      <c r="EQH18" s="594">
        <f>(EQD18-EPV18)/EPV18</f>
        <v>0.13401162364699606</v>
      </c>
      <c r="EQI18" s="436" t="s">
        <v>141</v>
      </c>
      <c r="EQJ18" s="448">
        <v>54850667.799999997</v>
      </c>
      <c r="EQK18" s="449"/>
      <c r="EQL18" s="448">
        <f>EQJ18+EQK18</f>
        <v>54850667.799999997</v>
      </c>
      <c r="EQM18" s="452"/>
      <c r="EQN18" s="452">
        <v>62201294.850000001</v>
      </c>
      <c r="EQO18" s="451">
        <f>60000000</f>
        <v>60000000</v>
      </c>
      <c r="EQP18" s="459"/>
      <c r="EQQ18" s="452"/>
      <c r="EQR18" s="450">
        <v>0</v>
      </c>
      <c r="EQS18" s="460"/>
      <c r="EQT18" s="450">
        <f>EQN18+EQQ18</f>
        <v>62201294.850000001</v>
      </c>
      <c r="EQU18" s="454">
        <f>+EQO18+EQR18</f>
        <v>60000000</v>
      </c>
      <c r="EQV18" s="461"/>
      <c r="EQW18" s="450"/>
      <c r="EQX18" s="594">
        <f>(EQT18-EQL18)/EQL18</f>
        <v>0.13401162364699606</v>
      </c>
      <c r="EQY18" s="436" t="s">
        <v>141</v>
      </c>
      <c r="EQZ18" s="448">
        <v>54850667.799999997</v>
      </c>
      <c r="ERA18" s="449"/>
      <c r="ERB18" s="448">
        <f>EQZ18+ERA18</f>
        <v>54850667.799999997</v>
      </c>
      <c r="ERC18" s="452"/>
      <c r="ERD18" s="452">
        <v>62201294.850000001</v>
      </c>
      <c r="ERE18" s="451">
        <f>60000000</f>
        <v>60000000</v>
      </c>
      <c r="ERF18" s="459"/>
      <c r="ERG18" s="452"/>
      <c r="ERH18" s="450">
        <v>0</v>
      </c>
      <c r="ERI18" s="460"/>
      <c r="ERJ18" s="450">
        <f>ERD18+ERG18</f>
        <v>62201294.850000001</v>
      </c>
      <c r="ERK18" s="454">
        <f>+ERE18+ERH18</f>
        <v>60000000</v>
      </c>
      <c r="ERL18" s="461"/>
      <c r="ERM18" s="450"/>
      <c r="ERN18" s="594">
        <f>(ERJ18-ERB18)/ERB18</f>
        <v>0.13401162364699606</v>
      </c>
      <c r="ERO18" s="436" t="s">
        <v>141</v>
      </c>
      <c r="ERP18" s="448">
        <v>54850667.799999997</v>
      </c>
      <c r="ERQ18" s="449"/>
      <c r="ERR18" s="448">
        <f>ERP18+ERQ18</f>
        <v>54850667.799999997</v>
      </c>
      <c r="ERS18" s="452"/>
      <c r="ERT18" s="452">
        <v>62201294.850000001</v>
      </c>
      <c r="ERU18" s="451">
        <f>60000000</f>
        <v>60000000</v>
      </c>
      <c r="ERV18" s="459"/>
      <c r="ERW18" s="452"/>
      <c r="ERX18" s="450">
        <v>0</v>
      </c>
      <c r="ERY18" s="460"/>
      <c r="ERZ18" s="450">
        <f>ERT18+ERW18</f>
        <v>62201294.850000001</v>
      </c>
      <c r="ESA18" s="454">
        <f>+ERU18+ERX18</f>
        <v>60000000</v>
      </c>
      <c r="ESB18" s="461"/>
      <c r="ESC18" s="450"/>
      <c r="ESD18" s="594">
        <f>(ERZ18-ERR18)/ERR18</f>
        <v>0.13401162364699606</v>
      </c>
      <c r="ESE18" s="436" t="s">
        <v>141</v>
      </c>
      <c r="ESF18" s="448">
        <v>54850667.799999997</v>
      </c>
      <c r="ESG18" s="449"/>
      <c r="ESH18" s="448">
        <f>ESF18+ESG18</f>
        <v>54850667.799999997</v>
      </c>
      <c r="ESI18" s="452"/>
      <c r="ESJ18" s="452">
        <v>62201294.850000001</v>
      </c>
      <c r="ESK18" s="451">
        <f>60000000</f>
        <v>60000000</v>
      </c>
      <c r="ESL18" s="459"/>
      <c r="ESM18" s="452"/>
      <c r="ESN18" s="450">
        <v>0</v>
      </c>
      <c r="ESO18" s="460"/>
      <c r="ESP18" s="450">
        <f>ESJ18+ESM18</f>
        <v>62201294.850000001</v>
      </c>
      <c r="ESQ18" s="454">
        <f>+ESK18+ESN18</f>
        <v>60000000</v>
      </c>
      <c r="ESR18" s="461"/>
      <c r="ESS18" s="450"/>
      <c r="EST18" s="594">
        <f>(ESP18-ESH18)/ESH18</f>
        <v>0.13401162364699606</v>
      </c>
      <c r="ESU18" s="436" t="s">
        <v>141</v>
      </c>
      <c r="ESV18" s="448">
        <v>54850667.799999997</v>
      </c>
      <c r="ESW18" s="449"/>
      <c r="ESX18" s="448">
        <f>ESV18+ESW18</f>
        <v>54850667.799999997</v>
      </c>
      <c r="ESY18" s="452"/>
      <c r="ESZ18" s="452">
        <v>62201294.850000001</v>
      </c>
      <c r="ETA18" s="451">
        <f>60000000</f>
        <v>60000000</v>
      </c>
      <c r="ETB18" s="459"/>
      <c r="ETC18" s="452"/>
      <c r="ETD18" s="450">
        <v>0</v>
      </c>
      <c r="ETE18" s="460"/>
      <c r="ETF18" s="450">
        <f>ESZ18+ETC18</f>
        <v>62201294.850000001</v>
      </c>
      <c r="ETG18" s="454">
        <f>+ETA18+ETD18</f>
        <v>60000000</v>
      </c>
      <c r="ETH18" s="461"/>
      <c r="ETI18" s="450"/>
      <c r="ETJ18" s="594">
        <f>(ETF18-ESX18)/ESX18</f>
        <v>0.13401162364699606</v>
      </c>
      <c r="ETK18" s="436" t="s">
        <v>141</v>
      </c>
      <c r="ETL18" s="448">
        <v>54850667.799999997</v>
      </c>
      <c r="ETM18" s="449"/>
      <c r="ETN18" s="448">
        <f>ETL18+ETM18</f>
        <v>54850667.799999997</v>
      </c>
      <c r="ETO18" s="452"/>
      <c r="ETP18" s="452">
        <v>62201294.850000001</v>
      </c>
      <c r="ETQ18" s="451">
        <f>60000000</f>
        <v>60000000</v>
      </c>
      <c r="ETR18" s="459"/>
      <c r="ETS18" s="452"/>
      <c r="ETT18" s="450">
        <v>0</v>
      </c>
      <c r="ETU18" s="460"/>
      <c r="ETV18" s="450">
        <f>ETP18+ETS18</f>
        <v>62201294.850000001</v>
      </c>
      <c r="ETW18" s="454">
        <f>+ETQ18+ETT18</f>
        <v>60000000</v>
      </c>
      <c r="ETX18" s="461"/>
      <c r="ETY18" s="450"/>
      <c r="ETZ18" s="594">
        <f>(ETV18-ETN18)/ETN18</f>
        <v>0.13401162364699606</v>
      </c>
      <c r="EUA18" s="436" t="s">
        <v>141</v>
      </c>
      <c r="EUB18" s="448">
        <v>54850667.799999997</v>
      </c>
      <c r="EUC18" s="449"/>
      <c r="EUD18" s="448">
        <f>EUB18+EUC18</f>
        <v>54850667.799999997</v>
      </c>
      <c r="EUE18" s="452"/>
      <c r="EUF18" s="452">
        <v>62201294.850000001</v>
      </c>
      <c r="EUG18" s="451">
        <f>60000000</f>
        <v>60000000</v>
      </c>
      <c r="EUH18" s="459"/>
      <c r="EUI18" s="452"/>
      <c r="EUJ18" s="450">
        <v>0</v>
      </c>
      <c r="EUK18" s="460"/>
      <c r="EUL18" s="450">
        <f>EUF18+EUI18</f>
        <v>62201294.850000001</v>
      </c>
      <c r="EUM18" s="454">
        <f>+EUG18+EUJ18</f>
        <v>60000000</v>
      </c>
      <c r="EUN18" s="461"/>
      <c r="EUO18" s="450"/>
      <c r="EUP18" s="594">
        <f>(EUL18-EUD18)/EUD18</f>
        <v>0.13401162364699606</v>
      </c>
      <c r="EUQ18" s="436" t="s">
        <v>141</v>
      </c>
      <c r="EUR18" s="448">
        <v>54850667.799999997</v>
      </c>
      <c r="EUS18" s="449"/>
      <c r="EUT18" s="448">
        <f>EUR18+EUS18</f>
        <v>54850667.799999997</v>
      </c>
      <c r="EUU18" s="452"/>
      <c r="EUV18" s="452">
        <v>62201294.850000001</v>
      </c>
      <c r="EUW18" s="451">
        <f>60000000</f>
        <v>60000000</v>
      </c>
      <c r="EUX18" s="459"/>
      <c r="EUY18" s="452"/>
      <c r="EUZ18" s="450">
        <v>0</v>
      </c>
      <c r="EVA18" s="460"/>
      <c r="EVB18" s="450">
        <f>EUV18+EUY18</f>
        <v>62201294.850000001</v>
      </c>
      <c r="EVC18" s="454">
        <f>+EUW18+EUZ18</f>
        <v>60000000</v>
      </c>
      <c r="EVD18" s="461"/>
      <c r="EVE18" s="450"/>
      <c r="EVF18" s="594">
        <f>(EVB18-EUT18)/EUT18</f>
        <v>0.13401162364699606</v>
      </c>
      <c r="EVG18" s="436" t="s">
        <v>141</v>
      </c>
      <c r="EVH18" s="448">
        <v>54850667.799999997</v>
      </c>
      <c r="EVI18" s="449"/>
      <c r="EVJ18" s="448">
        <f>EVH18+EVI18</f>
        <v>54850667.799999997</v>
      </c>
      <c r="EVK18" s="452"/>
      <c r="EVL18" s="452">
        <v>62201294.850000001</v>
      </c>
      <c r="EVM18" s="451">
        <f>60000000</f>
        <v>60000000</v>
      </c>
      <c r="EVN18" s="459"/>
      <c r="EVO18" s="452"/>
      <c r="EVP18" s="450">
        <v>0</v>
      </c>
      <c r="EVQ18" s="460"/>
      <c r="EVR18" s="450">
        <f>EVL18+EVO18</f>
        <v>62201294.850000001</v>
      </c>
      <c r="EVS18" s="454">
        <f>+EVM18+EVP18</f>
        <v>60000000</v>
      </c>
      <c r="EVT18" s="461"/>
      <c r="EVU18" s="450"/>
      <c r="EVV18" s="594">
        <f>(EVR18-EVJ18)/EVJ18</f>
        <v>0.13401162364699606</v>
      </c>
      <c r="EVW18" s="436" t="s">
        <v>141</v>
      </c>
      <c r="EVX18" s="448">
        <v>54850667.799999997</v>
      </c>
      <c r="EVY18" s="449"/>
      <c r="EVZ18" s="448">
        <f>EVX18+EVY18</f>
        <v>54850667.799999997</v>
      </c>
      <c r="EWA18" s="452"/>
      <c r="EWB18" s="452">
        <v>62201294.850000001</v>
      </c>
      <c r="EWC18" s="451">
        <f>60000000</f>
        <v>60000000</v>
      </c>
      <c r="EWD18" s="459"/>
      <c r="EWE18" s="452"/>
      <c r="EWF18" s="450">
        <v>0</v>
      </c>
      <c r="EWG18" s="460"/>
      <c r="EWH18" s="450">
        <f>EWB18+EWE18</f>
        <v>62201294.850000001</v>
      </c>
      <c r="EWI18" s="454">
        <f>+EWC18+EWF18</f>
        <v>60000000</v>
      </c>
      <c r="EWJ18" s="461"/>
      <c r="EWK18" s="450"/>
      <c r="EWL18" s="594">
        <f>(EWH18-EVZ18)/EVZ18</f>
        <v>0.13401162364699606</v>
      </c>
      <c r="EWM18" s="436" t="s">
        <v>141</v>
      </c>
      <c r="EWN18" s="448">
        <v>54850667.799999997</v>
      </c>
      <c r="EWO18" s="449"/>
      <c r="EWP18" s="448">
        <f>EWN18+EWO18</f>
        <v>54850667.799999997</v>
      </c>
      <c r="EWQ18" s="452"/>
      <c r="EWR18" s="452">
        <v>62201294.850000001</v>
      </c>
      <c r="EWS18" s="451">
        <f>60000000</f>
        <v>60000000</v>
      </c>
      <c r="EWT18" s="459"/>
      <c r="EWU18" s="452"/>
      <c r="EWV18" s="450">
        <v>0</v>
      </c>
      <c r="EWW18" s="460"/>
      <c r="EWX18" s="450">
        <f>EWR18+EWU18</f>
        <v>62201294.850000001</v>
      </c>
      <c r="EWY18" s="454">
        <f>+EWS18+EWV18</f>
        <v>60000000</v>
      </c>
      <c r="EWZ18" s="461"/>
      <c r="EXA18" s="450"/>
      <c r="EXB18" s="594">
        <f>(EWX18-EWP18)/EWP18</f>
        <v>0.13401162364699606</v>
      </c>
      <c r="EXC18" s="436" t="s">
        <v>141</v>
      </c>
      <c r="EXD18" s="448">
        <v>54850667.799999997</v>
      </c>
      <c r="EXE18" s="449"/>
      <c r="EXF18" s="448">
        <f>EXD18+EXE18</f>
        <v>54850667.799999997</v>
      </c>
      <c r="EXG18" s="452"/>
      <c r="EXH18" s="452">
        <v>62201294.850000001</v>
      </c>
      <c r="EXI18" s="451">
        <f>60000000</f>
        <v>60000000</v>
      </c>
      <c r="EXJ18" s="459"/>
      <c r="EXK18" s="452"/>
      <c r="EXL18" s="450">
        <v>0</v>
      </c>
      <c r="EXM18" s="460"/>
      <c r="EXN18" s="450">
        <f>EXH18+EXK18</f>
        <v>62201294.850000001</v>
      </c>
      <c r="EXO18" s="454">
        <f>+EXI18+EXL18</f>
        <v>60000000</v>
      </c>
      <c r="EXP18" s="461"/>
      <c r="EXQ18" s="450"/>
      <c r="EXR18" s="594">
        <f>(EXN18-EXF18)/EXF18</f>
        <v>0.13401162364699606</v>
      </c>
      <c r="EXS18" s="436" t="s">
        <v>141</v>
      </c>
      <c r="EXT18" s="448">
        <v>54850667.799999997</v>
      </c>
      <c r="EXU18" s="449"/>
      <c r="EXV18" s="448">
        <f>EXT18+EXU18</f>
        <v>54850667.799999997</v>
      </c>
      <c r="EXW18" s="452"/>
      <c r="EXX18" s="452">
        <v>62201294.850000001</v>
      </c>
      <c r="EXY18" s="451">
        <f>60000000</f>
        <v>60000000</v>
      </c>
      <c r="EXZ18" s="459"/>
      <c r="EYA18" s="452"/>
      <c r="EYB18" s="450">
        <v>0</v>
      </c>
      <c r="EYC18" s="460"/>
      <c r="EYD18" s="450">
        <f>EXX18+EYA18</f>
        <v>62201294.850000001</v>
      </c>
      <c r="EYE18" s="454">
        <f>+EXY18+EYB18</f>
        <v>60000000</v>
      </c>
      <c r="EYF18" s="461"/>
      <c r="EYG18" s="450"/>
      <c r="EYH18" s="594">
        <f>(EYD18-EXV18)/EXV18</f>
        <v>0.13401162364699606</v>
      </c>
      <c r="EYI18" s="436" t="s">
        <v>141</v>
      </c>
      <c r="EYJ18" s="448">
        <v>54850667.799999997</v>
      </c>
      <c r="EYK18" s="449"/>
      <c r="EYL18" s="448">
        <f>EYJ18+EYK18</f>
        <v>54850667.799999997</v>
      </c>
      <c r="EYM18" s="452"/>
      <c r="EYN18" s="452">
        <v>62201294.850000001</v>
      </c>
      <c r="EYO18" s="451">
        <f>60000000</f>
        <v>60000000</v>
      </c>
      <c r="EYP18" s="459"/>
      <c r="EYQ18" s="452"/>
      <c r="EYR18" s="450">
        <v>0</v>
      </c>
      <c r="EYS18" s="460"/>
      <c r="EYT18" s="450">
        <f>EYN18+EYQ18</f>
        <v>62201294.850000001</v>
      </c>
      <c r="EYU18" s="454">
        <f>+EYO18+EYR18</f>
        <v>60000000</v>
      </c>
      <c r="EYV18" s="461"/>
      <c r="EYW18" s="450"/>
      <c r="EYX18" s="594">
        <f>(EYT18-EYL18)/EYL18</f>
        <v>0.13401162364699606</v>
      </c>
      <c r="EYY18" s="436" t="s">
        <v>141</v>
      </c>
      <c r="EYZ18" s="448">
        <v>54850667.799999997</v>
      </c>
      <c r="EZA18" s="449"/>
      <c r="EZB18" s="448">
        <f>EYZ18+EZA18</f>
        <v>54850667.799999997</v>
      </c>
      <c r="EZC18" s="452"/>
      <c r="EZD18" s="452">
        <v>62201294.850000001</v>
      </c>
      <c r="EZE18" s="451">
        <f>60000000</f>
        <v>60000000</v>
      </c>
      <c r="EZF18" s="459"/>
      <c r="EZG18" s="452"/>
      <c r="EZH18" s="450">
        <v>0</v>
      </c>
      <c r="EZI18" s="460"/>
      <c r="EZJ18" s="450">
        <f>EZD18+EZG18</f>
        <v>62201294.850000001</v>
      </c>
      <c r="EZK18" s="454">
        <f>+EZE18+EZH18</f>
        <v>60000000</v>
      </c>
      <c r="EZL18" s="461"/>
      <c r="EZM18" s="450"/>
      <c r="EZN18" s="594">
        <f>(EZJ18-EZB18)/EZB18</f>
        <v>0.13401162364699606</v>
      </c>
      <c r="EZO18" s="436" t="s">
        <v>141</v>
      </c>
      <c r="EZP18" s="448">
        <v>54850667.799999997</v>
      </c>
      <c r="EZQ18" s="449"/>
      <c r="EZR18" s="448">
        <f>EZP18+EZQ18</f>
        <v>54850667.799999997</v>
      </c>
      <c r="EZS18" s="452"/>
      <c r="EZT18" s="452">
        <v>62201294.850000001</v>
      </c>
      <c r="EZU18" s="451">
        <f>60000000</f>
        <v>60000000</v>
      </c>
      <c r="EZV18" s="459"/>
      <c r="EZW18" s="452"/>
      <c r="EZX18" s="450">
        <v>0</v>
      </c>
      <c r="EZY18" s="460"/>
      <c r="EZZ18" s="450">
        <f>EZT18+EZW18</f>
        <v>62201294.850000001</v>
      </c>
      <c r="FAA18" s="454">
        <f>+EZU18+EZX18</f>
        <v>60000000</v>
      </c>
      <c r="FAB18" s="461"/>
      <c r="FAC18" s="450"/>
      <c r="FAD18" s="594">
        <f>(EZZ18-EZR18)/EZR18</f>
        <v>0.13401162364699606</v>
      </c>
      <c r="FAE18" s="436" t="s">
        <v>141</v>
      </c>
      <c r="FAF18" s="448">
        <v>54850667.799999997</v>
      </c>
      <c r="FAG18" s="449"/>
      <c r="FAH18" s="448">
        <f>FAF18+FAG18</f>
        <v>54850667.799999997</v>
      </c>
      <c r="FAI18" s="452"/>
      <c r="FAJ18" s="452">
        <v>62201294.850000001</v>
      </c>
      <c r="FAK18" s="451">
        <f>60000000</f>
        <v>60000000</v>
      </c>
      <c r="FAL18" s="459"/>
      <c r="FAM18" s="452"/>
      <c r="FAN18" s="450">
        <v>0</v>
      </c>
      <c r="FAO18" s="460"/>
      <c r="FAP18" s="450">
        <f>FAJ18+FAM18</f>
        <v>62201294.850000001</v>
      </c>
      <c r="FAQ18" s="454">
        <f>+FAK18+FAN18</f>
        <v>60000000</v>
      </c>
      <c r="FAR18" s="461"/>
      <c r="FAS18" s="450"/>
      <c r="FAT18" s="594">
        <f>(FAP18-FAH18)/FAH18</f>
        <v>0.13401162364699606</v>
      </c>
      <c r="FAU18" s="436" t="s">
        <v>141</v>
      </c>
      <c r="FAV18" s="448">
        <v>54850667.799999997</v>
      </c>
      <c r="FAW18" s="449"/>
      <c r="FAX18" s="448">
        <f>FAV18+FAW18</f>
        <v>54850667.799999997</v>
      </c>
      <c r="FAY18" s="452"/>
      <c r="FAZ18" s="452">
        <v>62201294.850000001</v>
      </c>
      <c r="FBA18" s="451">
        <f>60000000</f>
        <v>60000000</v>
      </c>
      <c r="FBB18" s="459"/>
      <c r="FBC18" s="452"/>
      <c r="FBD18" s="450">
        <v>0</v>
      </c>
      <c r="FBE18" s="460"/>
      <c r="FBF18" s="450">
        <f>FAZ18+FBC18</f>
        <v>62201294.850000001</v>
      </c>
      <c r="FBG18" s="454">
        <f>+FBA18+FBD18</f>
        <v>60000000</v>
      </c>
      <c r="FBH18" s="461"/>
      <c r="FBI18" s="450"/>
      <c r="FBJ18" s="594">
        <f>(FBF18-FAX18)/FAX18</f>
        <v>0.13401162364699606</v>
      </c>
      <c r="FBK18" s="436" t="s">
        <v>141</v>
      </c>
      <c r="FBL18" s="448">
        <v>54850667.799999997</v>
      </c>
      <c r="FBM18" s="449"/>
      <c r="FBN18" s="448">
        <f>FBL18+FBM18</f>
        <v>54850667.799999997</v>
      </c>
      <c r="FBO18" s="452"/>
      <c r="FBP18" s="452">
        <v>62201294.850000001</v>
      </c>
      <c r="FBQ18" s="451">
        <f>60000000</f>
        <v>60000000</v>
      </c>
      <c r="FBR18" s="459"/>
      <c r="FBS18" s="452"/>
      <c r="FBT18" s="450">
        <v>0</v>
      </c>
      <c r="FBU18" s="460"/>
      <c r="FBV18" s="450">
        <f>FBP18+FBS18</f>
        <v>62201294.850000001</v>
      </c>
      <c r="FBW18" s="454">
        <f>+FBQ18+FBT18</f>
        <v>60000000</v>
      </c>
      <c r="FBX18" s="461"/>
      <c r="FBY18" s="450"/>
      <c r="FBZ18" s="594">
        <f>(FBV18-FBN18)/FBN18</f>
        <v>0.13401162364699606</v>
      </c>
      <c r="FCA18" s="436" t="s">
        <v>141</v>
      </c>
      <c r="FCB18" s="448">
        <v>54850667.799999997</v>
      </c>
      <c r="FCC18" s="449"/>
      <c r="FCD18" s="448">
        <f>FCB18+FCC18</f>
        <v>54850667.799999997</v>
      </c>
      <c r="FCE18" s="452"/>
      <c r="FCF18" s="452">
        <v>62201294.850000001</v>
      </c>
      <c r="FCG18" s="451">
        <f>60000000</f>
        <v>60000000</v>
      </c>
      <c r="FCH18" s="459"/>
      <c r="FCI18" s="452"/>
      <c r="FCJ18" s="450">
        <v>0</v>
      </c>
      <c r="FCK18" s="460"/>
      <c r="FCL18" s="450">
        <f>FCF18+FCI18</f>
        <v>62201294.850000001</v>
      </c>
      <c r="FCM18" s="454">
        <f>+FCG18+FCJ18</f>
        <v>60000000</v>
      </c>
      <c r="FCN18" s="461"/>
      <c r="FCO18" s="450"/>
      <c r="FCP18" s="594">
        <f>(FCL18-FCD18)/FCD18</f>
        <v>0.13401162364699606</v>
      </c>
      <c r="FCQ18" s="436" t="s">
        <v>141</v>
      </c>
      <c r="FCR18" s="448">
        <v>54850667.799999997</v>
      </c>
      <c r="FCS18" s="449"/>
      <c r="FCT18" s="448">
        <f>FCR18+FCS18</f>
        <v>54850667.799999997</v>
      </c>
      <c r="FCU18" s="452"/>
      <c r="FCV18" s="452">
        <v>62201294.850000001</v>
      </c>
      <c r="FCW18" s="451">
        <f>60000000</f>
        <v>60000000</v>
      </c>
      <c r="FCX18" s="459"/>
      <c r="FCY18" s="452"/>
      <c r="FCZ18" s="450">
        <v>0</v>
      </c>
      <c r="FDA18" s="460"/>
      <c r="FDB18" s="450">
        <f>FCV18+FCY18</f>
        <v>62201294.850000001</v>
      </c>
      <c r="FDC18" s="454">
        <f>+FCW18+FCZ18</f>
        <v>60000000</v>
      </c>
      <c r="FDD18" s="461"/>
      <c r="FDE18" s="450"/>
      <c r="FDF18" s="594">
        <f>(FDB18-FCT18)/FCT18</f>
        <v>0.13401162364699606</v>
      </c>
      <c r="FDG18" s="436" t="s">
        <v>141</v>
      </c>
      <c r="FDH18" s="448">
        <v>54850667.799999997</v>
      </c>
      <c r="FDI18" s="449"/>
      <c r="FDJ18" s="448">
        <f>FDH18+FDI18</f>
        <v>54850667.799999997</v>
      </c>
      <c r="FDK18" s="452"/>
      <c r="FDL18" s="452">
        <v>62201294.850000001</v>
      </c>
      <c r="FDM18" s="451">
        <f>60000000</f>
        <v>60000000</v>
      </c>
      <c r="FDN18" s="459"/>
      <c r="FDO18" s="452"/>
      <c r="FDP18" s="450">
        <v>0</v>
      </c>
      <c r="FDQ18" s="460"/>
      <c r="FDR18" s="450">
        <f>FDL18+FDO18</f>
        <v>62201294.850000001</v>
      </c>
      <c r="FDS18" s="454">
        <f>+FDM18+FDP18</f>
        <v>60000000</v>
      </c>
      <c r="FDT18" s="461"/>
      <c r="FDU18" s="450"/>
      <c r="FDV18" s="594">
        <f>(FDR18-FDJ18)/FDJ18</f>
        <v>0.13401162364699606</v>
      </c>
      <c r="FDW18" s="436" t="s">
        <v>141</v>
      </c>
      <c r="FDX18" s="448">
        <v>54850667.799999997</v>
      </c>
      <c r="FDY18" s="449"/>
      <c r="FDZ18" s="448">
        <f>FDX18+FDY18</f>
        <v>54850667.799999997</v>
      </c>
      <c r="FEA18" s="452"/>
      <c r="FEB18" s="452">
        <v>62201294.850000001</v>
      </c>
      <c r="FEC18" s="451">
        <f>60000000</f>
        <v>60000000</v>
      </c>
      <c r="FED18" s="459"/>
      <c r="FEE18" s="452"/>
      <c r="FEF18" s="450">
        <v>0</v>
      </c>
      <c r="FEG18" s="460"/>
      <c r="FEH18" s="450">
        <f>FEB18+FEE18</f>
        <v>62201294.850000001</v>
      </c>
      <c r="FEI18" s="454">
        <f>+FEC18+FEF18</f>
        <v>60000000</v>
      </c>
      <c r="FEJ18" s="461"/>
      <c r="FEK18" s="450"/>
      <c r="FEL18" s="594">
        <f>(FEH18-FDZ18)/FDZ18</f>
        <v>0.13401162364699606</v>
      </c>
      <c r="FEM18" s="436" t="s">
        <v>141</v>
      </c>
      <c r="FEN18" s="448">
        <v>54850667.799999997</v>
      </c>
      <c r="FEO18" s="449"/>
      <c r="FEP18" s="448">
        <f>FEN18+FEO18</f>
        <v>54850667.799999997</v>
      </c>
      <c r="FEQ18" s="452"/>
      <c r="FER18" s="452">
        <v>62201294.850000001</v>
      </c>
      <c r="FES18" s="451">
        <f>60000000</f>
        <v>60000000</v>
      </c>
      <c r="FET18" s="459"/>
      <c r="FEU18" s="452"/>
      <c r="FEV18" s="450">
        <v>0</v>
      </c>
      <c r="FEW18" s="460"/>
      <c r="FEX18" s="450">
        <f>FER18+FEU18</f>
        <v>62201294.850000001</v>
      </c>
      <c r="FEY18" s="454">
        <f>+FES18+FEV18</f>
        <v>60000000</v>
      </c>
      <c r="FEZ18" s="461"/>
      <c r="FFA18" s="450"/>
      <c r="FFB18" s="594">
        <f>(FEX18-FEP18)/FEP18</f>
        <v>0.13401162364699606</v>
      </c>
      <c r="FFC18" s="436" t="s">
        <v>141</v>
      </c>
      <c r="FFD18" s="448">
        <v>54850667.799999997</v>
      </c>
      <c r="FFE18" s="449"/>
      <c r="FFF18" s="448">
        <f>FFD18+FFE18</f>
        <v>54850667.799999997</v>
      </c>
      <c r="FFG18" s="452"/>
      <c r="FFH18" s="452">
        <v>62201294.850000001</v>
      </c>
      <c r="FFI18" s="451">
        <f>60000000</f>
        <v>60000000</v>
      </c>
      <c r="FFJ18" s="459"/>
      <c r="FFK18" s="452"/>
      <c r="FFL18" s="450">
        <v>0</v>
      </c>
      <c r="FFM18" s="460"/>
      <c r="FFN18" s="450">
        <f>FFH18+FFK18</f>
        <v>62201294.850000001</v>
      </c>
      <c r="FFO18" s="454">
        <f>+FFI18+FFL18</f>
        <v>60000000</v>
      </c>
      <c r="FFP18" s="461"/>
      <c r="FFQ18" s="450"/>
      <c r="FFR18" s="594">
        <f>(FFN18-FFF18)/FFF18</f>
        <v>0.13401162364699606</v>
      </c>
      <c r="FFS18" s="436" t="s">
        <v>141</v>
      </c>
      <c r="FFT18" s="448">
        <v>54850667.799999997</v>
      </c>
      <c r="FFU18" s="449"/>
      <c r="FFV18" s="448">
        <f>FFT18+FFU18</f>
        <v>54850667.799999997</v>
      </c>
      <c r="FFW18" s="452"/>
      <c r="FFX18" s="452">
        <v>62201294.850000001</v>
      </c>
      <c r="FFY18" s="451">
        <f>60000000</f>
        <v>60000000</v>
      </c>
      <c r="FFZ18" s="459"/>
      <c r="FGA18" s="452"/>
      <c r="FGB18" s="450">
        <v>0</v>
      </c>
      <c r="FGC18" s="460"/>
      <c r="FGD18" s="450">
        <f>FFX18+FGA18</f>
        <v>62201294.850000001</v>
      </c>
      <c r="FGE18" s="454">
        <f>+FFY18+FGB18</f>
        <v>60000000</v>
      </c>
      <c r="FGF18" s="461"/>
      <c r="FGG18" s="450"/>
      <c r="FGH18" s="594">
        <f>(FGD18-FFV18)/FFV18</f>
        <v>0.13401162364699606</v>
      </c>
      <c r="FGI18" s="436" t="s">
        <v>141</v>
      </c>
      <c r="FGJ18" s="448">
        <v>54850667.799999997</v>
      </c>
      <c r="FGK18" s="449"/>
      <c r="FGL18" s="448">
        <f>FGJ18+FGK18</f>
        <v>54850667.799999997</v>
      </c>
      <c r="FGM18" s="452"/>
      <c r="FGN18" s="452">
        <v>62201294.850000001</v>
      </c>
      <c r="FGO18" s="451">
        <f>60000000</f>
        <v>60000000</v>
      </c>
      <c r="FGP18" s="459"/>
      <c r="FGQ18" s="452"/>
      <c r="FGR18" s="450">
        <v>0</v>
      </c>
      <c r="FGS18" s="460"/>
      <c r="FGT18" s="450">
        <f>FGN18+FGQ18</f>
        <v>62201294.850000001</v>
      </c>
      <c r="FGU18" s="454">
        <f>+FGO18+FGR18</f>
        <v>60000000</v>
      </c>
      <c r="FGV18" s="461"/>
      <c r="FGW18" s="450"/>
      <c r="FGX18" s="594">
        <f>(FGT18-FGL18)/FGL18</f>
        <v>0.13401162364699606</v>
      </c>
      <c r="FGY18" s="436" t="s">
        <v>141</v>
      </c>
      <c r="FGZ18" s="448">
        <v>54850667.799999997</v>
      </c>
      <c r="FHA18" s="449"/>
      <c r="FHB18" s="448">
        <f>FGZ18+FHA18</f>
        <v>54850667.799999997</v>
      </c>
      <c r="FHC18" s="452"/>
      <c r="FHD18" s="452">
        <v>62201294.850000001</v>
      </c>
      <c r="FHE18" s="451">
        <f>60000000</f>
        <v>60000000</v>
      </c>
      <c r="FHF18" s="459"/>
      <c r="FHG18" s="452"/>
      <c r="FHH18" s="450">
        <v>0</v>
      </c>
      <c r="FHI18" s="460"/>
      <c r="FHJ18" s="450">
        <f>FHD18+FHG18</f>
        <v>62201294.850000001</v>
      </c>
      <c r="FHK18" s="454">
        <f>+FHE18+FHH18</f>
        <v>60000000</v>
      </c>
      <c r="FHL18" s="461"/>
      <c r="FHM18" s="450"/>
      <c r="FHN18" s="594">
        <f>(FHJ18-FHB18)/FHB18</f>
        <v>0.13401162364699606</v>
      </c>
      <c r="FHO18" s="436" t="s">
        <v>141</v>
      </c>
      <c r="FHP18" s="448">
        <v>54850667.799999997</v>
      </c>
      <c r="FHQ18" s="449"/>
      <c r="FHR18" s="448">
        <f>FHP18+FHQ18</f>
        <v>54850667.799999997</v>
      </c>
      <c r="FHS18" s="452"/>
      <c r="FHT18" s="452">
        <v>62201294.850000001</v>
      </c>
      <c r="FHU18" s="451">
        <f>60000000</f>
        <v>60000000</v>
      </c>
      <c r="FHV18" s="459"/>
      <c r="FHW18" s="452"/>
      <c r="FHX18" s="450">
        <v>0</v>
      </c>
      <c r="FHY18" s="460"/>
      <c r="FHZ18" s="450">
        <f>FHT18+FHW18</f>
        <v>62201294.850000001</v>
      </c>
      <c r="FIA18" s="454">
        <f>+FHU18+FHX18</f>
        <v>60000000</v>
      </c>
      <c r="FIB18" s="461"/>
      <c r="FIC18" s="450"/>
      <c r="FID18" s="594">
        <f>(FHZ18-FHR18)/FHR18</f>
        <v>0.13401162364699606</v>
      </c>
      <c r="FIE18" s="436" t="s">
        <v>141</v>
      </c>
      <c r="FIF18" s="448">
        <v>54850667.799999997</v>
      </c>
      <c r="FIG18" s="449"/>
      <c r="FIH18" s="448">
        <f>FIF18+FIG18</f>
        <v>54850667.799999997</v>
      </c>
      <c r="FII18" s="452"/>
      <c r="FIJ18" s="452">
        <v>62201294.850000001</v>
      </c>
      <c r="FIK18" s="451">
        <f>60000000</f>
        <v>60000000</v>
      </c>
      <c r="FIL18" s="459"/>
      <c r="FIM18" s="452"/>
      <c r="FIN18" s="450">
        <v>0</v>
      </c>
      <c r="FIO18" s="460"/>
      <c r="FIP18" s="450">
        <f>FIJ18+FIM18</f>
        <v>62201294.850000001</v>
      </c>
      <c r="FIQ18" s="454">
        <f>+FIK18+FIN18</f>
        <v>60000000</v>
      </c>
      <c r="FIR18" s="461"/>
      <c r="FIS18" s="450"/>
      <c r="FIT18" s="594">
        <f>(FIP18-FIH18)/FIH18</f>
        <v>0.13401162364699606</v>
      </c>
      <c r="FIU18" s="436" t="s">
        <v>141</v>
      </c>
      <c r="FIV18" s="448">
        <v>54850667.799999997</v>
      </c>
      <c r="FIW18" s="449"/>
      <c r="FIX18" s="448">
        <f>FIV18+FIW18</f>
        <v>54850667.799999997</v>
      </c>
      <c r="FIY18" s="452"/>
      <c r="FIZ18" s="452">
        <v>62201294.850000001</v>
      </c>
      <c r="FJA18" s="451">
        <f>60000000</f>
        <v>60000000</v>
      </c>
      <c r="FJB18" s="459"/>
      <c r="FJC18" s="452"/>
      <c r="FJD18" s="450">
        <v>0</v>
      </c>
      <c r="FJE18" s="460"/>
      <c r="FJF18" s="450">
        <f>FIZ18+FJC18</f>
        <v>62201294.850000001</v>
      </c>
      <c r="FJG18" s="454">
        <f>+FJA18+FJD18</f>
        <v>60000000</v>
      </c>
      <c r="FJH18" s="461"/>
      <c r="FJI18" s="450"/>
      <c r="FJJ18" s="594">
        <f>(FJF18-FIX18)/FIX18</f>
        <v>0.13401162364699606</v>
      </c>
      <c r="FJK18" s="436" t="s">
        <v>141</v>
      </c>
      <c r="FJL18" s="448">
        <v>54850667.799999997</v>
      </c>
      <c r="FJM18" s="449"/>
      <c r="FJN18" s="448">
        <f>FJL18+FJM18</f>
        <v>54850667.799999997</v>
      </c>
      <c r="FJO18" s="452"/>
      <c r="FJP18" s="452">
        <v>62201294.850000001</v>
      </c>
      <c r="FJQ18" s="451">
        <f>60000000</f>
        <v>60000000</v>
      </c>
      <c r="FJR18" s="459"/>
      <c r="FJS18" s="452"/>
      <c r="FJT18" s="450">
        <v>0</v>
      </c>
      <c r="FJU18" s="460"/>
      <c r="FJV18" s="450">
        <f>FJP18+FJS18</f>
        <v>62201294.850000001</v>
      </c>
      <c r="FJW18" s="454">
        <f>+FJQ18+FJT18</f>
        <v>60000000</v>
      </c>
      <c r="FJX18" s="461"/>
      <c r="FJY18" s="450"/>
      <c r="FJZ18" s="594">
        <f>(FJV18-FJN18)/FJN18</f>
        <v>0.13401162364699606</v>
      </c>
      <c r="FKA18" s="436" t="s">
        <v>141</v>
      </c>
      <c r="FKB18" s="448">
        <v>54850667.799999997</v>
      </c>
      <c r="FKC18" s="449"/>
      <c r="FKD18" s="448">
        <f>FKB18+FKC18</f>
        <v>54850667.799999997</v>
      </c>
      <c r="FKE18" s="452"/>
      <c r="FKF18" s="452">
        <v>62201294.850000001</v>
      </c>
      <c r="FKG18" s="451">
        <f>60000000</f>
        <v>60000000</v>
      </c>
      <c r="FKH18" s="459"/>
      <c r="FKI18" s="452"/>
      <c r="FKJ18" s="450">
        <v>0</v>
      </c>
      <c r="FKK18" s="460"/>
      <c r="FKL18" s="450">
        <f>FKF18+FKI18</f>
        <v>62201294.850000001</v>
      </c>
      <c r="FKM18" s="454">
        <f>+FKG18+FKJ18</f>
        <v>60000000</v>
      </c>
      <c r="FKN18" s="461"/>
      <c r="FKO18" s="450"/>
      <c r="FKP18" s="594">
        <f>(FKL18-FKD18)/FKD18</f>
        <v>0.13401162364699606</v>
      </c>
      <c r="FKQ18" s="436" t="s">
        <v>141</v>
      </c>
      <c r="FKR18" s="448">
        <v>54850667.799999997</v>
      </c>
      <c r="FKS18" s="449"/>
      <c r="FKT18" s="448">
        <f>FKR18+FKS18</f>
        <v>54850667.799999997</v>
      </c>
      <c r="FKU18" s="452"/>
      <c r="FKV18" s="452">
        <v>62201294.850000001</v>
      </c>
      <c r="FKW18" s="451">
        <f>60000000</f>
        <v>60000000</v>
      </c>
      <c r="FKX18" s="459"/>
      <c r="FKY18" s="452"/>
      <c r="FKZ18" s="450">
        <v>0</v>
      </c>
      <c r="FLA18" s="460"/>
      <c r="FLB18" s="450">
        <f>FKV18+FKY18</f>
        <v>62201294.850000001</v>
      </c>
      <c r="FLC18" s="454">
        <f>+FKW18+FKZ18</f>
        <v>60000000</v>
      </c>
      <c r="FLD18" s="461"/>
      <c r="FLE18" s="450"/>
      <c r="FLF18" s="594">
        <f>(FLB18-FKT18)/FKT18</f>
        <v>0.13401162364699606</v>
      </c>
      <c r="FLG18" s="436" t="s">
        <v>141</v>
      </c>
      <c r="FLH18" s="448">
        <v>54850667.799999997</v>
      </c>
      <c r="FLI18" s="449"/>
      <c r="FLJ18" s="448">
        <f>FLH18+FLI18</f>
        <v>54850667.799999997</v>
      </c>
      <c r="FLK18" s="452"/>
      <c r="FLL18" s="452">
        <v>62201294.850000001</v>
      </c>
      <c r="FLM18" s="451">
        <f>60000000</f>
        <v>60000000</v>
      </c>
      <c r="FLN18" s="459"/>
      <c r="FLO18" s="452"/>
      <c r="FLP18" s="450">
        <v>0</v>
      </c>
      <c r="FLQ18" s="460"/>
      <c r="FLR18" s="450">
        <f>FLL18+FLO18</f>
        <v>62201294.850000001</v>
      </c>
      <c r="FLS18" s="454">
        <f>+FLM18+FLP18</f>
        <v>60000000</v>
      </c>
      <c r="FLT18" s="461"/>
      <c r="FLU18" s="450"/>
      <c r="FLV18" s="594">
        <f>(FLR18-FLJ18)/FLJ18</f>
        <v>0.13401162364699606</v>
      </c>
      <c r="FLW18" s="436" t="s">
        <v>141</v>
      </c>
      <c r="FLX18" s="448">
        <v>54850667.799999997</v>
      </c>
      <c r="FLY18" s="449"/>
      <c r="FLZ18" s="448">
        <f>FLX18+FLY18</f>
        <v>54850667.799999997</v>
      </c>
      <c r="FMA18" s="452"/>
      <c r="FMB18" s="452">
        <v>62201294.850000001</v>
      </c>
      <c r="FMC18" s="451">
        <f>60000000</f>
        <v>60000000</v>
      </c>
      <c r="FMD18" s="459"/>
      <c r="FME18" s="452"/>
      <c r="FMF18" s="450">
        <v>0</v>
      </c>
      <c r="FMG18" s="460"/>
      <c r="FMH18" s="450">
        <f>FMB18+FME18</f>
        <v>62201294.850000001</v>
      </c>
      <c r="FMI18" s="454">
        <f>+FMC18+FMF18</f>
        <v>60000000</v>
      </c>
      <c r="FMJ18" s="461"/>
      <c r="FMK18" s="450"/>
      <c r="FML18" s="594">
        <f>(FMH18-FLZ18)/FLZ18</f>
        <v>0.13401162364699606</v>
      </c>
      <c r="FMM18" s="436" t="s">
        <v>141</v>
      </c>
      <c r="FMN18" s="448">
        <v>54850667.799999997</v>
      </c>
      <c r="FMO18" s="449"/>
      <c r="FMP18" s="448">
        <f>FMN18+FMO18</f>
        <v>54850667.799999997</v>
      </c>
      <c r="FMQ18" s="452"/>
      <c r="FMR18" s="452">
        <v>62201294.850000001</v>
      </c>
      <c r="FMS18" s="451">
        <f>60000000</f>
        <v>60000000</v>
      </c>
      <c r="FMT18" s="459"/>
      <c r="FMU18" s="452"/>
      <c r="FMV18" s="450">
        <v>0</v>
      </c>
      <c r="FMW18" s="460"/>
      <c r="FMX18" s="450">
        <f>FMR18+FMU18</f>
        <v>62201294.850000001</v>
      </c>
      <c r="FMY18" s="454">
        <f>+FMS18+FMV18</f>
        <v>60000000</v>
      </c>
      <c r="FMZ18" s="461"/>
      <c r="FNA18" s="450"/>
      <c r="FNB18" s="594">
        <f>(FMX18-FMP18)/FMP18</f>
        <v>0.13401162364699606</v>
      </c>
      <c r="FNC18" s="436" t="s">
        <v>141</v>
      </c>
      <c r="FND18" s="448">
        <v>54850667.799999997</v>
      </c>
      <c r="FNE18" s="449"/>
      <c r="FNF18" s="448">
        <f>FND18+FNE18</f>
        <v>54850667.799999997</v>
      </c>
      <c r="FNG18" s="452"/>
      <c r="FNH18" s="452">
        <v>62201294.850000001</v>
      </c>
      <c r="FNI18" s="451">
        <f>60000000</f>
        <v>60000000</v>
      </c>
      <c r="FNJ18" s="459"/>
      <c r="FNK18" s="452"/>
      <c r="FNL18" s="450">
        <v>0</v>
      </c>
      <c r="FNM18" s="460"/>
      <c r="FNN18" s="450">
        <f>FNH18+FNK18</f>
        <v>62201294.850000001</v>
      </c>
      <c r="FNO18" s="454">
        <f>+FNI18+FNL18</f>
        <v>60000000</v>
      </c>
      <c r="FNP18" s="461"/>
      <c r="FNQ18" s="450"/>
      <c r="FNR18" s="594">
        <f>(FNN18-FNF18)/FNF18</f>
        <v>0.13401162364699606</v>
      </c>
      <c r="FNS18" s="436" t="s">
        <v>141</v>
      </c>
      <c r="FNT18" s="448">
        <v>54850667.799999997</v>
      </c>
      <c r="FNU18" s="449"/>
      <c r="FNV18" s="448">
        <f>FNT18+FNU18</f>
        <v>54850667.799999997</v>
      </c>
      <c r="FNW18" s="452"/>
      <c r="FNX18" s="452">
        <v>62201294.850000001</v>
      </c>
      <c r="FNY18" s="451">
        <f>60000000</f>
        <v>60000000</v>
      </c>
      <c r="FNZ18" s="459"/>
      <c r="FOA18" s="452"/>
      <c r="FOB18" s="450">
        <v>0</v>
      </c>
      <c r="FOC18" s="460"/>
      <c r="FOD18" s="450">
        <f>FNX18+FOA18</f>
        <v>62201294.850000001</v>
      </c>
      <c r="FOE18" s="454">
        <f>+FNY18+FOB18</f>
        <v>60000000</v>
      </c>
      <c r="FOF18" s="461"/>
      <c r="FOG18" s="450"/>
      <c r="FOH18" s="594">
        <f>(FOD18-FNV18)/FNV18</f>
        <v>0.13401162364699606</v>
      </c>
      <c r="FOI18" s="436" t="s">
        <v>141</v>
      </c>
      <c r="FOJ18" s="448">
        <v>54850667.799999997</v>
      </c>
      <c r="FOK18" s="449"/>
      <c r="FOL18" s="448">
        <f>FOJ18+FOK18</f>
        <v>54850667.799999997</v>
      </c>
      <c r="FOM18" s="452"/>
      <c r="FON18" s="452">
        <v>62201294.850000001</v>
      </c>
      <c r="FOO18" s="451">
        <f>60000000</f>
        <v>60000000</v>
      </c>
      <c r="FOP18" s="459"/>
      <c r="FOQ18" s="452"/>
      <c r="FOR18" s="450">
        <v>0</v>
      </c>
      <c r="FOS18" s="460"/>
      <c r="FOT18" s="450">
        <f>FON18+FOQ18</f>
        <v>62201294.850000001</v>
      </c>
      <c r="FOU18" s="454">
        <f>+FOO18+FOR18</f>
        <v>60000000</v>
      </c>
      <c r="FOV18" s="461"/>
      <c r="FOW18" s="450"/>
      <c r="FOX18" s="594">
        <f>(FOT18-FOL18)/FOL18</f>
        <v>0.13401162364699606</v>
      </c>
      <c r="FOY18" s="436" t="s">
        <v>141</v>
      </c>
      <c r="FOZ18" s="448">
        <v>54850667.799999997</v>
      </c>
      <c r="FPA18" s="449"/>
      <c r="FPB18" s="448">
        <f>FOZ18+FPA18</f>
        <v>54850667.799999997</v>
      </c>
      <c r="FPC18" s="452"/>
      <c r="FPD18" s="452">
        <v>62201294.850000001</v>
      </c>
      <c r="FPE18" s="451">
        <f>60000000</f>
        <v>60000000</v>
      </c>
      <c r="FPF18" s="459"/>
      <c r="FPG18" s="452"/>
      <c r="FPH18" s="450">
        <v>0</v>
      </c>
      <c r="FPI18" s="460"/>
      <c r="FPJ18" s="450">
        <f>FPD18+FPG18</f>
        <v>62201294.850000001</v>
      </c>
      <c r="FPK18" s="454">
        <f>+FPE18+FPH18</f>
        <v>60000000</v>
      </c>
      <c r="FPL18" s="461"/>
      <c r="FPM18" s="450"/>
      <c r="FPN18" s="594">
        <f>(FPJ18-FPB18)/FPB18</f>
        <v>0.13401162364699606</v>
      </c>
      <c r="FPO18" s="436" t="s">
        <v>141</v>
      </c>
      <c r="FPP18" s="448">
        <v>54850667.799999997</v>
      </c>
      <c r="FPQ18" s="449"/>
      <c r="FPR18" s="448">
        <f>FPP18+FPQ18</f>
        <v>54850667.799999997</v>
      </c>
      <c r="FPS18" s="452"/>
      <c r="FPT18" s="452">
        <v>62201294.850000001</v>
      </c>
      <c r="FPU18" s="451">
        <f>60000000</f>
        <v>60000000</v>
      </c>
      <c r="FPV18" s="459"/>
      <c r="FPW18" s="452"/>
      <c r="FPX18" s="450">
        <v>0</v>
      </c>
      <c r="FPY18" s="460"/>
      <c r="FPZ18" s="450">
        <f>FPT18+FPW18</f>
        <v>62201294.850000001</v>
      </c>
      <c r="FQA18" s="454">
        <f>+FPU18+FPX18</f>
        <v>60000000</v>
      </c>
      <c r="FQB18" s="461"/>
      <c r="FQC18" s="450"/>
      <c r="FQD18" s="594">
        <f>(FPZ18-FPR18)/FPR18</f>
        <v>0.13401162364699606</v>
      </c>
      <c r="FQE18" s="436" t="s">
        <v>141</v>
      </c>
      <c r="FQF18" s="448">
        <v>54850667.799999997</v>
      </c>
      <c r="FQG18" s="449"/>
      <c r="FQH18" s="448">
        <f>FQF18+FQG18</f>
        <v>54850667.799999997</v>
      </c>
      <c r="FQI18" s="452"/>
      <c r="FQJ18" s="452">
        <v>62201294.850000001</v>
      </c>
      <c r="FQK18" s="451">
        <f>60000000</f>
        <v>60000000</v>
      </c>
      <c r="FQL18" s="459"/>
      <c r="FQM18" s="452"/>
      <c r="FQN18" s="450">
        <v>0</v>
      </c>
      <c r="FQO18" s="460"/>
      <c r="FQP18" s="450">
        <f>FQJ18+FQM18</f>
        <v>62201294.850000001</v>
      </c>
      <c r="FQQ18" s="454">
        <f>+FQK18+FQN18</f>
        <v>60000000</v>
      </c>
      <c r="FQR18" s="461"/>
      <c r="FQS18" s="450"/>
      <c r="FQT18" s="594">
        <f>(FQP18-FQH18)/FQH18</f>
        <v>0.13401162364699606</v>
      </c>
      <c r="FQU18" s="436" t="s">
        <v>141</v>
      </c>
      <c r="FQV18" s="448">
        <v>54850667.799999997</v>
      </c>
      <c r="FQW18" s="449"/>
      <c r="FQX18" s="448">
        <f>FQV18+FQW18</f>
        <v>54850667.799999997</v>
      </c>
      <c r="FQY18" s="452"/>
      <c r="FQZ18" s="452">
        <v>62201294.850000001</v>
      </c>
      <c r="FRA18" s="451">
        <f>60000000</f>
        <v>60000000</v>
      </c>
      <c r="FRB18" s="459"/>
      <c r="FRC18" s="452"/>
      <c r="FRD18" s="450">
        <v>0</v>
      </c>
      <c r="FRE18" s="460"/>
      <c r="FRF18" s="450">
        <f>FQZ18+FRC18</f>
        <v>62201294.850000001</v>
      </c>
      <c r="FRG18" s="454">
        <f>+FRA18+FRD18</f>
        <v>60000000</v>
      </c>
      <c r="FRH18" s="461"/>
      <c r="FRI18" s="450"/>
      <c r="FRJ18" s="594">
        <f>(FRF18-FQX18)/FQX18</f>
        <v>0.13401162364699606</v>
      </c>
      <c r="FRK18" s="436" t="s">
        <v>141</v>
      </c>
      <c r="FRL18" s="448">
        <v>54850667.799999997</v>
      </c>
      <c r="FRM18" s="449"/>
      <c r="FRN18" s="448">
        <f>FRL18+FRM18</f>
        <v>54850667.799999997</v>
      </c>
      <c r="FRO18" s="452"/>
      <c r="FRP18" s="452">
        <v>62201294.850000001</v>
      </c>
      <c r="FRQ18" s="451">
        <f>60000000</f>
        <v>60000000</v>
      </c>
      <c r="FRR18" s="459"/>
      <c r="FRS18" s="452"/>
      <c r="FRT18" s="450">
        <v>0</v>
      </c>
      <c r="FRU18" s="460"/>
      <c r="FRV18" s="450">
        <f>FRP18+FRS18</f>
        <v>62201294.850000001</v>
      </c>
      <c r="FRW18" s="454">
        <f>+FRQ18+FRT18</f>
        <v>60000000</v>
      </c>
      <c r="FRX18" s="461"/>
      <c r="FRY18" s="450"/>
      <c r="FRZ18" s="594">
        <f>(FRV18-FRN18)/FRN18</f>
        <v>0.13401162364699606</v>
      </c>
      <c r="FSA18" s="436" t="s">
        <v>141</v>
      </c>
      <c r="FSB18" s="448">
        <v>54850667.799999997</v>
      </c>
      <c r="FSC18" s="449"/>
      <c r="FSD18" s="448">
        <f>FSB18+FSC18</f>
        <v>54850667.799999997</v>
      </c>
      <c r="FSE18" s="452"/>
      <c r="FSF18" s="452">
        <v>62201294.850000001</v>
      </c>
      <c r="FSG18" s="451">
        <f>60000000</f>
        <v>60000000</v>
      </c>
      <c r="FSH18" s="459"/>
      <c r="FSI18" s="452"/>
      <c r="FSJ18" s="450">
        <v>0</v>
      </c>
      <c r="FSK18" s="460"/>
      <c r="FSL18" s="450">
        <f>FSF18+FSI18</f>
        <v>62201294.850000001</v>
      </c>
      <c r="FSM18" s="454">
        <f>+FSG18+FSJ18</f>
        <v>60000000</v>
      </c>
      <c r="FSN18" s="461"/>
      <c r="FSO18" s="450"/>
      <c r="FSP18" s="594">
        <f>(FSL18-FSD18)/FSD18</f>
        <v>0.13401162364699606</v>
      </c>
      <c r="FSQ18" s="436" t="s">
        <v>141</v>
      </c>
      <c r="FSR18" s="448">
        <v>54850667.799999997</v>
      </c>
      <c r="FSS18" s="449"/>
      <c r="FST18" s="448">
        <f>FSR18+FSS18</f>
        <v>54850667.799999997</v>
      </c>
      <c r="FSU18" s="452"/>
      <c r="FSV18" s="452">
        <v>62201294.850000001</v>
      </c>
      <c r="FSW18" s="451">
        <f>60000000</f>
        <v>60000000</v>
      </c>
      <c r="FSX18" s="459"/>
      <c r="FSY18" s="452"/>
      <c r="FSZ18" s="450">
        <v>0</v>
      </c>
      <c r="FTA18" s="460"/>
      <c r="FTB18" s="450">
        <f>FSV18+FSY18</f>
        <v>62201294.850000001</v>
      </c>
      <c r="FTC18" s="454">
        <f>+FSW18+FSZ18</f>
        <v>60000000</v>
      </c>
      <c r="FTD18" s="461"/>
      <c r="FTE18" s="450"/>
      <c r="FTF18" s="594">
        <f>(FTB18-FST18)/FST18</f>
        <v>0.13401162364699606</v>
      </c>
      <c r="FTG18" s="436" t="s">
        <v>141</v>
      </c>
      <c r="FTH18" s="448">
        <v>54850667.799999997</v>
      </c>
      <c r="FTI18" s="449"/>
      <c r="FTJ18" s="448">
        <f>FTH18+FTI18</f>
        <v>54850667.799999997</v>
      </c>
      <c r="FTK18" s="452"/>
      <c r="FTL18" s="452">
        <v>62201294.850000001</v>
      </c>
      <c r="FTM18" s="451">
        <f>60000000</f>
        <v>60000000</v>
      </c>
      <c r="FTN18" s="459"/>
      <c r="FTO18" s="452"/>
      <c r="FTP18" s="450">
        <v>0</v>
      </c>
      <c r="FTQ18" s="460"/>
      <c r="FTR18" s="450">
        <f>FTL18+FTO18</f>
        <v>62201294.850000001</v>
      </c>
      <c r="FTS18" s="454">
        <f>+FTM18+FTP18</f>
        <v>60000000</v>
      </c>
      <c r="FTT18" s="461"/>
      <c r="FTU18" s="450"/>
      <c r="FTV18" s="594">
        <f>(FTR18-FTJ18)/FTJ18</f>
        <v>0.13401162364699606</v>
      </c>
      <c r="FTW18" s="436" t="s">
        <v>141</v>
      </c>
      <c r="FTX18" s="448">
        <v>54850667.799999997</v>
      </c>
      <c r="FTY18" s="449"/>
      <c r="FTZ18" s="448">
        <f>FTX18+FTY18</f>
        <v>54850667.799999997</v>
      </c>
      <c r="FUA18" s="452"/>
      <c r="FUB18" s="452">
        <v>62201294.850000001</v>
      </c>
      <c r="FUC18" s="451">
        <f>60000000</f>
        <v>60000000</v>
      </c>
      <c r="FUD18" s="459"/>
      <c r="FUE18" s="452"/>
      <c r="FUF18" s="450">
        <v>0</v>
      </c>
      <c r="FUG18" s="460"/>
      <c r="FUH18" s="450">
        <f>FUB18+FUE18</f>
        <v>62201294.850000001</v>
      </c>
      <c r="FUI18" s="454">
        <f>+FUC18+FUF18</f>
        <v>60000000</v>
      </c>
      <c r="FUJ18" s="461"/>
      <c r="FUK18" s="450"/>
      <c r="FUL18" s="594">
        <f>(FUH18-FTZ18)/FTZ18</f>
        <v>0.13401162364699606</v>
      </c>
      <c r="FUM18" s="436" t="s">
        <v>141</v>
      </c>
      <c r="FUN18" s="448">
        <v>54850667.799999997</v>
      </c>
      <c r="FUO18" s="449"/>
      <c r="FUP18" s="448">
        <f>FUN18+FUO18</f>
        <v>54850667.799999997</v>
      </c>
      <c r="FUQ18" s="452"/>
      <c r="FUR18" s="452">
        <v>62201294.850000001</v>
      </c>
      <c r="FUS18" s="451">
        <f>60000000</f>
        <v>60000000</v>
      </c>
      <c r="FUT18" s="459"/>
      <c r="FUU18" s="452"/>
      <c r="FUV18" s="450">
        <v>0</v>
      </c>
      <c r="FUW18" s="460"/>
      <c r="FUX18" s="450">
        <f>FUR18+FUU18</f>
        <v>62201294.850000001</v>
      </c>
      <c r="FUY18" s="454">
        <f>+FUS18+FUV18</f>
        <v>60000000</v>
      </c>
      <c r="FUZ18" s="461"/>
      <c r="FVA18" s="450"/>
      <c r="FVB18" s="594">
        <f>(FUX18-FUP18)/FUP18</f>
        <v>0.13401162364699606</v>
      </c>
      <c r="FVC18" s="436" t="s">
        <v>141</v>
      </c>
      <c r="FVD18" s="448">
        <v>54850667.799999997</v>
      </c>
      <c r="FVE18" s="449"/>
      <c r="FVF18" s="448">
        <f>FVD18+FVE18</f>
        <v>54850667.799999997</v>
      </c>
      <c r="FVG18" s="452"/>
      <c r="FVH18" s="452">
        <v>62201294.850000001</v>
      </c>
      <c r="FVI18" s="451">
        <f>60000000</f>
        <v>60000000</v>
      </c>
      <c r="FVJ18" s="459"/>
      <c r="FVK18" s="452"/>
      <c r="FVL18" s="450">
        <v>0</v>
      </c>
      <c r="FVM18" s="460"/>
      <c r="FVN18" s="450">
        <f>FVH18+FVK18</f>
        <v>62201294.850000001</v>
      </c>
      <c r="FVO18" s="454">
        <f>+FVI18+FVL18</f>
        <v>60000000</v>
      </c>
      <c r="FVP18" s="461"/>
      <c r="FVQ18" s="450"/>
      <c r="FVR18" s="594">
        <f>(FVN18-FVF18)/FVF18</f>
        <v>0.13401162364699606</v>
      </c>
      <c r="FVS18" s="436" t="s">
        <v>141</v>
      </c>
      <c r="FVT18" s="448">
        <v>54850667.799999997</v>
      </c>
      <c r="FVU18" s="449"/>
      <c r="FVV18" s="448">
        <f>FVT18+FVU18</f>
        <v>54850667.799999997</v>
      </c>
      <c r="FVW18" s="452"/>
      <c r="FVX18" s="452">
        <v>62201294.850000001</v>
      </c>
      <c r="FVY18" s="451">
        <f>60000000</f>
        <v>60000000</v>
      </c>
      <c r="FVZ18" s="459"/>
      <c r="FWA18" s="452"/>
      <c r="FWB18" s="450">
        <v>0</v>
      </c>
      <c r="FWC18" s="460"/>
      <c r="FWD18" s="450">
        <f>FVX18+FWA18</f>
        <v>62201294.850000001</v>
      </c>
      <c r="FWE18" s="454">
        <f>+FVY18+FWB18</f>
        <v>60000000</v>
      </c>
      <c r="FWF18" s="461"/>
      <c r="FWG18" s="450"/>
      <c r="FWH18" s="594">
        <f>(FWD18-FVV18)/FVV18</f>
        <v>0.13401162364699606</v>
      </c>
      <c r="FWI18" s="436" t="s">
        <v>141</v>
      </c>
      <c r="FWJ18" s="448">
        <v>54850667.799999997</v>
      </c>
      <c r="FWK18" s="449"/>
      <c r="FWL18" s="448">
        <f>FWJ18+FWK18</f>
        <v>54850667.799999997</v>
      </c>
      <c r="FWM18" s="452"/>
      <c r="FWN18" s="452">
        <v>62201294.850000001</v>
      </c>
      <c r="FWO18" s="451">
        <f>60000000</f>
        <v>60000000</v>
      </c>
      <c r="FWP18" s="459"/>
      <c r="FWQ18" s="452"/>
      <c r="FWR18" s="450">
        <v>0</v>
      </c>
      <c r="FWS18" s="460"/>
      <c r="FWT18" s="450">
        <f>FWN18+FWQ18</f>
        <v>62201294.850000001</v>
      </c>
      <c r="FWU18" s="454">
        <f>+FWO18+FWR18</f>
        <v>60000000</v>
      </c>
      <c r="FWV18" s="461"/>
      <c r="FWW18" s="450"/>
      <c r="FWX18" s="594">
        <f>(FWT18-FWL18)/FWL18</f>
        <v>0.13401162364699606</v>
      </c>
      <c r="FWY18" s="436" t="s">
        <v>141</v>
      </c>
      <c r="FWZ18" s="448">
        <v>54850667.799999997</v>
      </c>
      <c r="FXA18" s="449"/>
      <c r="FXB18" s="448">
        <f>FWZ18+FXA18</f>
        <v>54850667.799999997</v>
      </c>
      <c r="FXC18" s="452"/>
      <c r="FXD18" s="452">
        <v>62201294.850000001</v>
      </c>
      <c r="FXE18" s="451">
        <f>60000000</f>
        <v>60000000</v>
      </c>
      <c r="FXF18" s="459"/>
      <c r="FXG18" s="452"/>
      <c r="FXH18" s="450">
        <v>0</v>
      </c>
      <c r="FXI18" s="460"/>
      <c r="FXJ18" s="450">
        <f>FXD18+FXG18</f>
        <v>62201294.850000001</v>
      </c>
      <c r="FXK18" s="454">
        <f>+FXE18+FXH18</f>
        <v>60000000</v>
      </c>
      <c r="FXL18" s="461"/>
      <c r="FXM18" s="450"/>
      <c r="FXN18" s="594">
        <f>(FXJ18-FXB18)/FXB18</f>
        <v>0.13401162364699606</v>
      </c>
      <c r="FXO18" s="436" t="s">
        <v>141</v>
      </c>
      <c r="FXP18" s="448">
        <v>54850667.799999997</v>
      </c>
      <c r="FXQ18" s="449"/>
      <c r="FXR18" s="448">
        <f>FXP18+FXQ18</f>
        <v>54850667.799999997</v>
      </c>
      <c r="FXS18" s="452"/>
      <c r="FXT18" s="452">
        <v>62201294.850000001</v>
      </c>
      <c r="FXU18" s="451">
        <f>60000000</f>
        <v>60000000</v>
      </c>
      <c r="FXV18" s="459"/>
      <c r="FXW18" s="452"/>
      <c r="FXX18" s="450">
        <v>0</v>
      </c>
      <c r="FXY18" s="460"/>
      <c r="FXZ18" s="450">
        <f>FXT18+FXW18</f>
        <v>62201294.850000001</v>
      </c>
      <c r="FYA18" s="454">
        <f>+FXU18+FXX18</f>
        <v>60000000</v>
      </c>
      <c r="FYB18" s="461"/>
      <c r="FYC18" s="450"/>
      <c r="FYD18" s="594">
        <f>(FXZ18-FXR18)/FXR18</f>
        <v>0.13401162364699606</v>
      </c>
      <c r="FYE18" s="436" t="s">
        <v>141</v>
      </c>
      <c r="FYF18" s="448">
        <v>54850667.799999997</v>
      </c>
      <c r="FYG18" s="449"/>
      <c r="FYH18" s="448">
        <f>FYF18+FYG18</f>
        <v>54850667.799999997</v>
      </c>
      <c r="FYI18" s="452"/>
      <c r="FYJ18" s="452">
        <v>62201294.850000001</v>
      </c>
      <c r="FYK18" s="451">
        <f>60000000</f>
        <v>60000000</v>
      </c>
      <c r="FYL18" s="459"/>
      <c r="FYM18" s="452"/>
      <c r="FYN18" s="450">
        <v>0</v>
      </c>
      <c r="FYO18" s="460"/>
      <c r="FYP18" s="450">
        <f>FYJ18+FYM18</f>
        <v>62201294.850000001</v>
      </c>
      <c r="FYQ18" s="454">
        <f>+FYK18+FYN18</f>
        <v>60000000</v>
      </c>
      <c r="FYR18" s="461"/>
      <c r="FYS18" s="450"/>
      <c r="FYT18" s="594">
        <f>(FYP18-FYH18)/FYH18</f>
        <v>0.13401162364699606</v>
      </c>
      <c r="FYU18" s="436" t="s">
        <v>141</v>
      </c>
      <c r="FYV18" s="448">
        <v>54850667.799999997</v>
      </c>
      <c r="FYW18" s="449"/>
      <c r="FYX18" s="448">
        <f>FYV18+FYW18</f>
        <v>54850667.799999997</v>
      </c>
      <c r="FYY18" s="452"/>
      <c r="FYZ18" s="452">
        <v>62201294.850000001</v>
      </c>
      <c r="FZA18" s="451">
        <f>60000000</f>
        <v>60000000</v>
      </c>
      <c r="FZB18" s="459"/>
      <c r="FZC18" s="452"/>
      <c r="FZD18" s="450">
        <v>0</v>
      </c>
      <c r="FZE18" s="460"/>
      <c r="FZF18" s="450">
        <f>FYZ18+FZC18</f>
        <v>62201294.850000001</v>
      </c>
      <c r="FZG18" s="454">
        <f>+FZA18+FZD18</f>
        <v>60000000</v>
      </c>
      <c r="FZH18" s="461"/>
      <c r="FZI18" s="450"/>
      <c r="FZJ18" s="594">
        <f>(FZF18-FYX18)/FYX18</f>
        <v>0.13401162364699606</v>
      </c>
      <c r="FZK18" s="436" t="s">
        <v>141</v>
      </c>
      <c r="FZL18" s="448">
        <v>54850667.799999997</v>
      </c>
      <c r="FZM18" s="449"/>
      <c r="FZN18" s="448">
        <f>FZL18+FZM18</f>
        <v>54850667.799999997</v>
      </c>
      <c r="FZO18" s="452"/>
      <c r="FZP18" s="452">
        <v>62201294.850000001</v>
      </c>
      <c r="FZQ18" s="451">
        <f>60000000</f>
        <v>60000000</v>
      </c>
      <c r="FZR18" s="459"/>
      <c r="FZS18" s="452"/>
      <c r="FZT18" s="450">
        <v>0</v>
      </c>
      <c r="FZU18" s="460"/>
      <c r="FZV18" s="450">
        <f>FZP18+FZS18</f>
        <v>62201294.850000001</v>
      </c>
      <c r="FZW18" s="454">
        <f>+FZQ18+FZT18</f>
        <v>60000000</v>
      </c>
      <c r="FZX18" s="461"/>
      <c r="FZY18" s="450"/>
      <c r="FZZ18" s="594">
        <f>(FZV18-FZN18)/FZN18</f>
        <v>0.13401162364699606</v>
      </c>
      <c r="GAA18" s="436" t="s">
        <v>141</v>
      </c>
      <c r="GAB18" s="448">
        <v>54850667.799999997</v>
      </c>
      <c r="GAC18" s="449"/>
      <c r="GAD18" s="448">
        <f>GAB18+GAC18</f>
        <v>54850667.799999997</v>
      </c>
      <c r="GAE18" s="452"/>
      <c r="GAF18" s="452">
        <v>62201294.850000001</v>
      </c>
      <c r="GAG18" s="451">
        <f>60000000</f>
        <v>60000000</v>
      </c>
      <c r="GAH18" s="459"/>
      <c r="GAI18" s="452"/>
      <c r="GAJ18" s="450">
        <v>0</v>
      </c>
      <c r="GAK18" s="460"/>
      <c r="GAL18" s="450">
        <f>GAF18+GAI18</f>
        <v>62201294.850000001</v>
      </c>
      <c r="GAM18" s="454">
        <f>+GAG18+GAJ18</f>
        <v>60000000</v>
      </c>
      <c r="GAN18" s="461"/>
      <c r="GAO18" s="450"/>
      <c r="GAP18" s="594">
        <f>(GAL18-GAD18)/GAD18</f>
        <v>0.13401162364699606</v>
      </c>
      <c r="GAQ18" s="436" t="s">
        <v>141</v>
      </c>
      <c r="GAR18" s="448">
        <v>54850667.799999997</v>
      </c>
      <c r="GAS18" s="449"/>
      <c r="GAT18" s="448">
        <f>GAR18+GAS18</f>
        <v>54850667.799999997</v>
      </c>
      <c r="GAU18" s="452"/>
      <c r="GAV18" s="452">
        <v>62201294.850000001</v>
      </c>
      <c r="GAW18" s="451">
        <f>60000000</f>
        <v>60000000</v>
      </c>
      <c r="GAX18" s="459"/>
      <c r="GAY18" s="452"/>
      <c r="GAZ18" s="450">
        <v>0</v>
      </c>
      <c r="GBA18" s="460"/>
      <c r="GBB18" s="450">
        <f>GAV18+GAY18</f>
        <v>62201294.850000001</v>
      </c>
      <c r="GBC18" s="454">
        <f>+GAW18+GAZ18</f>
        <v>60000000</v>
      </c>
      <c r="GBD18" s="461"/>
      <c r="GBE18" s="450"/>
      <c r="GBF18" s="594">
        <f>(GBB18-GAT18)/GAT18</f>
        <v>0.13401162364699606</v>
      </c>
      <c r="GBG18" s="436" t="s">
        <v>141</v>
      </c>
      <c r="GBH18" s="448">
        <v>54850667.799999997</v>
      </c>
      <c r="GBI18" s="449"/>
      <c r="GBJ18" s="448">
        <f>GBH18+GBI18</f>
        <v>54850667.799999997</v>
      </c>
      <c r="GBK18" s="452"/>
      <c r="GBL18" s="452">
        <v>62201294.850000001</v>
      </c>
      <c r="GBM18" s="451">
        <f>60000000</f>
        <v>60000000</v>
      </c>
      <c r="GBN18" s="459"/>
      <c r="GBO18" s="452"/>
      <c r="GBP18" s="450">
        <v>0</v>
      </c>
      <c r="GBQ18" s="460"/>
      <c r="GBR18" s="450">
        <f>GBL18+GBO18</f>
        <v>62201294.850000001</v>
      </c>
      <c r="GBS18" s="454">
        <f>+GBM18+GBP18</f>
        <v>60000000</v>
      </c>
      <c r="GBT18" s="461"/>
      <c r="GBU18" s="450"/>
      <c r="GBV18" s="594">
        <f>(GBR18-GBJ18)/GBJ18</f>
        <v>0.13401162364699606</v>
      </c>
      <c r="GBW18" s="436" t="s">
        <v>141</v>
      </c>
      <c r="GBX18" s="448">
        <v>54850667.799999997</v>
      </c>
      <c r="GBY18" s="449"/>
      <c r="GBZ18" s="448">
        <f>GBX18+GBY18</f>
        <v>54850667.799999997</v>
      </c>
      <c r="GCA18" s="452"/>
      <c r="GCB18" s="452">
        <v>62201294.850000001</v>
      </c>
      <c r="GCC18" s="451">
        <f>60000000</f>
        <v>60000000</v>
      </c>
      <c r="GCD18" s="459"/>
      <c r="GCE18" s="452"/>
      <c r="GCF18" s="450">
        <v>0</v>
      </c>
      <c r="GCG18" s="460"/>
      <c r="GCH18" s="450">
        <f>GCB18+GCE18</f>
        <v>62201294.850000001</v>
      </c>
      <c r="GCI18" s="454">
        <f>+GCC18+GCF18</f>
        <v>60000000</v>
      </c>
      <c r="GCJ18" s="461"/>
      <c r="GCK18" s="450"/>
      <c r="GCL18" s="594">
        <f>(GCH18-GBZ18)/GBZ18</f>
        <v>0.13401162364699606</v>
      </c>
      <c r="GCM18" s="436" t="s">
        <v>141</v>
      </c>
      <c r="GCN18" s="448">
        <v>54850667.799999997</v>
      </c>
      <c r="GCO18" s="449"/>
      <c r="GCP18" s="448">
        <f>GCN18+GCO18</f>
        <v>54850667.799999997</v>
      </c>
      <c r="GCQ18" s="452"/>
      <c r="GCR18" s="452">
        <v>62201294.850000001</v>
      </c>
      <c r="GCS18" s="451">
        <f>60000000</f>
        <v>60000000</v>
      </c>
      <c r="GCT18" s="459"/>
      <c r="GCU18" s="452"/>
      <c r="GCV18" s="450">
        <v>0</v>
      </c>
      <c r="GCW18" s="460"/>
      <c r="GCX18" s="450">
        <f>GCR18+GCU18</f>
        <v>62201294.850000001</v>
      </c>
      <c r="GCY18" s="454">
        <f>+GCS18+GCV18</f>
        <v>60000000</v>
      </c>
      <c r="GCZ18" s="461"/>
      <c r="GDA18" s="450"/>
      <c r="GDB18" s="594">
        <f>(GCX18-GCP18)/GCP18</f>
        <v>0.13401162364699606</v>
      </c>
      <c r="GDC18" s="436" t="s">
        <v>141</v>
      </c>
      <c r="GDD18" s="448">
        <v>54850667.799999997</v>
      </c>
      <c r="GDE18" s="449"/>
      <c r="GDF18" s="448">
        <f>GDD18+GDE18</f>
        <v>54850667.799999997</v>
      </c>
      <c r="GDG18" s="452"/>
      <c r="GDH18" s="452">
        <v>62201294.850000001</v>
      </c>
      <c r="GDI18" s="451">
        <f>60000000</f>
        <v>60000000</v>
      </c>
      <c r="GDJ18" s="459"/>
      <c r="GDK18" s="452"/>
      <c r="GDL18" s="450">
        <v>0</v>
      </c>
      <c r="GDM18" s="460"/>
      <c r="GDN18" s="450">
        <f>GDH18+GDK18</f>
        <v>62201294.850000001</v>
      </c>
      <c r="GDO18" s="454">
        <f>+GDI18+GDL18</f>
        <v>60000000</v>
      </c>
      <c r="GDP18" s="461"/>
      <c r="GDQ18" s="450"/>
      <c r="GDR18" s="594">
        <f>(GDN18-GDF18)/GDF18</f>
        <v>0.13401162364699606</v>
      </c>
      <c r="GDS18" s="436" t="s">
        <v>141</v>
      </c>
      <c r="GDT18" s="448">
        <v>54850667.799999997</v>
      </c>
      <c r="GDU18" s="449"/>
      <c r="GDV18" s="448">
        <f>GDT18+GDU18</f>
        <v>54850667.799999997</v>
      </c>
      <c r="GDW18" s="452"/>
      <c r="GDX18" s="452">
        <v>62201294.850000001</v>
      </c>
      <c r="GDY18" s="451">
        <f>60000000</f>
        <v>60000000</v>
      </c>
      <c r="GDZ18" s="459"/>
      <c r="GEA18" s="452"/>
      <c r="GEB18" s="450">
        <v>0</v>
      </c>
      <c r="GEC18" s="460"/>
      <c r="GED18" s="450">
        <f>GDX18+GEA18</f>
        <v>62201294.850000001</v>
      </c>
      <c r="GEE18" s="454">
        <f>+GDY18+GEB18</f>
        <v>60000000</v>
      </c>
      <c r="GEF18" s="461"/>
      <c r="GEG18" s="450"/>
      <c r="GEH18" s="594">
        <f>(GED18-GDV18)/GDV18</f>
        <v>0.13401162364699606</v>
      </c>
      <c r="GEI18" s="436" t="s">
        <v>141</v>
      </c>
      <c r="GEJ18" s="448">
        <v>54850667.799999997</v>
      </c>
      <c r="GEK18" s="449"/>
      <c r="GEL18" s="448">
        <f>GEJ18+GEK18</f>
        <v>54850667.799999997</v>
      </c>
      <c r="GEM18" s="452"/>
      <c r="GEN18" s="452">
        <v>62201294.850000001</v>
      </c>
      <c r="GEO18" s="451">
        <f>60000000</f>
        <v>60000000</v>
      </c>
      <c r="GEP18" s="459"/>
      <c r="GEQ18" s="452"/>
      <c r="GER18" s="450">
        <v>0</v>
      </c>
      <c r="GES18" s="460"/>
      <c r="GET18" s="450">
        <f>GEN18+GEQ18</f>
        <v>62201294.850000001</v>
      </c>
      <c r="GEU18" s="454">
        <f>+GEO18+GER18</f>
        <v>60000000</v>
      </c>
      <c r="GEV18" s="461"/>
      <c r="GEW18" s="450"/>
      <c r="GEX18" s="594">
        <f>(GET18-GEL18)/GEL18</f>
        <v>0.13401162364699606</v>
      </c>
      <c r="GEY18" s="436" t="s">
        <v>141</v>
      </c>
      <c r="GEZ18" s="448">
        <v>54850667.799999997</v>
      </c>
      <c r="GFA18" s="449"/>
      <c r="GFB18" s="448">
        <f>GEZ18+GFA18</f>
        <v>54850667.799999997</v>
      </c>
      <c r="GFC18" s="452"/>
      <c r="GFD18" s="452">
        <v>62201294.850000001</v>
      </c>
      <c r="GFE18" s="451">
        <f>60000000</f>
        <v>60000000</v>
      </c>
      <c r="GFF18" s="459"/>
      <c r="GFG18" s="452"/>
      <c r="GFH18" s="450">
        <v>0</v>
      </c>
      <c r="GFI18" s="460"/>
      <c r="GFJ18" s="450">
        <f>GFD18+GFG18</f>
        <v>62201294.850000001</v>
      </c>
      <c r="GFK18" s="454">
        <f>+GFE18+GFH18</f>
        <v>60000000</v>
      </c>
      <c r="GFL18" s="461"/>
      <c r="GFM18" s="450"/>
      <c r="GFN18" s="594">
        <f>(GFJ18-GFB18)/GFB18</f>
        <v>0.13401162364699606</v>
      </c>
      <c r="GFO18" s="436" t="s">
        <v>141</v>
      </c>
      <c r="GFP18" s="448">
        <v>54850667.799999997</v>
      </c>
      <c r="GFQ18" s="449"/>
      <c r="GFR18" s="448">
        <f>GFP18+GFQ18</f>
        <v>54850667.799999997</v>
      </c>
      <c r="GFS18" s="452"/>
      <c r="GFT18" s="452">
        <v>62201294.850000001</v>
      </c>
      <c r="GFU18" s="451">
        <f>60000000</f>
        <v>60000000</v>
      </c>
      <c r="GFV18" s="459"/>
      <c r="GFW18" s="452"/>
      <c r="GFX18" s="450">
        <v>0</v>
      </c>
      <c r="GFY18" s="460"/>
      <c r="GFZ18" s="450">
        <f>GFT18+GFW18</f>
        <v>62201294.850000001</v>
      </c>
      <c r="GGA18" s="454">
        <f>+GFU18+GFX18</f>
        <v>60000000</v>
      </c>
      <c r="GGB18" s="461"/>
      <c r="GGC18" s="450"/>
      <c r="GGD18" s="594">
        <f>(GFZ18-GFR18)/GFR18</f>
        <v>0.13401162364699606</v>
      </c>
      <c r="GGE18" s="436" t="s">
        <v>141</v>
      </c>
      <c r="GGF18" s="448">
        <v>54850667.799999997</v>
      </c>
      <c r="GGG18" s="449"/>
      <c r="GGH18" s="448">
        <f>GGF18+GGG18</f>
        <v>54850667.799999997</v>
      </c>
      <c r="GGI18" s="452"/>
      <c r="GGJ18" s="452">
        <v>62201294.850000001</v>
      </c>
      <c r="GGK18" s="451">
        <f>60000000</f>
        <v>60000000</v>
      </c>
      <c r="GGL18" s="459"/>
      <c r="GGM18" s="452"/>
      <c r="GGN18" s="450">
        <v>0</v>
      </c>
      <c r="GGO18" s="460"/>
      <c r="GGP18" s="450">
        <f>GGJ18+GGM18</f>
        <v>62201294.850000001</v>
      </c>
      <c r="GGQ18" s="454">
        <f>+GGK18+GGN18</f>
        <v>60000000</v>
      </c>
      <c r="GGR18" s="461"/>
      <c r="GGS18" s="450"/>
      <c r="GGT18" s="594">
        <f>(GGP18-GGH18)/GGH18</f>
        <v>0.13401162364699606</v>
      </c>
      <c r="GGU18" s="436" t="s">
        <v>141</v>
      </c>
      <c r="GGV18" s="448">
        <v>54850667.799999997</v>
      </c>
      <c r="GGW18" s="449"/>
      <c r="GGX18" s="448">
        <f>GGV18+GGW18</f>
        <v>54850667.799999997</v>
      </c>
      <c r="GGY18" s="452"/>
      <c r="GGZ18" s="452">
        <v>62201294.850000001</v>
      </c>
      <c r="GHA18" s="451">
        <f>60000000</f>
        <v>60000000</v>
      </c>
      <c r="GHB18" s="459"/>
      <c r="GHC18" s="452"/>
      <c r="GHD18" s="450">
        <v>0</v>
      </c>
      <c r="GHE18" s="460"/>
      <c r="GHF18" s="450">
        <f>GGZ18+GHC18</f>
        <v>62201294.850000001</v>
      </c>
      <c r="GHG18" s="454">
        <f>+GHA18+GHD18</f>
        <v>60000000</v>
      </c>
      <c r="GHH18" s="461"/>
      <c r="GHI18" s="450"/>
      <c r="GHJ18" s="594">
        <f>(GHF18-GGX18)/GGX18</f>
        <v>0.13401162364699606</v>
      </c>
      <c r="GHK18" s="436" t="s">
        <v>141</v>
      </c>
      <c r="GHL18" s="448">
        <v>54850667.799999997</v>
      </c>
      <c r="GHM18" s="449"/>
      <c r="GHN18" s="448">
        <f>GHL18+GHM18</f>
        <v>54850667.799999997</v>
      </c>
      <c r="GHO18" s="452"/>
      <c r="GHP18" s="452">
        <v>62201294.850000001</v>
      </c>
      <c r="GHQ18" s="451">
        <f>60000000</f>
        <v>60000000</v>
      </c>
      <c r="GHR18" s="459"/>
      <c r="GHS18" s="452"/>
      <c r="GHT18" s="450">
        <v>0</v>
      </c>
      <c r="GHU18" s="460"/>
      <c r="GHV18" s="450">
        <f>GHP18+GHS18</f>
        <v>62201294.850000001</v>
      </c>
      <c r="GHW18" s="454">
        <f>+GHQ18+GHT18</f>
        <v>60000000</v>
      </c>
      <c r="GHX18" s="461"/>
      <c r="GHY18" s="450"/>
      <c r="GHZ18" s="594">
        <f>(GHV18-GHN18)/GHN18</f>
        <v>0.13401162364699606</v>
      </c>
      <c r="GIA18" s="436" t="s">
        <v>141</v>
      </c>
      <c r="GIB18" s="448">
        <v>54850667.799999997</v>
      </c>
      <c r="GIC18" s="449"/>
      <c r="GID18" s="448">
        <f>GIB18+GIC18</f>
        <v>54850667.799999997</v>
      </c>
      <c r="GIE18" s="452"/>
      <c r="GIF18" s="452">
        <v>62201294.850000001</v>
      </c>
      <c r="GIG18" s="451">
        <f>60000000</f>
        <v>60000000</v>
      </c>
      <c r="GIH18" s="459"/>
      <c r="GII18" s="452"/>
      <c r="GIJ18" s="450">
        <v>0</v>
      </c>
      <c r="GIK18" s="460"/>
      <c r="GIL18" s="450">
        <f>GIF18+GII18</f>
        <v>62201294.850000001</v>
      </c>
      <c r="GIM18" s="454">
        <f>+GIG18+GIJ18</f>
        <v>60000000</v>
      </c>
      <c r="GIN18" s="461"/>
      <c r="GIO18" s="450"/>
      <c r="GIP18" s="594">
        <f>(GIL18-GID18)/GID18</f>
        <v>0.13401162364699606</v>
      </c>
      <c r="GIQ18" s="436" t="s">
        <v>141</v>
      </c>
      <c r="GIR18" s="448">
        <v>54850667.799999997</v>
      </c>
      <c r="GIS18" s="449"/>
      <c r="GIT18" s="448">
        <f>GIR18+GIS18</f>
        <v>54850667.799999997</v>
      </c>
      <c r="GIU18" s="452"/>
      <c r="GIV18" s="452">
        <v>62201294.850000001</v>
      </c>
      <c r="GIW18" s="451">
        <f>60000000</f>
        <v>60000000</v>
      </c>
      <c r="GIX18" s="459"/>
      <c r="GIY18" s="452"/>
      <c r="GIZ18" s="450">
        <v>0</v>
      </c>
      <c r="GJA18" s="460"/>
      <c r="GJB18" s="450">
        <f>GIV18+GIY18</f>
        <v>62201294.850000001</v>
      </c>
      <c r="GJC18" s="454">
        <f>+GIW18+GIZ18</f>
        <v>60000000</v>
      </c>
      <c r="GJD18" s="461"/>
      <c r="GJE18" s="450"/>
      <c r="GJF18" s="594">
        <f>(GJB18-GIT18)/GIT18</f>
        <v>0.13401162364699606</v>
      </c>
      <c r="GJG18" s="436" t="s">
        <v>141</v>
      </c>
      <c r="GJH18" s="448">
        <v>54850667.799999997</v>
      </c>
      <c r="GJI18" s="449"/>
      <c r="GJJ18" s="448">
        <f>GJH18+GJI18</f>
        <v>54850667.799999997</v>
      </c>
      <c r="GJK18" s="452"/>
      <c r="GJL18" s="452">
        <v>62201294.850000001</v>
      </c>
      <c r="GJM18" s="451">
        <f>60000000</f>
        <v>60000000</v>
      </c>
      <c r="GJN18" s="459"/>
      <c r="GJO18" s="452"/>
      <c r="GJP18" s="450">
        <v>0</v>
      </c>
      <c r="GJQ18" s="460"/>
      <c r="GJR18" s="450">
        <f>GJL18+GJO18</f>
        <v>62201294.850000001</v>
      </c>
      <c r="GJS18" s="454">
        <f>+GJM18+GJP18</f>
        <v>60000000</v>
      </c>
      <c r="GJT18" s="461"/>
      <c r="GJU18" s="450"/>
      <c r="GJV18" s="594">
        <f>(GJR18-GJJ18)/GJJ18</f>
        <v>0.13401162364699606</v>
      </c>
      <c r="GJW18" s="436" t="s">
        <v>141</v>
      </c>
      <c r="GJX18" s="448">
        <v>54850667.799999997</v>
      </c>
      <c r="GJY18" s="449"/>
      <c r="GJZ18" s="448">
        <f>GJX18+GJY18</f>
        <v>54850667.799999997</v>
      </c>
      <c r="GKA18" s="452"/>
      <c r="GKB18" s="452">
        <v>62201294.850000001</v>
      </c>
      <c r="GKC18" s="451">
        <f>60000000</f>
        <v>60000000</v>
      </c>
      <c r="GKD18" s="459"/>
      <c r="GKE18" s="452"/>
      <c r="GKF18" s="450">
        <v>0</v>
      </c>
      <c r="GKG18" s="460"/>
      <c r="GKH18" s="450">
        <f>GKB18+GKE18</f>
        <v>62201294.850000001</v>
      </c>
      <c r="GKI18" s="454">
        <f>+GKC18+GKF18</f>
        <v>60000000</v>
      </c>
      <c r="GKJ18" s="461"/>
      <c r="GKK18" s="450"/>
      <c r="GKL18" s="594">
        <f>(GKH18-GJZ18)/GJZ18</f>
        <v>0.13401162364699606</v>
      </c>
      <c r="GKM18" s="436" t="s">
        <v>141</v>
      </c>
      <c r="GKN18" s="448">
        <v>54850667.799999997</v>
      </c>
      <c r="GKO18" s="449"/>
      <c r="GKP18" s="448">
        <f>GKN18+GKO18</f>
        <v>54850667.799999997</v>
      </c>
      <c r="GKQ18" s="452"/>
      <c r="GKR18" s="452">
        <v>62201294.850000001</v>
      </c>
      <c r="GKS18" s="451">
        <f>60000000</f>
        <v>60000000</v>
      </c>
      <c r="GKT18" s="459"/>
      <c r="GKU18" s="452"/>
      <c r="GKV18" s="450">
        <v>0</v>
      </c>
      <c r="GKW18" s="460"/>
      <c r="GKX18" s="450">
        <f>GKR18+GKU18</f>
        <v>62201294.850000001</v>
      </c>
      <c r="GKY18" s="454">
        <f>+GKS18+GKV18</f>
        <v>60000000</v>
      </c>
      <c r="GKZ18" s="461"/>
      <c r="GLA18" s="450"/>
      <c r="GLB18" s="594">
        <f>(GKX18-GKP18)/GKP18</f>
        <v>0.13401162364699606</v>
      </c>
      <c r="GLC18" s="436" t="s">
        <v>141</v>
      </c>
      <c r="GLD18" s="448">
        <v>54850667.799999997</v>
      </c>
      <c r="GLE18" s="449"/>
      <c r="GLF18" s="448">
        <f>GLD18+GLE18</f>
        <v>54850667.799999997</v>
      </c>
      <c r="GLG18" s="452"/>
      <c r="GLH18" s="452">
        <v>62201294.850000001</v>
      </c>
      <c r="GLI18" s="451">
        <f>60000000</f>
        <v>60000000</v>
      </c>
      <c r="GLJ18" s="459"/>
      <c r="GLK18" s="452"/>
      <c r="GLL18" s="450">
        <v>0</v>
      </c>
      <c r="GLM18" s="460"/>
      <c r="GLN18" s="450">
        <f>GLH18+GLK18</f>
        <v>62201294.850000001</v>
      </c>
      <c r="GLO18" s="454">
        <f>+GLI18+GLL18</f>
        <v>60000000</v>
      </c>
      <c r="GLP18" s="461"/>
      <c r="GLQ18" s="450"/>
      <c r="GLR18" s="594">
        <f>(GLN18-GLF18)/GLF18</f>
        <v>0.13401162364699606</v>
      </c>
      <c r="GLS18" s="436" t="s">
        <v>141</v>
      </c>
      <c r="GLT18" s="448">
        <v>54850667.799999997</v>
      </c>
      <c r="GLU18" s="449"/>
      <c r="GLV18" s="448">
        <f>GLT18+GLU18</f>
        <v>54850667.799999997</v>
      </c>
      <c r="GLW18" s="452"/>
      <c r="GLX18" s="452">
        <v>62201294.850000001</v>
      </c>
      <c r="GLY18" s="451">
        <f>60000000</f>
        <v>60000000</v>
      </c>
      <c r="GLZ18" s="459"/>
      <c r="GMA18" s="452"/>
      <c r="GMB18" s="450">
        <v>0</v>
      </c>
      <c r="GMC18" s="460"/>
      <c r="GMD18" s="450">
        <f>GLX18+GMA18</f>
        <v>62201294.850000001</v>
      </c>
      <c r="GME18" s="454">
        <f>+GLY18+GMB18</f>
        <v>60000000</v>
      </c>
      <c r="GMF18" s="461"/>
      <c r="GMG18" s="450"/>
      <c r="GMH18" s="594">
        <f>(GMD18-GLV18)/GLV18</f>
        <v>0.13401162364699606</v>
      </c>
      <c r="GMI18" s="436" t="s">
        <v>141</v>
      </c>
      <c r="GMJ18" s="448">
        <v>54850667.799999997</v>
      </c>
      <c r="GMK18" s="449"/>
      <c r="GML18" s="448">
        <f>GMJ18+GMK18</f>
        <v>54850667.799999997</v>
      </c>
      <c r="GMM18" s="452"/>
      <c r="GMN18" s="452">
        <v>62201294.850000001</v>
      </c>
      <c r="GMO18" s="451">
        <f>60000000</f>
        <v>60000000</v>
      </c>
      <c r="GMP18" s="459"/>
      <c r="GMQ18" s="452"/>
      <c r="GMR18" s="450">
        <v>0</v>
      </c>
      <c r="GMS18" s="460"/>
      <c r="GMT18" s="450">
        <f>GMN18+GMQ18</f>
        <v>62201294.850000001</v>
      </c>
      <c r="GMU18" s="454">
        <f>+GMO18+GMR18</f>
        <v>60000000</v>
      </c>
      <c r="GMV18" s="461"/>
      <c r="GMW18" s="450"/>
      <c r="GMX18" s="594">
        <f>(GMT18-GML18)/GML18</f>
        <v>0.13401162364699606</v>
      </c>
      <c r="GMY18" s="436" t="s">
        <v>141</v>
      </c>
      <c r="GMZ18" s="448">
        <v>54850667.799999997</v>
      </c>
      <c r="GNA18" s="449"/>
      <c r="GNB18" s="448">
        <f>GMZ18+GNA18</f>
        <v>54850667.799999997</v>
      </c>
      <c r="GNC18" s="452"/>
      <c r="GND18" s="452">
        <v>62201294.850000001</v>
      </c>
      <c r="GNE18" s="451">
        <f>60000000</f>
        <v>60000000</v>
      </c>
      <c r="GNF18" s="459"/>
      <c r="GNG18" s="452"/>
      <c r="GNH18" s="450">
        <v>0</v>
      </c>
      <c r="GNI18" s="460"/>
      <c r="GNJ18" s="450">
        <f>GND18+GNG18</f>
        <v>62201294.850000001</v>
      </c>
      <c r="GNK18" s="454">
        <f>+GNE18+GNH18</f>
        <v>60000000</v>
      </c>
      <c r="GNL18" s="461"/>
      <c r="GNM18" s="450"/>
      <c r="GNN18" s="594">
        <f>(GNJ18-GNB18)/GNB18</f>
        <v>0.13401162364699606</v>
      </c>
      <c r="GNO18" s="436" t="s">
        <v>141</v>
      </c>
      <c r="GNP18" s="448">
        <v>54850667.799999997</v>
      </c>
      <c r="GNQ18" s="449"/>
      <c r="GNR18" s="448">
        <f>GNP18+GNQ18</f>
        <v>54850667.799999997</v>
      </c>
      <c r="GNS18" s="452"/>
      <c r="GNT18" s="452">
        <v>62201294.850000001</v>
      </c>
      <c r="GNU18" s="451">
        <f>60000000</f>
        <v>60000000</v>
      </c>
      <c r="GNV18" s="459"/>
      <c r="GNW18" s="452"/>
      <c r="GNX18" s="450">
        <v>0</v>
      </c>
      <c r="GNY18" s="460"/>
      <c r="GNZ18" s="450">
        <f>GNT18+GNW18</f>
        <v>62201294.850000001</v>
      </c>
      <c r="GOA18" s="454">
        <f>+GNU18+GNX18</f>
        <v>60000000</v>
      </c>
      <c r="GOB18" s="461"/>
      <c r="GOC18" s="450"/>
      <c r="GOD18" s="594">
        <f>(GNZ18-GNR18)/GNR18</f>
        <v>0.13401162364699606</v>
      </c>
      <c r="GOE18" s="436" t="s">
        <v>141</v>
      </c>
      <c r="GOF18" s="448">
        <v>54850667.799999997</v>
      </c>
      <c r="GOG18" s="449"/>
      <c r="GOH18" s="448">
        <f>GOF18+GOG18</f>
        <v>54850667.799999997</v>
      </c>
      <c r="GOI18" s="452"/>
      <c r="GOJ18" s="452">
        <v>62201294.850000001</v>
      </c>
      <c r="GOK18" s="451">
        <f>60000000</f>
        <v>60000000</v>
      </c>
      <c r="GOL18" s="459"/>
      <c r="GOM18" s="452"/>
      <c r="GON18" s="450">
        <v>0</v>
      </c>
      <c r="GOO18" s="460"/>
      <c r="GOP18" s="450">
        <f>GOJ18+GOM18</f>
        <v>62201294.850000001</v>
      </c>
      <c r="GOQ18" s="454">
        <f>+GOK18+GON18</f>
        <v>60000000</v>
      </c>
      <c r="GOR18" s="461"/>
      <c r="GOS18" s="450"/>
      <c r="GOT18" s="594">
        <f>(GOP18-GOH18)/GOH18</f>
        <v>0.13401162364699606</v>
      </c>
      <c r="GOU18" s="436" t="s">
        <v>141</v>
      </c>
      <c r="GOV18" s="448">
        <v>54850667.799999997</v>
      </c>
      <c r="GOW18" s="449"/>
      <c r="GOX18" s="448">
        <f>GOV18+GOW18</f>
        <v>54850667.799999997</v>
      </c>
      <c r="GOY18" s="452"/>
      <c r="GOZ18" s="452">
        <v>62201294.850000001</v>
      </c>
      <c r="GPA18" s="451">
        <f>60000000</f>
        <v>60000000</v>
      </c>
      <c r="GPB18" s="459"/>
      <c r="GPC18" s="452"/>
      <c r="GPD18" s="450">
        <v>0</v>
      </c>
      <c r="GPE18" s="460"/>
      <c r="GPF18" s="450">
        <f>GOZ18+GPC18</f>
        <v>62201294.850000001</v>
      </c>
      <c r="GPG18" s="454">
        <f>+GPA18+GPD18</f>
        <v>60000000</v>
      </c>
      <c r="GPH18" s="461"/>
      <c r="GPI18" s="450"/>
      <c r="GPJ18" s="594">
        <f>(GPF18-GOX18)/GOX18</f>
        <v>0.13401162364699606</v>
      </c>
      <c r="GPK18" s="436" t="s">
        <v>141</v>
      </c>
      <c r="GPL18" s="448">
        <v>54850667.799999997</v>
      </c>
      <c r="GPM18" s="449"/>
      <c r="GPN18" s="448">
        <f>GPL18+GPM18</f>
        <v>54850667.799999997</v>
      </c>
      <c r="GPO18" s="452"/>
      <c r="GPP18" s="452">
        <v>62201294.850000001</v>
      </c>
      <c r="GPQ18" s="451">
        <f>60000000</f>
        <v>60000000</v>
      </c>
      <c r="GPR18" s="459"/>
      <c r="GPS18" s="452"/>
      <c r="GPT18" s="450">
        <v>0</v>
      </c>
      <c r="GPU18" s="460"/>
      <c r="GPV18" s="450">
        <f>GPP18+GPS18</f>
        <v>62201294.850000001</v>
      </c>
      <c r="GPW18" s="454">
        <f>+GPQ18+GPT18</f>
        <v>60000000</v>
      </c>
      <c r="GPX18" s="461"/>
      <c r="GPY18" s="450"/>
      <c r="GPZ18" s="594">
        <f>(GPV18-GPN18)/GPN18</f>
        <v>0.13401162364699606</v>
      </c>
      <c r="GQA18" s="436" t="s">
        <v>141</v>
      </c>
      <c r="GQB18" s="448">
        <v>54850667.799999997</v>
      </c>
      <c r="GQC18" s="449"/>
      <c r="GQD18" s="448">
        <f>GQB18+GQC18</f>
        <v>54850667.799999997</v>
      </c>
      <c r="GQE18" s="452"/>
      <c r="GQF18" s="452">
        <v>62201294.850000001</v>
      </c>
      <c r="GQG18" s="451">
        <f>60000000</f>
        <v>60000000</v>
      </c>
      <c r="GQH18" s="459"/>
      <c r="GQI18" s="452"/>
      <c r="GQJ18" s="450">
        <v>0</v>
      </c>
      <c r="GQK18" s="460"/>
      <c r="GQL18" s="450">
        <f>GQF18+GQI18</f>
        <v>62201294.850000001</v>
      </c>
      <c r="GQM18" s="454">
        <f>+GQG18+GQJ18</f>
        <v>60000000</v>
      </c>
      <c r="GQN18" s="461"/>
      <c r="GQO18" s="450"/>
      <c r="GQP18" s="594">
        <f>(GQL18-GQD18)/GQD18</f>
        <v>0.13401162364699606</v>
      </c>
      <c r="GQQ18" s="436" t="s">
        <v>141</v>
      </c>
      <c r="GQR18" s="448">
        <v>54850667.799999997</v>
      </c>
      <c r="GQS18" s="449"/>
      <c r="GQT18" s="448">
        <f>GQR18+GQS18</f>
        <v>54850667.799999997</v>
      </c>
      <c r="GQU18" s="452"/>
      <c r="GQV18" s="452">
        <v>62201294.850000001</v>
      </c>
      <c r="GQW18" s="451">
        <f>60000000</f>
        <v>60000000</v>
      </c>
      <c r="GQX18" s="459"/>
      <c r="GQY18" s="452"/>
      <c r="GQZ18" s="450">
        <v>0</v>
      </c>
      <c r="GRA18" s="460"/>
      <c r="GRB18" s="450">
        <f>GQV18+GQY18</f>
        <v>62201294.850000001</v>
      </c>
      <c r="GRC18" s="454">
        <f>+GQW18+GQZ18</f>
        <v>60000000</v>
      </c>
      <c r="GRD18" s="461"/>
      <c r="GRE18" s="450"/>
      <c r="GRF18" s="594">
        <f>(GRB18-GQT18)/GQT18</f>
        <v>0.13401162364699606</v>
      </c>
      <c r="GRG18" s="436" t="s">
        <v>141</v>
      </c>
      <c r="GRH18" s="448">
        <v>54850667.799999997</v>
      </c>
      <c r="GRI18" s="449"/>
      <c r="GRJ18" s="448">
        <f>GRH18+GRI18</f>
        <v>54850667.799999997</v>
      </c>
      <c r="GRK18" s="452"/>
      <c r="GRL18" s="452">
        <v>62201294.850000001</v>
      </c>
      <c r="GRM18" s="451">
        <f>60000000</f>
        <v>60000000</v>
      </c>
      <c r="GRN18" s="459"/>
      <c r="GRO18" s="452"/>
      <c r="GRP18" s="450">
        <v>0</v>
      </c>
      <c r="GRQ18" s="460"/>
      <c r="GRR18" s="450">
        <f>GRL18+GRO18</f>
        <v>62201294.850000001</v>
      </c>
      <c r="GRS18" s="454">
        <f>+GRM18+GRP18</f>
        <v>60000000</v>
      </c>
      <c r="GRT18" s="461"/>
      <c r="GRU18" s="450"/>
      <c r="GRV18" s="594">
        <f>(GRR18-GRJ18)/GRJ18</f>
        <v>0.13401162364699606</v>
      </c>
      <c r="GRW18" s="436" t="s">
        <v>141</v>
      </c>
      <c r="GRX18" s="448">
        <v>54850667.799999997</v>
      </c>
      <c r="GRY18" s="449"/>
      <c r="GRZ18" s="448">
        <f>GRX18+GRY18</f>
        <v>54850667.799999997</v>
      </c>
      <c r="GSA18" s="452"/>
      <c r="GSB18" s="452">
        <v>62201294.850000001</v>
      </c>
      <c r="GSC18" s="451">
        <f>60000000</f>
        <v>60000000</v>
      </c>
      <c r="GSD18" s="459"/>
      <c r="GSE18" s="452"/>
      <c r="GSF18" s="450">
        <v>0</v>
      </c>
      <c r="GSG18" s="460"/>
      <c r="GSH18" s="450">
        <f>GSB18+GSE18</f>
        <v>62201294.850000001</v>
      </c>
      <c r="GSI18" s="454">
        <f>+GSC18+GSF18</f>
        <v>60000000</v>
      </c>
      <c r="GSJ18" s="461"/>
      <c r="GSK18" s="450"/>
      <c r="GSL18" s="594">
        <f>(GSH18-GRZ18)/GRZ18</f>
        <v>0.13401162364699606</v>
      </c>
      <c r="GSM18" s="436" t="s">
        <v>141</v>
      </c>
      <c r="GSN18" s="448">
        <v>54850667.799999997</v>
      </c>
      <c r="GSO18" s="449"/>
      <c r="GSP18" s="448">
        <f>GSN18+GSO18</f>
        <v>54850667.799999997</v>
      </c>
      <c r="GSQ18" s="452"/>
      <c r="GSR18" s="452">
        <v>62201294.850000001</v>
      </c>
      <c r="GSS18" s="451">
        <f>60000000</f>
        <v>60000000</v>
      </c>
      <c r="GST18" s="459"/>
      <c r="GSU18" s="452"/>
      <c r="GSV18" s="450">
        <v>0</v>
      </c>
      <c r="GSW18" s="460"/>
      <c r="GSX18" s="450">
        <f>GSR18+GSU18</f>
        <v>62201294.850000001</v>
      </c>
      <c r="GSY18" s="454">
        <f>+GSS18+GSV18</f>
        <v>60000000</v>
      </c>
      <c r="GSZ18" s="461"/>
      <c r="GTA18" s="450"/>
      <c r="GTB18" s="594">
        <f>(GSX18-GSP18)/GSP18</f>
        <v>0.13401162364699606</v>
      </c>
      <c r="GTC18" s="436" t="s">
        <v>141</v>
      </c>
      <c r="GTD18" s="448">
        <v>54850667.799999997</v>
      </c>
      <c r="GTE18" s="449"/>
      <c r="GTF18" s="448">
        <f>GTD18+GTE18</f>
        <v>54850667.799999997</v>
      </c>
      <c r="GTG18" s="452"/>
      <c r="GTH18" s="452">
        <v>62201294.850000001</v>
      </c>
      <c r="GTI18" s="451">
        <f>60000000</f>
        <v>60000000</v>
      </c>
      <c r="GTJ18" s="459"/>
      <c r="GTK18" s="452"/>
      <c r="GTL18" s="450">
        <v>0</v>
      </c>
      <c r="GTM18" s="460"/>
      <c r="GTN18" s="450">
        <f>GTH18+GTK18</f>
        <v>62201294.850000001</v>
      </c>
      <c r="GTO18" s="454">
        <f>+GTI18+GTL18</f>
        <v>60000000</v>
      </c>
      <c r="GTP18" s="461"/>
      <c r="GTQ18" s="450"/>
      <c r="GTR18" s="594">
        <f>(GTN18-GTF18)/GTF18</f>
        <v>0.13401162364699606</v>
      </c>
      <c r="GTS18" s="436" t="s">
        <v>141</v>
      </c>
      <c r="GTT18" s="448">
        <v>54850667.799999997</v>
      </c>
      <c r="GTU18" s="449"/>
      <c r="GTV18" s="448">
        <f>GTT18+GTU18</f>
        <v>54850667.799999997</v>
      </c>
      <c r="GTW18" s="452"/>
      <c r="GTX18" s="452">
        <v>62201294.850000001</v>
      </c>
      <c r="GTY18" s="451">
        <f>60000000</f>
        <v>60000000</v>
      </c>
      <c r="GTZ18" s="459"/>
      <c r="GUA18" s="452"/>
      <c r="GUB18" s="450">
        <v>0</v>
      </c>
      <c r="GUC18" s="460"/>
      <c r="GUD18" s="450">
        <f>GTX18+GUA18</f>
        <v>62201294.850000001</v>
      </c>
      <c r="GUE18" s="454">
        <f>+GTY18+GUB18</f>
        <v>60000000</v>
      </c>
      <c r="GUF18" s="461"/>
      <c r="GUG18" s="450"/>
      <c r="GUH18" s="594">
        <f>(GUD18-GTV18)/GTV18</f>
        <v>0.13401162364699606</v>
      </c>
      <c r="GUI18" s="436" t="s">
        <v>141</v>
      </c>
      <c r="GUJ18" s="448">
        <v>54850667.799999997</v>
      </c>
      <c r="GUK18" s="449"/>
      <c r="GUL18" s="448">
        <f>GUJ18+GUK18</f>
        <v>54850667.799999997</v>
      </c>
      <c r="GUM18" s="452"/>
      <c r="GUN18" s="452">
        <v>62201294.850000001</v>
      </c>
      <c r="GUO18" s="451">
        <f>60000000</f>
        <v>60000000</v>
      </c>
      <c r="GUP18" s="459"/>
      <c r="GUQ18" s="452"/>
      <c r="GUR18" s="450">
        <v>0</v>
      </c>
      <c r="GUS18" s="460"/>
      <c r="GUT18" s="450">
        <f>GUN18+GUQ18</f>
        <v>62201294.850000001</v>
      </c>
      <c r="GUU18" s="454">
        <f>+GUO18+GUR18</f>
        <v>60000000</v>
      </c>
      <c r="GUV18" s="461"/>
      <c r="GUW18" s="450"/>
      <c r="GUX18" s="594">
        <f>(GUT18-GUL18)/GUL18</f>
        <v>0.13401162364699606</v>
      </c>
      <c r="GUY18" s="436" t="s">
        <v>141</v>
      </c>
      <c r="GUZ18" s="448">
        <v>54850667.799999997</v>
      </c>
      <c r="GVA18" s="449"/>
      <c r="GVB18" s="448">
        <f>GUZ18+GVA18</f>
        <v>54850667.799999997</v>
      </c>
      <c r="GVC18" s="452"/>
      <c r="GVD18" s="452">
        <v>62201294.850000001</v>
      </c>
      <c r="GVE18" s="451">
        <f>60000000</f>
        <v>60000000</v>
      </c>
      <c r="GVF18" s="459"/>
      <c r="GVG18" s="452"/>
      <c r="GVH18" s="450">
        <v>0</v>
      </c>
      <c r="GVI18" s="460"/>
      <c r="GVJ18" s="450">
        <f>GVD18+GVG18</f>
        <v>62201294.850000001</v>
      </c>
      <c r="GVK18" s="454">
        <f>+GVE18+GVH18</f>
        <v>60000000</v>
      </c>
      <c r="GVL18" s="461"/>
      <c r="GVM18" s="450"/>
      <c r="GVN18" s="594">
        <f>(GVJ18-GVB18)/GVB18</f>
        <v>0.13401162364699606</v>
      </c>
      <c r="GVO18" s="436" t="s">
        <v>141</v>
      </c>
      <c r="GVP18" s="448">
        <v>54850667.799999997</v>
      </c>
      <c r="GVQ18" s="449"/>
      <c r="GVR18" s="448">
        <f>GVP18+GVQ18</f>
        <v>54850667.799999997</v>
      </c>
      <c r="GVS18" s="452"/>
      <c r="GVT18" s="452">
        <v>62201294.850000001</v>
      </c>
      <c r="GVU18" s="451">
        <f>60000000</f>
        <v>60000000</v>
      </c>
      <c r="GVV18" s="459"/>
      <c r="GVW18" s="452"/>
      <c r="GVX18" s="450">
        <v>0</v>
      </c>
      <c r="GVY18" s="460"/>
      <c r="GVZ18" s="450">
        <f>GVT18+GVW18</f>
        <v>62201294.850000001</v>
      </c>
      <c r="GWA18" s="454">
        <f>+GVU18+GVX18</f>
        <v>60000000</v>
      </c>
      <c r="GWB18" s="461"/>
      <c r="GWC18" s="450"/>
      <c r="GWD18" s="594">
        <f>(GVZ18-GVR18)/GVR18</f>
        <v>0.13401162364699606</v>
      </c>
      <c r="GWE18" s="436" t="s">
        <v>141</v>
      </c>
      <c r="GWF18" s="448">
        <v>54850667.799999997</v>
      </c>
      <c r="GWG18" s="449"/>
      <c r="GWH18" s="448">
        <f>GWF18+GWG18</f>
        <v>54850667.799999997</v>
      </c>
      <c r="GWI18" s="452"/>
      <c r="GWJ18" s="452">
        <v>62201294.850000001</v>
      </c>
      <c r="GWK18" s="451">
        <f>60000000</f>
        <v>60000000</v>
      </c>
      <c r="GWL18" s="459"/>
      <c r="GWM18" s="452"/>
      <c r="GWN18" s="450">
        <v>0</v>
      </c>
      <c r="GWO18" s="460"/>
      <c r="GWP18" s="450">
        <f>GWJ18+GWM18</f>
        <v>62201294.850000001</v>
      </c>
      <c r="GWQ18" s="454">
        <f>+GWK18+GWN18</f>
        <v>60000000</v>
      </c>
      <c r="GWR18" s="461"/>
      <c r="GWS18" s="450"/>
      <c r="GWT18" s="594">
        <f>(GWP18-GWH18)/GWH18</f>
        <v>0.13401162364699606</v>
      </c>
      <c r="GWU18" s="436" t="s">
        <v>141</v>
      </c>
      <c r="GWV18" s="448">
        <v>54850667.799999997</v>
      </c>
      <c r="GWW18" s="449"/>
      <c r="GWX18" s="448">
        <f>GWV18+GWW18</f>
        <v>54850667.799999997</v>
      </c>
      <c r="GWY18" s="452"/>
      <c r="GWZ18" s="452">
        <v>62201294.850000001</v>
      </c>
      <c r="GXA18" s="451">
        <f>60000000</f>
        <v>60000000</v>
      </c>
      <c r="GXB18" s="459"/>
      <c r="GXC18" s="452"/>
      <c r="GXD18" s="450">
        <v>0</v>
      </c>
      <c r="GXE18" s="460"/>
      <c r="GXF18" s="450">
        <f>GWZ18+GXC18</f>
        <v>62201294.850000001</v>
      </c>
      <c r="GXG18" s="454">
        <f>+GXA18+GXD18</f>
        <v>60000000</v>
      </c>
      <c r="GXH18" s="461"/>
      <c r="GXI18" s="450"/>
      <c r="GXJ18" s="594">
        <f>(GXF18-GWX18)/GWX18</f>
        <v>0.13401162364699606</v>
      </c>
      <c r="GXK18" s="436" t="s">
        <v>141</v>
      </c>
      <c r="GXL18" s="448">
        <v>54850667.799999997</v>
      </c>
      <c r="GXM18" s="449"/>
      <c r="GXN18" s="448">
        <f>GXL18+GXM18</f>
        <v>54850667.799999997</v>
      </c>
      <c r="GXO18" s="452"/>
      <c r="GXP18" s="452">
        <v>62201294.850000001</v>
      </c>
      <c r="GXQ18" s="451">
        <f>60000000</f>
        <v>60000000</v>
      </c>
      <c r="GXR18" s="459"/>
      <c r="GXS18" s="452"/>
      <c r="GXT18" s="450">
        <v>0</v>
      </c>
      <c r="GXU18" s="460"/>
      <c r="GXV18" s="450">
        <f>GXP18+GXS18</f>
        <v>62201294.850000001</v>
      </c>
      <c r="GXW18" s="454">
        <f>+GXQ18+GXT18</f>
        <v>60000000</v>
      </c>
      <c r="GXX18" s="461"/>
      <c r="GXY18" s="450"/>
      <c r="GXZ18" s="594">
        <f>(GXV18-GXN18)/GXN18</f>
        <v>0.13401162364699606</v>
      </c>
      <c r="GYA18" s="436" t="s">
        <v>141</v>
      </c>
      <c r="GYB18" s="448">
        <v>54850667.799999997</v>
      </c>
      <c r="GYC18" s="449"/>
      <c r="GYD18" s="448">
        <f>GYB18+GYC18</f>
        <v>54850667.799999997</v>
      </c>
      <c r="GYE18" s="452"/>
      <c r="GYF18" s="452">
        <v>62201294.850000001</v>
      </c>
      <c r="GYG18" s="451">
        <f>60000000</f>
        <v>60000000</v>
      </c>
      <c r="GYH18" s="459"/>
      <c r="GYI18" s="452"/>
      <c r="GYJ18" s="450">
        <v>0</v>
      </c>
      <c r="GYK18" s="460"/>
      <c r="GYL18" s="450">
        <f>GYF18+GYI18</f>
        <v>62201294.850000001</v>
      </c>
      <c r="GYM18" s="454">
        <f>+GYG18+GYJ18</f>
        <v>60000000</v>
      </c>
      <c r="GYN18" s="461"/>
      <c r="GYO18" s="450"/>
      <c r="GYP18" s="594">
        <f>(GYL18-GYD18)/GYD18</f>
        <v>0.13401162364699606</v>
      </c>
      <c r="GYQ18" s="436" t="s">
        <v>141</v>
      </c>
      <c r="GYR18" s="448">
        <v>54850667.799999997</v>
      </c>
      <c r="GYS18" s="449"/>
      <c r="GYT18" s="448">
        <f>GYR18+GYS18</f>
        <v>54850667.799999997</v>
      </c>
      <c r="GYU18" s="452"/>
      <c r="GYV18" s="452">
        <v>62201294.850000001</v>
      </c>
      <c r="GYW18" s="451">
        <f>60000000</f>
        <v>60000000</v>
      </c>
      <c r="GYX18" s="459"/>
      <c r="GYY18" s="452"/>
      <c r="GYZ18" s="450">
        <v>0</v>
      </c>
      <c r="GZA18" s="460"/>
      <c r="GZB18" s="450">
        <f>GYV18+GYY18</f>
        <v>62201294.850000001</v>
      </c>
      <c r="GZC18" s="454">
        <f>+GYW18+GYZ18</f>
        <v>60000000</v>
      </c>
      <c r="GZD18" s="461"/>
      <c r="GZE18" s="450"/>
      <c r="GZF18" s="594">
        <f>(GZB18-GYT18)/GYT18</f>
        <v>0.13401162364699606</v>
      </c>
      <c r="GZG18" s="436" t="s">
        <v>141</v>
      </c>
      <c r="GZH18" s="448">
        <v>54850667.799999997</v>
      </c>
      <c r="GZI18" s="449"/>
      <c r="GZJ18" s="448">
        <f>GZH18+GZI18</f>
        <v>54850667.799999997</v>
      </c>
      <c r="GZK18" s="452"/>
      <c r="GZL18" s="452">
        <v>62201294.850000001</v>
      </c>
      <c r="GZM18" s="451">
        <f>60000000</f>
        <v>60000000</v>
      </c>
      <c r="GZN18" s="459"/>
      <c r="GZO18" s="452"/>
      <c r="GZP18" s="450">
        <v>0</v>
      </c>
      <c r="GZQ18" s="460"/>
      <c r="GZR18" s="450">
        <f>GZL18+GZO18</f>
        <v>62201294.850000001</v>
      </c>
      <c r="GZS18" s="454">
        <f>+GZM18+GZP18</f>
        <v>60000000</v>
      </c>
      <c r="GZT18" s="461"/>
      <c r="GZU18" s="450"/>
      <c r="GZV18" s="594">
        <f>(GZR18-GZJ18)/GZJ18</f>
        <v>0.13401162364699606</v>
      </c>
      <c r="GZW18" s="436" t="s">
        <v>141</v>
      </c>
      <c r="GZX18" s="448">
        <v>54850667.799999997</v>
      </c>
      <c r="GZY18" s="449"/>
      <c r="GZZ18" s="448">
        <f>GZX18+GZY18</f>
        <v>54850667.799999997</v>
      </c>
      <c r="HAA18" s="452"/>
      <c r="HAB18" s="452">
        <v>62201294.850000001</v>
      </c>
      <c r="HAC18" s="451">
        <f>60000000</f>
        <v>60000000</v>
      </c>
      <c r="HAD18" s="459"/>
      <c r="HAE18" s="452"/>
      <c r="HAF18" s="450">
        <v>0</v>
      </c>
      <c r="HAG18" s="460"/>
      <c r="HAH18" s="450">
        <f>HAB18+HAE18</f>
        <v>62201294.850000001</v>
      </c>
      <c r="HAI18" s="454">
        <f>+HAC18+HAF18</f>
        <v>60000000</v>
      </c>
      <c r="HAJ18" s="461"/>
      <c r="HAK18" s="450"/>
      <c r="HAL18" s="594">
        <f>(HAH18-GZZ18)/GZZ18</f>
        <v>0.13401162364699606</v>
      </c>
      <c r="HAM18" s="436" t="s">
        <v>141</v>
      </c>
      <c r="HAN18" s="448">
        <v>54850667.799999997</v>
      </c>
      <c r="HAO18" s="449"/>
      <c r="HAP18" s="448">
        <f>HAN18+HAO18</f>
        <v>54850667.799999997</v>
      </c>
      <c r="HAQ18" s="452"/>
      <c r="HAR18" s="452">
        <v>62201294.850000001</v>
      </c>
      <c r="HAS18" s="451">
        <f>60000000</f>
        <v>60000000</v>
      </c>
      <c r="HAT18" s="459"/>
      <c r="HAU18" s="452"/>
      <c r="HAV18" s="450">
        <v>0</v>
      </c>
      <c r="HAW18" s="460"/>
      <c r="HAX18" s="450">
        <f>HAR18+HAU18</f>
        <v>62201294.850000001</v>
      </c>
      <c r="HAY18" s="454">
        <f>+HAS18+HAV18</f>
        <v>60000000</v>
      </c>
      <c r="HAZ18" s="461"/>
      <c r="HBA18" s="450"/>
      <c r="HBB18" s="594">
        <f>(HAX18-HAP18)/HAP18</f>
        <v>0.13401162364699606</v>
      </c>
      <c r="HBC18" s="436" t="s">
        <v>141</v>
      </c>
      <c r="HBD18" s="448">
        <v>54850667.799999997</v>
      </c>
      <c r="HBE18" s="449"/>
      <c r="HBF18" s="448">
        <f>HBD18+HBE18</f>
        <v>54850667.799999997</v>
      </c>
      <c r="HBG18" s="452"/>
      <c r="HBH18" s="452">
        <v>62201294.850000001</v>
      </c>
      <c r="HBI18" s="451">
        <f>60000000</f>
        <v>60000000</v>
      </c>
      <c r="HBJ18" s="459"/>
      <c r="HBK18" s="452"/>
      <c r="HBL18" s="450">
        <v>0</v>
      </c>
      <c r="HBM18" s="460"/>
      <c r="HBN18" s="450">
        <f>HBH18+HBK18</f>
        <v>62201294.850000001</v>
      </c>
      <c r="HBO18" s="454">
        <f>+HBI18+HBL18</f>
        <v>60000000</v>
      </c>
      <c r="HBP18" s="461"/>
      <c r="HBQ18" s="450"/>
      <c r="HBR18" s="594">
        <f>(HBN18-HBF18)/HBF18</f>
        <v>0.13401162364699606</v>
      </c>
      <c r="HBS18" s="436" t="s">
        <v>141</v>
      </c>
      <c r="HBT18" s="448">
        <v>54850667.799999997</v>
      </c>
      <c r="HBU18" s="449"/>
      <c r="HBV18" s="448">
        <f>HBT18+HBU18</f>
        <v>54850667.799999997</v>
      </c>
      <c r="HBW18" s="452"/>
      <c r="HBX18" s="452">
        <v>62201294.850000001</v>
      </c>
      <c r="HBY18" s="451">
        <f>60000000</f>
        <v>60000000</v>
      </c>
      <c r="HBZ18" s="459"/>
      <c r="HCA18" s="452"/>
      <c r="HCB18" s="450">
        <v>0</v>
      </c>
      <c r="HCC18" s="460"/>
      <c r="HCD18" s="450">
        <f>HBX18+HCA18</f>
        <v>62201294.850000001</v>
      </c>
      <c r="HCE18" s="454">
        <f>+HBY18+HCB18</f>
        <v>60000000</v>
      </c>
      <c r="HCF18" s="461"/>
      <c r="HCG18" s="450"/>
      <c r="HCH18" s="594">
        <f>(HCD18-HBV18)/HBV18</f>
        <v>0.13401162364699606</v>
      </c>
      <c r="HCI18" s="436" t="s">
        <v>141</v>
      </c>
      <c r="HCJ18" s="448">
        <v>54850667.799999997</v>
      </c>
      <c r="HCK18" s="449"/>
      <c r="HCL18" s="448">
        <f>HCJ18+HCK18</f>
        <v>54850667.799999997</v>
      </c>
      <c r="HCM18" s="452"/>
      <c r="HCN18" s="452">
        <v>62201294.850000001</v>
      </c>
      <c r="HCO18" s="451">
        <f>60000000</f>
        <v>60000000</v>
      </c>
      <c r="HCP18" s="459"/>
      <c r="HCQ18" s="452"/>
      <c r="HCR18" s="450">
        <v>0</v>
      </c>
      <c r="HCS18" s="460"/>
      <c r="HCT18" s="450">
        <f>HCN18+HCQ18</f>
        <v>62201294.850000001</v>
      </c>
      <c r="HCU18" s="454">
        <f>+HCO18+HCR18</f>
        <v>60000000</v>
      </c>
      <c r="HCV18" s="461"/>
      <c r="HCW18" s="450"/>
      <c r="HCX18" s="594">
        <f>(HCT18-HCL18)/HCL18</f>
        <v>0.13401162364699606</v>
      </c>
      <c r="HCY18" s="436" t="s">
        <v>141</v>
      </c>
      <c r="HCZ18" s="448">
        <v>54850667.799999997</v>
      </c>
      <c r="HDA18" s="449"/>
      <c r="HDB18" s="448">
        <f>HCZ18+HDA18</f>
        <v>54850667.799999997</v>
      </c>
      <c r="HDC18" s="452"/>
      <c r="HDD18" s="452">
        <v>62201294.850000001</v>
      </c>
      <c r="HDE18" s="451">
        <f>60000000</f>
        <v>60000000</v>
      </c>
      <c r="HDF18" s="459"/>
      <c r="HDG18" s="452"/>
      <c r="HDH18" s="450">
        <v>0</v>
      </c>
      <c r="HDI18" s="460"/>
      <c r="HDJ18" s="450">
        <f>HDD18+HDG18</f>
        <v>62201294.850000001</v>
      </c>
      <c r="HDK18" s="454">
        <f>+HDE18+HDH18</f>
        <v>60000000</v>
      </c>
      <c r="HDL18" s="461"/>
      <c r="HDM18" s="450"/>
      <c r="HDN18" s="594">
        <f>(HDJ18-HDB18)/HDB18</f>
        <v>0.13401162364699606</v>
      </c>
      <c r="HDO18" s="436" t="s">
        <v>141</v>
      </c>
      <c r="HDP18" s="448">
        <v>54850667.799999997</v>
      </c>
      <c r="HDQ18" s="449"/>
      <c r="HDR18" s="448">
        <f>HDP18+HDQ18</f>
        <v>54850667.799999997</v>
      </c>
      <c r="HDS18" s="452"/>
      <c r="HDT18" s="452">
        <v>62201294.850000001</v>
      </c>
      <c r="HDU18" s="451">
        <f>60000000</f>
        <v>60000000</v>
      </c>
      <c r="HDV18" s="459"/>
      <c r="HDW18" s="452"/>
      <c r="HDX18" s="450">
        <v>0</v>
      </c>
      <c r="HDY18" s="460"/>
      <c r="HDZ18" s="450">
        <f>HDT18+HDW18</f>
        <v>62201294.850000001</v>
      </c>
      <c r="HEA18" s="454">
        <f>+HDU18+HDX18</f>
        <v>60000000</v>
      </c>
      <c r="HEB18" s="461"/>
      <c r="HEC18" s="450"/>
      <c r="HED18" s="594">
        <f>(HDZ18-HDR18)/HDR18</f>
        <v>0.13401162364699606</v>
      </c>
      <c r="HEE18" s="436" t="s">
        <v>141</v>
      </c>
      <c r="HEF18" s="448">
        <v>54850667.799999997</v>
      </c>
      <c r="HEG18" s="449"/>
      <c r="HEH18" s="448">
        <f>HEF18+HEG18</f>
        <v>54850667.799999997</v>
      </c>
      <c r="HEI18" s="452"/>
      <c r="HEJ18" s="452">
        <v>62201294.850000001</v>
      </c>
      <c r="HEK18" s="451">
        <f>60000000</f>
        <v>60000000</v>
      </c>
      <c r="HEL18" s="459"/>
      <c r="HEM18" s="452"/>
      <c r="HEN18" s="450">
        <v>0</v>
      </c>
      <c r="HEO18" s="460"/>
      <c r="HEP18" s="450">
        <f>HEJ18+HEM18</f>
        <v>62201294.850000001</v>
      </c>
      <c r="HEQ18" s="454">
        <f>+HEK18+HEN18</f>
        <v>60000000</v>
      </c>
      <c r="HER18" s="461"/>
      <c r="HES18" s="450"/>
      <c r="HET18" s="594">
        <f>(HEP18-HEH18)/HEH18</f>
        <v>0.13401162364699606</v>
      </c>
      <c r="HEU18" s="436" t="s">
        <v>141</v>
      </c>
      <c r="HEV18" s="448">
        <v>54850667.799999997</v>
      </c>
      <c r="HEW18" s="449"/>
      <c r="HEX18" s="448">
        <f>HEV18+HEW18</f>
        <v>54850667.799999997</v>
      </c>
      <c r="HEY18" s="452"/>
      <c r="HEZ18" s="452">
        <v>62201294.850000001</v>
      </c>
      <c r="HFA18" s="451">
        <f>60000000</f>
        <v>60000000</v>
      </c>
      <c r="HFB18" s="459"/>
      <c r="HFC18" s="452"/>
      <c r="HFD18" s="450">
        <v>0</v>
      </c>
      <c r="HFE18" s="460"/>
      <c r="HFF18" s="450">
        <f>HEZ18+HFC18</f>
        <v>62201294.850000001</v>
      </c>
      <c r="HFG18" s="454">
        <f>+HFA18+HFD18</f>
        <v>60000000</v>
      </c>
      <c r="HFH18" s="461"/>
      <c r="HFI18" s="450"/>
      <c r="HFJ18" s="594">
        <f>(HFF18-HEX18)/HEX18</f>
        <v>0.13401162364699606</v>
      </c>
      <c r="HFK18" s="436" t="s">
        <v>141</v>
      </c>
      <c r="HFL18" s="448">
        <v>54850667.799999997</v>
      </c>
      <c r="HFM18" s="449"/>
      <c r="HFN18" s="448">
        <f>HFL18+HFM18</f>
        <v>54850667.799999997</v>
      </c>
      <c r="HFO18" s="452"/>
      <c r="HFP18" s="452">
        <v>62201294.850000001</v>
      </c>
      <c r="HFQ18" s="451">
        <f>60000000</f>
        <v>60000000</v>
      </c>
      <c r="HFR18" s="459"/>
      <c r="HFS18" s="452"/>
      <c r="HFT18" s="450">
        <v>0</v>
      </c>
      <c r="HFU18" s="460"/>
      <c r="HFV18" s="450">
        <f>HFP18+HFS18</f>
        <v>62201294.850000001</v>
      </c>
      <c r="HFW18" s="454">
        <f>+HFQ18+HFT18</f>
        <v>60000000</v>
      </c>
      <c r="HFX18" s="461"/>
      <c r="HFY18" s="450"/>
      <c r="HFZ18" s="594">
        <f>(HFV18-HFN18)/HFN18</f>
        <v>0.13401162364699606</v>
      </c>
      <c r="HGA18" s="436" t="s">
        <v>141</v>
      </c>
      <c r="HGB18" s="448">
        <v>54850667.799999997</v>
      </c>
      <c r="HGC18" s="449"/>
      <c r="HGD18" s="448">
        <f>HGB18+HGC18</f>
        <v>54850667.799999997</v>
      </c>
      <c r="HGE18" s="452"/>
      <c r="HGF18" s="452">
        <v>62201294.850000001</v>
      </c>
      <c r="HGG18" s="451">
        <f>60000000</f>
        <v>60000000</v>
      </c>
      <c r="HGH18" s="459"/>
      <c r="HGI18" s="452"/>
      <c r="HGJ18" s="450">
        <v>0</v>
      </c>
      <c r="HGK18" s="460"/>
      <c r="HGL18" s="450">
        <f>HGF18+HGI18</f>
        <v>62201294.850000001</v>
      </c>
      <c r="HGM18" s="454">
        <f>+HGG18+HGJ18</f>
        <v>60000000</v>
      </c>
      <c r="HGN18" s="461"/>
      <c r="HGO18" s="450"/>
      <c r="HGP18" s="594">
        <f>(HGL18-HGD18)/HGD18</f>
        <v>0.13401162364699606</v>
      </c>
      <c r="HGQ18" s="436" t="s">
        <v>141</v>
      </c>
      <c r="HGR18" s="448">
        <v>54850667.799999997</v>
      </c>
      <c r="HGS18" s="449"/>
      <c r="HGT18" s="448">
        <f>HGR18+HGS18</f>
        <v>54850667.799999997</v>
      </c>
      <c r="HGU18" s="452"/>
      <c r="HGV18" s="452">
        <v>62201294.850000001</v>
      </c>
      <c r="HGW18" s="451">
        <f>60000000</f>
        <v>60000000</v>
      </c>
      <c r="HGX18" s="459"/>
      <c r="HGY18" s="452"/>
      <c r="HGZ18" s="450">
        <v>0</v>
      </c>
      <c r="HHA18" s="460"/>
      <c r="HHB18" s="450">
        <f>HGV18+HGY18</f>
        <v>62201294.850000001</v>
      </c>
      <c r="HHC18" s="454">
        <f>+HGW18+HGZ18</f>
        <v>60000000</v>
      </c>
      <c r="HHD18" s="461"/>
      <c r="HHE18" s="450"/>
      <c r="HHF18" s="594">
        <f>(HHB18-HGT18)/HGT18</f>
        <v>0.13401162364699606</v>
      </c>
      <c r="HHG18" s="436" t="s">
        <v>141</v>
      </c>
      <c r="HHH18" s="448">
        <v>54850667.799999997</v>
      </c>
      <c r="HHI18" s="449"/>
      <c r="HHJ18" s="448">
        <f>HHH18+HHI18</f>
        <v>54850667.799999997</v>
      </c>
      <c r="HHK18" s="452"/>
      <c r="HHL18" s="452">
        <v>62201294.850000001</v>
      </c>
      <c r="HHM18" s="451">
        <f>60000000</f>
        <v>60000000</v>
      </c>
      <c r="HHN18" s="459"/>
      <c r="HHO18" s="452"/>
      <c r="HHP18" s="450">
        <v>0</v>
      </c>
      <c r="HHQ18" s="460"/>
      <c r="HHR18" s="450">
        <f>HHL18+HHO18</f>
        <v>62201294.850000001</v>
      </c>
      <c r="HHS18" s="454">
        <f>+HHM18+HHP18</f>
        <v>60000000</v>
      </c>
      <c r="HHT18" s="461"/>
      <c r="HHU18" s="450"/>
      <c r="HHV18" s="594">
        <f>(HHR18-HHJ18)/HHJ18</f>
        <v>0.13401162364699606</v>
      </c>
      <c r="HHW18" s="436" t="s">
        <v>141</v>
      </c>
      <c r="HHX18" s="448">
        <v>54850667.799999997</v>
      </c>
      <c r="HHY18" s="449"/>
      <c r="HHZ18" s="448">
        <f>HHX18+HHY18</f>
        <v>54850667.799999997</v>
      </c>
      <c r="HIA18" s="452"/>
      <c r="HIB18" s="452">
        <v>62201294.850000001</v>
      </c>
      <c r="HIC18" s="451">
        <f>60000000</f>
        <v>60000000</v>
      </c>
      <c r="HID18" s="459"/>
      <c r="HIE18" s="452"/>
      <c r="HIF18" s="450">
        <v>0</v>
      </c>
      <c r="HIG18" s="460"/>
      <c r="HIH18" s="450">
        <f>HIB18+HIE18</f>
        <v>62201294.850000001</v>
      </c>
      <c r="HII18" s="454">
        <f>+HIC18+HIF18</f>
        <v>60000000</v>
      </c>
      <c r="HIJ18" s="461"/>
      <c r="HIK18" s="450"/>
      <c r="HIL18" s="594">
        <f>(HIH18-HHZ18)/HHZ18</f>
        <v>0.13401162364699606</v>
      </c>
      <c r="HIM18" s="436" t="s">
        <v>141</v>
      </c>
      <c r="HIN18" s="448">
        <v>54850667.799999997</v>
      </c>
      <c r="HIO18" s="449"/>
      <c r="HIP18" s="448">
        <f>HIN18+HIO18</f>
        <v>54850667.799999997</v>
      </c>
      <c r="HIQ18" s="452"/>
      <c r="HIR18" s="452">
        <v>62201294.850000001</v>
      </c>
      <c r="HIS18" s="451">
        <f>60000000</f>
        <v>60000000</v>
      </c>
      <c r="HIT18" s="459"/>
      <c r="HIU18" s="452"/>
      <c r="HIV18" s="450">
        <v>0</v>
      </c>
      <c r="HIW18" s="460"/>
      <c r="HIX18" s="450">
        <f>HIR18+HIU18</f>
        <v>62201294.850000001</v>
      </c>
      <c r="HIY18" s="454">
        <f>+HIS18+HIV18</f>
        <v>60000000</v>
      </c>
      <c r="HIZ18" s="461"/>
      <c r="HJA18" s="450"/>
      <c r="HJB18" s="594">
        <f>(HIX18-HIP18)/HIP18</f>
        <v>0.13401162364699606</v>
      </c>
      <c r="HJC18" s="436" t="s">
        <v>141</v>
      </c>
      <c r="HJD18" s="448">
        <v>54850667.799999997</v>
      </c>
      <c r="HJE18" s="449"/>
      <c r="HJF18" s="448">
        <f>HJD18+HJE18</f>
        <v>54850667.799999997</v>
      </c>
      <c r="HJG18" s="452"/>
      <c r="HJH18" s="452">
        <v>62201294.850000001</v>
      </c>
      <c r="HJI18" s="451">
        <f>60000000</f>
        <v>60000000</v>
      </c>
      <c r="HJJ18" s="459"/>
      <c r="HJK18" s="452"/>
      <c r="HJL18" s="450">
        <v>0</v>
      </c>
      <c r="HJM18" s="460"/>
      <c r="HJN18" s="450">
        <f>HJH18+HJK18</f>
        <v>62201294.850000001</v>
      </c>
      <c r="HJO18" s="454">
        <f>+HJI18+HJL18</f>
        <v>60000000</v>
      </c>
      <c r="HJP18" s="461"/>
      <c r="HJQ18" s="450"/>
      <c r="HJR18" s="594">
        <f>(HJN18-HJF18)/HJF18</f>
        <v>0.13401162364699606</v>
      </c>
      <c r="HJS18" s="436" t="s">
        <v>141</v>
      </c>
      <c r="HJT18" s="448">
        <v>54850667.799999997</v>
      </c>
      <c r="HJU18" s="449"/>
      <c r="HJV18" s="448">
        <f>HJT18+HJU18</f>
        <v>54850667.799999997</v>
      </c>
      <c r="HJW18" s="452"/>
      <c r="HJX18" s="452">
        <v>62201294.850000001</v>
      </c>
      <c r="HJY18" s="451">
        <f>60000000</f>
        <v>60000000</v>
      </c>
      <c r="HJZ18" s="459"/>
      <c r="HKA18" s="452"/>
      <c r="HKB18" s="450">
        <v>0</v>
      </c>
      <c r="HKC18" s="460"/>
      <c r="HKD18" s="450">
        <f>HJX18+HKA18</f>
        <v>62201294.850000001</v>
      </c>
      <c r="HKE18" s="454">
        <f>+HJY18+HKB18</f>
        <v>60000000</v>
      </c>
      <c r="HKF18" s="461"/>
      <c r="HKG18" s="450"/>
      <c r="HKH18" s="594">
        <f>(HKD18-HJV18)/HJV18</f>
        <v>0.13401162364699606</v>
      </c>
      <c r="HKI18" s="436" t="s">
        <v>141</v>
      </c>
      <c r="HKJ18" s="448">
        <v>54850667.799999997</v>
      </c>
      <c r="HKK18" s="449"/>
      <c r="HKL18" s="448">
        <f>HKJ18+HKK18</f>
        <v>54850667.799999997</v>
      </c>
      <c r="HKM18" s="452"/>
      <c r="HKN18" s="452">
        <v>62201294.850000001</v>
      </c>
      <c r="HKO18" s="451">
        <f>60000000</f>
        <v>60000000</v>
      </c>
      <c r="HKP18" s="459"/>
      <c r="HKQ18" s="452"/>
      <c r="HKR18" s="450">
        <v>0</v>
      </c>
      <c r="HKS18" s="460"/>
      <c r="HKT18" s="450">
        <f>HKN18+HKQ18</f>
        <v>62201294.850000001</v>
      </c>
      <c r="HKU18" s="454">
        <f>+HKO18+HKR18</f>
        <v>60000000</v>
      </c>
      <c r="HKV18" s="461"/>
      <c r="HKW18" s="450"/>
      <c r="HKX18" s="594">
        <f>(HKT18-HKL18)/HKL18</f>
        <v>0.13401162364699606</v>
      </c>
      <c r="HKY18" s="436" t="s">
        <v>141</v>
      </c>
      <c r="HKZ18" s="448">
        <v>54850667.799999997</v>
      </c>
      <c r="HLA18" s="449"/>
      <c r="HLB18" s="448">
        <f>HKZ18+HLA18</f>
        <v>54850667.799999997</v>
      </c>
      <c r="HLC18" s="452"/>
      <c r="HLD18" s="452">
        <v>62201294.850000001</v>
      </c>
      <c r="HLE18" s="451">
        <f>60000000</f>
        <v>60000000</v>
      </c>
      <c r="HLF18" s="459"/>
      <c r="HLG18" s="452"/>
      <c r="HLH18" s="450">
        <v>0</v>
      </c>
      <c r="HLI18" s="460"/>
      <c r="HLJ18" s="450">
        <f>HLD18+HLG18</f>
        <v>62201294.850000001</v>
      </c>
      <c r="HLK18" s="454">
        <f>+HLE18+HLH18</f>
        <v>60000000</v>
      </c>
      <c r="HLL18" s="461"/>
      <c r="HLM18" s="450"/>
      <c r="HLN18" s="594">
        <f>(HLJ18-HLB18)/HLB18</f>
        <v>0.13401162364699606</v>
      </c>
      <c r="HLO18" s="436" t="s">
        <v>141</v>
      </c>
      <c r="HLP18" s="448">
        <v>54850667.799999997</v>
      </c>
      <c r="HLQ18" s="449"/>
      <c r="HLR18" s="448">
        <f>HLP18+HLQ18</f>
        <v>54850667.799999997</v>
      </c>
      <c r="HLS18" s="452"/>
      <c r="HLT18" s="452">
        <v>62201294.850000001</v>
      </c>
      <c r="HLU18" s="451">
        <f>60000000</f>
        <v>60000000</v>
      </c>
      <c r="HLV18" s="459"/>
      <c r="HLW18" s="452"/>
      <c r="HLX18" s="450">
        <v>0</v>
      </c>
      <c r="HLY18" s="460"/>
      <c r="HLZ18" s="450">
        <f>HLT18+HLW18</f>
        <v>62201294.850000001</v>
      </c>
      <c r="HMA18" s="454">
        <f>+HLU18+HLX18</f>
        <v>60000000</v>
      </c>
      <c r="HMB18" s="461"/>
      <c r="HMC18" s="450"/>
      <c r="HMD18" s="594">
        <f>(HLZ18-HLR18)/HLR18</f>
        <v>0.13401162364699606</v>
      </c>
      <c r="HME18" s="436" t="s">
        <v>141</v>
      </c>
      <c r="HMF18" s="448">
        <v>54850667.799999997</v>
      </c>
      <c r="HMG18" s="449"/>
      <c r="HMH18" s="448">
        <f>HMF18+HMG18</f>
        <v>54850667.799999997</v>
      </c>
      <c r="HMI18" s="452"/>
      <c r="HMJ18" s="452">
        <v>62201294.850000001</v>
      </c>
      <c r="HMK18" s="451">
        <f>60000000</f>
        <v>60000000</v>
      </c>
      <c r="HML18" s="459"/>
      <c r="HMM18" s="452"/>
      <c r="HMN18" s="450">
        <v>0</v>
      </c>
      <c r="HMO18" s="460"/>
      <c r="HMP18" s="450">
        <f>HMJ18+HMM18</f>
        <v>62201294.850000001</v>
      </c>
      <c r="HMQ18" s="454">
        <f>+HMK18+HMN18</f>
        <v>60000000</v>
      </c>
      <c r="HMR18" s="461"/>
      <c r="HMS18" s="450"/>
      <c r="HMT18" s="594">
        <f>(HMP18-HMH18)/HMH18</f>
        <v>0.13401162364699606</v>
      </c>
      <c r="HMU18" s="436" t="s">
        <v>141</v>
      </c>
      <c r="HMV18" s="448">
        <v>54850667.799999997</v>
      </c>
      <c r="HMW18" s="449"/>
      <c r="HMX18" s="448">
        <f>HMV18+HMW18</f>
        <v>54850667.799999997</v>
      </c>
      <c r="HMY18" s="452"/>
      <c r="HMZ18" s="452">
        <v>62201294.850000001</v>
      </c>
      <c r="HNA18" s="451">
        <f>60000000</f>
        <v>60000000</v>
      </c>
      <c r="HNB18" s="459"/>
      <c r="HNC18" s="452"/>
      <c r="HND18" s="450">
        <v>0</v>
      </c>
      <c r="HNE18" s="460"/>
      <c r="HNF18" s="450">
        <f>HMZ18+HNC18</f>
        <v>62201294.850000001</v>
      </c>
      <c r="HNG18" s="454">
        <f>+HNA18+HND18</f>
        <v>60000000</v>
      </c>
      <c r="HNH18" s="461"/>
      <c r="HNI18" s="450"/>
      <c r="HNJ18" s="594">
        <f>(HNF18-HMX18)/HMX18</f>
        <v>0.13401162364699606</v>
      </c>
      <c r="HNK18" s="436" t="s">
        <v>141</v>
      </c>
      <c r="HNL18" s="448">
        <v>54850667.799999997</v>
      </c>
      <c r="HNM18" s="449"/>
      <c r="HNN18" s="448">
        <f>HNL18+HNM18</f>
        <v>54850667.799999997</v>
      </c>
      <c r="HNO18" s="452"/>
      <c r="HNP18" s="452">
        <v>62201294.850000001</v>
      </c>
      <c r="HNQ18" s="451">
        <f>60000000</f>
        <v>60000000</v>
      </c>
      <c r="HNR18" s="459"/>
      <c r="HNS18" s="452"/>
      <c r="HNT18" s="450">
        <v>0</v>
      </c>
      <c r="HNU18" s="460"/>
      <c r="HNV18" s="450">
        <f>HNP18+HNS18</f>
        <v>62201294.850000001</v>
      </c>
      <c r="HNW18" s="454">
        <f>+HNQ18+HNT18</f>
        <v>60000000</v>
      </c>
      <c r="HNX18" s="461"/>
      <c r="HNY18" s="450"/>
      <c r="HNZ18" s="594">
        <f>(HNV18-HNN18)/HNN18</f>
        <v>0.13401162364699606</v>
      </c>
      <c r="HOA18" s="436" t="s">
        <v>141</v>
      </c>
      <c r="HOB18" s="448">
        <v>54850667.799999997</v>
      </c>
      <c r="HOC18" s="449"/>
      <c r="HOD18" s="448">
        <f>HOB18+HOC18</f>
        <v>54850667.799999997</v>
      </c>
      <c r="HOE18" s="452"/>
      <c r="HOF18" s="452">
        <v>62201294.850000001</v>
      </c>
      <c r="HOG18" s="451">
        <f>60000000</f>
        <v>60000000</v>
      </c>
      <c r="HOH18" s="459"/>
      <c r="HOI18" s="452"/>
      <c r="HOJ18" s="450">
        <v>0</v>
      </c>
      <c r="HOK18" s="460"/>
      <c r="HOL18" s="450">
        <f>HOF18+HOI18</f>
        <v>62201294.850000001</v>
      </c>
      <c r="HOM18" s="454">
        <f>+HOG18+HOJ18</f>
        <v>60000000</v>
      </c>
      <c r="HON18" s="461"/>
      <c r="HOO18" s="450"/>
      <c r="HOP18" s="594">
        <f>(HOL18-HOD18)/HOD18</f>
        <v>0.13401162364699606</v>
      </c>
      <c r="HOQ18" s="436" t="s">
        <v>141</v>
      </c>
      <c r="HOR18" s="448">
        <v>54850667.799999997</v>
      </c>
      <c r="HOS18" s="449"/>
      <c r="HOT18" s="448">
        <f>HOR18+HOS18</f>
        <v>54850667.799999997</v>
      </c>
      <c r="HOU18" s="452"/>
      <c r="HOV18" s="452">
        <v>62201294.850000001</v>
      </c>
      <c r="HOW18" s="451">
        <f>60000000</f>
        <v>60000000</v>
      </c>
      <c r="HOX18" s="459"/>
      <c r="HOY18" s="452"/>
      <c r="HOZ18" s="450">
        <v>0</v>
      </c>
      <c r="HPA18" s="460"/>
      <c r="HPB18" s="450">
        <f>HOV18+HOY18</f>
        <v>62201294.850000001</v>
      </c>
      <c r="HPC18" s="454">
        <f>+HOW18+HOZ18</f>
        <v>60000000</v>
      </c>
      <c r="HPD18" s="461"/>
      <c r="HPE18" s="450"/>
      <c r="HPF18" s="594">
        <f>(HPB18-HOT18)/HOT18</f>
        <v>0.13401162364699606</v>
      </c>
      <c r="HPG18" s="436" t="s">
        <v>141</v>
      </c>
      <c r="HPH18" s="448">
        <v>54850667.799999997</v>
      </c>
      <c r="HPI18" s="449"/>
      <c r="HPJ18" s="448">
        <f>HPH18+HPI18</f>
        <v>54850667.799999997</v>
      </c>
      <c r="HPK18" s="452"/>
      <c r="HPL18" s="452">
        <v>62201294.850000001</v>
      </c>
      <c r="HPM18" s="451">
        <f>60000000</f>
        <v>60000000</v>
      </c>
      <c r="HPN18" s="459"/>
      <c r="HPO18" s="452"/>
      <c r="HPP18" s="450">
        <v>0</v>
      </c>
      <c r="HPQ18" s="460"/>
      <c r="HPR18" s="450">
        <f>HPL18+HPO18</f>
        <v>62201294.850000001</v>
      </c>
      <c r="HPS18" s="454">
        <f>+HPM18+HPP18</f>
        <v>60000000</v>
      </c>
      <c r="HPT18" s="461"/>
      <c r="HPU18" s="450"/>
      <c r="HPV18" s="594">
        <f>(HPR18-HPJ18)/HPJ18</f>
        <v>0.13401162364699606</v>
      </c>
      <c r="HPW18" s="436" t="s">
        <v>141</v>
      </c>
      <c r="HPX18" s="448">
        <v>54850667.799999997</v>
      </c>
      <c r="HPY18" s="449"/>
      <c r="HPZ18" s="448">
        <f>HPX18+HPY18</f>
        <v>54850667.799999997</v>
      </c>
      <c r="HQA18" s="452"/>
      <c r="HQB18" s="452">
        <v>62201294.850000001</v>
      </c>
      <c r="HQC18" s="451">
        <f>60000000</f>
        <v>60000000</v>
      </c>
      <c r="HQD18" s="459"/>
      <c r="HQE18" s="452"/>
      <c r="HQF18" s="450">
        <v>0</v>
      </c>
      <c r="HQG18" s="460"/>
      <c r="HQH18" s="450">
        <f>HQB18+HQE18</f>
        <v>62201294.850000001</v>
      </c>
      <c r="HQI18" s="454">
        <f>+HQC18+HQF18</f>
        <v>60000000</v>
      </c>
      <c r="HQJ18" s="461"/>
      <c r="HQK18" s="450"/>
      <c r="HQL18" s="594">
        <f>(HQH18-HPZ18)/HPZ18</f>
        <v>0.13401162364699606</v>
      </c>
      <c r="HQM18" s="436" t="s">
        <v>141</v>
      </c>
      <c r="HQN18" s="448">
        <v>54850667.799999997</v>
      </c>
      <c r="HQO18" s="449"/>
      <c r="HQP18" s="448">
        <f>HQN18+HQO18</f>
        <v>54850667.799999997</v>
      </c>
      <c r="HQQ18" s="452"/>
      <c r="HQR18" s="452">
        <v>62201294.850000001</v>
      </c>
      <c r="HQS18" s="451">
        <f>60000000</f>
        <v>60000000</v>
      </c>
      <c r="HQT18" s="459"/>
      <c r="HQU18" s="452"/>
      <c r="HQV18" s="450">
        <v>0</v>
      </c>
      <c r="HQW18" s="460"/>
      <c r="HQX18" s="450">
        <f>HQR18+HQU18</f>
        <v>62201294.850000001</v>
      </c>
      <c r="HQY18" s="454">
        <f>+HQS18+HQV18</f>
        <v>60000000</v>
      </c>
      <c r="HQZ18" s="461"/>
      <c r="HRA18" s="450"/>
      <c r="HRB18" s="594">
        <f>(HQX18-HQP18)/HQP18</f>
        <v>0.13401162364699606</v>
      </c>
      <c r="HRC18" s="436" t="s">
        <v>141</v>
      </c>
      <c r="HRD18" s="448">
        <v>54850667.799999997</v>
      </c>
      <c r="HRE18" s="449"/>
      <c r="HRF18" s="448">
        <f>HRD18+HRE18</f>
        <v>54850667.799999997</v>
      </c>
      <c r="HRG18" s="452"/>
      <c r="HRH18" s="452">
        <v>62201294.850000001</v>
      </c>
      <c r="HRI18" s="451">
        <f>60000000</f>
        <v>60000000</v>
      </c>
      <c r="HRJ18" s="459"/>
      <c r="HRK18" s="452"/>
      <c r="HRL18" s="450">
        <v>0</v>
      </c>
      <c r="HRM18" s="460"/>
      <c r="HRN18" s="450">
        <f>HRH18+HRK18</f>
        <v>62201294.850000001</v>
      </c>
      <c r="HRO18" s="454">
        <f>+HRI18+HRL18</f>
        <v>60000000</v>
      </c>
      <c r="HRP18" s="461"/>
      <c r="HRQ18" s="450"/>
      <c r="HRR18" s="594">
        <f>(HRN18-HRF18)/HRF18</f>
        <v>0.13401162364699606</v>
      </c>
      <c r="HRS18" s="436" t="s">
        <v>141</v>
      </c>
      <c r="HRT18" s="448">
        <v>54850667.799999997</v>
      </c>
      <c r="HRU18" s="449"/>
      <c r="HRV18" s="448">
        <f>HRT18+HRU18</f>
        <v>54850667.799999997</v>
      </c>
      <c r="HRW18" s="452"/>
      <c r="HRX18" s="452">
        <v>62201294.850000001</v>
      </c>
      <c r="HRY18" s="451">
        <f>60000000</f>
        <v>60000000</v>
      </c>
      <c r="HRZ18" s="459"/>
      <c r="HSA18" s="452"/>
      <c r="HSB18" s="450">
        <v>0</v>
      </c>
      <c r="HSC18" s="460"/>
      <c r="HSD18" s="450">
        <f>HRX18+HSA18</f>
        <v>62201294.850000001</v>
      </c>
      <c r="HSE18" s="454">
        <f>+HRY18+HSB18</f>
        <v>60000000</v>
      </c>
      <c r="HSF18" s="461"/>
      <c r="HSG18" s="450"/>
      <c r="HSH18" s="594">
        <f>(HSD18-HRV18)/HRV18</f>
        <v>0.13401162364699606</v>
      </c>
      <c r="HSI18" s="436" t="s">
        <v>141</v>
      </c>
      <c r="HSJ18" s="448">
        <v>54850667.799999997</v>
      </c>
      <c r="HSK18" s="449"/>
      <c r="HSL18" s="448">
        <f>HSJ18+HSK18</f>
        <v>54850667.799999997</v>
      </c>
      <c r="HSM18" s="452"/>
      <c r="HSN18" s="452">
        <v>62201294.850000001</v>
      </c>
      <c r="HSO18" s="451">
        <f>60000000</f>
        <v>60000000</v>
      </c>
      <c r="HSP18" s="459"/>
      <c r="HSQ18" s="452"/>
      <c r="HSR18" s="450">
        <v>0</v>
      </c>
      <c r="HSS18" s="460"/>
      <c r="HST18" s="450">
        <f>HSN18+HSQ18</f>
        <v>62201294.850000001</v>
      </c>
      <c r="HSU18" s="454">
        <f>+HSO18+HSR18</f>
        <v>60000000</v>
      </c>
      <c r="HSV18" s="461"/>
      <c r="HSW18" s="450"/>
      <c r="HSX18" s="594">
        <f>(HST18-HSL18)/HSL18</f>
        <v>0.13401162364699606</v>
      </c>
      <c r="HSY18" s="436" t="s">
        <v>141</v>
      </c>
      <c r="HSZ18" s="448">
        <v>54850667.799999997</v>
      </c>
      <c r="HTA18" s="449"/>
      <c r="HTB18" s="448">
        <f>HSZ18+HTA18</f>
        <v>54850667.799999997</v>
      </c>
      <c r="HTC18" s="452"/>
      <c r="HTD18" s="452">
        <v>62201294.850000001</v>
      </c>
      <c r="HTE18" s="451">
        <f>60000000</f>
        <v>60000000</v>
      </c>
      <c r="HTF18" s="459"/>
      <c r="HTG18" s="452"/>
      <c r="HTH18" s="450">
        <v>0</v>
      </c>
      <c r="HTI18" s="460"/>
      <c r="HTJ18" s="450">
        <f>HTD18+HTG18</f>
        <v>62201294.850000001</v>
      </c>
      <c r="HTK18" s="454">
        <f>+HTE18+HTH18</f>
        <v>60000000</v>
      </c>
      <c r="HTL18" s="461"/>
      <c r="HTM18" s="450"/>
      <c r="HTN18" s="594">
        <f>(HTJ18-HTB18)/HTB18</f>
        <v>0.13401162364699606</v>
      </c>
      <c r="HTO18" s="436" t="s">
        <v>141</v>
      </c>
      <c r="HTP18" s="448">
        <v>54850667.799999997</v>
      </c>
      <c r="HTQ18" s="449"/>
      <c r="HTR18" s="448">
        <f>HTP18+HTQ18</f>
        <v>54850667.799999997</v>
      </c>
      <c r="HTS18" s="452"/>
      <c r="HTT18" s="452">
        <v>62201294.850000001</v>
      </c>
      <c r="HTU18" s="451">
        <f>60000000</f>
        <v>60000000</v>
      </c>
      <c r="HTV18" s="459"/>
      <c r="HTW18" s="452"/>
      <c r="HTX18" s="450">
        <v>0</v>
      </c>
      <c r="HTY18" s="460"/>
      <c r="HTZ18" s="450">
        <f>HTT18+HTW18</f>
        <v>62201294.850000001</v>
      </c>
      <c r="HUA18" s="454">
        <f>+HTU18+HTX18</f>
        <v>60000000</v>
      </c>
      <c r="HUB18" s="461"/>
      <c r="HUC18" s="450"/>
      <c r="HUD18" s="594">
        <f>(HTZ18-HTR18)/HTR18</f>
        <v>0.13401162364699606</v>
      </c>
      <c r="HUE18" s="436" t="s">
        <v>141</v>
      </c>
      <c r="HUF18" s="448">
        <v>54850667.799999997</v>
      </c>
      <c r="HUG18" s="449"/>
      <c r="HUH18" s="448">
        <f>HUF18+HUG18</f>
        <v>54850667.799999997</v>
      </c>
      <c r="HUI18" s="452"/>
      <c r="HUJ18" s="452">
        <v>62201294.850000001</v>
      </c>
      <c r="HUK18" s="451">
        <f>60000000</f>
        <v>60000000</v>
      </c>
      <c r="HUL18" s="459"/>
      <c r="HUM18" s="452"/>
      <c r="HUN18" s="450">
        <v>0</v>
      </c>
      <c r="HUO18" s="460"/>
      <c r="HUP18" s="450">
        <f>HUJ18+HUM18</f>
        <v>62201294.850000001</v>
      </c>
      <c r="HUQ18" s="454">
        <f>+HUK18+HUN18</f>
        <v>60000000</v>
      </c>
      <c r="HUR18" s="461"/>
      <c r="HUS18" s="450"/>
      <c r="HUT18" s="594">
        <f>(HUP18-HUH18)/HUH18</f>
        <v>0.13401162364699606</v>
      </c>
      <c r="HUU18" s="436" t="s">
        <v>141</v>
      </c>
      <c r="HUV18" s="448">
        <v>54850667.799999997</v>
      </c>
      <c r="HUW18" s="449"/>
      <c r="HUX18" s="448">
        <f>HUV18+HUW18</f>
        <v>54850667.799999997</v>
      </c>
      <c r="HUY18" s="452"/>
      <c r="HUZ18" s="452">
        <v>62201294.850000001</v>
      </c>
      <c r="HVA18" s="451">
        <f>60000000</f>
        <v>60000000</v>
      </c>
      <c r="HVB18" s="459"/>
      <c r="HVC18" s="452"/>
      <c r="HVD18" s="450">
        <v>0</v>
      </c>
      <c r="HVE18" s="460"/>
      <c r="HVF18" s="450">
        <f>HUZ18+HVC18</f>
        <v>62201294.850000001</v>
      </c>
      <c r="HVG18" s="454">
        <f>+HVA18+HVD18</f>
        <v>60000000</v>
      </c>
      <c r="HVH18" s="461"/>
      <c r="HVI18" s="450"/>
      <c r="HVJ18" s="594">
        <f>(HVF18-HUX18)/HUX18</f>
        <v>0.13401162364699606</v>
      </c>
      <c r="HVK18" s="436" t="s">
        <v>141</v>
      </c>
      <c r="HVL18" s="448">
        <v>54850667.799999997</v>
      </c>
      <c r="HVM18" s="449"/>
      <c r="HVN18" s="448">
        <f>HVL18+HVM18</f>
        <v>54850667.799999997</v>
      </c>
      <c r="HVO18" s="452"/>
      <c r="HVP18" s="452">
        <v>62201294.850000001</v>
      </c>
      <c r="HVQ18" s="451">
        <f>60000000</f>
        <v>60000000</v>
      </c>
      <c r="HVR18" s="459"/>
      <c r="HVS18" s="452"/>
      <c r="HVT18" s="450">
        <v>0</v>
      </c>
      <c r="HVU18" s="460"/>
      <c r="HVV18" s="450">
        <f>HVP18+HVS18</f>
        <v>62201294.850000001</v>
      </c>
      <c r="HVW18" s="454">
        <f>+HVQ18+HVT18</f>
        <v>60000000</v>
      </c>
      <c r="HVX18" s="461"/>
      <c r="HVY18" s="450"/>
      <c r="HVZ18" s="594">
        <f>(HVV18-HVN18)/HVN18</f>
        <v>0.13401162364699606</v>
      </c>
      <c r="HWA18" s="436" t="s">
        <v>141</v>
      </c>
      <c r="HWB18" s="448">
        <v>54850667.799999997</v>
      </c>
      <c r="HWC18" s="449"/>
      <c r="HWD18" s="448">
        <f>HWB18+HWC18</f>
        <v>54850667.799999997</v>
      </c>
      <c r="HWE18" s="452"/>
      <c r="HWF18" s="452">
        <v>62201294.850000001</v>
      </c>
      <c r="HWG18" s="451">
        <f>60000000</f>
        <v>60000000</v>
      </c>
      <c r="HWH18" s="459"/>
      <c r="HWI18" s="452"/>
      <c r="HWJ18" s="450">
        <v>0</v>
      </c>
      <c r="HWK18" s="460"/>
      <c r="HWL18" s="450">
        <f>HWF18+HWI18</f>
        <v>62201294.850000001</v>
      </c>
      <c r="HWM18" s="454">
        <f>+HWG18+HWJ18</f>
        <v>60000000</v>
      </c>
      <c r="HWN18" s="461"/>
      <c r="HWO18" s="450"/>
      <c r="HWP18" s="594">
        <f>(HWL18-HWD18)/HWD18</f>
        <v>0.13401162364699606</v>
      </c>
      <c r="HWQ18" s="436" t="s">
        <v>141</v>
      </c>
      <c r="HWR18" s="448">
        <v>54850667.799999997</v>
      </c>
      <c r="HWS18" s="449"/>
      <c r="HWT18" s="448">
        <f>HWR18+HWS18</f>
        <v>54850667.799999997</v>
      </c>
      <c r="HWU18" s="452"/>
      <c r="HWV18" s="452">
        <v>62201294.850000001</v>
      </c>
      <c r="HWW18" s="451">
        <f>60000000</f>
        <v>60000000</v>
      </c>
      <c r="HWX18" s="459"/>
      <c r="HWY18" s="452"/>
      <c r="HWZ18" s="450">
        <v>0</v>
      </c>
      <c r="HXA18" s="460"/>
      <c r="HXB18" s="450">
        <f>HWV18+HWY18</f>
        <v>62201294.850000001</v>
      </c>
      <c r="HXC18" s="454">
        <f>+HWW18+HWZ18</f>
        <v>60000000</v>
      </c>
      <c r="HXD18" s="461"/>
      <c r="HXE18" s="450"/>
      <c r="HXF18" s="594">
        <f>(HXB18-HWT18)/HWT18</f>
        <v>0.13401162364699606</v>
      </c>
      <c r="HXG18" s="436" t="s">
        <v>141</v>
      </c>
      <c r="HXH18" s="448">
        <v>54850667.799999997</v>
      </c>
      <c r="HXI18" s="449"/>
      <c r="HXJ18" s="448">
        <f>HXH18+HXI18</f>
        <v>54850667.799999997</v>
      </c>
      <c r="HXK18" s="452"/>
      <c r="HXL18" s="452">
        <v>62201294.850000001</v>
      </c>
      <c r="HXM18" s="451">
        <f>60000000</f>
        <v>60000000</v>
      </c>
      <c r="HXN18" s="459"/>
      <c r="HXO18" s="452"/>
      <c r="HXP18" s="450">
        <v>0</v>
      </c>
      <c r="HXQ18" s="460"/>
      <c r="HXR18" s="450">
        <f>HXL18+HXO18</f>
        <v>62201294.850000001</v>
      </c>
      <c r="HXS18" s="454">
        <f>+HXM18+HXP18</f>
        <v>60000000</v>
      </c>
      <c r="HXT18" s="461"/>
      <c r="HXU18" s="450"/>
      <c r="HXV18" s="594">
        <f>(HXR18-HXJ18)/HXJ18</f>
        <v>0.13401162364699606</v>
      </c>
      <c r="HXW18" s="436" t="s">
        <v>141</v>
      </c>
      <c r="HXX18" s="448">
        <v>54850667.799999997</v>
      </c>
      <c r="HXY18" s="449"/>
      <c r="HXZ18" s="448">
        <f>HXX18+HXY18</f>
        <v>54850667.799999997</v>
      </c>
      <c r="HYA18" s="452"/>
      <c r="HYB18" s="452">
        <v>62201294.850000001</v>
      </c>
      <c r="HYC18" s="451">
        <f>60000000</f>
        <v>60000000</v>
      </c>
      <c r="HYD18" s="459"/>
      <c r="HYE18" s="452"/>
      <c r="HYF18" s="450">
        <v>0</v>
      </c>
      <c r="HYG18" s="460"/>
      <c r="HYH18" s="450">
        <f>HYB18+HYE18</f>
        <v>62201294.850000001</v>
      </c>
      <c r="HYI18" s="454">
        <f>+HYC18+HYF18</f>
        <v>60000000</v>
      </c>
      <c r="HYJ18" s="461"/>
      <c r="HYK18" s="450"/>
      <c r="HYL18" s="594">
        <f>(HYH18-HXZ18)/HXZ18</f>
        <v>0.13401162364699606</v>
      </c>
      <c r="HYM18" s="436" t="s">
        <v>141</v>
      </c>
      <c r="HYN18" s="448">
        <v>54850667.799999997</v>
      </c>
      <c r="HYO18" s="449"/>
      <c r="HYP18" s="448">
        <f>HYN18+HYO18</f>
        <v>54850667.799999997</v>
      </c>
      <c r="HYQ18" s="452"/>
      <c r="HYR18" s="452">
        <v>62201294.850000001</v>
      </c>
      <c r="HYS18" s="451">
        <f>60000000</f>
        <v>60000000</v>
      </c>
      <c r="HYT18" s="459"/>
      <c r="HYU18" s="452"/>
      <c r="HYV18" s="450">
        <v>0</v>
      </c>
      <c r="HYW18" s="460"/>
      <c r="HYX18" s="450">
        <f>HYR18+HYU18</f>
        <v>62201294.850000001</v>
      </c>
      <c r="HYY18" s="454">
        <f>+HYS18+HYV18</f>
        <v>60000000</v>
      </c>
      <c r="HYZ18" s="461"/>
      <c r="HZA18" s="450"/>
      <c r="HZB18" s="594">
        <f>(HYX18-HYP18)/HYP18</f>
        <v>0.13401162364699606</v>
      </c>
      <c r="HZC18" s="436" t="s">
        <v>141</v>
      </c>
      <c r="HZD18" s="448">
        <v>54850667.799999997</v>
      </c>
      <c r="HZE18" s="449"/>
      <c r="HZF18" s="448">
        <f>HZD18+HZE18</f>
        <v>54850667.799999997</v>
      </c>
      <c r="HZG18" s="452"/>
      <c r="HZH18" s="452">
        <v>62201294.850000001</v>
      </c>
      <c r="HZI18" s="451">
        <f>60000000</f>
        <v>60000000</v>
      </c>
      <c r="HZJ18" s="459"/>
      <c r="HZK18" s="452"/>
      <c r="HZL18" s="450">
        <v>0</v>
      </c>
      <c r="HZM18" s="460"/>
      <c r="HZN18" s="450">
        <f>HZH18+HZK18</f>
        <v>62201294.850000001</v>
      </c>
      <c r="HZO18" s="454">
        <f>+HZI18+HZL18</f>
        <v>60000000</v>
      </c>
      <c r="HZP18" s="461"/>
      <c r="HZQ18" s="450"/>
      <c r="HZR18" s="594">
        <f>(HZN18-HZF18)/HZF18</f>
        <v>0.13401162364699606</v>
      </c>
      <c r="HZS18" s="436" t="s">
        <v>141</v>
      </c>
      <c r="HZT18" s="448">
        <v>54850667.799999997</v>
      </c>
      <c r="HZU18" s="449"/>
      <c r="HZV18" s="448">
        <f>HZT18+HZU18</f>
        <v>54850667.799999997</v>
      </c>
      <c r="HZW18" s="452"/>
      <c r="HZX18" s="452">
        <v>62201294.850000001</v>
      </c>
      <c r="HZY18" s="451">
        <f>60000000</f>
        <v>60000000</v>
      </c>
      <c r="HZZ18" s="459"/>
      <c r="IAA18" s="452"/>
      <c r="IAB18" s="450">
        <v>0</v>
      </c>
      <c r="IAC18" s="460"/>
      <c r="IAD18" s="450">
        <f>HZX18+IAA18</f>
        <v>62201294.850000001</v>
      </c>
      <c r="IAE18" s="454">
        <f>+HZY18+IAB18</f>
        <v>60000000</v>
      </c>
      <c r="IAF18" s="461"/>
      <c r="IAG18" s="450"/>
      <c r="IAH18" s="594">
        <f>(IAD18-HZV18)/HZV18</f>
        <v>0.13401162364699606</v>
      </c>
      <c r="IAI18" s="436" t="s">
        <v>141</v>
      </c>
      <c r="IAJ18" s="448">
        <v>54850667.799999997</v>
      </c>
      <c r="IAK18" s="449"/>
      <c r="IAL18" s="448">
        <f>IAJ18+IAK18</f>
        <v>54850667.799999997</v>
      </c>
      <c r="IAM18" s="452"/>
      <c r="IAN18" s="452">
        <v>62201294.850000001</v>
      </c>
      <c r="IAO18" s="451">
        <f>60000000</f>
        <v>60000000</v>
      </c>
      <c r="IAP18" s="459"/>
      <c r="IAQ18" s="452"/>
      <c r="IAR18" s="450">
        <v>0</v>
      </c>
      <c r="IAS18" s="460"/>
      <c r="IAT18" s="450">
        <f>IAN18+IAQ18</f>
        <v>62201294.850000001</v>
      </c>
      <c r="IAU18" s="454">
        <f>+IAO18+IAR18</f>
        <v>60000000</v>
      </c>
      <c r="IAV18" s="461"/>
      <c r="IAW18" s="450"/>
      <c r="IAX18" s="594">
        <f>(IAT18-IAL18)/IAL18</f>
        <v>0.13401162364699606</v>
      </c>
      <c r="IAY18" s="436" t="s">
        <v>141</v>
      </c>
      <c r="IAZ18" s="448">
        <v>54850667.799999997</v>
      </c>
      <c r="IBA18" s="449"/>
      <c r="IBB18" s="448">
        <f>IAZ18+IBA18</f>
        <v>54850667.799999997</v>
      </c>
      <c r="IBC18" s="452"/>
      <c r="IBD18" s="452">
        <v>62201294.850000001</v>
      </c>
      <c r="IBE18" s="451">
        <f>60000000</f>
        <v>60000000</v>
      </c>
      <c r="IBF18" s="459"/>
      <c r="IBG18" s="452"/>
      <c r="IBH18" s="450">
        <v>0</v>
      </c>
      <c r="IBI18" s="460"/>
      <c r="IBJ18" s="450">
        <f>IBD18+IBG18</f>
        <v>62201294.850000001</v>
      </c>
      <c r="IBK18" s="454">
        <f>+IBE18+IBH18</f>
        <v>60000000</v>
      </c>
      <c r="IBL18" s="461"/>
      <c r="IBM18" s="450"/>
      <c r="IBN18" s="594">
        <f>(IBJ18-IBB18)/IBB18</f>
        <v>0.13401162364699606</v>
      </c>
      <c r="IBO18" s="436" t="s">
        <v>141</v>
      </c>
      <c r="IBP18" s="448">
        <v>54850667.799999997</v>
      </c>
      <c r="IBQ18" s="449"/>
      <c r="IBR18" s="448">
        <f>IBP18+IBQ18</f>
        <v>54850667.799999997</v>
      </c>
      <c r="IBS18" s="452"/>
      <c r="IBT18" s="452">
        <v>62201294.850000001</v>
      </c>
      <c r="IBU18" s="451">
        <f>60000000</f>
        <v>60000000</v>
      </c>
      <c r="IBV18" s="459"/>
      <c r="IBW18" s="452"/>
      <c r="IBX18" s="450">
        <v>0</v>
      </c>
      <c r="IBY18" s="460"/>
      <c r="IBZ18" s="450">
        <f>IBT18+IBW18</f>
        <v>62201294.850000001</v>
      </c>
      <c r="ICA18" s="454">
        <f>+IBU18+IBX18</f>
        <v>60000000</v>
      </c>
      <c r="ICB18" s="461"/>
      <c r="ICC18" s="450"/>
      <c r="ICD18" s="594">
        <f>(IBZ18-IBR18)/IBR18</f>
        <v>0.13401162364699606</v>
      </c>
      <c r="ICE18" s="436" t="s">
        <v>141</v>
      </c>
      <c r="ICF18" s="448">
        <v>54850667.799999997</v>
      </c>
      <c r="ICG18" s="449"/>
      <c r="ICH18" s="448">
        <f>ICF18+ICG18</f>
        <v>54850667.799999997</v>
      </c>
      <c r="ICI18" s="452"/>
      <c r="ICJ18" s="452">
        <v>62201294.850000001</v>
      </c>
      <c r="ICK18" s="451">
        <f>60000000</f>
        <v>60000000</v>
      </c>
      <c r="ICL18" s="459"/>
      <c r="ICM18" s="452"/>
      <c r="ICN18" s="450">
        <v>0</v>
      </c>
      <c r="ICO18" s="460"/>
      <c r="ICP18" s="450">
        <f>ICJ18+ICM18</f>
        <v>62201294.850000001</v>
      </c>
      <c r="ICQ18" s="454">
        <f>+ICK18+ICN18</f>
        <v>60000000</v>
      </c>
      <c r="ICR18" s="461"/>
      <c r="ICS18" s="450"/>
      <c r="ICT18" s="594">
        <f>(ICP18-ICH18)/ICH18</f>
        <v>0.13401162364699606</v>
      </c>
      <c r="ICU18" s="436" t="s">
        <v>141</v>
      </c>
      <c r="ICV18" s="448">
        <v>54850667.799999997</v>
      </c>
      <c r="ICW18" s="449"/>
      <c r="ICX18" s="448">
        <f>ICV18+ICW18</f>
        <v>54850667.799999997</v>
      </c>
      <c r="ICY18" s="452"/>
      <c r="ICZ18" s="452">
        <v>62201294.850000001</v>
      </c>
      <c r="IDA18" s="451">
        <f>60000000</f>
        <v>60000000</v>
      </c>
      <c r="IDB18" s="459"/>
      <c r="IDC18" s="452"/>
      <c r="IDD18" s="450">
        <v>0</v>
      </c>
      <c r="IDE18" s="460"/>
      <c r="IDF18" s="450">
        <f>ICZ18+IDC18</f>
        <v>62201294.850000001</v>
      </c>
      <c r="IDG18" s="454">
        <f>+IDA18+IDD18</f>
        <v>60000000</v>
      </c>
      <c r="IDH18" s="461"/>
      <c r="IDI18" s="450"/>
      <c r="IDJ18" s="594">
        <f>(IDF18-ICX18)/ICX18</f>
        <v>0.13401162364699606</v>
      </c>
      <c r="IDK18" s="436" t="s">
        <v>141</v>
      </c>
      <c r="IDL18" s="448">
        <v>54850667.799999997</v>
      </c>
      <c r="IDM18" s="449"/>
      <c r="IDN18" s="448">
        <f>IDL18+IDM18</f>
        <v>54850667.799999997</v>
      </c>
      <c r="IDO18" s="452"/>
      <c r="IDP18" s="452">
        <v>62201294.850000001</v>
      </c>
      <c r="IDQ18" s="451">
        <f>60000000</f>
        <v>60000000</v>
      </c>
      <c r="IDR18" s="459"/>
      <c r="IDS18" s="452"/>
      <c r="IDT18" s="450">
        <v>0</v>
      </c>
      <c r="IDU18" s="460"/>
      <c r="IDV18" s="450">
        <f>IDP18+IDS18</f>
        <v>62201294.850000001</v>
      </c>
      <c r="IDW18" s="454">
        <f>+IDQ18+IDT18</f>
        <v>60000000</v>
      </c>
      <c r="IDX18" s="461"/>
      <c r="IDY18" s="450"/>
      <c r="IDZ18" s="594">
        <f>(IDV18-IDN18)/IDN18</f>
        <v>0.13401162364699606</v>
      </c>
      <c r="IEA18" s="436" t="s">
        <v>141</v>
      </c>
      <c r="IEB18" s="448">
        <v>54850667.799999997</v>
      </c>
      <c r="IEC18" s="449"/>
      <c r="IED18" s="448">
        <f>IEB18+IEC18</f>
        <v>54850667.799999997</v>
      </c>
      <c r="IEE18" s="452"/>
      <c r="IEF18" s="452">
        <v>62201294.850000001</v>
      </c>
      <c r="IEG18" s="451">
        <f>60000000</f>
        <v>60000000</v>
      </c>
      <c r="IEH18" s="459"/>
      <c r="IEI18" s="452"/>
      <c r="IEJ18" s="450">
        <v>0</v>
      </c>
      <c r="IEK18" s="460"/>
      <c r="IEL18" s="450">
        <f>IEF18+IEI18</f>
        <v>62201294.850000001</v>
      </c>
      <c r="IEM18" s="454">
        <f>+IEG18+IEJ18</f>
        <v>60000000</v>
      </c>
      <c r="IEN18" s="461"/>
      <c r="IEO18" s="450"/>
      <c r="IEP18" s="594">
        <f>(IEL18-IED18)/IED18</f>
        <v>0.13401162364699606</v>
      </c>
      <c r="IEQ18" s="436" t="s">
        <v>141</v>
      </c>
      <c r="IER18" s="448">
        <v>54850667.799999997</v>
      </c>
      <c r="IES18" s="449"/>
      <c r="IET18" s="448">
        <f>IER18+IES18</f>
        <v>54850667.799999997</v>
      </c>
      <c r="IEU18" s="452"/>
      <c r="IEV18" s="452">
        <v>62201294.850000001</v>
      </c>
      <c r="IEW18" s="451">
        <f>60000000</f>
        <v>60000000</v>
      </c>
      <c r="IEX18" s="459"/>
      <c r="IEY18" s="452"/>
      <c r="IEZ18" s="450">
        <v>0</v>
      </c>
      <c r="IFA18" s="460"/>
      <c r="IFB18" s="450">
        <f>IEV18+IEY18</f>
        <v>62201294.850000001</v>
      </c>
      <c r="IFC18" s="454">
        <f>+IEW18+IEZ18</f>
        <v>60000000</v>
      </c>
      <c r="IFD18" s="461"/>
      <c r="IFE18" s="450"/>
      <c r="IFF18" s="594">
        <f>(IFB18-IET18)/IET18</f>
        <v>0.13401162364699606</v>
      </c>
      <c r="IFG18" s="436" t="s">
        <v>141</v>
      </c>
      <c r="IFH18" s="448">
        <v>54850667.799999997</v>
      </c>
      <c r="IFI18" s="449"/>
      <c r="IFJ18" s="448">
        <f>IFH18+IFI18</f>
        <v>54850667.799999997</v>
      </c>
      <c r="IFK18" s="452"/>
      <c r="IFL18" s="452">
        <v>62201294.850000001</v>
      </c>
      <c r="IFM18" s="451">
        <f>60000000</f>
        <v>60000000</v>
      </c>
      <c r="IFN18" s="459"/>
      <c r="IFO18" s="452"/>
      <c r="IFP18" s="450">
        <v>0</v>
      </c>
      <c r="IFQ18" s="460"/>
      <c r="IFR18" s="450">
        <f>IFL18+IFO18</f>
        <v>62201294.850000001</v>
      </c>
      <c r="IFS18" s="454">
        <f>+IFM18+IFP18</f>
        <v>60000000</v>
      </c>
      <c r="IFT18" s="461"/>
      <c r="IFU18" s="450"/>
      <c r="IFV18" s="594">
        <f>(IFR18-IFJ18)/IFJ18</f>
        <v>0.13401162364699606</v>
      </c>
      <c r="IFW18" s="436" t="s">
        <v>141</v>
      </c>
      <c r="IFX18" s="448">
        <v>54850667.799999997</v>
      </c>
      <c r="IFY18" s="449"/>
      <c r="IFZ18" s="448">
        <f>IFX18+IFY18</f>
        <v>54850667.799999997</v>
      </c>
      <c r="IGA18" s="452"/>
      <c r="IGB18" s="452">
        <v>62201294.850000001</v>
      </c>
      <c r="IGC18" s="451">
        <f>60000000</f>
        <v>60000000</v>
      </c>
      <c r="IGD18" s="459"/>
      <c r="IGE18" s="452"/>
      <c r="IGF18" s="450">
        <v>0</v>
      </c>
      <c r="IGG18" s="460"/>
      <c r="IGH18" s="450">
        <f>IGB18+IGE18</f>
        <v>62201294.850000001</v>
      </c>
      <c r="IGI18" s="454">
        <f>+IGC18+IGF18</f>
        <v>60000000</v>
      </c>
      <c r="IGJ18" s="461"/>
      <c r="IGK18" s="450"/>
      <c r="IGL18" s="594">
        <f>(IGH18-IFZ18)/IFZ18</f>
        <v>0.13401162364699606</v>
      </c>
      <c r="IGM18" s="436" t="s">
        <v>141</v>
      </c>
      <c r="IGN18" s="448">
        <v>54850667.799999997</v>
      </c>
      <c r="IGO18" s="449"/>
      <c r="IGP18" s="448">
        <f>IGN18+IGO18</f>
        <v>54850667.799999997</v>
      </c>
      <c r="IGQ18" s="452"/>
      <c r="IGR18" s="452">
        <v>62201294.850000001</v>
      </c>
      <c r="IGS18" s="451">
        <f>60000000</f>
        <v>60000000</v>
      </c>
      <c r="IGT18" s="459"/>
      <c r="IGU18" s="452"/>
      <c r="IGV18" s="450">
        <v>0</v>
      </c>
      <c r="IGW18" s="460"/>
      <c r="IGX18" s="450">
        <f>IGR18+IGU18</f>
        <v>62201294.850000001</v>
      </c>
      <c r="IGY18" s="454">
        <f>+IGS18+IGV18</f>
        <v>60000000</v>
      </c>
      <c r="IGZ18" s="461"/>
      <c r="IHA18" s="450"/>
      <c r="IHB18" s="594">
        <f>(IGX18-IGP18)/IGP18</f>
        <v>0.13401162364699606</v>
      </c>
      <c r="IHC18" s="436" t="s">
        <v>141</v>
      </c>
      <c r="IHD18" s="448">
        <v>54850667.799999997</v>
      </c>
      <c r="IHE18" s="449"/>
      <c r="IHF18" s="448">
        <f>IHD18+IHE18</f>
        <v>54850667.799999997</v>
      </c>
      <c r="IHG18" s="452"/>
      <c r="IHH18" s="452">
        <v>62201294.850000001</v>
      </c>
      <c r="IHI18" s="451">
        <f>60000000</f>
        <v>60000000</v>
      </c>
      <c r="IHJ18" s="459"/>
      <c r="IHK18" s="452"/>
      <c r="IHL18" s="450">
        <v>0</v>
      </c>
      <c r="IHM18" s="460"/>
      <c r="IHN18" s="450">
        <f>IHH18+IHK18</f>
        <v>62201294.850000001</v>
      </c>
      <c r="IHO18" s="454">
        <f>+IHI18+IHL18</f>
        <v>60000000</v>
      </c>
      <c r="IHP18" s="461"/>
      <c r="IHQ18" s="450"/>
      <c r="IHR18" s="594">
        <f>(IHN18-IHF18)/IHF18</f>
        <v>0.13401162364699606</v>
      </c>
      <c r="IHS18" s="436" t="s">
        <v>141</v>
      </c>
      <c r="IHT18" s="448">
        <v>54850667.799999997</v>
      </c>
      <c r="IHU18" s="449"/>
      <c r="IHV18" s="448">
        <f>IHT18+IHU18</f>
        <v>54850667.799999997</v>
      </c>
      <c r="IHW18" s="452"/>
      <c r="IHX18" s="452">
        <v>62201294.850000001</v>
      </c>
      <c r="IHY18" s="451">
        <f>60000000</f>
        <v>60000000</v>
      </c>
      <c r="IHZ18" s="459"/>
      <c r="IIA18" s="452"/>
      <c r="IIB18" s="450">
        <v>0</v>
      </c>
      <c r="IIC18" s="460"/>
      <c r="IID18" s="450">
        <f>IHX18+IIA18</f>
        <v>62201294.850000001</v>
      </c>
      <c r="IIE18" s="454">
        <f>+IHY18+IIB18</f>
        <v>60000000</v>
      </c>
      <c r="IIF18" s="461"/>
      <c r="IIG18" s="450"/>
      <c r="IIH18" s="594">
        <f>(IID18-IHV18)/IHV18</f>
        <v>0.13401162364699606</v>
      </c>
      <c r="III18" s="436" t="s">
        <v>141</v>
      </c>
      <c r="IIJ18" s="448">
        <v>54850667.799999997</v>
      </c>
      <c r="IIK18" s="449"/>
      <c r="IIL18" s="448">
        <f>IIJ18+IIK18</f>
        <v>54850667.799999997</v>
      </c>
      <c r="IIM18" s="452"/>
      <c r="IIN18" s="452">
        <v>62201294.850000001</v>
      </c>
      <c r="IIO18" s="451">
        <f>60000000</f>
        <v>60000000</v>
      </c>
      <c r="IIP18" s="459"/>
      <c r="IIQ18" s="452"/>
      <c r="IIR18" s="450">
        <v>0</v>
      </c>
      <c r="IIS18" s="460"/>
      <c r="IIT18" s="450">
        <f>IIN18+IIQ18</f>
        <v>62201294.850000001</v>
      </c>
      <c r="IIU18" s="454">
        <f>+IIO18+IIR18</f>
        <v>60000000</v>
      </c>
      <c r="IIV18" s="461"/>
      <c r="IIW18" s="450"/>
      <c r="IIX18" s="594">
        <f>(IIT18-IIL18)/IIL18</f>
        <v>0.13401162364699606</v>
      </c>
      <c r="IIY18" s="436" t="s">
        <v>141</v>
      </c>
      <c r="IIZ18" s="448">
        <v>54850667.799999997</v>
      </c>
      <c r="IJA18" s="449"/>
      <c r="IJB18" s="448">
        <f>IIZ18+IJA18</f>
        <v>54850667.799999997</v>
      </c>
      <c r="IJC18" s="452"/>
      <c r="IJD18" s="452">
        <v>62201294.850000001</v>
      </c>
      <c r="IJE18" s="451">
        <f>60000000</f>
        <v>60000000</v>
      </c>
      <c r="IJF18" s="459"/>
      <c r="IJG18" s="452"/>
      <c r="IJH18" s="450">
        <v>0</v>
      </c>
      <c r="IJI18" s="460"/>
      <c r="IJJ18" s="450">
        <f>IJD18+IJG18</f>
        <v>62201294.850000001</v>
      </c>
      <c r="IJK18" s="454">
        <f>+IJE18+IJH18</f>
        <v>60000000</v>
      </c>
      <c r="IJL18" s="461"/>
      <c r="IJM18" s="450"/>
      <c r="IJN18" s="594">
        <f>(IJJ18-IJB18)/IJB18</f>
        <v>0.13401162364699606</v>
      </c>
      <c r="IJO18" s="436" t="s">
        <v>141</v>
      </c>
      <c r="IJP18" s="448">
        <v>54850667.799999997</v>
      </c>
      <c r="IJQ18" s="449"/>
      <c r="IJR18" s="448">
        <f>IJP18+IJQ18</f>
        <v>54850667.799999997</v>
      </c>
      <c r="IJS18" s="452"/>
      <c r="IJT18" s="452">
        <v>62201294.850000001</v>
      </c>
      <c r="IJU18" s="451">
        <f>60000000</f>
        <v>60000000</v>
      </c>
      <c r="IJV18" s="459"/>
      <c r="IJW18" s="452"/>
      <c r="IJX18" s="450">
        <v>0</v>
      </c>
      <c r="IJY18" s="460"/>
      <c r="IJZ18" s="450">
        <f>IJT18+IJW18</f>
        <v>62201294.850000001</v>
      </c>
      <c r="IKA18" s="454">
        <f>+IJU18+IJX18</f>
        <v>60000000</v>
      </c>
      <c r="IKB18" s="461"/>
      <c r="IKC18" s="450"/>
      <c r="IKD18" s="594">
        <f>(IJZ18-IJR18)/IJR18</f>
        <v>0.13401162364699606</v>
      </c>
      <c r="IKE18" s="436" t="s">
        <v>141</v>
      </c>
      <c r="IKF18" s="448">
        <v>54850667.799999997</v>
      </c>
      <c r="IKG18" s="449"/>
      <c r="IKH18" s="448">
        <f>IKF18+IKG18</f>
        <v>54850667.799999997</v>
      </c>
      <c r="IKI18" s="452"/>
      <c r="IKJ18" s="452">
        <v>62201294.850000001</v>
      </c>
      <c r="IKK18" s="451">
        <f>60000000</f>
        <v>60000000</v>
      </c>
      <c r="IKL18" s="459"/>
      <c r="IKM18" s="452"/>
      <c r="IKN18" s="450">
        <v>0</v>
      </c>
      <c r="IKO18" s="460"/>
      <c r="IKP18" s="450">
        <f>IKJ18+IKM18</f>
        <v>62201294.850000001</v>
      </c>
      <c r="IKQ18" s="454">
        <f>+IKK18+IKN18</f>
        <v>60000000</v>
      </c>
      <c r="IKR18" s="461"/>
      <c r="IKS18" s="450"/>
      <c r="IKT18" s="594">
        <f>(IKP18-IKH18)/IKH18</f>
        <v>0.13401162364699606</v>
      </c>
      <c r="IKU18" s="436" t="s">
        <v>141</v>
      </c>
      <c r="IKV18" s="448">
        <v>54850667.799999997</v>
      </c>
      <c r="IKW18" s="449"/>
      <c r="IKX18" s="448">
        <f>IKV18+IKW18</f>
        <v>54850667.799999997</v>
      </c>
      <c r="IKY18" s="452"/>
      <c r="IKZ18" s="452">
        <v>62201294.850000001</v>
      </c>
      <c r="ILA18" s="451">
        <f>60000000</f>
        <v>60000000</v>
      </c>
      <c r="ILB18" s="459"/>
      <c r="ILC18" s="452"/>
      <c r="ILD18" s="450">
        <v>0</v>
      </c>
      <c r="ILE18" s="460"/>
      <c r="ILF18" s="450">
        <f>IKZ18+ILC18</f>
        <v>62201294.850000001</v>
      </c>
      <c r="ILG18" s="454">
        <f>+ILA18+ILD18</f>
        <v>60000000</v>
      </c>
      <c r="ILH18" s="461"/>
      <c r="ILI18" s="450"/>
      <c r="ILJ18" s="594">
        <f>(ILF18-IKX18)/IKX18</f>
        <v>0.13401162364699606</v>
      </c>
      <c r="ILK18" s="436" t="s">
        <v>141</v>
      </c>
      <c r="ILL18" s="448">
        <v>54850667.799999997</v>
      </c>
      <c r="ILM18" s="449"/>
      <c r="ILN18" s="448">
        <f>ILL18+ILM18</f>
        <v>54850667.799999997</v>
      </c>
      <c r="ILO18" s="452"/>
      <c r="ILP18" s="452">
        <v>62201294.850000001</v>
      </c>
      <c r="ILQ18" s="451">
        <f>60000000</f>
        <v>60000000</v>
      </c>
      <c r="ILR18" s="459"/>
      <c r="ILS18" s="452"/>
      <c r="ILT18" s="450">
        <v>0</v>
      </c>
      <c r="ILU18" s="460"/>
      <c r="ILV18" s="450">
        <f>ILP18+ILS18</f>
        <v>62201294.850000001</v>
      </c>
      <c r="ILW18" s="454">
        <f>+ILQ18+ILT18</f>
        <v>60000000</v>
      </c>
      <c r="ILX18" s="461"/>
      <c r="ILY18" s="450"/>
      <c r="ILZ18" s="594">
        <f>(ILV18-ILN18)/ILN18</f>
        <v>0.13401162364699606</v>
      </c>
      <c r="IMA18" s="436" t="s">
        <v>141</v>
      </c>
      <c r="IMB18" s="448">
        <v>54850667.799999997</v>
      </c>
      <c r="IMC18" s="449"/>
      <c r="IMD18" s="448">
        <f>IMB18+IMC18</f>
        <v>54850667.799999997</v>
      </c>
      <c r="IME18" s="452"/>
      <c r="IMF18" s="452">
        <v>62201294.850000001</v>
      </c>
      <c r="IMG18" s="451">
        <f>60000000</f>
        <v>60000000</v>
      </c>
      <c r="IMH18" s="459"/>
      <c r="IMI18" s="452"/>
      <c r="IMJ18" s="450">
        <v>0</v>
      </c>
      <c r="IMK18" s="460"/>
      <c r="IML18" s="450">
        <f>IMF18+IMI18</f>
        <v>62201294.850000001</v>
      </c>
      <c r="IMM18" s="454">
        <f>+IMG18+IMJ18</f>
        <v>60000000</v>
      </c>
      <c r="IMN18" s="461"/>
      <c r="IMO18" s="450"/>
      <c r="IMP18" s="594">
        <f>(IML18-IMD18)/IMD18</f>
        <v>0.13401162364699606</v>
      </c>
      <c r="IMQ18" s="436" t="s">
        <v>141</v>
      </c>
      <c r="IMR18" s="448">
        <v>54850667.799999997</v>
      </c>
      <c r="IMS18" s="449"/>
      <c r="IMT18" s="448">
        <f>IMR18+IMS18</f>
        <v>54850667.799999997</v>
      </c>
      <c r="IMU18" s="452"/>
      <c r="IMV18" s="452">
        <v>62201294.850000001</v>
      </c>
      <c r="IMW18" s="451">
        <f>60000000</f>
        <v>60000000</v>
      </c>
      <c r="IMX18" s="459"/>
      <c r="IMY18" s="452"/>
      <c r="IMZ18" s="450">
        <v>0</v>
      </c>
      <c r="INA18" s="460"/>
      <c r="INB18" s="450">
        <f>IMV18+IMY18</f>
        <v>62201294.850000001</v>
      </c>
      <c r="INC18" s="454">
        <f>+IMW18+IMZ18</f>
        <v>60000000</v>
      </c>
      <c r="IND18" s="461"/>
      <c r="INE18" s="450"/>
      <c r="INF18" s="594">
        <f>(INB18-IMT18)/IMT18</f>
        <v>0.13401162364699606</v>
      </c>
      <c r="ING18" s="436" t="s">
        <v>141</v>
      </c>
      <c r="INH18" s="448">
        <v>54850667.799999997</v>
      </c>
      <c r="INI18" s="449"/>
      <c r="INJ18" s="448">
        <f>INH18+INI18</f>
        <v>54850667.799999997</v>
      </c>
      <c r="INK18" s="452"/>
      <c r="INL18" s="452">
        <v>62201294.850000001</v>
      </c>
      <c r="INM18" s="451">
        <f>60000000</f>
        <v>60000000</v>
      </c>
      <c r="INN18" s="459"/>
      <c r="INO18" s="452"/>
      <c r="INP18" s="450">
        <v>0</v>
      </c>
      <c r="INQ18" s="460"/>
      <c r="INR18" s="450">
        <f>INL18+INO18</f>
        <v>62201294.850000001</v>
      </c>
      <c r="INS18" s="454">
        <f>+INM18+INP18</f>
        <v>60000000</v>
      </c>
      <c r="INT18" s="461"/>
      <c r="INU18" s="450"/>
      <c r="INV18" s="594">
        <f>(INR18-INJ18)/INJ18</f>
        <v>0.13401162364699606</v>
      </c>
      <c r="INW18" s="436" t="s">
        <v>141</v>
      </c>
      <c r="INX18" s="448">
        <v>54850667.799999997</v>
      </c>
      <c r="INY18" s="449"/>
      <c r="INZ18" s="448">
        <f>INX18+INY18</f>
        <v>54850667.799999997</v>
      </c>
      <c r="IOA18" s="452"/>
      <c r="IOB18" s="452">
        <v>62201294.850000001</v>
      </c>
      <c r="IOC18" s="451">
        <f>60000000</f>
        <v>60000000</v>
      </c>
      <c r="IOD18" s="459"/>
      <c r="IOE18" s="452"/>
      <c r="IOF18" s="450">
        <v>0</v>
      </c>
      <c r="IOG18" s="460"/>
      <c r="IOH18" s="450">
        <f>IOB18+IOE18</f>
        <v>62201294.850000001</v>
      </c>
      <c r="IOI18" s="454">
        <f>+IOC18+IOF18</f>
        <v>60000000</v>
      </c>
      <c r="IOJ18" s="461"/>
      <c r="IOK18" s="450"/>
      <c r="IOL18" s="594">
        <f>(IOH18-INZ18)/INZ18</f>
        <v>0.13401162364699606</v>
      </c>
      <c r="IOM18" s="436" t="s">
        <v>141</v>
      </c>
      <c r="ION18" s="448">
        <v>54850667.799999997</v>
      </c>
      <c r="IOO18" s="449"/>
      <c r="IOP18" s="448">
        <f>ION18+IOO18</f>
        <v>54850667.799999997</v>
      </c>
      <c r="IOQ18" s="452"/>
      <c r="IOR18" s="452">
        <v>62201294.850000001</v>
      </c>
      <c r="IOS18" s="451">
        <f>60000000</f>
        <v>60000000</v>
      </c>
      <c r="IOT18" s="459"/>
      <c r="IOU18" s="452"/>
      <c r="IOV18" s="450">
        <v>0</v>
      </c>
      <c r="IOW18" s="460"/>
      <c r="IOX18" s="450">
        <f>IOR18+IOU18</f>
        <v>62201294.850000001</v>
      </c>
      <c r="IOY18" s="454">
        <f>+IOS18+IOV18</f>
        <v>60000000</v>
      </c>
      <c r="IOZ18" s="461"/>
      <c r="IPA18" s="450"/>
      <c r="IPB18" s="594">
        <f>(IOX18-IOP18)/IOP18</f>
        <v>0.13401162364699606</v>
      </c>
      <c r="IPC18" s="436" t="s">
        <v>141</v>
      </c>
      <c r="IPD18" s="448">
        <v>54850667.799999997</v>
      </c>
      <c r="IPE18" s="449"/>
      <c r="IPF18" s="448">
        <f>IPD18+IPE18</f>
        <v>54850667.799999997</v>
      </c>
      <c r="IPG18" s="452"/>
      <c r="IPH18" s="452">
        <v>62201294.850000001</v>
      </c>
      <c r="IPI18" s="451">
        <f>60000000</f>
        <v>60000000</v>
      </c>
      <c r="IPJ18" s="459"/>
      <c r="IPK18" s="452"/>
      <c r="IPL18" s="450">
        <v>0</v>
      </c>
      <c r="IPM18" s="460"/>
      <c r="IPN18" s="450">
        <f>IPH18+IPK18</f>
        <v>62201294.850000001</v>
      </c>
      <c r="IPO18" s="454">
        <f>+IPI18+IPL18</f>
        <v>60000000</v>
      </c>
      <c r="IPP18" s="461"/>
      <c r="IPQ18" s="450"/>
      <c r="IPR18" s="594">
        <f>(IPN18-IPF18)/IPF18</f>
        <v>0.13401162364699606</v>
      </c>
      <c r="IPS18" s="436" t="s">
        <v>141</v>
      </c>
      <c r="IPT18" s="448">
        <v>54850667.799999997</v>
      </c>
      <c r="IPU18" s="449"/>
      <c r="IPV18" s="448">
        <f>IPT18+IPU18</f>
        <v>54850667.799999997</v>
      </c>
      <c r="IPW18" s="452"/>
      <c r="IPX18" s="452">
        <v>62201294.850000001</v>
      </c>
      <c r="IPY18" s="451">
        <f>60000000</f>
        <v>60000000</v>
      </c>
      <c r="IPZ18" s="459"/>
      <c r="IQA18" s="452"/>
      <c r="IQB18" s="450">
        <v>0</v>
      </c>
      <c r="IQC18" s="460"/>
      <c r="IQD18" s="450">
        <f>IPX18+IQA18</f>
        <v>62201294.850000001</v>
      </c>
      <c r="IQE18" s="454">
        <f>+IPY18+IQB18</f>
        <v>60000000</v>
      </c>
      <c r="IQF18" s="461"/>
      <c r="IQG18" s="450"/>
      <c r="IQH18" s="594">
        <f>(IQD18-IPV18)/IPV18</f>
        <v>0.13401162364699606</v>
      </c>
      <c r="IQI18" s="436" t="s">
        <v>141</v>
      </c>
      <c r="IQJ18" s="448">
        <v>54850667.799999997</v>
      </c>
      <c r="IQK18" s="449"/>
      <c r="IQL18" s="448">
        <f>IQJ18+IQK18</f>
        <v>54850667.799999997</v>
      </c>
      <c r="IQM18" s="452"/>
      <c r="IQN18" s="452">
        <v>62201294.850000001</v>
      </c>
      <c r="IQO18" s="451">
        <f>60000000</f>
        <v>60000000</v>
      </c>
      <c r="IQP18" s="459"/>
      <c r="IQQ18" s="452"/>
      <c r="IQR18" s="450">
        <v>0</v>
      </c>
      <c r="IQS18" s="460"/>
      <c r="IQT18" s="450">
        <f>IQN18+IQQ18</f>
        <v>62201294.850000001</v>
      </c>
      <c r="IQU18" s="454">
        <f>+IQO18+IQR18</f>
        <v>60000000</v>
      </c>
      <c r="IQV18" s="461"/>
      <c r="IQW18" s="450"/>
      <c r="IQX18" s="594">
        <f>(IQT18-IQL18)/IQL18</f>
        <v>0.13401162364699606</v>
      </c>
      <c r="IQY18" s="436" t="s">
        <v>141</v>
      </c>
      <c r="IQZ18" s="448">
        <v>54850667.799999997</v>
      </c>
      <c r="IRA18" s="449"/>
      <c r="IRB18" s="448">
        <f>IQZ18+IRA18</f>
        <v>54850667.799999997</v>
      </c>
      <c r="IRC18" s="452"/>
      <c r="IRD18" s="452">
        <v>62201294.850000001</v>
      </c>
      <c r="IRE18" s="451">
        <f>60000000</f>
        <v>60000000</v>
      </c>
      <c r="IRF18" s="459"/>
      <c r="IRG18" s="452"/>
      <c r="IRH18" s="450">
        <v>0</v>
      </c>
      <c r="IRI18" s="460"/>
      <c r="IRJ18" s="450">
        <f>IRD18+IRG18</f>
        <v>62201294.850000001</v>
      </c>
      <c r="IRK18" s="454">
        <f>+IRE18+IRH18</f>
        <v>60000000</v>
      </c>
      <c r="IRL18" s="461"/>
      <c r="IRM18" s="450"/>
      <c r="IRN18" s="594">
        <f>(IRJ18-IRB18)/IRB18</f>
        <v>0.13401162364699606</v>
      </c>
      <c r="IRO18" s="436" t="s">
        <v>141</v>
      </c>
      <c r="IRP18" s="448">
        <v>54850667.799999997</v>
      </c>
      <c r="IRQ18" s="449"/>
      <c r="IRR18" s="448">
        <f>IRP18+IRQ18</f>
        <v>54850667.799999997</v>
      </c>
      <c r="IRS18" s="452"/>
      <c r="IRT18" s="452">
        <v>62201294.850000001</v>
      </c>
      <c r="IRU18" s="451">
        <f>60000000</f>
        <v>60000000</v>
      </c>
      <c r="IRV18" s="459"/>
      <c r="IRW18" s="452"/>
      <c r="IRX18" s="450">
        <v>0</v>
      </c>
      <c r="IRY18" s="460"/>
      <c r="IRZ18" s="450">
        <f>IRT18+IRW18</f>
        <v>62201294.850000001</v>
      </c>
      <c r="ISA18" s="454">
        <f>+IRU18+IRX18</f>
        <v>60000000</v>
      </c>
      <c r="ISB18" s="461"/>
      <c r="ISC18" s="450"/>
      <c r="ISD18" s="594">
        <f>(IRZ18-IRR18)/IRR18</f>
        <v>0.13401162364699606</v>
      </c>
      <c r="ISE18" s="436" t="s">
        <v>141</v>
      </c>
      <c r="ISF18" s="448">
        <v>54850667.799999997</v>
      </c>
      <c r="ISG18" s="449"/>
      <c r="ISH18" s="448">
        <f>ISF18+ISG18</f>
        <v>54850667.799999997</v>
      </c>
      <c r="ISI18" s="452"/>
      <c r="ISJ18" s="452">
        <v>62201294.850000001</v>
      </c>
      <c r="ISK18" s="451">
        <f>60000000</f>
        <v>60000000</v>
      </c>
      <c r="ISL18" s="459"/>
      <c r="ISM18" s="452"/>
      <c r="ISN18" s="450">
        <v>0</v>
      </c>
      <c r="ISO18" s="460"/>
      <c r="ISP18" s="450">
        <f>ISJ18+ISM18</f>
        <v>62201294.850000001</v>
      </c>
      <c r="ISQ18" s="454">
        <f>+ISK18+ISN18</f>
        <v>60000000</v>
      </c>
      <c r="ISR18" s="461"/>
      <c r="ISS18" s="450"/>
      <c r="IST18" s="594">
        <f>(ISP18-ISH18)/ISH18</f>
        <v>0.13401162364699606</v>
      </c>
      <c r="ISU18" s="436" t="s">
        <v>141</v>
      </c>
      <c r="ISV18" s="448">
        <v>54850667.799999997</v>
      </c>
      <c r="ISW18" s="449"/>
      <c r="ISX18" s="448">
        <f>ISV18+ISW18</f>
        <v>54850667.799999997</v>
      </c>
      <c r="ISY18" s="452"/>
      <c r="ISZ18" s="452">
        <v>62201294.850000001</v>
      </c>
      <c r="ITA18" s="451">
        <f>60000000</f>
        <v>60000000</v>
      </c>
      <c r="ITB18" s="459"/>
      <c r="ITC18" s="452"/>
      <c r="ITD18" s="450">
        <v>0</v>
      </c>
      <c r="ITE18" s="460"/>
      <c r="ITF18" s="450">
        <f>ISZ18+ITC18</f>
        <v>62201294.850000001</v>
      </c>
      <c r="ITG18" s="454">
        <f>+ITA18+ITD18</f>
        <v>60000000</v>
      </c>
      <c r="ITH18" s="461"/>
      <c r="ITI18" s="450"/>
      <c r="ITJ18" s="594">
        <f>(ITF18-ISX18)/ISX18</f>
        <v>0.13401162364699606</v>
      </c>
      <c r="ITK18" s="436" t="s">
        <v>141</v>
      </c>
      <c r="ITL18" s="448">
        <v>54850667.799999997</v>
      </c>
      <c r="ITM18" s="449"/>
      <c r="ITN18" s="448">
        <f>ITL18+ITM18</f>
        <v>54850667.799999997</v>
      </c>
      <c r="ITO18" s="452"/>
      <c r="ITP18" s="452">
        <v>62201294.850000001</v>
      </c>
      <c r="ITQ18" s="451">
        <f>60000000</f>
        <v>60000000</v>
      </c>
      <c r="ITR18" s="459"/>
      <c r="ITS18" s="452"/>
      <c r="ITT18" s="450">
        <v>0</v>
      </c>
      <c r="ITU18" s="460"/>
      <c r="ITV18" s="450">
        <f>ITP18+ITS18</f>
        <v>62201294.850000001</v>
      </c>
      <c r="ITW18" s="454">
        <f>+ITQ18+ITT18</f>
        <v>60000000</v>
      </c>
      <c r="ITX18" s="461"/>
      <c r="ITY18" s="450"/>
      <c r="ITZ18" s="594">
        <f>(ITV18-ITN18)/ITN18</f>
        <v>0.13401162364699606</v>
      </c>
      <c r="IUA18" s="436" t="s">
        <v>141</v>
      </c>
      <c r="IUB18" s="448">
        <v>54850667.799999997</v>
      </c>
      <c r="IUC18" s="449"/>
      <c r="IUD18" s="448">
        <f>IUB18+IUC18</f>
        <v>54850667.799999997</v>
      </c>
      <c r="IUE18" s="452"/>
      <c r="IUF18" s="452">
        <v>62201294.850000001</v>
      </c>
      <c r="IUG18" s="451">
        <f>60000000</f>
        <v>60000000</v>
      </c>
      <c r="IUH18" s="459"/>
      <c r="IUI18" s="452"/>
      <c r="IUJ18" s="450">
        <v>0</v>
      </c>
      <c r="IUK18" s="460"/>
      <c r="IUL18" s="450">
        <f>IUF18+IUI18</f>
        <v>62201294.850000001</v>
      </c>
      <c r="IUM18" s="454">
        <f>+IUG18+IUJ18</f>
        <v>60000000</v>
      </c>
      <c r="IUN18" s="461"/>
      <c r="IUO18" s="450"/>
      <c r="IUP18" s="594">
        <f>(IUL18-IUD18)/IUD18</f>
        <v>0.13401162364699606</v>
      </c>
      <c r="IUQ18" s="436" t="s">
        <v>141</v>
      </c>
      <c r="IUR18" s="448">
        <v>54850667.799999997</v>
      </c>
      <c r="IUS18" s="449"/>
      <c r="IUT18" s="448">
        <f>IUR18+IUS18</f>
        <v>54850667.799999997</v>
      </c>
      <c r="IUU18" s="452"/>
      <c r="IUV18" s="452">
        <v>62201294.850000001</v>
      </c>
      <c r="IUW18" s="451">
        <f>60000000</f>
        <v>60000000</v>
      </c>
      <c r="IUX18" s="459"/>
      <c r="IUY18" s="452"/>
      <c r="IUZ18" s="450">
        <v>0</v>
      </c>
      <c r="IVA18" s="460"/>
      <c r="IVB18" s="450">
        <f>IUV18+IUY18</f>
        <v>62201294.850000001</v>
      </c>
      <c r="IVC18" s="454">
        <f>+IUW18+IUZ18</f>
        <v>60000000</v>
      </c>
      <c r="IVD18" s="461"/>
      <c r="IVE18" s="450"/>
      <c r="IVF18" s="594">
        <f>(IVB18-IUT18)/IUT18</f>
        <v>0.13401162364699606</v>
      </c>
      <c r="IVG18" s="436" t="s">
        <v>141</v>
      </c>
      <c r="IVH18" s="448">
        <v>54850667.799999997</v>
      </c>
      <c r="IVI18" s="449"/>
      <c r="IVJ18" s="448">
        <f>IVH18+IVI18</f>
        <v>54850667.799999997</v>
      </c>
      <c r="IVK18" s="452"/>
      <c r="IVL18" s="452">
        <v>62201294.850000001</v>
      </c>
      <c r="IVM18" s="451">
        <f>60000000</f>
        <v>60000000</v>
      </c>
      <c r="IVN18" s="459"/>
      <c r="IVO18" s="452"/>
      <c r="IVP18" s="450">
        <v>0</v>
      </c>
      <c r="IVQ18" s="460"/>
      <c r="IVR18" s="450">
        <f>IVL18+IVO18</f>
        <v>62201294.850000001</v>
      </c>
      <c r="IVS18" s="454">
        <f>+IVM18+IVP18</f>
        <v>60000000</v>
      </c>
      <c r="IVT18" s="461"/>
      <c r="IVU18" s="450"/>
      <c r="IVV18" s="594">
        <f>(IVR18-IVJ18)/IVJ18</f>
        <v>0.13401162364699606</v>
      </c>
      <c r="IVW18" s="436" t="s">
        <v>141</v>
      </c>
      <c r="IVX18" s="448">
        <v>54850667.799999997</v>
      </c>
      <c r="IVY18" s="449"/>
      <c r="IVZ18" s="448">
        <f>IVX18+IVY18</f>
        <v>54850667.799999997</v>
      </c>
      <c r="IWA18" s="452"/>
      <c r="IWB18" s="452">
        <v>62201294.850000001</v>
      </c>
      <c r="IWC18" s="451">
        <f>60000000</f>
        <v>60000000</v>
      </c>
      <c r="IWD18" s="459"/>
      <c r="IWE18" s="452"/>
      <c r="IWF18" s="450">
        <v>0</v>
      </c>
      <c r="IWG18" s="460"/>
      <c r="IWH18" s="450">
        <f>IWB18+IWE18</f>
        <v>62201294.850000001</v>
      </c>
      <c r="IWI18" s="454">
        <f>+IWC18+IWF18</f>
        <v>60000000</v>
      </c>
      <c r="IWJ18" s="461"/>
      <c r="IWK18" s="450"/>
      <c r="IWL18" s="594">
        <f>(IWH18-IVZ18)/IVZ18</f>
        <v>0.13401162364699606</v>
      </c>
      <c r="IWM18" s="436" t="s">
        <v>141</v>
      </c>
      <c r="IWN18" s="448">
        <v>54850667.799999997</v>
      </c>
      <c r="IWO18" s="449"/>
      <c r="IWP18" s="448">
        <f>IWN18+IWO18</f>
        <v>54850667.799999997</v>
      </c>
      <c r="IWQ18" s="452"/>
      <c r="IWR18" s="452">
        <v>62201294.850000001</v>
      </c>
      <c r="IWS18" s="451">
        <f>60000000</f>
        <v>60000000</v>
      </c>
      <c r="IWT18" s="459"/>
      <c r="IWU18" s="452"/>
      <c r="IWV18" s="450">
        <v>0</v>
      </c>
      <c r="IWW18" s="460"/>
      <c r="IWX18" s="450">
        <f>IWR18+IWU18</f>
        <v>62201294.850000001</v>
      </c>
      <c r="IWY18" s="454">
        <f>+IWS18+IWV18</f>
        <v>60000000</v>
      </c>
      <c r="IWZ18" s="461"/>
      <c r="IXA18" s="450"/>
      <c r="IXB18" s="594">
        <f>(IWX18-IWP18)/IWP18</f>
        <v>0.13401162364699606</v>
      </c>
      <c r="IXC18" s="436" t="s">
        <v>141</v>
      </c>
      <c r="IXD18" s="448">
        <v>54850667.799999997</v>
      </c>
      <c r="IXE18" s="449"/>
      <c r="IXF18" s="448">
        <f>IXD18+IXE18</f>
        <v>54850667.799999997</v>
      </c>
      <c r="IXG18" s="452"/>
      <c r="IXH18" s="452">
        <v>62201294.850000001</v>
      </c>
      <c r="IXI18" s="451">
        <f>60000000</f>
        <v>60000000</v>
      </c>
      <c r="IXJ18" s="459"/>
      <c r="IXK18" s="452"/>
      <c r="IXL18" s="450">
        <v>0</v>
      </c>
      <c r="IXM18" s="460"/>
      <c r="IXN18" s="450">
        <f>IXH18+IXK18</f>
        <v>62201294.850000001</v>
      </c>
      <c r="IXO18" s="454">
        <f>+IXI18+IXL18</f>
        <v>60000000</v>
      </c>
      <c r="IXP18" s="461"/>
      <c r="IXQ18" s="450"/>
      <c r="IXR18" s="594">
        <f>(IXN18-IXF18)/IXF18</f>
        <v>0.13401162364699606</v>
      </c>
      <c r="IXS18" s="436" t="s">
        <v>141</v>
      </c>
      <c r="IXT18" s="448">
        <v>54850667.799999997</v>
      </c>
      <c r="IXU18" s="449"/>
      <c r="IXV18" s="448">
        <f>IXT18+IXU18</f>
        <v>54850667.799999997</v>
      </c>
      <c r="IXW18" s="452"/>
      <c r="IXX18" s="452">
        <v>62201294.850000001</v>
      </c>
      <c r="IXY18" s="451">
        <f>60000000</f>
        <v>60000000</v>
      </c>
      <c r="IXZ18" s="459"/>
      <c r="IYA18" s="452"/>
      <c r="IYB18" s="450">
        <v>0</v>
      </c>
      <c r="IYC18" s="460"/>
      <c r="IYD18" s="450">
        <f>IXX18+IYA18</f>
        <v>62201294.850000001</v>
      </c>
      <c r="IYE18" s="454">
        <f>+IXY18+IYB18</f>
        <v>60000000</v>
      </c>
      <c r="IYF18" s="461"/>
      <c r="IYG18" s="450"/>
      <c r="IYH18" s="594">
        <f>(IYD18-IXV18)/IXV18</f>
        <v>0.13401162364699606</v>
      </c>
      <c r="IYI18" s="436" t="s">
        <v>141</v>
      </c>
      <c r="IYJ18" s="448">
        <v>54850667.799999997</v>
      </c>
      <c r="IYK18" s="449"/>
      <c r="IYL18" s="448">
        <f>IYJ18+IYK18</f>
        <v>54850667.799999997</v>
      </c>
      <c r="IYM18" s="452"/>
      <c r="IYN18" s="452">
        <v>62201294.850000001</v>
      </c>
      <c r="IYO18" s="451">
        <f>60000000</f>
        <v>60000000</v>
      </c>
      <c r="IYP18" s="459"/>
      <c r="IYQ18" s="452"/>
      <c r="IYR18" s="450">
        <v>0</v>
      </c>
      <c r="IYS18" s="460"/>
      <c r="IYT18" s="450">
        <f>IYN18+IYQ18</f>
        <v>62201294.850000001</v>
      </c>
      <c r="IYU18" s="454">
        <f>+IYO18+IYR18</f>
        <v>60000000</v>
      </c>
      <c r="IYV18" s="461"/>
      <c r="IYW18" s="450"/>
      <c r="IYX18" s="594">
        <f>(IYT18-IYL18)/IYL18</f>
        <v>0.13401162364699606</v>
      </c>
      <c r="IYY18" s="436" t="s">
        <v>141</v>
      </c>
      <c r="IYZ18" s="448">
        <v>54850667.799999997</v>
      </c>
      <c r="IZA18" s="449"/>
      <c r="IZB18" s="448">
        <f>IYZ18+IZA18</f>
        <v>54850667.799999997</v>
      </c>
      <c r="IZC18" s="452"/>
      <c r="IZD18" s="452">
        <v>62201294.850000001</v>
      </c>
      <c r="IZE18" s="451">
        <f>60000000</f>
        <v>60000000</v>
      </c>
      <c r="IZF18" s="459"/>
      <c r="IZG18" s="452"/>
      <c r="IZH18" s="450">
        <v>0</v>
      </c>
      <c r="IZI18" s="460"/>
      <c r="IZJ18" s="450">
        <f>IZD18+IZG18</f>
        <v>62201294.850000001</v>
      </c>
      <c r="IZK18" s="454">
        <f>+IZE18+IZH18</f>
        <v>60000000</v>
      </c>
      <c r="IZL18" s="461"/>
      <c r="IZM18" s="450"/>
      <c r="IZN18" s="594">
        <f>(IZJ18-IZB18)/IZB18</f>
        <v>0.13401162364699606</v>
      </c>
      <c r="IZO18" s="436" t="s">
        <v>141</v>
      </c>
      <c r="IZP18" s="448">
        <v>54850667.799999997</v>
      </c>
      <c r="IZQ18" s="449"/>
      <c r="IZR18" s="448">
        <f>IZP18+IZQ18</f>
        <v>54850667.799999997</v>
      </c>
      <c r="IZS18" s="452"/>
      <c r="IZT18" s="452">
        <v>62201294.850000001</v>
      </c>
      <c r="IZU18" s="451">
        <f>60000000</f>
        <v>60000000</v>
      </c>
      <c r="IZV18" s="459"/>
      <c r="IZW18" s="452"/>
      <c r="IZX18" s="450">
        <v>0</v>
      </c>
      <c r="IZY18" s="460"/>
      <c r="IZZ18" s="450">
        <f>IZT18+IZW18</f>
        <v>62201294.850000001</v>
      </c>
      <c r="JAA18" s="454">
        <f>+IZU18+IZX18</f>
        <v>60000000</v>
      </c>
      <c r="JAB18" s="461"/>
      <c r="JAC18" s="450"/>
      <c r="JAD18" s="594">
        <f>(IZZ18-IZR18)/IZR18</f>
        <v>0.13401162364699606</v>
      </c>
      <c r="JAE18" s="436" t="s">
        <v>141</v>
      </c>
      <c r="JAF18" s="448">
        <v>54850667.799999997</v>
      </c>
      <c r="JAG18" s="449"/>
      <c r="JAH18" s="448">
        <f>JAF18+JAG18</f>
        <v>54850667.799999997</v>
      </c>
      <c r="JAI18" s="452"/>
      <c r="JAJ18" s="452">
        <v>62201294.850000001</v>
      </c>
      <c r="JAK18" s="451">
        <f>60000000</f>
        <v>60000000</v>
      </c>
      <c r="JAL18" s="459"/>
      <c r="JAM18" s="452"/>
      <c r="JAN18" s="450">
        <v>0</v>
      </c>
      <c r="JAO18" s="460"/>
      <c r="JAP18" s="450">
        <f>JAJ18+JAM18</f>
        <v>62201294.850000001</v>
      </c>
      <c r="JAQ18" s="454">
        <f>+JAK18+JAN18</f>
        <v>60000000</v>
      </c>
      <c r="JAR18" s="461"/>
      <c r="JAS18" s="450"/>
      <c r="JAT18" s="594">
        <f>(JAP18-JAH18)/JAH18</f>
        <v>0.13401162364699606</v>
      </c>
      <c r="JAU18" s="436" t="s">
        <v>141</v>
      </c>
      <c r="JAV18" s="448">
        <v>54850667.799999997</v>
      </c>
      <c r="JAW18" s="449"/>
      <c r="JAX18" s="448">
        <f>JAV18+JAW18</f>
        <v>54850667.799999997</v>
      </c>
      <c r="JAY18" s="452"/>
      <c r="JAZ18" s="452">
        <v>62201294.850000001</v>
      </c>
      <c r="JBA18" s="451">
        <f>60000000</f>
        <v>60000000</v>
      </c>
      <c r="JBB18" s="459"/>
      <c r="JBC18" s="452"/>
      <c r="JBD18" s="450">
        <v>0</v>
      </c>
      <c r="JBE18" s="460"/>
      <c r="JBF18" s="450">
        <f>JAZ18+JBC18</f>
        <v>62201294.850000001</v>
      </c>
      <c r="JBG18" s="454">
        <f>+JBA18+JBD18</f>
        <v>60000000</v>
      </c>
      <c r="JBH18" s="461"/>
      <c r="JBI18" s="450"/>
      <c r="JBJ18" s="594">
        <f>(JBF18-JAX18)/JAX18</f>
        <v>0.13401162364699606</v>
      </c>
      <c r="JBK18" s="436" t="s">
        <v>141</v>
      </c>
      <c r="JBL18" s="448">
        <v>54850667.799999997</v>
      </c>
      <c r="JBM18" s="449"/>
      <c r="JBN18" s="448">
        <f>JBL18+JBM18</f>
        <v>54850667.799999997</v>
      </c>
      <c r="JBO18" s="452"/>
      <c r="JBP18" s="452">
        <v>62201294.850000001</v>
      </c>
      <c r="JBQ18" s="451">
        <f>60000000</f>
        <v>60000000</v>
      </c>
      <c r="JBR18" s="459"/>
      <c r="JBS18" s="452"/>
      <c r="JBT18" s="450">
        <v>0</v>
      </c>
      <c r="JBU18" s="460"/>
      <c r="JBV18" s="450">
        <f>JBP18+JBS18</f>
        <v>62201294.850000001</v>
      </c>
      <c r="JBW18" s="454">
        <f>+JBQ18+JBT18</f>
        <v>60000000</v>
      </c>
      <c r="JBX18" s="461"/>
      <c r="JBY18" s="450"/>
      <c r="JBZ18" s="594">
        <f>(JBV18-JBN18)/JBN18</f>
        <v>0.13401162364699606</v>
      </c>
      <c r="JCA18" s="436" t="s">
        <v>141</v>
      </c>
      <c r="JCB18" s="448">
        <v>54850667.799999997</v>
      </c>
      <c r="JCC18" s="449"/>
      <c r="JCD18" s="448">
        <f>JCB18+JCC18</f>
        <v>54850667.799999997</v>
      </c>
      <c r="JCE18" s="452"/>
      <c r="JCF18" s="452">
        <v>62201294.850000001</v>
      </c>
      <c r="JCG18" s="451">
        <f>60000000</f>
        <v>60000000</v>
      </c>
      <c r="JCH18" s="459"/>
      <c r="JCI18" s="452"/>
      <c r="JCJ18" s="450">
        <v>0</v>
      </c>
      <c r="JCK18" s="460"/>
      <c r="JCL18" s="450">
        <f>JCF18+JCI18</f>
        <v>62201294.850000001</v>
      </c>
      <c r="JCM18" s="454">
        <f>+JCG18+JCJ18</f>
        <v>60000000</v>
      </c>
      <c r="JCN18" s="461"/>
      <c r="JCO18" s="450"/>
      <c r="JCP18" s="594">
        <f>(JCL18-JCD18)/JCD18</f>
        <v>0.13401162364699606</v>
      </c>
      <c r="JCQ18" s="436" t="s">
        <v>141</v>
      </c>
      <c r="JCR18" s="448">
        <v>54850667.799999997</v>
      </c>
      <c r="JCS18" s="449"/>
      <c r="JCT18" s="448">
        <f>JCR18+JCS18</f>
        <v>54850667.799999997</v>
      </c>
      <c r="JCU18" s="452"/>
      <c r="JCV18" s="452">
        <v>62201294.850000001</v>
      </c>
      <c r="JCW18" s="451">
        <f>60000000</f>
        <v>60000000</v>
      </c>
      <c r="JCX18" s="459"/>
      <c r="JCY18" s="452"/>
      <c r="JCZ18" s="450">
        <v>0</v>
      </c>
      <c r="JDA18" s="460"/>
      <c r="JDB18" s="450">
        <f>JCV18+JCY18</f>
        <v>62201294.850000001</v>
      </c>
      <c r="JDC18" s="454">
        <f>+JCW18+JCZ18</f>
        <v>60000000</v>
      </c>
      <c r="JDD18" s="461"/>
      <c r="JDE18" s="450"/>
      <c r="JDF18" s="594">
        <f>(JDB18-JCT18)/JCT18</f>
        <v>0.13401162364699606</v>
      </c>
      <c r="JDG18" s="436" t="s">
        <v>141</v>
      </c>
      <c r="JDH18" s="448">
        <v>54850667.799999997</v>
      </c>
      <c r="JDI18" s="449"/>
      <c r="JDJ18" s="448">
        <f>JDH18+JDI18</f>
        <v>54850667.799999997</v>
      </c>
      <c r="JDK18" s="452"/>
      <c r="JDL18" s="452">
        <v>62201294.850000001</v>
      </c>
      <c r="JDM18" s="451">
        <f>60000000</f>
        <v>60000000</v>
      </c>
      <c r="JDN18" s="459"/>
      <c r="JDO18" s="452"/>
      <c r="JDP18" s="450">
        <v>0</v>
      </c>
      <c r="JDQ18" s="460"/>
      <c r="JDR18" s="450">
        <f>JDL18+JDO18</f>
        <v>62201294.850000001</v>
      </c>
      <c r="JDS18" s="454">
        <f>+JDM18+JDP18</f>
        <v>60000000</v>
      </c>
      <c r="JDT18" s="461"/>
      <c r="JDU18" s="450"/>
      <c r="JDV18" s="594">
        <f>(JDR18-JDJ18)/JDJ18</f>
        <v>0.13401162364699606</v>
      </c>
      <c r="JDW18" s="436" t="s">
        <v>141</v>
      </c>
      <c r="JDX18" s="448">
        <v>54850667.799999997</v>
      </c>
      <c r="JDY18" s="449"/>
      <c r="JDZ18" s="448">
        <f>JDX18+JDY18</f>
        <v>54850667.799999997</v>
      </c>
      <c r="JEA18" s="452"/>
      <c r="JEB18" s="452">
        <v>62201294.850000001</v>
      </c>
      <c r="JEC18" s="451">
        <f>60000000</f>
        <v>60000000</v>
      </c>
      <c r="JED18" s="459"/>
      <c r="JEE18" s="452"/>
      <c r="JEF18" s="450">
        <v>0</v>
      </c>
      <c r="JEG18" s="460"/>
      <c r="JEH18" s="450">
        <f>JEB18+JEE18</f>
        <v>62201294.850000001</v>
      </c>
      <c r="JEI18" s="454">
        <f>+JEC18+JEF18</f>
        <v>60000000</v>
      </c>
      <c r="JEJ18" s="461"/>
      <c r="JEK18" s="450"/>
      <c r="JEL18" s="594">
        <f>(JEH18-JDZ18)/JDZ18</f>
        <v>0.13401162364699606</v>
      </c>
      <c r="JEM18" s="436" t="s">
        <v>141</v>
      </c>
      <c r="JEN18" s="448">
        <v>54850667.799999997</v>
      </c>
      <c r="JEO18" s="449"/>
      <c r="JEP18" s="448">
        <f>JEN18+JEO18</f>
        <v>54850667.799999997</v>
      </c>
      <c r="JEQ18" s="452"/>
      <c r="JER18" s="452">
        <v>62201294.850000001</v>
      </c>
      <c r="JES18" s="451">
        <f>60000000</f>
        <v>60000000</v>
      </c>
      <c r="JET18" s="459"/>
      <c r="JEU18" s="452"/>
      <c r="JEV18" s="450">
        <v>0</v>
      </c>
      <c r="JEW18" s="460"/>
      <c r="JEX18" s="450">
        <f>JER18+JEU18</f>
        <v>62201294.850000001</v>
      </c>
      <c r="JEY18" s="454">
        <f>+JES18+JEV18</f>
        <v>60000000</v>
      </c>
      <c r="JEZ18" s="461"/>
      <c r="JFA18" s="450"/>
      <c r="JFB18" s="594">
        <f>(JEX18-JEP18)/JEP18</f>
        <v>0.13401162364699606</v>
      </c>
      <c r="JFC18" s="436" t="s">
        <v>141</v>
      </c>
      <c r="JFD18" s="448">
        <v>54850667.799999997</v>
      </c>
      <c r="JFE18" s="449"/>
      <c r="JFF18" s="448">
        <f>JFD18+JFE18</f>
        <v>54850667.799999997</v>
      </c>
      <c r="JFG18" s="452"/>
      <c r="JFH18" s="452">
        <v>62201294.850000001</v>
      </c>
      <c r="JFI18" s="451">
        <f>60000000</f>
        <v>60000000</v>
      </c>
      <c r="JFJ18" s="459"/>
      <c r="JFK18" s="452"/>
      <c r="JFL18" s="450">
        <v>0</v>
      </c>
      <c r="JFM18" s="460"/>
      <c r="JFN18" s="450">
        <f>JFH18+JFK18</f>
        <v>62201294.850000001</v>
      </c>
      <c r="JFO18" s="454">
        <f>+JFI18+JFL18</f>
        <v>60000000</v>
      </c>
      <c r="JFP18" s="461"/>
      <c r="JFQ18" s="450"/>
      <c r="JFR18" s="594">
        <f>(JFN18-JFF18)/JFF18</f>
        <v>0.13401162364699606</v>
      </c>
      <c r="JFS18" s="436" t="s">
        <v>141</v>
      </c>
      <c r="JFT18" s="448">
        <v>54850667.799999997</v>
      </c>
      <c r="JFU18" s="449"/>
      <c r="JFV18" s="448">
        <f>JFT18+JFU18</f>
        <v>54850667.799999997</v>
      </c>
      <c r="JFW18" s="452"/>
      <c r="JFX18" s="452">
        <v>62201294.850000001</v>
      </c>
      <c r="JFY18" s="451">
        <f>60000000</f>
        <v>60000000</v>
      </c>
      <c r="JFZ18" s="459"/>
      <c r="JGA18" s="452"/>
      <c r="JGB18" s="450">
        <v>0</v>
      </c>
      <c r="JGC18" s="460"/>
      <c r="JGD18" s="450">
        <f>JFX18+JGA18</f>
        <v>62201294.850000001</v>
      </c>
      <c r="JGE18" s="454">
        <f>+JFY18+JGB18</f>
        <v>60000000</v>
      </c>
      <c r="JGF18" s="461"/>
      <c r="JGG18" s="450"/>
      <c r="JGH18" s="594">
        <f>(JGD18-JFV18)/JFV18</f>
        <v>0.13401162364699606</v>
      </c>
      <c r="JGI18" s="436" t="s">
        <v>141</v>
      </c>
      <c r="JGJ18" s="448">
        <v>54850667.799999997</v>
      </c>
      <c r="JGK18" s="449"/>
      <c r="JGL18" s="448">
        <f>JGJ18+JGK18</f>
        <v>54850667.799999997</v>
      </c>
      <c r="JGM18" s="452"/>
      <c r="JGN18" s="452">
        <v>62201294.850000001</v>
      </c>
      <c r="JGO18" s="451">
        <f>60000000</f>
        <v>60000000</v>
      </c>
      <c r="JGP18" s="459"/>
      <c r="JGQ18" s="452"/>
      <c r="JGR18" s="450">
        <v>0</v>
      </c>
      <c r="JGS18" s="460"/>
      <c r="JGT18" s="450">
        <f>JGN18+JGQ18</f>
        <v>62201294.850000001</v>
      </c>
      <c r="JGU18" s="454">
        <f>+JGO18+JGR18</f>
        <v>60000000</v>
      </c>
      <c r="JGV18" s="461"/>
      <c r="JGW18" s="450"/>
      <c r="JGX18" s="594">
        <f>(JGT18-JGL18)/JGL18</f>
        <v>0.13401162364699606</v>
      </c>
      <c r="JGY18" s="436" t="s">
        <v>141</v>
      </c>
      <c r="JGZ18" s="448">
        <v>54850667.799999997</v>
      </c>
      <c r="JHA18" s="449"/>
      <c r="JHB18" s="448">
        <f>JGZ18+JHA18</f>
        <v>54850667.799999997</v>
      </c>
      <c r="JHC18" s="452"/>
      <c r="JHD18" s="452">
        <v>62201294.850000001</v>
      </c>
      <c r="JHE18" s="451">
        <f>60000000</f>
        <v>60000000</v>
      </c>
      <c r="JHF18" s="459"/>
      <c r="JHG18" s="452"/>
      <c r="JHH18" s="450">
        <v>0</v>
      </c>
      <c r="JHI18" s="460"/>
      <c r="JHJ18" s="450">
        <f>JHD18+JHG18</f>
        <v>62201294.850000001</v>
      </c>
      <c r="JHK18" s="454">
        <f>+JHE18+JHH18</f>
        <v>60000000</v>
      </c>
      <c r="JHL18" s="461"/>
      <c r="JHM18" s="450"/>
      <c r="JHN18" s="594">
        <f>(JHJ18-JHB18)/JHB18</f>
        <v>0.13401162364699606</v>
      </c>
      <c r="JHO18" s="436" t="s">
        <v>141</v>
      </c>
      <c r="JHP18" s="448">
        <v>54850667.799999997</v>
      </c>
      <c r="JHQ18" s="449"/>
      <c r="JHR18" s="448">
        <f>JHP18+JHQ18</f>
        <v>54850667.799999997</v>
      </c>
      <c r="JHS18" s="452"/>
      <c r="JHT18" s="452">
        <v>62201294.850000001</v>
      </c>
      <c r="JHU18" s="451">
        <f>60000000</f>
        <v>60000000</v>
      </c>
      <c r="JHV18" s="459"/>
      <c r="JHW18" s="452"/>
      <c r="JHX18" s="450">
        <v>0</v>
      </c>
      <c r="JHY18" s="460"/>
      <c r="JHZ18" s="450">
        <f>JHT18+JHW18</f>
        <v>62201294.850000001</v>
      </c>
      <c r="JIA18" s="454">
        <f>+JHU18+JHX18</f>
        <v>60000000</v>
      </c>
      <c r="JIB18" s="461"/>
      <c r="JIC18" s="450"/>
      <c r="JID18" s="594">
        <f>(JHZ18-JHR18)/JHR18</f>
        <v>0.13401162364699606</v>
      </c>
      <c r="JIE18" s="436" t="s">
        <v>141</v>
      </c>
      <c r="JIF18" s="448">
        <v>54850667.799999997</v>
      </c>
      <c r="JIG18" s="449"/>
      <c r="JIH18" s="448">
        <f>JIF18+JIG18</f>
        <v>54850667.799999997</v>
      </c>
      <c r="JII18" s="452"/>
      <c r="JIJ18" s="452">
        <v>62201294.850000001</v>
      </c>
      <c r="JIK18" s="451">
        <f>60000000</f>
        <v>60000000</v>
      </c>
      <c r="JIL18" s="459"/>
      <c r="JIM18" s="452"/>
      <c r="JIN18" s="450">
        <v>0</v>
      </c>
      <c r="JIO18" s="460"/>
      <c r="JIP18" s="450">
        <f>JIJ18+JIM18</f>
        <v>62201294.850000001</v>
      </c>
      <c r="JIQ18" s="454">
        <f>+JIK18+JIN18</f>
        <v>60000000</v>
      </c>
      <c r="JIR18" s="461"/>
      <c r="JIS18" s="450"/>
      <c r="JIT18" s="594">
        <f>(JIP18-JIH18)/JIH18</f>
        <v>0.13401162364699606</v>
      </c>
      <c r="JIU18" s="436" t="s">
        <v>141</v>
      </c>
      <c r="JIV18" s="448">
        <v>54850667.799999997</v>
      </c>
      <c r="JIW18" s="449"/>
      <c r="JIX18" s="448">
        <f>JIV18+JIW18</f>
        <v>54850667.799999997</v>
      </c>
      <c r="JIY18" s="452"/>
      <c r="JIZ18" s="452">
        <v>62201294.850000001</v>
      </c>
      <c r="JJA18" s="451">
        <f>60000000</f>
        <v>60000000</v>
      </c>
      <c r="JJB18" s="459"/>
      <c r="JJC18" s="452"/>
      <c r="JJD18" s="450">
        <v>0</v>
      </c>
      <c r="JJE18" s="460"/>
      <c r="JJF18" s="450">
        <f>JIZ18+JJC18</f>
        <v>62201294.850000001</v>
      </c>
      <c r="JJG18" s="454">
        <f>+JJA18+JJD18</f>
        <v>60000000</v>
      </c>
      <c r="JJH18" s="461"/>
      <c r="JJI18" s="450"/>
      <c r="JJJ18" s="594">
        <f>(JJF18-JIX18)/JIX18</f>
        <v>0.13401162364699606</v>
      </c>
      <c r="JJK18" s="436" t="s">
        <v>141</v>
      </c>
      <c r="JJL18" s="448">
        <v>54850667.799999997</v>
      </c>
      <c r="JJM18" s="449"/>
      <c r="JJN18" s="448">
        <f>JJL18+JJM18</f>
        <v>54850667.799999997</v>
      </c>
      <c r="JJO18" s="452"/>
      <c r="JJP18" s="452">
        <v>62201294.850000001</v>
      </c>
      <c r="JJQ18" s="451">
        <f>60000000</f>
        <v>60000000</v>
      </c>
      <c r="JJR18" s="459"/>
      <c r="JJS18" s="452"/>
      <c r="JJT18" s="450">
        <v>0</v>
      </c>
      <c r="JJU18" s="460"/>
      <c r="JJV18" s="450">
        <f>JJP18+JJS18</f>
        <v>62201294.850000001</v>
      </c>
      <c r="JJW18" s="454">
        <f>+JJQ18+JJT18</f>
        <v>60000000</v>
      </c>
      <c r="JJX18" s="461"/>
      <c r="JJY18" s="450"/>
      <c r="JJZ18" s="594">
        <f>(JJV18-JJN18)/JJN18</f>
        <v>0.13401162364699606</v>
      </c>
      <c r="JKA18" s="436" t="s">
        <v>141</v>
      </c>
      <c r="JKB18" s="448">
        <v>54850667.799999997</v>
      </c>
      <c r="JKC18" s="449"/>
      <c r="JKD18" s="448">
        <f>JKB18+JKC18</f>
        <v>54850667.799999997</v>
      </c>
      <c r="JKE18" s="452"/>
      <c r="JKF18" s="452">
        <v>62201294.850000001</v>
      </c>
      <c r="JKG18" s="451">
        <f>60000000</f>
        <v>60000000</v>
      </c>
      <c r="JKH18" s="459"/>
      <c r="JKI18" s="452"/>
      <c r="JKJ18" s="450">
        <v>0</v>
      </c>
      <c r="JKK18" s="460"/>
      <c r="JKL18" s="450">
        <f>JKF18+JKI18</f>
        <v>62201294.850000001</v>
      </c>
      <c r="JKM18" s="454">
        <f>+JKG18+JKJ18</f>
        <v>60000000</v>
      </c>
      <c r="JKN18" s="461"/>
      <c r="JKO18" s="450"/>
      <c r="JKP18" s="594">
        <f>(JKL18-JKD18)/JKD18</f>
        <v>0.13401162364699606</v>
      </c>
      <c r="JKQ18" s="436" t="s">
        <v>141</v>
      </c>
      <c r="JKR18" s="448">
        <v>54850667.799999997</v>
      </c>
      <c r="JKS18" s="449"/>
      <c r="JKT18" s="448">
        <f>JKR18+JKS18</f>
        <v>54850667.799999997</v>
      </c>
      <c r="JKU18" s="452"/>
      <c r="JKV18" s="452">
        <v>62201294.850000001</v>
      </c>
      <c r="JKW18" s="451">
        <f>60000000</f>
        <v>60000000</v>
      </c>
      <c r="JKX18" s="459"/>
      <c r="JKY18" s="452"/>
      <c r="JKZ18" s="450">
        <v>0</v>
      </c>
      <c r="JLA18" s="460"/>
      <c r="JLB18" s="450">
        <f>JKV18+JKY18</f>
        <v>62201294.850000001</v>
      </c>
      <c r="JLC18" s="454">
        <f>+JKW18+JKZ18</f>
        <v>60000000</v>
      </c>
      <c r="JLD18" s="461"/>
      <c r="JLE18" s="450"/>
      <c r="JLF18" s="594">
        <f>(JLB18-JKT18)/JKT18</f>
        <v>0.13401162364699606</v>
      </c>
      <c r="JLG18" s="436" t="s">
        <v>141</v>
      </c>
      <c r="JLH18" s="448">
        <v>54850667.799999997</v>
      </c>
      <c r="JLI18" s="449"/>
      <c r="JLJ18" s="448">
        <f>JLH18+JLI18</f>
        <v>54850667.799999997</v>
      </c>
      <c r="JLK18" s="452"/>
      <c r="JLL18" s="452">
        <v>62201294.850000001</v>
      </c>
      <c r="JLM18" s="451">
        <f>60000000</f>
        <v>60000000</v>
      </c>
      <c r="JLN18" s="459"/>
      <c r="JLO18" s="452"/>
      <c r="JLP18" s="450">
        <v>0</v>
      </c>
      <c r="JLQ18" s="460"/>
      <c r="JLR18" s="450">
        <f>JLL18+JLO18</f>
        <v>62201294.850000001</v>
      </c>
      <c r="JLS18" s="454">
        <f>+JLM18+JLP18</f>
        <v>60000000</v>
      </c>
      <c r="JLT18" s="461"/>
      <c r="JLU18" s="450"/>
      <c r="JLV18" s="594">
        <f>(JLR18-JLJ18)/JLJ18</f>
        <v>0.13401162364699606</v>
      </c>
      <c r="JLW18" s="436" t="s">
        <v>141</v>
      </c>
      <c r="JLX18" s="448">
        <v>54850667.799999997</v>
      </c>
      <c r="JLY18" s="449"/>
      <c r="JLZ18" s="448">
        <f>JLX18+JLY18</f>
        <v>54850667.799999997</v>
      </c>
      <c r="JMA18" s="452"/>
      <c r="JMB18" s="452">
        <v>62201294.850000001</v>
      </c>
      <c r="JMC18" s="451">
        <f>60000000</f>
        <v>60000000</v>
      </c>
      <c r="JMD18" s="459"/>
      <c r="JME18" s="452"/>
      <c r="JMF18" s="450">
        <v>0</v>
      </c>
      <c r="JMG18" s="460"/>
      <c r="JMH18" s="450">
        <f>JMB18+JME18</f>
        <v>62201294.850000001</v>
      </c>
      <c r="JMI18" s="454">
        <f>+JMC18+JMF18</f>
        <v>60000000</v>
      </c>
      <c r="JMJ18" s="461"/>
      <c r="JMK18" s="450"/>
      <c r="JML18" s="594">
        <f>(JMH18-JLZ18)/JLZ18</f>
        <v>0.13401162364699606</v>
      </c>
      <c r="JMM18" s="436" t="s">
        <v>141</v>
      </c>
      <c r="JMN18" s="448">
        <v>54850667.799999997</v>
      </c>
      <c r="JMO18" s="449"/>
      <c r="JMP18" s="448">
        <f>JMN18+JMO18</f>
        <v>54850667.799999997</v>
      </c>
      <c r="JMQ18" s="452"/>
      <c r="JMR18" s="452">
        <v>62201294.850000001</v>
      </c>
      <c r="JMS18" s="451">
        <f>60000000</f>
        <v>60000000</v>
      </c>
      <c r="JMT18" s="459"/>
      <c r="JMU18" s="452"/>
      <c r="JMV18" s="450">
        <v>0</v>
      </c>
      <c r="JMW18" s="460"/>
      <c r="JMX18" s="450">
        <f>JMR18+JMU18</f>
        <v>62201294.850000001</v>
      </c>
      <c r="JMY18" s="454">
        <f>+JMS18+JMV18</f>
        <v>60000000</v>
      </c>
      <c r="JMZ18" s="461"/>
      <c r="JNA18" s="450"/>
      <c r="JNB18" s="594">
        <f>(JMX18-JMP18)/JMP18</f>
        <v>0.13401162364699606</v>
      </c>
      <c r="JNC18" s="436" t="s">
        <v>141</v>
      </c>
      <c r="JND18" s="448">
        <v>54850667.799999997</v>
      </c>
      <c r="JNE18" s="449"/>
      <c r="JNF18" s="448">
        <f>JND18+JNE18</f>
        <v>54850667.799999997</v>
      </c>
      <c r="JNG18" s="452"/>
      <c r="JNH18" s="452">
        <v>62201294.850000001</v>
      </c>
      <c r="JNI18" s="451">
        <f>60000000</f>
        <v>60000000</v>
      </c>
      <c r="JNJ18" s="459"/>
      <c r="JNK18" s="452"/>
      <c r="JNL18" s="450">
        <v>0</v>
      </c>
      <c r="JNM18" s="460"/>
      <c r="JNN18" s="450">
        <f>JNH18+JNK18</f>
        <v>62201294.850000001</v>
      </c>
      <c r="JNO18" s="454">
        <f>+JNI18+JNL18</f>
        <v>60000000</v>
      </c>
      <c r="JNP18" s="461"/>
      <c r="JNQ18" s="450"/>
      <c r="JNR18" s="594">
        <f>(JNN18-JNF18)/JNF18</f>
        <v>0.13401162364699606</v>
      </c>
      <c r="JNS18" s="436" t="s">
        <v>141</v>
      </c>
      <c r="JNT18" s="448">
        <v>54850667.799999997</v>
      </c>
      <c r="JNU18" s="449"/>
      <c r="JNV18" s="448">
        <f>JNT18+JNU18</f>
        <v>54850667.799999997</v>
      </c>
      <c r="JNW18" s="452"/>
      <c r="JNX18" s="452">
        <v>62201294.850000001</v>
      </c>
      <c r="JNY18" s="451">
        <f>60000000</f>
        <v>60000000</v>
      </c>
      <c r="JNZ18" s="459"/>
      <c r="JOA18" s="452"/>
      <c r="JOB18" s="450">
        <v>0</v>
      </c>
      <c r="JOC18" s="460"/>
      <c r="JOD18" s="450">
        <f>JNX18+JOA18</f>
        <v>62201294.850000001</v>
      </c>
      <c r="JOE18" s="454">
        <f>+JNY18+JOB18</f>
        <v>60000000</v>
      </c>
      <c r="JOF18" s="461"/>
      <c r="JOG18" s="450"/>
      <c r="JOH18" s="594">
        <f>(JOD18-JNV18)/JNV18</f>
        <v>0.13401162364699606</v>
      </c>
      <c r="JOI18" s="436" t="s">
        <v>141</v>
      </c>
      <c r="JOJ18" s="448">
        <v>54850667.799999997</v>
      </c>
      <c r="JOK18" s="449"/>
      <c r="JOL18" s="448">
        <f>JOJ18+JOK18</f>
        <v>54850667.799999997</v>
      </c>
      <c r="JOM18" s="452"/>
      <c r="JON18" s="452">
        <v>62201294.850000001</v>
      </c>
      <c r="JOO18" s="451">
        <f>60000000</f>
        <v>60000000</v>
      </c>
      <c r="JOP18" s="459"/>
      <c r="JOQ18" s="452"/>
      <c r="JOR18" s="450">
        <v>0</v>
      </c>
      <c r="JOS18" s="460"/>
      <c r="JOT18" s="450">
        <f>JON18+JOQ18</f>
        <v>62201294.850000001</v>
      </c>
      <c r="JOU18" s="454">
        <f>+JOO18+JOR18</f>
        <v>60000000</v>
      </c>
      <c r="JOV18" s="461"/>
      <c r="JOW18" s="450"/>
      <c r="JOX18" s="594">
        <f>(JOT18-JOL18)/JOL18</f>
        <v>0.13401162364699606</v>
      </c>
      <c r="JOY18" s="436" t="s">
        <v>141</v>
      </c>
      <c r="JOZ18" s="448">
        <v>54850667.799999997</v>
      </c>
      <c r="JPA18" s="449"/>
      <c r="JPB18" s="448">
        <f>JOZ18+JPA18</f>
        <v>54850667.799999997</v>
      </c>
      <c r="JPC18" s="452"/>
      <c r="JPD18" s="452">
        <v>62201294.850000001</v>
      </c>
      <c r="JPE18" s="451">
        <f>60000000</f>
        <v>60000000</v>
      </c>
      <c r="JPF18" s="459"/>
      <c r="JPG18" s="452"/>
      <c r="JPH18" s="450">
        <v>0</v>
      </c>
      <c r="JPI18" s="460"/>
      <c r="JPJ18" s="450">
        <f>JPD18+JPG18</f>
        <v>62201294.850000001</v>
      </c>
      <c r="JPK18" s="454">
        <f>+JPE18+JPH18</f>
        <v>60000000</v>
      </c>
      <c r="JPL18" s="461"/>
      <c r="JPM18" s="450"/>
      <c r="JPN18" s="594">
        <f>(JPJ18-JPB18)/JPB18</f>
        <v>0.13401162364699606</v>
      </c>
      <c r="JPO18" s="436" t="s">
        <v>141</v>
      </c>
      <c r="JPP18" s="448">
        <v>54850667.799999997</v>
      </c>
      <c r="JPQ18" s="449"/>
      <c r="JPR18" s="448">
        <f>JPP18+JPQ18</f>
        <v>54850667.799999997</v>
      </c>
      <c r="JPS18" s="452"/>
      <c r="JPT18" s="452">
        <v>62201294.850000001</v>
      </c>
      <c r="JPU18" s="451">
        <f>60000000</f>
        <v>60000000</v>
      </c>
      <c r="JPV18" s="459"/>
      <c r="JPW18" s="452"/>
      <c r="JPX18" s="450">
        <v>0</v>
      </c>
      <c r="JPY18" s="460"/>
      <c r="JPZ18" s="450">
        <f>JPT18+JPW18</f>
        <v>62201294.850000001</v>
      </c>
      <c r="JQA18" s="454">
        <f>+JPU18+JPX18</f>
        <v>60000000</v>
      </c>
      <c r="JQB18" s="461"/>
      <c r="JQC18" s="450"/>
      <c r="JQD18" s="594">
        <f>(JPZ18-JPR18)/JPR18</f>
        <v>0.13401162364699606</v>
      </c>
      <c r="JQE18" s="436" t="s">
        <v>141</v>
      </c>
      <c r="JQF18" s="448">
        <v>54850667.799999997</v>
      </c>
      <c r="JQG18" s="449"/>
      <c r="JQH18" s="448">
        <f>JQF18+JQG18</f>
        <v>54850667.799999997</v>
      </c>
      <c r="JQI18" s="452"/>
      <c r="JQJ18" s="452">
        <v>62201294.850000001</v>
      </c>
      <c r="JQK18" s="451">
        <f>60000000</f>
        <v>60000000</v>
      </c>
      <c r="JQL18" s="459"/>
      <c r="JQM18" s="452"/>
      <c r="JQN18" s="450">
        <v>0</v>
      </c>
      <c r="JQO18" s="460"/>
      <c r="JQP18" s="450">
        <f>JQJ18+JQM18</f>
        <v>62201294.850000001</v>
      </c>
      <c r="JQQ18" s="454">
        <f>+JQK18+JQN18</f>
        <v>60000000</v>
      </c>
      <c r="JQR18" s="461"/>
      <c r="JQS18" s="450"/>
      <c r="JQT18" s="594">
        <f>(JQP18-JQH18)/JQH18</f>
        <v>0.13401162364699606</v>
      </c>
      <c r="JQU18" s="436" t="s">
        <v>141</v>
      </c>
      <c r="JQV18" s="448">
        <v>54850667.799999997</v>
      </c>
      <c r="JQW18" s="449"/>
      <c r="JQX18" s="448">
        <f>JQV18+JQW18</f>
        <v>54850667.799999997</v>
      </c>
      <c r="JQY18" s="452"/>
      <c r="JQZ18" s="452">
        <v>62201294.850000001</v>
      </c>
      <c r="JRA18" s="451">
        <f>60000000</f>
        <v>60000000</v>
      </c>
      <c r="JRB18" s="459"/>
      <c r="JRC18" s="452"/>
      <c r="JRD18" s="450">
        <v>0</v>
      </c>
      <c r="JRE18" s="460"/>
      <c r="JRF18" s="450">
        <f>JQZ18+JRC18</f>
        <v>62201294.850000001</v>
      </c>
      <c r="JRG18" s="454">
        <f>+JRA18+JRD18</f>
        <v>60000000</v>
      </c>
      <c r="JRH18" s="461"/>
      <c r="JRI18" s="450"/>
      <c r="JRJ18" s="594">
        <f>(JRF18-JQX18)/JQX18</f>
        <v>0.13401162364699606</v>
      </c>
      <c r="JRK18" s="436" t="s">
        <v>141</v>
      </c>
      <c r="JRL18" s="448">
        <v>54850667.799999997</v>
      </c>
      <c r="JRM18" s="449"/>
      <c r="JRN18" s="448">
        <f>JRL18+JRM18</f>
        <v>54850667.799999997</v>
      </c>
      <c r="JRO18" s="452"/>
      <c r="JRP18" s="452">
        <v>62201294.850000001</v>
      </c>
      <c r="JRQ18" s="451">
        <f>60000000</f>
        <v>60000000</v>
      </c>
      <c r="JRR18" s="459"/>
      <c r="JRS18" s="452"/>
      <c r="JRT18" s="450">
        <v>0</v>
      </c>
      <c r="JRU18" s="460"/>
      <c r="JRV18" s="450">
        <f>JRP18+JRS18</f>
        <v>62201294.850000001</v>
      </c>
      <c r="JRW18" s="454">
        <f>+JRQ18+JRT18</f>
        <v>60000000</v>
      </c>
      <c r="JRX18" s="461"/>
      <c r="JRY18" s="450"/>
      <c r="JRZ18" s="594">
        <f>(JRV18-JRN18)/JRN18</f>
        <v>0.13401162364699606</v>
      </c>
      <c r="JSA18" s="436" t="s">
        <v>141</v>
      </c>
      <c r="JSB18" s="448">
        <v>54850667.799999997</v>
      </c>
      <c r="JSC18" s="449"/>
      <c r="JSD18" s="448">
        <f>JSB18+JSC18</f>
        <v>54850667.799999997</v>
      </c>
      <c r="JSE18" s="452"/>
      <c r="JSF18" s="452">
        <v>62201294.850000001</v>
      </c>
      <c r="JSG18" s="451">
        <f>60000000</f>
        <v>60000000</v>
      </c>
      <c r="JSH18" s="459"/>
      <c r="JSI18" s="452"/>
      <c r="JSJ18" s="450">
        <v>0</v>
      </c>
      <c r="JSK18" s="460"/>
      <c r="JSL18" s="450">
        <f>JSF18+JSI18</f>
        <v>62201294.850000001</v>
      </c>
      <c r="JSM18" s="454">
        <f>+JSG18+JSJ18</f>
        <v>60000000</v>
      </c>
      <c r="JSN18" s="461"/>
      <c r="JSO18" s="450"/>
      <c r="JSP18" s="594">
        <f>(JSL18-JSD18)/JSD18</f>
        <v>0.13401162364699606</v>
      </c>
      <c r="JSQ18" s="436" t="s">
        <v>141</v>
      </c>
      <c r="JSR18" s="448">
        <v>54850667.799999997</v>
      </c>
      <c r="JSS18" s="449"/>
      <c r="JST18" s="448">
        <f>JSR18+JSS18</f>
        <v>54850667.799999997</v>
      </c>
      <c r="JSU18" s="452"/>
      <c r="JSV18" s="452">
        <v>62201294.850000001</v>
      </c>
      <c r="JSW18" s="451">
        <f>60000000</f>
        <v>60000000</v>
      </c>
      <c r="JSX18" s="459"/>
      <c r="JSY18" s="452"/>
      <c r="JSZ18" s="450">
        <v>0</v>
      </c>
      <c r="JTA18" s="460"/>
      <c r="JTB18" s="450">
        <f>JSV18+JSY18</f>
        <v>62201294.850000001</v>
      </c>
      <c r="JTC18" s="454">
        <f>+JSW18+JSZ18</f>
        <v>60000000</v>
      </c>
      <c r="JTD18" s="461"/>
      <c r="JTE18" s="450"/>
      <c r="JTF18" s="594">
        <f>(JTB18-JST18)/JST18</f>
        <v>0.13401162364699606</v>
      </c>
      <c r="JTG18" s="436" t="s">
        <v>141</v>
      </c>
      <c r="JTH18" s="448">
        <v>54850667.799999997</v>
      </c>
      <c r="JTI18" s="449"/>
      <c r="JTJ18" s="448">
        <f>JTH18+JTI18</f>
        <v>54850667.799999997</v>
      </c>
      <c r="JTK18" s="452"/>
      <c r="JTL18" s="452">
        <v>62201294.850000001</v>
      </c>
      <c r="JTM18" s="451">
        <f>60000000</f>
        <v>60000000</v>
      </c>
      <c r="JTN18" s="459"/>
      <c r="JTO18" s="452"/>
      <c r="JTP18" s="450">
        <v>0</v>
      </c>
      <c r="JTQ18" s="460"/>
      <c r="JTR18" s="450">
        <f>JTL18+JTO18</f>
        <v>62201294.850000001</v>
      </c>
      <c r="JTS18" s="454">
        <f>+JTM18+JTP18</f>
        <v>60000000</v>
      </c>
      <c r="JTT18" s="461"/>
      <c r="JTU18" s="450"/>
      <c r="JTV18" s="594">
        <f>(JTR18-JTJ18)/JTJ18</f>
        <v>0.13401162364699606</v>
      </c>
      <c r="JTW18" s="436" t="s">
        <v>141</v>
      </c>
      <c r="JTX18" s="448">
        <v>54850667.799999997</v>
      </c>
      <c r="JTY18" s="449"/>
      <c r="JTZ18" s="448">
        <f>JTX18+JTY18</f>
        <v>54850667.799999997</v>
      </c>
      <c r="JUA18" s="452"/>
      <c r="JUB18" s="452">
        <v>62201294.850000001</v>
      </c>
      <c r="JUC18" s="451">
        <f>60000000</f>
        <v>60000000</v>
      </c>
      <c r="JUD18" s="459"/>
      <c r="JUE18" s="452"/>
      <c r="JUF18" s="450">
        <v>0</v>
      </c>
      <c r="JUG18" s="460"/>
      <c r="JUH18" s="450">
        <f>JUB18+JUE18</f>
        <v>62201294.850000001</v>
      </c>
      <c r="JUI18" s="454">
        <f>+JUC18+JUF18</f>
        <v>60000000</v>
      </c>
      <c r="JUJ18" s="461"/>
      <c r="JUK18" s="450"/>
      <c r="JUL18" s="594">
        <f>(JUH18-JTZ18)/JTZ18</f>
        <v>0.13401162364699606</v>
      </c>
      <c r="JUM18" s="436" t="s">
        <v>141</v>
      </c>
      <c r="JUN18" s="448">
        <v>54850667.799999997</v>
      </c>
      <c r="JUO18" s="449"/>
      <c r="JUP18" s="448">
        <f>JUN18+JUO18</f>
        <v>54850667.799999997</v>
      </c>
      <c r="JUQ18" s="452"/>
      <c r="JUR18" s="452">
        <v>62201294.850000001</v>
      </c>
      <c r="JUS18" s="451">
        <f>60000000</f>
        <v>60000000</v>
      </c>
      <c r="JUT18" s="459"/>
      <c r="JUU18" s="452"/>
      <c r="JUV18" s="450">
        <v>0</v>
      </c>
      <c r="JUW18" s="460"/>
      <c r="JUX18" s="450">
        <f>JUR18+JUU18</f>
        <v>62201294.850000001</v>
      </c>
      <c r="JUY18" s="454">
        <f>+JUS18+JUV18</f>
        <v>60000000</v>
      </c>
      <c r="JUZ18" s="461"/>
      <c r="JVA18" s="450"/>
      <c r="JVB18" s="594">
        <f>(JUX18-JUP18)/JUP18</f>
        <v>0.13401162364699606</v>
      </c>
      <c r="JVC18" s="436" t="s">
        <v>141</v>
      </c>
      <c r="JVD18" s="448">
        <v>54850667.799999997</v>
      </c>
      <c r="JVE18" s="449"/>
      <c r="JVF18" s="448">
        <f>JVD18+JVE18</f>
        <v>54850667.799999997</v>
      </c>
      <c r="JVG18" s="452"/>
      <c r="JVH18" s="452">
        <v>62201294.850000001</v>
      </c>
      <c r="JVI18" s="451">
        <f>60000000</f>
        <v>60000000</v>
      </c>
      <c r="JVJ18" s="459"/>
      <c r="JVK18" s="452"/>
      <c r="JVL18" s="450">
        <v>0</v>
      </c>
      <c r="JVM18" s="460"/>
      <c r="JVN18" s="450">
        <f>JVH18+JVK18</f>
        <v>62201294.850000001</v>
      </c>
      <c r="JVO18" s="454">
        <f>+JVI18+JVL18</f>
        <v>60000000</v>
      </c>
      <c r="JVP18" s="461"/>
      <c r="JVQ18" s="450"/>
      <c r="JVR18" s="594">
        <f>(JVN18-JVF18)/JVF18</f>
        <v>0.13401162364699606</v>
      </c>
      <c r="JVS18" s="436" t="s">
        <v>141</v>
      </c>
      <c r="JVT18" s="448">
        <v>54850667.799999997</v>
      </c>
      <c r="JVU18" s="449"/>
      <c r="JVV18" s="448">
        <f>JVT18+JVU18</f>
        <v>54850667.799999997</v>
      </c>
      <c r="JVW18" s="452"/>
      <c r="JVX18" s="452">
        <v>62201294.850000001</v>
      </c>
      <c r="JVY18" s="451">
        <f>60000000</f>
        <v>60000000</v>
      </c>
      <c r="JVZ18" s="459"/>
      <c r="JWA18" s="452"/>
      <c r="JWB18" s="450">
        <v>0</v>
      </c>
      <c r="JWC18" s="460"/>
      <c r="JWD18" s="450">
        <f>JVX18+JWA18</f>
        <v>62201294.850000001</v>
      </c>
      <c r="JWE18" s="454">
        <f>+JVY18+JWB18</f>
        <v>60000000</v>
      </c>
      <c r="JWF18" s="461"/>
      <c r="JWG18" s="450"/>
      <c r="JWH18" s="594">
        <f>(JWD18-JVV18)/JVV18</f>
        <v>0.13401162364699606</v>
      </c>
      <c r="JWI18" s="436" t="s">
        <v>141</v>
      </c>
      <c r="JWJ18" s="448">
        <v>54850667.799999997</v>
      </c>
      <c r="JWK18" s="449"/>
      <c r="JWL18" s="448">
        <f>JWJ18+JWK18</f>
        <v>54850667.799999997</v>
      </c>
      <c r="JWM18" s="452"/>
      <c r="JWN18" s="452">
        <v>62201294.850000001</v>
      </c>
      <c r="JWO18" s="451">
        <f>60000000</f>
        <v>60000000</v>
      </c>
      <c r="JWP18" s="459"/>
      <c r="JWQ18" s="452"/>
      <c r="JWR18" s="450">
        <v>0</v>
      </c>
      <c r="JWS18" s="460"/>
      <c r="JWT18" s="450">
        <f>JWN18+JWQ18</f>
        <v>62201294.850000001</v>
      </c>
      <c r="JWU18" s="454">
        <f>+JWO18+JWR18</f>
        <v>60000000</v>
      </c>
      <c r="JWV18" s="461"/>
      <c r="JWW18" s="450"/>
      <c r="JWX18" s="594">
        <f>(JWT18-JWL18)/JWL18</f>
        <v>0.13401162364699606</v>
      </c>
      <c r="JWY18" s="436" t="s">
        <v>141</v>
      </c>
      <c r="JWZ18" s="448">
        <v>54850667.799999997</v>
      </c>
      <c r="JXA18" s="449"/>
      <c r="JXB18" s="448">
        <f>JWZ18+JXA18</f>
        <v>54850667.799999997</v>
      </c>
      <c r="JXC18" s="452"/>
      <c r="JXD18" s="452">
        <v>62201294.850000001</v>
      </c>
      <c r="JXE18" s="451">
        <f>60000000</f>
        <v>60000000</v>
      </c>
      <c r="JXF18" s="459"/>
      <c r="JXG18" s="452"/>
      <c r="JXH18" s="450">
        <v>0</v>
      </c>
      <c r="JXI18" s="460"/>
      <c r="JXJ18" s="450">
        <f>JXD18+JXG18</f>
        <v>62201294.850000001</v>
      </c>
      <c r="JXK18" s="454">
        <f>+JXE18+JXH18</f>
        <v>60000000</v>
      </c>
      <c r="JXL18" s="461"/>
      <c r="JXM18" s="450"/>
      <c r="JXN18" s="594">
        <f>(JXJ18-JXB18)/JXB18</f>
        <v>0.13401162364699606</v>
      </c>
      <c r="JXO18" s="436" t="s">
        <v>141</v>
      </c>
      <c r="JXP18" s="448">
        <v>54850667.799999997</v>
      </c>
      <c r="JXQ18" s="449"/>
      <c r="JXR18" s="448">
        <f>JXP18+JXQ18</f>
        <v>54850667.799999997</v>
      </c>
      <c r="JXS18" s="452"/>
      <c r="JXT18" s="452">
        <v>62201294.850000001</v>
      </c>
      <c r="JXU18" s="451">
        <f>60000000</f>
        <v>60000000</v>
      </c>
      <c r="JXV18" s="459"/>
      <c r="JXW18" s="452"/>
      <c r="JXX18" s="450">
        <v>0</v>
      </c>
      <c r="JXY18" s="460"/>
      <c r="JXZ18" s="450">
        <f>JXT18+JXW18</f>
        <v>62201294.850000001</v>
      </c>
      <c r="JYA18" s="454">
        <f>+JXU18+JXX18</f>
        <v>60000000</v>
      </c>
      <c r="JYB18" s="461"/>
      <c r="JYC18" s="450"/>
      <c r="JYD18" s="594">
        <f>(JXZ18-JXR18)/JXR18</f>
        <v>0.13401162364699606</v>
      </c>
      <c r="JYE18" s="436" t="s">
        <v>141</v>
      </c>
      <c r="JYF18" s="448">
        <v>54850667.799999997</v>
      </c>
      <c r="JYG18" s="449"/>
      <c r="JYH18" s="448">
        <f>JYF18+JYG18</f>
        <v>54850667.799999997</v>
      </c>
      <c r="JYI18" s="452"/>
      <c r="JYJ18" s="452">
        <v>62201294.850000001</v>
      </c>
      <c r="JYK18" s="451">
        <f>60000000</f>
        <v>60000000</v>
      </c>
      <c r="JYL18" s="459"/>
      <c r="JYM18" s="452"/>
      <c r="JYN18" s="450">
        <v>0</v>
      </c>
      <c r="JYO18" s="460"/>
      <c r="JYP18" s="450">
        <f>JYJ18+JYM18</f>
        <v>62201294.850000001</v>
      </c>
      <c r="JYQ18" s="454">
        <f>+JYK18+JYN18</f>
        <v>60000000</v>
      </c>
      <c r="JYR18" s="461"/>
      <c r="JYS18" s="450"/>
      <c r="JYT18" s="594">
        <f>(JYP18-JYH18)/JYH18</f>
        <v>0.13401162364699606</v>
      </c>
      <c r="JYU18" s="436" t="s">
        <v>141</v>
      </c>
      <c r="JYV18" s="448">
        <v>54850667.799999997</v>
      </c>
      <c r="JYW18" s="449"/>
      <c r="JYX18" s="448">
        <f>JYV18+JYW18</f>
        <v>54850667.799999997</v>
      </c>
      <c r="JYY18" s="452"/>
      <c r="JYZ18" s="452">
        <v>62201294.850000001</v>
      </c>
      <c r="JZA18" s="451">
        <f>60000000</f>
        <v>60000000</v>
      </c>
      <c r="JZB18" s="459"/>
      <c r="JZC18" s="452"/>
      <c r="JZD18" s="450">
        <v>0</v>
      </c>
      <c r="JZE18" s="460"/>
      <c r="JZF18" s="450">
        <f>JYZ18+JZC18</f>
        <v>62201294.850000001</v>
      </c>
      <c r="JZG18" s="454">
        <f>+JZA18+JZD18</f>
        <v>60000000</v>
      </c>
      <c r="JZH18" s="461"/>
      <c r="JZI18" s="450"/>
      <c r="JZJ18" s="594">
        <f>(JZF18-JYX18)/JYX18</f>
        <v>0.13401162364699606</v>
      </c>
      <c r="JZK18" s="436" t="s">
        <v>141</v>
      </c>
      <c r="JZL18" s="448">
        <v>54850667.799999997</v>
      </c>
      <c r="JZM18" s="449"/>
      <c r="JZN18" s="448">
        <f>JZL18+JZM18</f>
        <v>54850667.799999997</v>
      </c>
      <c r="JZO18" s="452"/>
      <c r="JZP18" s="452">
        <v>62201294.850000001</v>
      </c>
      <c r="JZQ18" s="451">
        <f>60000000</f>
        <v>60000000</v>
      </c>
      <c r="JZR18" s="459"/>
      <c r="JZS18" s="452"/>
      <c r="JZT18" s="450">
        <v>0</v>
      </c>
      <c r="JZU18" s="460"/>
      <c r="JZV18" s="450">
        <f>JZP18+JZS18</f>
        <v>62201294.850000001</v>
      </c>
      <c r="JZW18" s="454">
        <f>+JZQ18+JZT18</f>
        <v>60000000</v>
      </c>
      <c r="JZX18" s="461"/>
      <c r="JZY18" s="450"/>
      <c r="JZZ18" s="594">
        <f>(JZV18-JZN18)/JZN18</f>
        <v>0.13401162364699606</v>
      </c>
      <c r="KAA18" s="436" t="s">
        <v>141</v>
      </c>
      <c r="KAB18" s="448">
        <v>54850667.799999997</v>
      </c>
      <c r="KAC18" s="449"/>
      <c r="KAD18" s="448">
        <f>KAB18+KAC18</f>
        <v>54850667.799999997</v>
      </c>
      <c r="KAE18" s="452"/>
      <c r="KAF18" s="452">
        <v>62201294.850000001</v>
      </c>
      <c r="KAG18" s="451">
        <f>60000000</f>
        <v>60000000</v>
      </c>
      <c r="KAH18" s="459"/>
      <c r="KAI18" s="452"/>
      <c r="KAJ18" s="450">
        <v>0</v>
      </c>
      <c r="KAK18" s="460"/>
      <c r="KAL18" s="450">
        <f>KAF18+KAI18</f>
        <v>62201294.850000001</v>
      </c>
      <c r="KAM18" s="454">
        <f>+KAG18+KAJ18</f>
        <v>60000000</v>
      </c>
      <c r="KAN18" s="461"/>
      <c r="KAO18" s="450"/>
      <c r="KAP18" s="594">
        <f>(KAL18-KAD18)/KAD18</f>
        <v>0.13401162364699606</v>
      </c>
      <c r="KAQ18" s="436" t="s">
        <v>141</v>
      </c>
      <c r="KAR18" s="448">
        <v>54850667.799999997</v>
      </c>
      <c r="KAS18" s="449"/>
      <c r="KAT18" s="448">
        <f>KAR18+KAS18</f>
        <v>54850667.799999997</v>
      </c>
      <c r="KAU18" s="452"/>
      <c r="KAV18" s="452">
        <v>62201294.850000001</v>
      </c>
      <c r="KAW18" s="451">
        <f>60000000</f>
        <v>60000000</v>
      </c>
      <c r="KAX18" s="459"/>
      <c r="KAY18" s="452"/>
      <c r="KAZ18" s="450">
        <v>0</v>
      </c>
      <c r="KBA18" s="460"/>
      <c r="KBB18" s="450">
        <f>KAV18+KAY18</f>
        <v>62201294.850000001</v>
      </c>
      <c r="KBC18" s="454">
        <f>+KAW18+KAZ18</f>
        <v>60000000</v>
      </c>
      <c r="KBD18" s="461"/>
      <c r="KBE18" s="450"/>
      <c r="KBF18" s="594">
        <f>(KBB18-KAT18)/KAT18</f>
        <v>0.13401162364699606</v>
      </c>
      <c r="KBG18" s="436" t="s">
        <v>141</v>
      </c>
      <c r="KBH18" s="448">
        <v>54850667.799999997</v>
      </c>
      <c r="KBI18" s="449"/>
      <c r="KBJ18" s="448">
        <f>KBH18+KBI18</f>
        <v>54850667.799999997</v>
      </c>
      <c r="KBK18" s="452"/>
      <c r="KBL18" s="452">
        <v>62201294.850000001</v>
      </c>
      <c r="KBM18" s="451">
        <f>60000000</f>
        <v>60000000</v>
      </c>
      <c r="KBN18" s="459"/>
      <c r="KBO18" s="452"/>
      <c r="KBP18" s="450">
        <v>0</v>
      </c>
      <c r="KBQ18" s="460"/>
      <c r="KBR18" s="450">
        <f>KBL18+KBO18</f>
        <v>62201294.850000001</v>
      </c>
      <c r="KBS18" s="454">
        <f>+KBM18+KBP18</f>
        <v>60000000</v>
      </c>
      <c r="KBT18" s="461"/>
      <c r="KBU18" s="450"/>
      <c r="KBV18" s="594">
        <f>(KBR18-KBJ18)/KBJ18</f>
        <v>0.13401162364699606</v>
      </c>
      <c r="KBW18" s="436" t="s">
        <v>141</v>
      </c>
      <c r="KBX18" s="448">
        <v>54850667.799999997</v>
      </c>
      <c r="KBY18" s="449"/>
      <c r="KBZ18" s="448">
        <f>KBX18+KBY18</f>
        <v>54850667.799999997</v>
      </c>
      <c r="KCA18" s="452"/>
      <c r="KCB18" s="452">
        <v>62201294.850000001</v>
      </c>
      <c r="KCC18" s="451">
        <f>60000000</f>
        <v>60000000</v>
      </c>
      <c r="KCD18" s="459"/>
      <c r="KCE18" s="452"/>
      <c r="KCF18" s="450">
        <v>0</v>
      </c>
      <c r="KCG18" s="460"/>
      <c r="KCH18" s="450">
        <f>KCB18+KCE18</f>
        <v>62201294.850000001</v>
      </c>
      <c r="KCI18" s="454">
        <f>+KCC18+KCF18</f>
        <v>60000000</v>
      </c>
      <c r="KCJ18" s="461"/>
      <c r="KCK18" s="450"/>
      <c r="KCL18" s="594">
        <f>(KCH18-KBZ18)/KBZ18</f>
        <v>0.13401162364699606</v>
      </c>
      <c r="KCM18" s="436" t="s">
        <v>141</v>
      </c>
      <c r="KCN18" s="448">
        <v>54850667.799999997</v>
      </c>
      <c r="KCO18" s="449"/>
      <c r="KCP18" s="448">
        <f>KCN18+KCO18</f>
        <v>54850667.799999997</v>
      </c>
      <c r="KCQ18" s="452"/>
      <c r="KCR18" s="452">
        <v>62201294.850000001</v>
      </c>
      <c r="KCS18" s="451">
        <f>60000000</f>
        <v>60000000</v>
      </c>
      <c r="KCT18" s="459"/>
      <c r="KCU18" s="452"/>
      <c r="KCV18" s="450">
        <v>0</v>
      </c>
      <c r="KCW18" s="460"/>
      <c r="KCX18" s="450">
        <f>KCR18+KCU18</f>
        <v>62201294.850000001</v>
      </c>
      <c r="KCY18" s="454">
        <f>+KCS18+KCV18</f>
        <v>60000000</v>
      </c>
      <c r="KCZ18" s="461"/>
      <c r="KDA18" s="450"/>
      <c r="KDB18" s="594">
        <f>(KCX18-KCP18)/KCP18</f>
        <v>0.13401162364699606</v>
      </c>
      <c r="KDC18" s="436" t="s">
        <v>141</v>
      </c>
      <c r="KDD18" s="448">
        <v>54850667.799999997</v>
      </c>
      <c r="KDE18" s="449"/>
      <c r="KDF18" s="448">
        <f>KDD18+KDE18</f>
        <v>54850667.799999997</v>
      </c>
      <c r="KDG18" s="452"/>
      <c r="KDH18" s="452">
        <v>62201294.850000001</v>
      </c>
      <c r="KDI18" s="451">
        <f>60000000</f>
        <v>60000000</v>
      </c>
      <c r="KDJ18" s="459"/>
      <c r="KDK18" s="452"/>
      <c r="KDL18" s="450">
        <v>0</v>
      </c>
      <c r="KDM18" s="460"/>
      <c r="KDN18" s="450">
        <f>KDH18+KDK18</f>
        <v>62201294.850000001</v>
      </c>
      <c r="KDO18" s="454">
        <f>+KDI18+KDL18</f>
        <v>60000000</v>
      </c>
      <c r="KDP18" s="461"/>
      <c r="KDQ18" s="450"/>
      <c r="KDR18" s="594">
        <f>(KDN18-KDF18)/KDF18</f>
        <v>0.13401162364699606</v>
      </c>
      <c r="KDS18" s="436" t="s">
        <v>141</v>
      </c>
      <c r="KDT18" s="448">
        <v>54850667.799999997</v>
      </c>
      <c r="KDU18" s="449"/>
      <c r="KDV18" s="448">
        <f>KDT18+KDU18</f>
        <v>54850667.799999997</v>
      </c>
      <c r="KDW18" s="452"/>
      <c r="KDX18" s="452">
        <v>62201294.850000001</v>
      </c>
      <c r="KDY18" s="451">
        <f>60000000</f>
        <v>60000000</v>
      </c>
      <c r="KDZ18" s="459"/>
      <c r="KEA18" s="452"/>
      <c r="KEB18" s="450">
        <v>0</v>
      </c>
      <c r="KEC18" s="460"/>
      <c r="KED18" s="450">
        <f>KDX18+KEA18</f>
        <v>62201294.850000001</v>
      </c>
      <c r="KEE18" s="454">
        <f>+KDY18+KEB18</f>
        <v>60000000</v>
      </c>
      <c r="KEF18" s="461"/>
      <c r="KEG18" s="450"/>
      <c r="KEH18" s="594">
        <f>(KED18-KDV18)/KDV18</f>
        <v>0.13401162364699606</v>
      </c>
      <c r="KEI18" s="436" t="s">
        <v>141</v>
      </c>
      <c r="KEJ18" s="448">
        <v>54850667.799999997</v>
      </c>
      <c r="KEK18" s="449"/>
      <c r="KEL18" s="448">
        <f>KEJ18+KEK18</f>
        <v>54850667.799999997</v>
      </c>
      <c r="KEM18" s="452"/>
      <c r="KEN18" s="452">
        <v>62201294.850000001</v>
      </c>
      <c r="KEO18" s="451">
        <f>60000000</f>
        <v>60000000</v>
      </c>
      <c r="KEP18" s="459"/>
      <c r="KEQ18" s="452"/>
      <c r="KER18" s="450">
        <v>0</v>
      </c>
      <c r="KES18" s="460"/>
      <c r="KET18" s="450">
        <f>KEN18+KEQ18</f>
        <v>62201294.850000001</v>
      </c>
      <c r="KEU18" s="454">
        <f>+KEO18+KER18</f>
        <v>60000000</v>
      </c>
      <c r="KEV18" s="461"/>
      <c r="KEW18" s="450"/>
      <c r="KEX18" s="594">
        <f>(KET18-KEL18)/KEL18</f>
        <v>0.13401162364699606</v>
      </c>
      <c r="KEY18" s="436" t="s">
        <v>141</v>
      </c>
      <c r="KEZ18" s="448">
        <v>54850667.799999997</v>
      </c>
      <c r="KFA18" s="449"/>
      <c r="KFB18" s="448">
        <f>KEZ18+KFA18</f>
        <v>54850667.799999997</v>
      </c>
      <c r="KFC18" s="452"/>
      <c r="KFD18" s="452">
        <v>62201294.850000001</v>
      </c>
      <c r="KFE18" s="451">
        <f>60000000</f>
        <v>60000000</v>
      </c>
      <c r="KFF18" s="459"/>
      <c r="KFG18" s="452"/>
      <c r="KFH18" s="450">
        <v>0</v>
      </c>
      <c r="KFI18" s="460"/>
      <c r="KFJ18" s="450">
        <f>KFD18+KFG18</f>
        <v>62201294.850000001</v>
      </c>
      <c r="KFK18" s="454">
        <f>+KFE18+KFH18</f>
        <v>60000000</v>
      </c>
      <c r="KFL18" s="461"/>
      <c r="KFM18" s="450"/>
      <c r="KFN18" s="594">
        <f>(KFJ18-KFB18)/KFB18</f>
        <v>0.13401162364699606</v>
      </c>
      <c r="KFO18" s="436" t="s">
        <v>141</v>
      </c>
      <c r="KFP18" s="448">
        <v>54850667.799999997</v>
      </c>
      <c r="KFQ18" s="449"/>
      <c r="KFR18" s="448">
        <f>KFP18+KFQ18</f>
        <v>54850667.799999997</v>
      </c>
      <c r="KFS18" s="452"/>
      <c r="KFT18" s="452">
        <v>62201294.850000001</v>
      </c>
      <c r="KFU18" s="451">
        <f>60000000</f>
        <v>60000000</v>
      </c>
      <c r="KFV18" s="459"/>
      <c r="KFW18" s="452"/>
      <c r="KFX18" s="450">
        <v>0</v>
      </c>
      <c r="KFY18" s="460"/>
      <c r="KFZ18" s="450">
        <f>KFT18+KFW18</f>
        <v>62201294.850000001</v>
      </c>
      <c r="KGA18" s="454">
        <f>+KFU18+KFX18</f>
        <v>60000000</v>
      </c>
      <c r="KGB18" s="461"/>
      <c r="KGC18" s="450"/>
      <c r="KGD18" s="594">
        <f>(KFZ18-KFR18)/KFR18</f>
        <v>0.13401162364699606</v>
      </c>
      <c r="KGE18" s="436" t="s">
        <v>141</v>
      </c>
      <c r="KGF18" s="448">
        <v>54850667.799999997</v>
      </c>
      <c r="KGG18" s="449"/>
      <c r="KGH18" s="448">
        <f>KGF18+KGG18</f>
        <v>54850667.799999997</v>
      </c>
      <c r="KGI18" s="452"/>
      <c r="KGJ18" s="452">
        <v>62201294.850000001</v>
      </c>
      <c r="KGK18" s="451">
        <f>60000000</f>
        <v>60000000</v>
      </c>
      <c r="KGL18" s="459"/>
      <c r="KGM18" s="452"/>
      <c r="KGN18" s="450">
        <v>0</v>
      </c>
      <c r="KGO18" s="460"/>
      <c r="KGP18" s="450">
        <f>KGJ18+KGM18</f>
        <v>62201294.850000001</v>
      </c>
      <c r="KGQ18" s="454">
        <f>+KGK18+KGN18</f>
        <v>60000000</v>
      </c>
      <c r="KGR18" s="461"/>
      <c r="KGS18" s="450"/>
      <c r="KGT18" s="594">
        <f>(KGP18-KGH18)/KGH18</f>
        <v>0.13401162364699606</v>
      </c>
      <c r="KGU18" s="436" t="s">
        <v>141</v>
      </c>
      <c r="KGV18" s="448">
        <v>54850667.799999997</v>
      </c>
      <c r="KGW18" s="449"/>
      <c r="KGX18" s="448">
        <f>KGV18+KGW18</f>
        <v>54850667.799999997</v>
      </c>
      <c r="KGY18" s="452"/>
      <c r="KGZ18" s="452">
        <v>62201294.850000001</v>
      </c>
      <c r="KHA18" s="451">
        <f>60000000</f>
        <v>60000000</v>
      </c>
      <c r="KHB18" s="459"/>
      <c r="KHC18" s="452"/>
      <c r="KHD18" s="450">
        <v>0</v>
      </c>
      <c r="KHE18" s="460"/>
      <c r="KHF18" s="450">
        <f>KGZ18+KHC18</f>
        <v>62201294.850000001</v>
      </c>
      <c r="KHG18" s="454">
        <f>+KHA18+KHD18</f>
        <v>60000000</v>
      </c>
      <c r="KHH18" s="461"/>
      <c r="KHI18" s="450"/>
      <c r="KHJ18" s="594">
        <f>(KHF18-KGX18)/KGX18</f>
        <v>0.13401162364699606</v>
      </c>
      <c r="KHK18" s="436" t="s">
        <v>141</v>
      </c>
      <c r="KHL18" s="448">
        <v>54850667.799999997</v>
      </c>
      <c r="KHM18" s="449"/>
      <c r="KHN18" s="448">
        <f>KHL18+KHM18</f>
        <v>54850667.799999997</v>
      </c>
      <c r="KHO18" s="452"/>
      <c r="KHP18" s="452">
        <v>62201294.850000001</v>
      </c>
      <c r="KHQ18" s="451">
        <f>60000000</f>
        <v>60000000</v>
      </c>
      <c r="KHR18" s="459"/>
      <c r="KHS18" s="452"/>
      <c r="KHT18" s="450">
        <v>0</v>
      </c>
      <c r="KHU18" s="460"/>
      <c r="KHV18" s="450">
        <f>KHP18+KHS18</f>
        <v>62201294.850000001</v>
      </c>
      <c r="KHW18" s="454">
        <f>+KHQ18+KHT18</f>
        <v>60000000</v>
      </c>
      <c r="KHX18" s="461"/>
      <c r="KHY18" s="450"/>
      <c r="KHZ18" s="594">
        <f>(KHV18-KHN18)/KHN18</f>
        <v>0.13401162364699606</v>
      </c>
      <c r="KIA18" s="436" t="s">
        <v>141</v>
      </c>
      <c r="KIB18" s="448">
        <v>54850667.799999997</v>
      </c>
      <c r="KIC18" s="449"/>
      <c r="KID18" s="448">
        <f>KIB18+KIC18</f>
        <v>54850667.799999997</v>
      </c>
      <c r="KIE18" s="452"/>
      <c r="KIF18" s="452">
        <v>62201294.850000001</v>
      </c>
      <c r="KIG18" s="451">
        <f>60000000</f>
        <v>60000000</v>
      </c>
      <c r="KIH18" s="459"/>
      <c r="KII18" s="452"/>
      <c r="KIJ18" s="450">
        <v>0</v>
      </c>
      <c r="KIK18" s="460"/>
      <c r="KIL18" s="450">
        <f>KIF18+KII18</f>
        <v>62201294.850000001</v>
      </c>
      <c r="KIM18" s="454">
        <f>+KIG18+KIJ18</f>
        <v>60000000</v>
      </c>
      <c r="KIN18" s="461"/>
      <c r="KIO18" s="450"/>
      <c r="KIP18" s="594">
        <f>(KIL18-KID18)/KID18</f>
        <v>0.13401162364699606</v>
      </c>
      <c r="KIQ18" s="436" t="s">
        <v>141</v>
      </c>
      <c r="KIR18" s="448">
        <v>54850667.799999997</v>
      </c>
      <c r="KIS18" s="449"/>
      <c r="KIT18" s="448">
        <f>KIR18+KIS18</f>
        <v>54850667.799999997</v>
      </c>
      <c r="KIU18" s="452"/>
      <c r="KIV18" s="452">
        <v>62201294.850000001</v>
      </c>
      <c r="KIW18" s="451">
        <f>60000000</f>
        <v>60000000</v>
      </c>
      <c r="KIX18" s="459"/>
      <c r="KIY18" s="452"/>
      <c r="KIZ18" s="450">
        <v>0</v>
      </c>
      <c r="KJA18" s="460"/>
      <c r="KJB18" s="450">
        <f>KIV18+KIY18</f>
        <v>62201294.850000001</v>
      </c>
      <c r="KJC18" s="454">
        <f>+KIW18+KIZ18</f>
        <v>60000000</v>
      </c>
      <c r="KJD18" s="461"/>
      <c r="KJE18" s="450"/>
      <c r="KJF18" s="594">
        <f>(KJB18-KIT18)/KIT18</f>
        <v>0.13401162364699606</v>
      </c>
      <c r="KJG18" s="436" t="s">
        <v>141</v>
      </c>
      <c r="KJH18" s="448">
        <v>54850667.799999997</v>
      </c>
      <c r="KJI18" s="449"/>
      <c r="KJJ18" s="448">
        <f>KJH18+KJI18</f>
        <v>54850667.799999997</v>
      </c>
      <c r="KJK18" s="452"/>
      <c r="KJL18" s="452">
        <v>62201294.850000001</v>
      </c>
      <c r="KJM18" s="451">
        <f>60000000</f>
        <v>60000000</v>
      </c>
      <c r="KJN18" s="459"/>
      <c r="KJO18" s="452"/>
      <c r="KJP18" s="450">
        <v>0</v>
      </c>
      <c r="KJQ18" s="460"/>
      <c r="KJR18" s="450">
        <f>KJL18+KJO18</f>
        <v>62201294.850000001</v>
      </c>
      <c r="KJS18" s="454">
        <f>+KJM18+KJP18</f>
        <v>60000000</v>
      </c>
      <c r="KJT18" s="461"/>
      <c r="KJU18" s="450"/>
      <c r="KJV18" s="594">
        <f>(KJR18-KJJ18)/KJJ18</f>
        <v>0.13401162364699606</v>
      </c>
      <c r="KJW18" s="436" t="s">
        <v>141</v>
      </c>
      <c r="KJX18" s="448">
        <v>54850667.799999997</v>
      </c>
      <c r="KJY18" s="449"/>
      <c r="KJZ18" s="448">
        <f>KJX18+KJY18</f>
        <v>54850667.799999997</v>
      </c>
      <c r="KKA18" s="452"/>
      <c r="KKB18" s="452">
        <v>62201294.850000001</v>
      </c>
      <c r="KKC18" s="451">
        <f>60000000</f>
        <v>60000000</v>
      </c>
      <c r="KKD18" s="459"/>
      <c r="KKE18" s="452"/>
      <c r="KKF18" s="450">
        <v>0</v>
      </c>
      <c r="KKG18" s="460"/>
      <c r="KKH18" s="450">
        <f>KKB18+KKE18</f>
        <v>62201294.850000001</v>
      </c>
      <c r="KKI18" s="454">
        <f>+KKC18+KKF18</f>
        <v>60000000</v>
      </c>
      <c r="KKJ18" s="461"/>
      <c r="KKK18" s="450"/>
      <c r="KKL18" s="594">
        <f>(KKH18-KJZ18)/KJZ18</f>
        <v>0.13401162364699606</v>
      </c>
      <c r="KKM18" s="436" t="s">
        <v>141</v>
      </c>
      <c r="KKN18" s="448">
        <v>54850667.799999997</v>
      </c>
      <c r="KKO18" s="449"/>
      <c r="KKP18" s="448">
        <f>KKN18+KKO18</f>
        <v>54850667.799999997</v>
      </c>
      <c r="KKQ18" s="452"/>
      <c r="KKR18" s="452">
        <v>62201294.850000001</v>
      </c>
      <c r="KKS18" s="451">
        <f>60000000</f>
        <v>60000000</v>
      </c>
      <c r="KKT18" s="459"/>
      <c r="KKU18" s="452"/>
      <c r="KKV18" s="450">
        <v>0</v>
      </c>
      <c r="KKW18" s="460"/>
      <c r="KKX18" s="450">
        <f>KKR18+KKU18</f>
        <v>62201294.850000001</v>
      </c>
      <c r="KKY18" s="454">
        <f>+KKS18+KKV18</f>
        <v>60000000</v>
      </c>
      <c r="KKZ18" s="461"/>
      <c r="KLA18" s="450"/>
      <c r="KLB18" s="594">
        <f>(KKX18-KKP18)/KKP18</f>
        <v>0.13401162364699606</v>
      </c>
      <c r="KLC18" s="436" t="s">
        <v>141</v>
      </c>
      <c r="KLD18" s="448">
        <v>54850667.799999997</v>
      </c>
      <c r="KLE18" s="449"/>
      <c r="KLF18" s="448">
        <f>KLD18+KLE18</f>
        <v>54850667.799999997</v>
      </c>
      <c r="KLG18" s="452"/>
      <c r="KLH18" s="452">
        <v>62201294.850000001</v>
      </c>
      <c r="KLI18" s="451">
        <f>60000000</f>
        <v>60000000</v>
      </c>
      <c r="KLJ18" s="459"/>
      <c r="KLK18" s="452"/>
      <c r="KLL18" s="450">
        <v>0</v>
      </c>
      <c r="KLM18" s="460"/>
      <c r="KLN18" s="450">
        <f>KLH18+KLK18</f>
        <v>62201294.850000001</v>
      </c>
      <c r="KLO18" s="454">
        <f>+KLI18+KLL18</f>
        <v>60000000</v>
      </c>
      <c r="KLP18" s="461"/>
      <c r="KLQ18" s="450"/>
      <c r="KLR18" s="594">
        <f>(KLN18-KLF18)/KLF18</f>
        <v>0.13401162364699606</v>
      </c>
      <c r="KLS18" s="436" t="s">
        <v>141</v>
      </c>
      <c r="KLT18" s="448">
        <v>54850667.799999997</v>
      </c>
      <c r="KLU18" s="449"/>
      <c r="KLV18" s="448">
        <f>KLT18+KLU18</f>
        <v>54850667.799999997</v>
      </c>
      <c r="KLW18" s="452"/>
      <c r="KLX18" s="452">
        <v>62201294.850000001</v>
      </c>
      <c r="KLY18" s="451">
        <f>60000000</f>
        <v>60000000</v>
      </c>
      <c r="KLZ18" s="459"/>
      <c r="KMA18" s="452"/>
      <c r="KMB18" s="450">
        <v>0</v>
      </c>
      <c r="KMC18" s="460"/>
      <c r="KMD18" s="450">
        <f>KLX18+KMA18</f>
        <v>62201294.850000001</v>
      </c>
      <c r="KME18" s="454">
        <f>+KLY18+KMB18</f>
        <v>60000000</v>
      </c>
      <c r="KMF18" s="461"/>
      <c r="KMG18" s="450"/>
      <c r="KMH18" s="594">
        <f>(KMD18-KLV18)/KLV18</f>
        <v>0.13401162364699606</v>
      </c>
      <c r="KMI18" s="436" t="s">
        <v>141</v>
      </c>
      <c r="KMJ18" s="448">
        <v>54850667.799999997</v>
      </c>
      <c r="KMK18" s="449"/>
      <c r="KML18" s="448">
        <f>KMJ18+KMK18</f>
        <v>54850667.799999997</v>
      </c>
      <c r="KMM18" s="452"/>
      <c r="KMN18" s="452">
        <v>62201294.850000001</v>
      </c>
      <c r="KMO18" s="451">
        <f>60000000</f>
        <v>60000000</v>
      </c>
      <c r="KMP18" s="459"/>
      <c r="KMQ18" s="452"/>
      <c r="KMR18" s="450">
        <v>0</v>
      </c>
      <c r="KMS18" s="460"/>
      <c r="KMT18" s="450">
        <f>KMN18+KMQ18</f>
        <v>62201294.850000001</v>
      </c>
      <c r="KMU18" s="454">
        <f>+KMO18+KMR18</f>
        <v>60000000</v>
      </c>
      <c r="KMV18" s="461"/>
      <c r="KMW18" s="450"/>
      <c r="KMX18" s="594">
        <f>(KMT18-KML18)/KML18</f>
        <v>0.13401162364699606</v>
      </c>
      <c r="KMY18" s="436" t="s">
        <v>141</v>
      </c>
      <c r="KMZ18" s="448">
        <v>54850667.799999997</v>
      </c>
      <c r="KNA18" s="449"/>
      <c r="KNB18" s="448">
        <f>KMZ18+KNA18</f>
        <v>54850667.799999997</v>
      </c>
      <c r="KNC18" s="452"/>
      <c r="KND18" s="452">
        <v>62201294.850000001</v>
      </c>
      <c r="KNE18" s="451">
        <f>60000000</f>
        <v>60000000</v>
      </c>
      <c r="KNF18" s="459"/>
      <c r="KNG18" s="452"/>
      <c r="KNH18" s="450">
        <v>0</v>
      </c>
      <c r="KNI18" s="460"/>
      <c r="KNJ18" s="450">
        <f>KND18+KNG18</f>
        <v>62201294.850000001</v>
      </c>
      <c r="KNK18" s="454">
        <f>+KNE18+KNH18</f>
        <v>60000000</v>
      </c>
      <c r="KNL18" s="461"/>
      <c r="KNM18" s="450"/>
      <c r="KNN18" s="594">
        <f>(KNJ18-KNB18)/KNB18</f>
        <v>0.13401162364699606</v>
      </c>
      <c r="KNO18" s="436" t="s">
        <v>141</v>
      </c>
      <c r="KNP18" s="448">
        <v>54850667.799999997</v>
      </c>
      <c r="KNQ18" s="449"/>
      <c r="KNR18" s="448">
        <f>KNP18+KNQ18</f>
        <v>54850667.799999997</v>
      </c>
      <c r="KNS18" s="452"/>
      <c r="KNT18" s="452">
        <v>62201294.850000001</v>
      </c>
      <c r="KNU18" s="451">
        <f>60000000</f>
        <v>60000000</v>
      </c>
      <c r="KNV18" s="459"/>
      <c r="KNW18" s="452"/>
      <c r="KNX18" s="450">
        <v>0</v>
      </c>
      <c r="KNY18" s="460"/>
      <c r="KNZ18" s="450">
        <f>KNT18+KNW18</f>
        <v>62201294.850000001</v>
      </c>
      <c r="KOA18" s="454">
        <f>+KNU18+KNX18</f>
        <v>60000000</v>
      </c>
      <c r="KOB18" s="461"/>
      <c r="KOC18" s="450"/>
      <c r="KOD18" s="594">
        <f>(KNZ18-KNR18)/KNR18</f>
        <v>0.13401162364699606</v>
      </c>
      <c r="KOE18" s="436" t="s">
        <v>141</v>
      </c>
      <c r="KOF18" s="448">
        <v>54850667.799999997</v>
      </c>
      <c r="KOG18" s="449"/>
      <c r="KOH18" s="448">
        <f>KOF18+KOG18</f>
        <v>54850667.799999997</v>
      </c>
      <c r="KOI18" s="452"/>
      <c r="KOJ18" s="452">
        <v>62201294.850000001</v>
      </c>
      <c r="KOK18" s="451">
        <f>60000000</f>
        <v>60000000</v>
      </c>
      <c r="KOL18" s="459"/>
      <c r="KOM18" s="452"/>
      <c r="KON18" s="450">
        <v>0</v>
      </c>
      <c r="KOO18" s="460"/>
      <c r="KOP18" s="450">
        <f>KOJ18+KOM18</f>
        <v>62201294.850000001</v>
      </c>
      <c r="KOQ18" s="454">
        <f>+KOK18+KON18</f>
        <v>60000000</v>
      </c>
      <c r="KOR18" s="461"/>
      <c r="KOS18" s="450"/>
      <c r="KOT18" s="594">
        <f>(KOP18-KOH18)/KOH18</f>
        <v>0.13401162364699606</v>
      </c>
      <c r="KOU18" s="436" t="s">
        <v>141</v>
      </c>
      <c r="KOV18" s="448">
        <v>54850667.799999997</v>
      </c>
      <c r="KOW18" s="449"/>
      <c r="KOX18" s="448">
        <f>KOV18+KOW18</f>
        <v>54850667.799999997</v>
      </c>
      <c r="KOY18" s="452"/>
      <c r="KOZ18" s="452">
        <v>62201294.850000001</v>
      </c>
      <c r="KPA18" s="451">
        <f>60000000</f>
        <v>60000000</v>
      </c>
      <c r="KPB18" s="459"/>
      <c r="KPC18" s="452"/>
      <c r="KPD18" s="450">
        <v>0</v>
      </c>
      <c r="KPE18" s="460"/>
      <c r="KPF18" s="450">
        <f>KOZ18+KPC18</f>
        <v>62201294.850000001</v>
      </c>
      <c r="KPG18" s="454">
        <f>+KPA18+KPD18</f>
        <v>60000000</v>
      </c>
      <c r="KPH18" s="461"/>
      <c r="KPI18" s="450"/>
      <c r="KPJ18" s="594">
        <f>(KPF18-KOX18)/KOX18</f>
        <v>0.13401162364699606</v>
      </c>
      <c r="KPK18" s="436" t="s">
        <v>141</v>
      </c>
      <c r="KPL18" s="448">
        <v>54850667.799999997</v>
      </c>
      <c r="KPM18" s="449"/>
      <c r="KPN18" s="448">
        <f>KPL18+KPM18</f>
        <v>54850667.799999997</v>
      </c>
      <c r="KPO18" s="452"/>
      <c r="KPP18" s="452">
        <v>62201294.850000001</v>
      </c>
      <c r="KPQ18" s="451">
        <f>60000000</f>
        <v>60000000</v>
      </c>
      <c r="KPR18" s="459"/>
      <c r="KPS18" s="452"/>
      <c r="KPT18" s="450">
        <v>0</v>
      </c>
      <c r="KPU18" s="460"/>
      <c r="KPV18" s="450">
        <f>KPP18+KPS18</f>
        <v>62201294.850000001</v>
      </c>
      <c r="KPW18" s="454">
        <f>+KPQ18+KPT18</f>
        <v>60000000</v>
      </c>
      <c r="KPX18" s="461"/>
      <c r="KPY18" s="450"/>
      <c r="KPZ18" s="594">
        <f>(KPV18-KPN18)/KPN18</f>
        <v>0.13401162364699606</v>
      </c>
      <c r="KQA18" s="436" t="s">
        <v>141</v>
      </c>
      <c r="KQB18" s="448">
        <v>54850667.799999997</v>
      </c>
      <c r="KQC18" s="449"/>
      <c r="KQD18" s="448">
        <f>KQB18+KQC18</f>
        <v>54850667.799999997</v>
      </c>
      <c r="KQE18" s="452"/>
      <c r="KQF18" s="452">
        <v>62201294.850000001</v>
      </c>
      <c r="KQG18" s="451">
        <f>60000000</f>
        <v>60000000</v>
      </c>
      <c r="KQH18" s="459"/>
      <c r="KQI18" s="452"/>
      <c r="KQJ18" s="450">
        <v>0</v>
      </c>
      <c r="KQK18" s="460"/>
      <c r="KQL18" s="450">
        <f>KQF18+KQI18</f>
        <v>62201294.850000001</v>
      </c>
      <c r="KQM18" s="454">
        <f>+KQG18+KQJ18</f>
        <v>60000000</v>
      </c>
      <c r="KQN18" s="461"/>
      <c r="KQO18" s="450"/>
      <c r="KQP18" s="594">
        <f>(KQL18-KQD18)/KQD18</f>
        <v>0.13401162364699606</v>
      </c>
      <c r="KQQ18" s="436" t="s">
        <v>141</v>
      </c>
      <c r="KQR18" s="448">
        <v>54850667.799999997</v>
      </c>
      <c r="KQS18" s="449"/>
      <c r="KQT18" s="448">
        <f>KQR18+KQS18</f>
        <v>54850667.799999997</v>
      </c>
      <c r="KQU18" s="452"/>
      <c r="KQV18" s="452">
        <v>62201294.850000001</v>
      </c>
      <c r="KQW18" s="451">
        <f>60000000</f>
        <v>60000000</v>
      </c>
      <c r="KQX18" s="459"/>
      <c r="KQY18" s="452"/>
      <c r="KQZ18" s="450">
        <v>0</v>
      </c>
      <c r="KRA18" s="460"/>
      <c r="KRB18" s="450">
        <f>KQV18+KQY18</f>
        <v>62201294.850000001</v>
      </c>
      <c r="KRC18" s="454">
        <f>+KQW18+KQZ18</f>
        <v>60000000</v>
      </c>
      <c r="KRD18" s="461"/>
      <c r="KRE18" s="450"/>
      <c r="KRF18" s="594">
        <f>(KRB18-KQT18)/KQT18</f>
        <v>0.13401162364699606</v>
      </c>
      <c r="KRG18" s="436" t="s">
        <v>141</v>
      </c>
      <c r="KRH18" s="448">
        <v>54850667.799999997</v>
      </c>
      <c r="KRI18" s="449"/>
      <c r="KRJ18" s="448">
        <f>KRH18+KRI18</f>
        <v>54850667.799999997</v>
      </c>
      <c r="KRK18" s="452"/>
      <c r="KRL18" s="452">
        <v>62201294.850000001</v>
      </c>
      <c r="KRM18" s="451">
        <f>60000000</f>
        <v>60000000</v>
      </c>
      <c r="KRN18" s="459"/>
      <c r="KRO18" s="452"/>
      <c r="KRP18" s="450">
        <v>0</v>
      </c>
      <c r="KRQ18" s="460"/>
      <c r="KRR18" s="450">
        <f>KRL18+KRO18</f>
        <v>62201294.850000001</v>
      </c>
      <c r="KRS18" s="454">
        <f>+KRM18+KRP18</f>
        <v>60000000</v>
      </c>
      <c r="KRT18" s="461"/>
      <c r="KRU18" s="450"/>
      <c r="KRV18" s="594">
        <f>(KRR18-KRJ18)/KRJ18</f>
        <v>0.13401162364699606</v>
      </c>
      <c r="KRW18" s="436" t="s">
        <v>141</v>
      </c>
      <c r="KRX18" s="448">
        <v>54850667.799999997</v>
      </c>
      <c r="KRY18" s="449"/>
      <c r="KRZ18" s="448">
        <f>KRX18+KRY18</f>
        <v>54850667.799999997</v>
      </c>
      <c r="KSA18" s="452"/>
      <c r="KSB18" s="452">
        <v>62201294.850000001</v>
      </c>
      <c r="KSC18" s="451">
        <f>60000000</f>
        <v>60000000</v>
      </c>
      <c r="KSD18" s="459"/>
      <c r="KSE18" s="452"/>
      <c r="KSF18" s="450">
        <v>0</v>
      </c>
      <c r="KSG18" s="460"/>
      <c r="KSH18" s="450">
        <f>KSB18+KSE18</f>
        <v>62201294.850000001</v>
      </c>
      <c r="KSI18" s="454">
        <f>+KSC18+KSF18</f>
        <v>60000000</v>
      </c>
      <c r="KSJ18" s="461"/>
      <c r="KSK18" s="450"/>
      <c r="KSL18" s="594">
        <f>(KSH18-KRZ18)/KRZ18</f>
        <v>0.13401162364699606</v>
      </c>
      <c r="KSM18" s="436" t="s">
        <v>141</v>
      </c>
      <c r="KSN18" s="448">
        <v>54850667.799999997</v>
      </c>
      <c r="KSO18" s="449"/>
      <c r="KSP18" s="448">
        <f>KSN18+KSO18</f>
        <v>54850667.799999997</v>
      </c>
      <c r="KSQ18" s="452"/>
      <c r="KSR18" s="452">
        <v>62201294.850000001</v>
      </c>
      <c r="KSS18" s="451">
        <f>60000000</f>
        <v>60000000</v>
      </c>
      <c r="KST18" s="459"/>
      <c r="KSU18" s="452"/>
      <c r="KSV18" s="450">
        <v>0</v>
      </c>
      <c r="KSW18" s="460"/>
      <c r="KSX18" s="450">
        <f>KSR18+KSU18</f>
        <v>62201294.850000001</v>
      </c>
      <c r="KSY18" s="454">
        <f>+KSS18+KSV18</f>
        <v>60000000</v>
      </c>
      <c r="KSZ18" s="461"/>
      <c r="KTA18" s="450"/>
      <c r="KTB18" s="594">
        <f>(KSX18-KSP18)/KSP18</f>
        <v>0.13401162364699606</v>
      </c>
      <c r="KTC18" s="436" t="s">
        <v>141</v>
      </c>
      <c r="KTD18" s="448">
        <v>54850667.799999997</v>
      </c>
      <c r="KTE18" s="449"/>
      <c r="KTF18" s="448">
        <f>KTD18+KTE18</f>
        <v>54850667.799999997</v>
      </c>
      <c r="KTG18" s="452"/>
      <c r="KTH18" s="452">
        <v>62201294.850000001</v>
      </c>
      <c r="KTI18" s="451">
        <f>60000000</f>
        <v>60000000</v>
      </c>
      <c r="KTJ18" s="459"/>
      <c r="KTK18" s="452"/>
      <c r="KTL18" s="450">
        <v>0</v>
      </c>
      <c r="KTM18" s="460"/>
      <c r="KTN18" s="450">
        <f>KTH18+KTK18</f>
        <v>62201294.850000001</v>
      </c>
      <c r="KTO18" s="454">
        <f>+KTI18+KTL18</f>
        <v>60000000</v>
      </c>
      <c r="KTP18" s="461"/>
      <c r="KTQ18" s="450"/>
      <c r="KTR18" s="594">
        <f>(KTN18-KTF18)/KTF18</f>
        <v>0.13401162364699606</v>
      </c>
      <c r="KTS18" s="436" t="s">
        <v>141</v>
      </c>
      <c r="KTT18" s="448">
        <v>54850667.799999997</v>
      </c>
      <c r="KTU18" s="449"/>
      <c r="KTV18" s="448">
        <f>KTT18+KTU18</f>
        <v>54850667.799999997</v>
      </c>
      <c r="KTW18" s="452"/>
      <c r="KTX18" s="452">
        <v>62201294.850000001</v>
      </c>
      <c r="KTY18" s="451">
        <f>60000000</f>
        <v>60000000</v>
      </c>
      <c r="KTZ18" s="459"/>
      <c r="KUA18" s="452"/>
      <c r="KUB18" s="450">
        <v>0</v>
      </c>
      <c r="KUC18" s="460"/>
      <c r="KUD18" s="450">
        <f>KTX18+KUA18</f>
        <v>62201294.850000001</v>
      </c>
      <c r="KUE18" s="454">
        <f>+KTY18+KUB18</f>
        <v>60000000</v>
      </c>
      <c r="KUF18" s="461"/>
      <c r="KUG18" s="450"/>
      <c r="KUH18" s="594">
        <f>(KUD18-KTV18)/KTV18</f>
        <v>0.13401162364699606</v>
      </c>
      <c r="KUI18" s="436" t="s">
        <v>141</v>
      </c>
      <c r="KUJ18" s="448">
        <v>54850667.799999997</v>
      </c>
      <c r="KUK18" s="449"/>
      <c r="KUL18" s="448">
        <f>KUJ18+KUK18</f>
        <v>54850667.799999997</v>
      </c>
      <c r="KUM18" s="452"/>
      <c r="KUN18" s="452">
        <v>62201294.850000001</v>
      </c>
      <c r="KUO18" s="451">
        <f>60000000</f>
        <v>60000000</v>
      </c>
      <c r="KUP18" s="459"/>
      <c r="KUQ18" s="452"/>
      <c r="KUR18" s="450">
        <v>0</v>
      </c>
      <c r="KUS18" s="460"/>
      <c r="KUT18" s="450">
        <f>KUN18+KUQ18</f>
        <v>62201294.850000001</v>
      </c>
      <c r="KUU18" s="454">
        <f>+KUO18+KUR18</f>
        <v>60000000</v>
      </c>
      <c r="KUV18" s="461"/>
      <c r="KUW18" s="450"/>
      <c r="KUX18" s="594">
        <f>(KUT18-KUL18)/KUL18</f>
        <v>0.13401162364699606</v>
      </c>
      <c r="KUY18" s="436" t="s">
        <v>141</v>
      </c>
      <c r="KUZ18" s="448">
        <v>54850667.799999997</v>
      </c>
      <c r="KVA18" s="449"/>
      <c r="KVB18" s="448">
        <f>KUZ18+KVA18</f>
        <v>54850667.799999997</v>
      </c>
      <c r="KVC18" s="452"/>
      <c r="KVD18" s="452">
        <v>62201294.850000001</v>
      </c>
      <c r="KVE18" s="451">
        <f>60000000</f>
        <v>60000000</v>
      </c>
      <c r="KVF18" s="459"/>
      <c r="KVG18" s="452"/>
      <c r="KVH18" s="450">
        <v>0</v>
      </c>
      <c r="KVI18" s="460"/>
      <c r="KVJ18" s="450">
        <f>KVD18+KVG18</f>
        <v>62201294.850000001</v>
      </c>
      <c r="KVK18" s="454">
        <f>+KVE18+KVH18</f>
        <v>60000000</v>
      </c>
      <c r="KVL18" s="461"/>
      <c r="KVM18" s="450"/>
      <c r="KVN18" s="594">
        <f>(KVJ18-KVB18)/KVB18</f>
        <v>0.13401162364699606</v>
      </c>
      <c r="KVO18" s="436" t="s">
        <v>141</v>
      </c>
      <c r="KVP18" s="448">
        <v>54850667.799999997</v>
      </c>
      <c r="KVQ18" s="449"/>
      <c r="KVR18" s="448">
        <f>KVP18+KVQ18</f>
        <v>54850667.799999997</v>
      </c>
      <c r="KVS18" s="452"/>
      <c r="KVT18" s="452">
        <v>62201294.850000001</v>
      </c>
      <c r="KVU18" s="451">
        <f>60000000</f>
        <v>60000000</v>
      </c>
      <c r="KVV18" s="459"/>
      <c r="KVW18" s="452"/>
      <c r="KVX18" s="450">
        <v>0</v>
      </c>
      <c r="KVY18" s="460"/>
      <c r="KVZ18" s="450">
        <f>KVT18+KVW18</f>
        <v>62201294.850000001</v>
      </c>
      <c r="KWA18" s="454">
        <f>+KVU18+KVX18</f>
        <v>60000000</v>
      </c>
      <c r="KWB18" s="461"/>
      <c r="KWC18" s="450"/>
      <c r="KWD18" s="594">
        <f>(KVZ18-KVR18)/KVR18</f>
        <v>0.13401162364699606</v>
      </c>
      <c r="KWE18" s="436" t="s">
        <v>141</v>
      </c>
      <c r="KWF18" s="448">
        <v>54850667.799999997</v>
      </c>
      <c r="KWG18" s="449"/>
      <c r="KWH18" s="448">
        <f>KWF18+KWG18</f>
        <v>54850667.799999997</v>
      </c>
      <c r="KWI18" s="452"/>
      <c r="KWJ18" s="452">
        <v>62201294.850000001</v>
      </c>
      <c r="KWK18" s="451">
        <f>60000000</f>
        <v>60000000</v>
      </c>
      <c r="KWL18" s="459"/>
      <c r="KWM18" s="452"/>
      <c r="KWN18" s="450">
        <v>0</v>
      </c>
      <c r="KWO18" s="460"/>
      <c r="KWP18" s="450">
        <f>KWJ18+KWM18</f>
        <v>62201294.850000001</v>
      </c>
      <c r="KWQ18" s="454">
        <f>+KWK18+KWN18</f>
        <v>60000000</v>
      </c>
      <c r="KWR18" s="461"/>
      <c r="KWS18" s="450"/>
      <c r="KWT18" s="594">
        <f>(KWP18-KWH18)/KWH18</f>
        <v>0.13401162364699606</v>
      </c>
      <c r="KWU18" s="436" t="s">
        <v>141</v>
      </c>
      <c r="KWV18" s="448">
        <v>54850667.799999997</v>
      </c>
      <c r="KWW18" s="449"/>
      <c r="KWX18" s="448">
        <f>KWV18+KWW18</f>
        <v>54850667.799999997</v>
      </c>
      <c r="KWY18" s="452"/>
      <c r="KWZ18" s="452">
        <v>62201294.850000001</v>
      </c>
      <c r="KXA18" s="451">
        <f>60000000</f>
        <v>60000000</v>
      </c>
      <c r="KXB18" s="459"/>
      <c r="KXC18" s="452"/>
      <c r="KXD18" s="450">
        <v>0</v>
      </c>
      <c r="KXE18" s="460"/>
      <c r="KXF18" s="450">
        <f>KWZ18+KXC18</f>
        <v>62201294.850000001</v>
      </c>
      <c r="KXG18" s="454">
        <f>+KXA18+KXD18</f>
        <v>60000000</v>
      </c>
      <c r="KXH18" s="461"/>
      <c r="KXI18" s="450"/>
      <c r="KXJ18" s="594">
        <f>(KXF18-KWX18)/KWX18</f>
        <v>0.13401162364699606</v>
      </c>
      <c r="KXK18" s="436" t="s">
        <v>141</v>
      </c>
      <c r="KXL18" s="448">
        <v>54850667.799999997</v>
      </c>
      <c r="KXM18" s="449"/>
      <c r="KXN18" s="448">
        <f>KXL18+KXM18</f>
        <v>54850667.799999997</v>
      </c>
      <c r="KXO18" s="452"/>
      <c r="KXP18" s="452">
        <v>62201294.850000001</v>
      </c>
      <c r="KXQ18" s="451">
        <f>60000000</f>
        <v>60000000</v>
      </c>
      <c r="KXR18" s="459"/>
      <c r="KXS18" s="452"/>
      <c r="KXT18" s="450">
        <v>0</v>
      </c>
      <c r="KXU18" s="460"/>
      <c r="KXV18" s="450">
        <f>KXP18+KXS18</f>
        <v>62201294.850000001</v>
      </c>
      <c r="KXW18" s="454">
        <f>+KXQ18+KXT18</f>
        <v>60000000</v>
      </c>
      <c r="KXX18" s="461"/>
      <c r="KXY18" s="450"/>
      <c r="KXZ18" s="594">
        <f>(KXV18-KXN18)/KXN18</f>
        <v>0.13401162364699606</v>
      </c>
      <c r="KYA18" s="436" t="s">
        <v>141</v>
      </c>
      <c r="KYB18" s="448">
        <v>54850667.799999997</v>
      </c>
      <c r="KYC18" s="449"/>
      <c r="KYD18" s="448">
        <f>KYB18+KYC18</f>
        <v>54850667.799999997</v>
      </c>
      <c r="KYE18" s="452"/>
      <c r="KYF18" s="452">
        <v>62201294.850000001</v>
      </c>
      <c r="KYG18" s="451">
        <f>60000000</f>
        <v>60000000</v>
      </c>
      <c r="KYH18" s="459"/>
      <c r="KYI18" s="452"/>
      <c r="KYJ18" s="450">
        <v>0</v>
      </c>
      <c r="KYK18" s="460"/>
      <c r="KYL18" s="450">
        <f>KYF18+KYI18</f>
        <v>62201294.850000001</v>
      </c>
      <c r="KYM18" s="454">
        <f>+KYG18+KYJ18</f>
        <v>60000000</v>
      </c>
      <c r="KYN18" s="461"/>
      <c r="KYO18" s="450"/>
      <c r="KYP18" s="594">
        <f>(KYL18-KYD18)/KYD18</f>
        <v>0.13401162364699606</v>
      </c>
      <c r="KYQ18" s="436" t="s">
        <v>141</v>
      </c>
      <c r="KYR18" s="448">
        <v>54850667.799999997</v>
      </c>
      <c r="KYS18" s="449"/>
      <c r="KYT18" s="448">
        <f>KYR18+KYS18</f>
        <v>54850667.799999997</v>
      </c>
      <c r="KYU18" s="452"/>
      <c r="KYV18" s="452">
        <v>62201294.850000001</v>
      </c>
      <c r="KYW18" s="451">
        <f>60000000</f>
        <v>60000000</v>
      </c>
      <c r="KYX18" s="459"/>
      <c r="KYY18" s="452"/>
      <c r="KYZ18" s="450">
        <v>0</v>
      </c>
      <c r="KZA18" s="460"/>
      <c r="KZB18" s="450">
        <f>KYV18+KYY18</f>
        <v>62201294.850000001</v>
      </c>
      <c r="KZC18" s="454">
        <f>+KYW18+KYZ18</f>
        <v>60000000</v>
      </c>
      <c r="KZD18" s="461"/>
      <c r="KZE18" s="450"/>
      <c r="KZF18" s="594">
        <f>(KZB18-KYT18)/KYT18</f>
        <v>0.13401162364699606</v>
      </c>
      <c r="KZG18" s="436" t="s">
        <v>141</v>
      </c>
      <c r="KZH18" s="448">
        <v>54850667.799999997</v>
      </c>
      <c r="KZI18" s="449"/>
      <c r="KZJ18" s="448">
        <f>KZH18+KZI18</f>
        <v>54850667.799999997</v>
      </c>
      <c r="KZK18" s="452"/>
      <c r="KZL18" s="452">
        <v>62201294.850000001</v>
      </c>
      <c r="KZM18" s="451">
        <f>60000000</f>
        <v>60000000</v>
      </c>
      <c r="KZN18" s="459"/>
      <c r="KZO18" s="452"/>
      <c r="KZP18" s="450">
        <v>0</v>
      </c>
      <c r="KZQ18" s="460"/>
      <c r="KZR18" s="450">
        <f>KZL18+KZO18</f>
        <v>62201294.850000001</v>
      </c>
      <c r="KZS18" s="454">
        <f>+KZM18+KZP18</f>
        <v>60000000</v>
      </c>
      <c r="KZT18" s="461"/>
      <c r="KZU18" s="450"/>
      <c r="KZV18" s="594">
        <f>(KZR18-KZJ18)/KZJ18</f>
        <v>0.13401162364699606</v>
      </c>
      <c r="KZW18" s="436" t="s">
        <v>141</v>
      </c>
      <c r="KZX18" s="448">
        <v>54850667.799999997</v>
      </c>
      <c r="KZY18" s="449"/>
      <c r="KZZ18" s="448">
        <f>KZX18+KZY18</f>
        <v>54850667.799999997</v>
      </c>
      <c r="LAA18" s="452"/>
      <c r="LAB18" s="452">
        <v>62201294.850000001</v>
      </c>
      <c r="LAC18" s="451">
        <f>60000000</f>
        <v>60000000</v>
      </c>
      <c r="LAD18" s="459"/>
      <c r="LAE18" s="452"/>
      <c r="LAF18" s="450">
        <v>0</v>
      </c>
      <c r="LAG18" s="460"/>
      <c r="LAH18" s="450">
        <f>LAB18+LAE18</f>
        <v>62201294.850000001</v>
      </c>
      <c r="LAI18" s="454">
        <f>+LAC18+LAF18</f>
        <v>60000000</v>
      </c>
      <c r="LAJ18" s="461"/>
      <c r="LAK18" s="450"/>
      <c r="LAL18" s="594">
        <f>(LAH18-KZZ18)/KZZ18</f>
        <v>0.13401162364699606</v>
      </c>
      <c r="LAM18" s="436" t="s">
        <v>141</v>
      </c>
      <c r="LAN18" s="448">
        <v>54850667.799999997</v>
      </c>
      <c r="LAO18" s="449"/>
      <c r="LAP18" s="448">
        <f>LAN18+LAO18</f>
        <v>54850667.799999997</v>
      </c>
      <c r="LAQ18" s="452"/>
      <c r="LAR18" s="452">
        <v>62201294.850000001</v>
      </c>
      <c r="LAS18" s="451">
        <f>60000000</f>
        <v>60000000</v>
      </c>
      <c r="LAT18" s="459"/>
      <c r="LAU18" s="452"/>
      <c r="LAV18" s="450">
        <v>0</v>
      </c>
      <c r="LAW18" s="460"/>
      <c r="LAX18" s="450">
        <f>LAR18+LAU18</f>
        <v>62201294.850000001</v>
      </c>
      <c r="LAY18" s="454">
        <f>+LAS18+LAV18</f>
        <v>60000000</v>
      </c>
      <c r="LAZ18" s="461"/>
      <c r="LBA18" s="450"/>
      <c r="LBB18" s="594">
        <f>(LAX18-LAP18)/LAP18</f>
        <v>0.13401162364699606</v>
      </c>
      <c r="LBC18" s="436" t="s">
        <v>141</v>
      </c>
      <c r="LBD18" s="448">
        <v>54850667.799999997</v>
      </c>
      <c r="LBE18" s="449"/>
      <c r="LBF18" s="448">
        <f>LBD18+LBE18</f>
        <v>54850667.799999997</v>
      </c>
      <c r="LBG18" s="452"/>
      <c r="LBH18" s="452">
        <v>62201294.850000001</v>
      </c>
      <c r="LBI18" s="451">
        <f>60000000</f>
        <v>60000000</v>
      </c>
      <c r="LBJ18" s="459"/>
      <c r="LBK18" s="452"/>
      <c r="LBL18" s="450">
        <v>0</v>
      </c>
      <c r="LBM18" s="460"/>
      <c r="LBN18" s="450">
        <f>LBH18+LBK18</f>
        <v>62201294.850000001</v>
      </c>
      <c r="LBO18" s="454">
        <f>+LBI18+LBL18</f>
        <v>60000000</v>
      </c>
      <c r="LBP18" s="461"/>
      <c r="LBQ18" s="450"/>
      <c r="LBR18" s="594">
        <f>(LBN18-LBF18)/LBF18</f>
        <v>0.13401162364699606</v>
      </c>
      <c r="LBS18" s="436" t="s">
        <v>141</v>
      </c>
      <c r="LBT18" s="448">
        <v>54850667.799999997</v>
      </c>
      <c r="LBU18" s="449"/>
      <c r="LBV18" s="448">
        <f>LBT18+LBU18</f>
        <v>54850667.799999997</v>
      </c>
      <c r="LBW18" s="452"/>
      <c r="LBX18" s="452">
        <v>62201294.850000001</v>
      </c>
      <c r="LBY18" s="451">
        <f>60000000</f>
        <v>60000000</v>
      </c>
      <c r="LBZ18" s="459"/>
      <c r="LCA18" s="452"/>
      <c r="LCB18" s="450">
        <v>0</v>
      </c>
      <c r="LCC18" s="460"/>
      <c r="LCD18" s="450">
        <f>LBX18+LCA18</f>
        <v>62201294.850000001</v>
      </c>
      <c r="LCE18" s="454">
        <f>+LBY18+LCB18</f>
        <v>60000000</v>
      </c>
      <c r="LCF18" s="461"/>
      <c r="LCG18" s="450"/>
      <c r="LCH18" s="594">
        <f>(LCD18-LBV18)/LBV18</f>
        <v>0.13401162364699606</v>
      </c>
      <c r="LCI18" s="436" t="s">
        <v>141</v>
      </c>
      <c r="LCJ18" s="448">
        <v>54850667.799999997</v>
      </c>
      <c r="LCK18" s="449"/>
      <c r="LCL18" s="448">
        <f>LCJ18+LCK18</f>
        <v>54850667.799999997</v>
      </c>
      <c r="LCM18" s="452"/>
      <c r="LCN18" s="452">
        <v>62201294.850000001</v>
      </c>
      <c r="LCO18" s="451">
        <f>60000000</f>
        <v>60000000</v>
      </c>
      <c r="LCP18" s="459"/>
      <c r="LCQ18" s="452"/>
      <c r="LCR18" s="450">
        <v>0</v>
      </c>
      <c r="LCS18" s="460"/>
      <c r="LCT18" s="450">
        <f>LCN18+LCQ18</f>
        <v>62201294.850000001</v>
      </c>
      <c r="LCU18" s="454">
        <f>+LCO18+LCR18</f>
        <v>60000000</v>
      </c>
      <c r="LCV18" s="461"/>
      <c r="LCW18" s="450"/>
      <c r="LCX18" s="594">
        <f>(LCT18-LCL18)/LCL18</f>
        <v>0.13401162364699606</v>
      </c>
      <c r="LCY18" s="436" t="s">
        <v>141</v>
      </c>
      <c r="LCZ18" s="448">
        <v>54850667.799999997</v>
      </c>
      <c r="LDA18" s="449"/>
      <c r="LDB18" s="448">
        <f>LCZ18+LDA18</f>
        <v>54850667.799999997</v>
      </c>
      <c r="LDC18" s="452"/>
      <c r="LDD18" s="452">
        <v>62201294.850000001</v>
      </c>
      <c r="LDE18" s="451">
        <f>60000000</f>
        <v>60000000</v>
      </c>
      <c r="LDF18" s="459"/>
      <c r="LDG18" s="452"/>
      <c r="LDH18" s="450">
        <v>0</v>
      </c>
      <c r="LDI18" s="460"/>
      <c r="LDJ18" s="450">
        <f>LDD18+LDG18</f>
        <v>62201294.850000001</v>
      </c>
      <c r="LDK18" s="454">
        <f>+LDE18+LDH18</f>
        <v>60000000</v>
      </c>
      <c r="LDL18" s="461"/>
      <c r="LDM18" s="450"/>
      <c r="LDN18" s="594">
        <f>(LDJ18-LDB18)/LDB18</f>
        <v>0.13401162364699606</v>
      </c>
      <c r="LDO18" s="436" t="s">
        <v>141</v>
      </c>
      <c r="LDP18" s="448">
        <v>54850667.799999997</v>
      </c>
      <c r="LDQ18" s="449"/>
      <c r="LDR18" s="448">
        <f>LDP18+LDQ18</f>
        <v>54850667.799999997</v>
      </c>
      <c r="LDS18" s="452"/>
      <c r="LDT18" s="452">
        <v>62201294.850000001</v>
      </c>
      <c r="LDU18" s="451">
        <f>60000000</f>
        <v>60000000</v>
      </c>
      <c r="LDV18" s="459"/>
      <c r="LDW18" s="452"/>
      <c r="LDX18" s="450">
        <v>0</v>
      </c>
      <c r="LDY18" s="460"/>
      <c r="LDZ18" s="450">
        <f>LDT18+LDW18</f>
        <v>62201294.850000001</v>
      </c>
      <c r="LEA18" s="454">
        <f>+LDU18+LDX18</f>
        <v>60000000</v>
      </c>
      <c r="LEB18" s="461"/>
      <c r="LEC18" s="450"/>
      <c r="LED18" s="594">
        <f>(LDZ18-LDR18)/LDR18</f>
        <v>0.13401162364699606</v>
      </c>
      <c r="LEE18" s="436" t="s">
        <v>141</v>
      </c>
      <c r="LEF18" s="448">
        <v>54850667.799999997</v>
      </c>
      <c r="LEG18" s="449"/>
      <c r="LEH18" s="448">
        <f>LEF18+LEG18</f>
        <v>54850667.799999997</v>
      </c>
      <c r="LEI18" s="452"/>
      <c r="LEJ18" s="452">
        <v>62201294.850000001</v>
      </c>
      <c r="LEK18" s="451">
        <f>60000000</f>
        <v>60000000</v>
      </c>
      <c r="LEL18" s="459"/>
      <c r="LEM18" s="452"/>
      <c r="LEN18" s="450">
        <v>0</v>
      </c>
      <c r="LEO18" s="460"/>
      <c r="LEP18" s="450">
        <f>LEJ18+LEM18</f>
        <v>62201294.850000001</v>
      </c>
      <c r="LEQ18" s="454">
        <f>+LEK18+LEN18</f>
        <v>60000000</v>
      </c>
      <c r="LER18" s="461"/>
      <c r="LES18" s="450"/>
      <c r="LET18" s="594">
        <f>(LEP18-LEH18)/LEH18</f>
        <v>0.13401162364699606</v>
      </c>
      <c r="LEU18" s="436" t="s">
        <v>141</v>
      </c>
      <c r="LEV18" s="448">
        <v>54850667.799999997</v>
      </c>
      <c r="LEW18" s="449"/>
      <c r="LEX18" s="448">
        <f>LEV18+LEW18</f>
        <v>54850667.799999997</v>
      </c>
      <c r="LEY18" s="452"/>
      <c r="LEZ18" s="452">
        <v>62201294.850000001</v>
      </c>
      <c r="LFA18" s="451">
        <f>60000000</f>
        <v>60000000</v>
      </c>
      <c r="LFB18" s="459"/>
      <c r="LFC18" s="452"/>
      <c r="LFD18" s="450">
        <v>0</v>
      </c>
      <c r="LFE18" s="460"/>
      <c r="LFF18" s="450">
        <f>LEZ18+LFC18</f>
        <v>62201294.850000001</v>
      </c>
      <c r="LFG18" s="454">
        <f>+LFA18+LFD18</f>
        <v>60000000</v>
      </c>
      <c r="LFH18" s="461"/>
      <c r="LFI18" s="450"/>
      <c r="LFJ18" s="594">
        <f>(LFF18-LEX18)/LEX18</f>
        <v>0.13401162364699606</v>
      </c>
      <c r="LFK18" s="436" t="s">
        <v>141</v>
      </c>
      <c r="LFL18" s="448">
        <v>54850667.799999997</v>
      </c>
      <c r="LFM18" s="449"/>
      <c r="LFN18" s="448">
        <f>LFL18+LFM18</f>
        <v>54850667.799999997</v>
      </c>
      <c r="LFO18" s="452"/>
      <c r="LFP18" s="452">
        <v>62201294.850000001</v>
      </c>
      <c r="LFQ18" s="451">
        <f>60000000</f>
        <v>60000000</v>
      </c>
      <c r="LFR18" s="459"/>
      <c r="LFS18" s="452"/>
      <c r="LFT18" s="450">
        <v>0</v>
      </c>
      <c r="LFU18" s="460"/>
      <c r="LFV18" s="450">
        <f>LFP18+LFS18</f>
        <v>62201294.850000001</v>
      </c>
      <c r="LFW18" s="454">
        <f>+LFQ18+LFT18</f>
        <v>60000000</v>
      </c>
      <c r="LFX18" s="461"/>
      <c r="LFY18" s="450"/>
      <c r="LFZ18" s="594">
        <f>(LFV18-LFN18)/LFN18</f>
        <v>0.13401162364699606</v>
      </c>
      <c r="LGA18" s="436" t="s">
        <v>141</v>
      </c>
      <c r="LGB18" s="448">
        <v>54850667.799999997</v>
      </c>
      <c r="LGC18" s="449"/>
      <c r="LGD18" s="448">
        <f>LGB18+LGC18</f>
        <v>54850667.799999997</v>
      </c>
      <c r="LGE18" s="452"/>
      <c r="LGF18" s="452">
        <v>62201294.850000001</v>
      </c>
      <c r="LGG18" s="451">
        <f>60000000</f>
        <v>60000000</v>
      </c>
      <c r="LGH18" s="459"/>
      <c r="LGI18" s="452"/>
      <c r="LGJ18" s="450">
        <v>0</v>
      </c>
      <c r="LGK18" s="460"/>
      <c r="LGL18" s="450">
        <f>LGF18+LGI18</f>
        <v>62201294.850000001</v>
      </c>
      <c r="LGM18" s="454">
        <f>+LGG18+LGJ18</f>
        <v>60000000</v>
      </c>
      <c r="LGN18" s="461"/>
      <c r="LGO18" s="450"/>
      <c r="LGP18" s="594">
        <f>(LGL18-LGD18)/LGD18</f>
        <v>0.13401162364699606</v>
      </c>
      <c r="LGQ18" s="436" t="s">
        <v>141</v>
      </c>
      <c r="LGR18" s="448">
        <v>54850667.799999997</v>
      </c>
      <c r="LGS18" s="449"/>
      <c r="LGT18" s="448">
        <f>LGR18+LGS18</f>
        <v>54850667.799999997</v>
      </c>
      <c r="LGU18" s="452"/>
      <c r="LGV18" s="452">
        <v>62201294.850000001</v>
      </c>
      <c r="LGW18" s="451">
        <f>60000000</f>
        <v>60000000</v>
      </c>
      <c r="LGX18" s="459"/>
      <c r="LGY18" s="452"/>
      <c r="LGZ18" s="450">
        <v>0</v>
      </c>
      <c r="LHA18" s="460"/>
      <c r="LHB18" s="450">
        <f>LGV18+LGY18</f>
        <v>62201294.850000001</v>
      </c>
      <c r="LHC18" s="454">
        <f>+LGW18+LGZ18</f>
        <v>60000000</v>
      </c>
      <c r="LHD18" s="461"/>
      <c r="LHE18" s="450"/>
      <c r="LHF18" s="594">
        <f>(LHB18-LGT18)/LGT18</f>
        <v>0.13401162364699606</v>
      </c>
      <c r="LHG18" s="436" t="s">
        <v>141</v>
      </c>
      <c r="LHH18" s="448">
        <v>54850667.799999997</v>
      </c>
      <c r="LHI18" s="449"/>
      <c r="LHJ18" s="448">
        <f>LHH18+LHI18</f>
        <v>54850667.799999997</v>
      </c>
      <c r="LHK18" s="452"/>
      <c r="LHL18" s="452">
        <v>62201294.850000001</v>
      </c>
      <c r="LHM18" s="451">
        <f>60000000</f>
        <v>60000000</v>
      </c>
      <c r="LHN18" s="459"/>
      <c r="LHO18" s="452"/>
      <c r="LHP18" s="450">
        <v>0</v>
      </c>
      <c r="LHQ18" s="460"/>
      <c r="LHR18" s="450">
        <f>LHL18+LHO18</f>
        <v>62201294.850000001</v>
      </c>
      <c r="LHS18" s="454">
        <f>+LHM18+LHP18</f>
        <v>60000000</v>
      </c>
      <c r="LHT18" s="461"/>
      <c r="LHU18" s="450"/>
      <c r="LHV18" s="594">
        <f>(LHR18-LHJ18)/LHJ18</f>
        <v>0.13401162364699606</v>
      </c>
      <c r="LHW18" s="436" t="s">
        <v>141</v>
      </c>
      <c r="LHX18" s="448">
        <v>54850667.799999997</v>
      </c>
      <c r="LHY18" s="449"/>
      <c r="LHZ18" s="448">
        <f>LHX18+LHY18</f>
        <v>54850667.799999997</v>
      </c>
      <c r="LIA18" s="452"/>
      <c r="LIB18" s="452">
        <v>62201294.850000001</v>
      </c>
      <c r="LIC18" s="451">
        <f>60000000</f>
        <v>60000000</v>
      </c>
      <c r="LID18" s="459"/>
      <c r="LIE18" s="452"/>
      <c r="LIF18" s="450">
        <v>0</v>
      </c>
      <c r="LIG18" s="460"/>
      <c r="LIH18" s="450">
        <f>LIB18+LIE18</f>
        <v>62201294.850000001</v>
      </c>
      <c r="LII18" s="454">
        <f>+LIC18+LIF18</f>
        <v>60000000</v>
      </c>
      <c r="LIJ18" s="461"/>
      <c r="LIK18" s="450"/>
      <c r="LIL18" s="594">
        <f>(LIH18-LHZ18)/LHZ18</f>
        <v>0.13401162364699606</v>
      </c>
      <c r="LIM18" s="436" t="s">
        <v>141</v>
      </c>
      <c r="LIN18" s="448">
        <v>54850667.799999997</v>
      </c>
      <c r="LIO18" s="449"/>
      <c r="LIP18" s="448">
        <f>LIN18+LIO18</f>
        <v>54850667.799999997</v>
      </c>
      <c r="LIQ18" s="452"/>
      <c r="LIR18" s="452">
        <v>62201294.850000001</v>
      </c>
      <c r="LIS18" s="451">
        <f>60000000</f>
        <v>60000000</v>
      </c>
      <c r="LIT18" s="459"/>
      <c r="LIU18" s="452"/>
      <c r="LIV18" s="450">
        <v>0</v>
      </c>
      <c r="LIW18" s="460"/>
      <c r="LIX18" s="450">
        <f>LIR18+LIU18</f>
        <v>62201294.850000001</v>
      </c>
      <c r="LIY18" s="454">
        <f>+LIS18+LIV18</f>
        <v>60000000</v>
      </c>
      <c r="LIZ18" s="461"/>
      <c r="LJA18" s="450"/>
      <c r="LJB18" s="594">
        <f>(LIX18-LIP18)/LIP18</f>
        <v>0.13401162364699606</v>
      </c>
      <c r="LJC18" s="436" t="s">
        <v>141</v>
      </c>
      <c r="LJD18" s="448">
        <v>54850667.799999997</v>
      </c>
      <c r="LJE18" s="449"/>
      <c r="LJF18" s="448">
        <f>LJD18+LJE18</f>
        <v>54850667.799999997</v>
      </c>
      <c r="LJG18" s="452"/>
      <c r="LJH18" s="452">
        <v>62201294.850000001</v>
      </c>
      <c r="LJI18" s="451">
        <f>60000000</f>
        <v>60000000</v>
      </c>
      <c r="LJJ18" s="459"/>
      <c r="LJK18" s="452"/>
      <c r="LJL18" s="450">
        <v>0</v>
      </c>
      <c r="LJM18" s="460"/>
      <c r="LJN18" s="450">
        <f>LJH18+LJK18</f>
        <v>62201294.850000001</v>
      </c>
      <c r="LJO18" s="454">
        <f>+LJI18+LJL18</f>
        <v>60000000</v>
      </c>
      <c r="LJP18" s="461"/>
      <c r="LJQ18" s="450"/>
      <c r="LJR18" s="594">
        <f>(LJN18-LJF18)/LJF18</f>
        <v>0.13401162364699606</v>
      </c>
      <c r="LJS18" s="436" t="s">
        <v>141</v>
      </c>
      <c r="LJT18" s="448">
        <v>54850667.799999997</v>
      </c>
      <c r="LJU18" s="449"/>
      <c r="LJV18" s="448">
        <f>LJT18+LJU18</f>
        <v>54850667.799999997</v>
      </c>
      <c r="LJW18" s="452"/>
      <c r="LJX18" s="452">
        <v>62201294.850000001</v>
      </c>
      <c r="LJY18" s="451">
        <f>60000000</f>
        <v>60000000</v>
      </c>
      <c r="LJZ18" s="459"/>
      <c r="LKA18" s="452"/>
      <c r="LKB18" s="450">
        <v>0</v>
      </c>
      <c r="LKC18" s="460"/>
      <c r="LKD18" s="450">
        <f>LJX18+LKA18</f>
        <v>62201294.850000001</v>
      </c>
      <c r="LKE18" s="454">
        <f>+LJY18+LKB18</f>
        <v>60000000</v>
      </c>
      <c r="LKF18" s="461"/>
      <c r="LKG18" s="450"/>
      <c r="LKH18" s="594">
        <f>(LKD18-LJV18)/LJV18</f>
        <v>0.13401162364699606</v>
      </c>
      <c r="LKI18" s="436" t="s">
        <v>141</v>
      </c>
      <c r="LKJ18" s="448">
        <v>54850667.799999997</v>
      </c>
      <c r="LKK18" s="449"/>
      <c r="LKL18" s="448">
        <f>LKJ18+LKK18</f>
        <v>54850667.799999997</v>
      </c>
      <c r="LKM18" s="452"/>
      <c r="LKN18" s="452">
        <v>62201294.850000001</v>
      </c>
      <c r="LKO18" s="451">
        <f>60000000</f>
        <v>60000000</v>
      </c>
      <c r="LKP18" s="459"/>
      <c r="LKQ18" s="452"/>
      <c r="LKR18" s="450">
        <v>0</v>
      </c>
      <c r="LKS18" s="460"/>
      <c r="LKT18" s="450">
        <f>LKN18+LKQ18</f>
        <v>62201294.850000001</v>
      </c>
      <c r="LKU18" s="454">
        <f>+LKO18+LKR18</f>
        <v>60000000</v>
      </c>
      <c r="LKV18" s="461"/>
      <c r="LKW18" s="450"/>
      <c r="LKX18" s="594">
        <f>(LKT18-LKL18)/LKL18</f>
        <v>0.13401162364699606</v>
      </c>
      <c r="LKY18" s="436" t="s">
        <v>141</v>
      </c>
      <c r="LKZ18" s="448">
        <v>54850667.799999997</v>
      </c>
      <c r="LLA18" s="449"/>
      <c r="LLB18" s="448">
        <f>LKZ18+LLA18</f>
        <v>54850667.799999997</v>
      </c>
      <c r="LLC18" s="452"/>
      <c r="LLD18" s="452">
        <v>62201294.850000001</v>
      </c>
      <c r="LLE18" s="451">
        <f>60000000</f>
        <v>60000000</v>
      </c>
      <c r="LLF18" s="459"/>
      <c r="LLG18" s="452"/>
      <c r="LLH18" s="450">
        <v>0</v>
      </c>
      <c r="LLI18" s="460"/>
      <c r="LLJ18" s="450">
        <f>LLD18+LLG18</f>
        <v>62201294.850000001</v>
      </c>
      <c r="LLK18" s="454">
        <f>+LLE18+LLH18</f>
        <v>60000000</v>
      </c>
      <c r="LLL18" s="461"/>
      <c r="LLM18" s="450"/>
      <c r="LLN18" s="594">
        <f>(LLJ18-LLB18)/LLB18</f>
        <v>0.13401162364699606</v>
      </c>
      <c r="LLO18" s="436" t="s">
        <v>141</v>
      </c>
      <c r="LLP18" s="448">
        <v>54850667.799999997</v>
      </c>
      <c r="LLQ18" s="449"/>
      <c r="LLR18" s="448">
        <f>LLP18+LLQ18</f>
        <v>54850667.799999997</v>
      </c>
      <c r="LLS18" s="452"/>
      <c r="LLT18" s="452">
        <v>62201294.850000001</v>
      </c>
      <c r="LLU18" s="451">
        <f>60000000</f>
        <v>60000000</v>
      </c>
      <c r="LLV18" s="459"/>
      <c r="LLW18" s="452"/>
      <c r="LLX18" s="450">
        <v>0</v>
      </c>
      <c r="LLY18" s="460"/>
      <c r="LLZ18" s="450">
        <f>LLT18+LLW18</f>
        <v>62201294.850000001</v>
      </c>
      <c r="LMA18" s="454">
        <f>+LLU18+LLX18</f>
        <v>60000000</v>
      </c>
      <c r="LMB18" s="461"/>
      <c r="LMC18" s="450"/>
      <c r="LMD18" s="594">
        <f>(LLZ18-LLR18)/LLR18</f>
        <v>0.13401162364699606</v>
      </c>
      <c r="LME18" s="436" t="s">
        <v>141</v>
      </c>
      <c r="LMF18" s="448">
        <v>54850667.799999997</v>
      </c>
      <c r="LMG18" s="449"/>
      <c r="LMH18" s="448">
        <f>LMF18+LMG18</f>
        <v>54850667.799999997</v>
      </c>
      <c r="LMI18" s="452"/>
      <c r="LMJ18" s="452">
        <v>62201294.850000001</v>
      </c>
      <c r="LMK18" s="451">
        <f>60000000</f>
        <v>60000000</v>
      </c>
      <c r="LML18" s="459"/>
      <c r="LMM18" s="452"/>
      <c r="LMN18" s="450">
        <v>0</v>
      </c>
      <c r="LMO18" s="460"/>
      <c r="LMP18" s="450">
        <f>LMJ18+LMM18</f>
        <v>62201294.850000001</v>
      </c>
      <c r="LMQ18" s="454">
        <f>+LMK18+LMN18</f>
        <v>60000000</v>
      </c>
      <c r="LMR18" s="461"/>
      <c r="LMS18" s="450"/>
      <c r="LMT18" s="594">
        <f>(LMP18-LMH18)/LMH18</f>
        <v>0.13401162364699606</v>
      </c>
      <c r="LMU18" s="436" t="s">
        <v>141</v>
      </c>
      <c r="LMV18" s="448">
        <v>54850667.799999997</v>
      </c>
      <c r="LMW18" s="449"/>
      <c r="LMX18" s="448">
        <f>LMV18+LMW18</f>
        <v>54850667.799999997</v>
      </c>
      <c r="LMY18" s="452"/>
      <c r="LMZ18" s="452">
        <v>62201294.850000001</v>
      </c>
      <c r="LNA18" s="451">
        <f>60000000</f>
        <v>60000000</v>
      </c>
      <c r="LNB18" s="459"/>
      <c r="LNC18" s="452"/>
      <c r="LND18" s="450">
        <v>0</v>
      </c>
      <c r="LNE18" s="460"/>
      <c r="LNF18" s="450">
        <f>LMZ18+LNC18</f>
        <v>62201294.850000001</v>
      </c>
      <c r="LNG18" s="454">
        <f>+LNA18+LND18</f>
        <v>60000000</v>
      </c>
      <c r="LNH18" s="461"/>
      <c r="LNI18" s="450"/>
      <c r="LNJ18" s="594">
        <f>(LNF18-LMX18)/LMX18</f>
        <v>0.13401162364699606</v>
      </c>
      <c r="LNK18" s="436" t="s">
        <v>141</v>
      </c>
      <c r="LNL18" s="448">
        <v>54850667.799999997</v>
      </c>
      <c r="LNM18" s="449"/>
      <c r="LNN18" s="448">
        <f>LNL18+LNM18</f>
        <v>54850667.799999997</v>
      </c>
      <c r="LNO18" s="452"/>
      <c r="LNP18" s="452">
        <v>62201294.850000001</v>
      </c>
      <c r="LNQ18" s="451">
        <f>60000000</f>
        <v>60000000</v>
      </c>
      <c r="LNR18" s="459"/>
      <c r="LNS18" s="452"/>
      <c r="LNT18" s="450">
        <v>0</v>
      </c>
      <c r="LNU18" s="460"/>
      <c r="LNV18" s="450">
        <f>LNP18+LNS18</f>
        <v>62201294.850000001</v>
      </c>
      <c r="LNW18" s="454">
        <f>+LNQ18+LNT18</f>
        <v>60000000</v>
      </c>
      <c r="LNX18" s="461"/>
      <c r="LNY18" s="450"/>
      <c r="LNZ18" s="594">
        <f>(LNV18-LNN18)/LNN18</f>
        <v>0.13401162364699606</v>
      </c>
      <c r="LOA18" s="436" t="s">
        <v>141</v>
      </c>
      <c r="LOB18" s="448">
        <v>54850667.799999997</v>
      </c>
      <c r="LOC18" s="449"/>
      <c r="LOD18" s="448">
        <f>LOB18+LOC18</f>
        <v>54850667.799999997</v>
      </c>
      <c r="LOE18" s="452"/>
      <c r="LOF18" s="452">
        <v>62201294.850000001</v>
      </c>
      <c r="LOG18" s="451">
        <f>60000000</f>
        <v>60000000</v>
      </c>
      <c r="LOH18" s="459"/>
      <c r="LOI18" s="452"/>
      <c r="LOJ18" s="450">
        <v>0</v>
      </c>
      <c r="LOK18" s="460"/>
      <c r="LOL18" s="450">
        <f>LOF18+LOI18</f>
        <v>62201294.850000001</v>
      </c>
      <c r="LOM18" s="454">
        <f>+LOG18+LOJ18</f>
        <v>60000000</v>
      </c>
      <c r="LON18" s="461"/>
      <c r="LOO18" s="450"/>
      <c r="LOP18" s="594">
        <f>(LOL18-LOD18)/LOD18</f>
        <v>0.13401162364699606</v>
      </c>
      <c r="LOQ18" s="436" t="s">
        <v>141</v>
      </c>
      <c r="LOR18" s="448">
        <v>54850667.799999997</v>
      </c>
      <c r="LOS18" s="449"/>
      <c r="LOT18" s="448">
        <f>LOR18+LOS18</f>
        <v>54850667.799999997</v>
      </c>
      <c r="LOU18" s="452"/>
      <c r="LOV18" s="452">
        <v>62201294.850000001</v>
      </c>
      <c r="LOW18" s="451">
        <f>60000000</f>
        <v>60000000</v>
      </c>
      <c r="LOX18" s="459"/>
      <c r="LOY18" s="452"/>
      <c r="LOZ18" s="450">
        <v>0</v>
      </c>
      <c r="LPA18" s="460"/>
      <c r="LPB18" s="450">
        <f>LOV18+LOY18</f>
        <v>62201294.850000001</v>
      </c>
      <c r="LPC18" s="454">
        <f>+LOW18+LOZ18</f>
        <v>60000000</v>
      </c>
      <c r="LPD18" s="461"/>
      <c r="LPE18" s="450"/>
      <c r="LPF18" s="594">
        <f>(LPB18-LOT18)/LOT18</f>
        <v>0.13401162364699606</v>
      </c>
      <c r="LPG18" s="436" t="s">
        <v>141</v>
      </c>
      <c r="LPH18" s="448">
        <v>54850667.799999997</v>
      </c>
      <c r="LPI18" s="449"/>
      <c r="LPJ18" s="448">
        <f>LPH18+LPI18</f>
        <v>54850667.799999997</v>
      </c>
      <c r="LPK18" s="452"/>
      <c r="LPL18" s="452">
        <v>62201294.850000001</v>
      </c>
      <c r="LPM18" s="451">
        <f>60000000</f>
        <v>60000000</v>
      </c>
      <c r="LPN18" s="459"/>
      <c r="LPO18" s="452"/>
      <c r="LPP18" s="450">
        <v>0</v>
      </c>
      <c r="LPQ18" s="460"/>
      <c r="LPR18" s="450">
        <f>LPL18+LPO18</f>
        <v>62201294.850000001</v>
      </c>
      <c r="LPS18" s="454">
        <f>+LPM18+LPP18</f>
        <v>60000000</v>
      </c>
      <c r="LPT18" s="461"/>
      <c r="LPU18" s="450"/>
      <c r="LPV18" s="594">
        <f>(LPR18-LPJ18)/LPJ18</f>
        <v>0.13401162364699606</v>
      </c>
      <c r="LPW18" s="436" t="s">
        <v>141</v>
      </c>
      <c r="LPX18" s="448">
        <v>54850667.799999997</v>
      </c>
      <c r="LPY18" s="449"/>
      <c r="LPZ18" s="448">
        <f>LPX18+LPY18</f>
        <v>54850667.799999997</v>
      </c>
      <c r="LQA18" s="452"/>
      <c r="LQB18" s="452">
        <v>62201294.850000001</v>
      </c>
      <c r="LQC18" s="451">
        <f>60000000</f>
        <v>60000000</v>
      </c>
      <c r="LQD18" s="459"/>
      <c r="LQE18" s="452"/>
      <c r="LQF18" s="450">
        <v>0</v>
      </c>
      <c r="LQG18" s="460"/>
      <c r="LQH18" s="450">
        <f>LQB18+LQE18</f>
        <v>62201294.850000001</v>
      </c>
      <c r="LQI18" s="454">
        <f>+LQC18+LQF18</f>
        <v>60000000</v>
      </c>
      <c r="LQJ18" s="461"/>
      <c r="LQK18" s="450"/>
      <c r="LQL18" s="594">
        <f>(LQH18-LPZ18)/LPZ18</f>
        <v>0.13401162364699606</v>
      </c>
      <c r="LQM18" s="436" t="s">
        <v>141</v>
      </c>
      <c r="LQN18" s="448">
        <v>54850667.799999997</v>
      </c>
      <c r="LQO18" s="449"/>
      <c r="LQP18" s="448">
        <f>LQN18+LQO18</f>
        <v>54850667.799999997</v>
      </c>
      <c r="LQQ18" s="452"/>
      <c r="LQR18" s="452">
        <v>62201294.850000001</v>
      </c>
      <c r="LQS18" s="451">
        <f>60000000</f>
        <v>60000000</v>
      </c>
      <c r="LQT18" s="459"/>
      <c r="LQU18" s="452"/>
      <c r="LQV18" s="450">
        <v>0</v>
      </c>
      <c r="LQW18" s="460"/>
      <c r="LQX18" s="450">
        <f>LQR18+LQU18</f>
        <v>62201294.850000001</v>
      </c>
      <c r="LQY18" s="454">
        <f>+LQS18+LQV18</f>
        <v>60000000</v>
      </c>
      <c r="LQZ18" s="461"/>
      <c r="LRA18" s="450"/>
      <c r="LRB18" s="594">
        <f>(LQX18-LQP18)/LQP18</f>
        <v>0.13401162364699606</v>
      </c>
      <c r="LRC18" s="436" t="s">
        <v>141</v>
      </c>
      <c r="LRD18" s="448">
        <v>54850667.799999997</v>
      </c>
      <c r="LRE18" s="449"/>
      <c r="LRF18" s="448">
        <f>LRD18+LRE18</f>
        <v>54850667.799999997</v>
      </c>
      <c r="LRG18" s="452"/>
      <c r="LRH18" s="452">
        <v>62201294.850000001</v>
      </c>
      <c r="LRI18" s="451">
        <f>60000000</f>
        <v>60000000</v>
      </c>
      <c r="LRJ18" s="459"/>
      <c r="LRK18" s="452"/>
      <c r="LRL18" s="450">
        <v>0</v>
      </c>
      <c r="LRM18" s="460"/>
      <c r="LRN18" s="450">
        <f>LRH18+LRK18</f>
        <v>62201294.850000001</v>
      </c>
      <c r="LRO18" s="454">
        <f>+LRI18+LRL18</f>
        <v>60000000</v>
      </c>
      <c r="LRP18" s="461"/>
      <c r="LRQ18" s="450"/>
      <c r="LRR18" s="594">
        <f>(LRN18-LRF18)/LRF18</f>
        <v>0.13401162364699606</v>
      </c>
      <c r="LRS18" s="436" t="s">
        <v>141</v>
      </c>
      <c r="LRT18" s="448">
        <v>54850667.799999997</v>
      </c>
      <c r="LRU18" s="449"/>
      <c r="LRV18" s="448">
        <f>LRT18+LRU18</f>
        <v>54850667.799999997</v>
      </c>
      <c r="LRW18" s="452"/>
      <c r="LRX18" s="452">
        <v>62201294.850000001</v>
      </c>
      <c r="LRY18" s="451">
        <f>60000000</f>
        <v>60000000</v>
      </c>
      <c r="LRZ18" s="459"/>
      <c r="LSA18" s="452"/>
      <c r="LSB18" s="450">
        <v>0</v>
      </c>
      <c r="LSC18" s="460"/>
      <c r="LSD18" s="450">
        <f>LRX18+LSA18</f>
        <v>62201294.850000001</v>
      </c>
      <c r="LSE18" s="454">
        <f>+LRY18+LSB18</f>
        <v>60000000</v>
      </c>
      <c r="LSF18" s="461"/>
      <c r="LSG18" s="450"/>
      <c r="LSH18" s="594">
        <f>(LSD18-LRV18)/LRV18</f>
        <v>0.13401162364699606</v>
      </c>
      <c r="LSI18" s="436" t="s">
        <v>141</v>
      </c>
      <c r="LSJ18" s="448">
        <v>54850667.799999997</v>
      </c>
      <c r="LSK18" s="449"/>
      <c r="LSL18" s="448">
        <f>LSJ18+LSK18</f>
        <v>54850667.799999997</v>
      </c>
      <c r="LSM18" s="452"/>
      <c r="LSN18" s="452">
        <v>62201294.850000001</v>
      </c>
      <c r="LSO18" s="451">
        <f>60000000</f>
        <v>60000000</v>
      </c>
      <c r="LSP18" s="459"/>
      <c r="LSQ18" s="452"/>
      <c r="LSR18" s="450">
        <v>0</v>
      </c>
      <c r="LSS18" s="460"/>
      <c r="LST18" s="450">
        <f>LSN18+LSQ18</f>
        <v>62201294.850000001</v>
      </c>
      <c r="LSU18" s="454">
        <f>+LSO18+LSR18</f>
        <v>60000000</v>
      </c>
      <c r="LSV18" s="461"/>
      <c r="LSW18" s="450"/>
      <c r="LSX18" s="594">
        <f>(LST18-LSL18)/LSL18</f>
        <v>0.13401162364699606</v>
      </c>
      <c r="LSY18" s="436" t="s">
        <v>141</v>
      </c>
      <c r="LSZ18" s="448">
        <v>54850667.799999997</v>
      </c>
      <c r="LTA18" s="449"/>
      <c r="LTB18" s="448">
        <f>LSZ18+LTA18</f>
        <v>54850667.799999997</v>
      </c>
      <c r="LTC18" s="452"/>
      <c r="LTD18" s="452">
        <v>62201294.850000001</v>
      </c>
      <c r="LTE18" s="451">
        <f>60000000</f>
        <v>60000000</v>
      </c>
      <c r="LTF18" s="459"/>
      <c r="LTG18" s="452"/>
      <c r="LTH18" s="450">
        <v>0</v>
      </c>
      <c r="LTI18" s="460"/>
      <c r="LTJ18" s="450">
        <f>LTD18+LTG18</f>
        <v>62201294.850000001</v>
      </c>
      <c r="LTK18" s="454">
        <f>+LTE18+LTH18</f>
        <v>60000000</v>
      </c>
      <c r="LTL18" s="461"/>
      <c r="LTM18" s="450"/>
      <c r="LTN18" s="594">
        <f>(LTJ18-LTB18)/LTB18</f>
        <v>0.13401162364699606</v>
      </c>
      <c r="LTO18" s="436" t="s">
        <v>141</v>
      </c>
      <c r="LTP18" s="448">
        <v>54850667.799999997</v>
      </c>
      <c r="LTQ18" s="449"/>
      <c r="LTR18" s="448">
        <f>LTP18+LTQ18</f>
        <v>54850667.799999997</v>
      </c>
      <c r="LTS18" s="452"/>
      <c r="LTT18" s="452">
        <v>62201294.850000001</v>
      </c>
      <c r="LTU18" s="451">
        <f>60000000</f>
        <v>60000000</v>
      </c>
      <c r="LTV18" s="459"/>
      <c r="LTW18" s="452"/>
      <c r="LTX18" s="450">
        <v>0</v>
      </c>
      <c r="LTY18" s="460"/>
      <c r="LTZ18" s="450">
        <f>LTT18+LTW18</f>
        <v>62201294.850000001</v>
      </c>
      <c r="LUA18" s="454">
        <f>+LTU18+LTX18</f>
        <v>60000000</v>
      </c>
      <c r="LUB18" s="461"/>
      <c r="LUC18" s="450"/>
      <c r="LUD18" s="594">
        <f>(LTZ18-LTR18)/LTR18</f>
        <v>0.13401162364699606</v>
      </c>
      <c r="LUE18" s="436" t="s">
        <v>141</v>
      </c>
      <c r="LUF18" s="448">
        <v>54850667.799999997</v>
      </c>
      <c r="LUG18" s="449"/>
      <c r="LUH18" s="448">
        <f>LUF18+LUG18</f>
        <v>54850667.799999997</v>
      </c>
      <c r="LUI18" s="452"/>
      <c r="LUJ18" s="452">
        <v>62201294.850000001</v>
      </c>
      <c r="LUK18" s="451">
        <f>60000000</f>
        <v>60000000</v>
      </c>
      <c r="LUL18" s="459"/>
      <c r="LUM18" s="452"/>
      <c r="LUN18" s="450">
        <v>0</v>
      </c>
      <c r="LUO18" s="460"/>
      <c r="LUP18" s="450">
        <f>LUJ18+LUM18</f>
        <v>62201294.850000001</v>
      </c>
      <c r="LUQ18" s="454">
        <f>+LUK18+LUN18</f>
        <v>60000000</v>
      </c>
      <c r="LUR18" s="461"/>
      <c r="LUS18" s="450"/>
      <c r="LUT18" s="594">
        <f>(LUP18-LUH18)/LUH18</f>
        <v>0.13401162364699606</v>
      </c>
      <c r="LUU18" s="436" t="s">
        <v>141</v>
      </c>
      <c r="LUV18" s="448">
        <v>54850667.799999997</v>
      </c>
      <c r="LUW18" s="449"/>
      <c r="LUX18" s="448">
        <f>LUV18+LUW18</f>
        <v>54850667.799999997</v>
      </c>
      <c r="LUY18" s="452"/>
      <c r="LUZ18" s="452">
        <v>62201294.850000001</v>
      </c>
      <c r="LVA18" s="451">
        <f>60000000</f>
        <v>60000000</v>
      </c>
      <c r="LVB18" s="459"/>
      <c r="LVC18" s="452"/>
      <c r="LVD18" s="450">
        <v>0</v>
      </c>
      <c r="LVE18" s="460"/>
      <c r="LVF18" s="450">
        <f>LUZ18+LVC18</f>
        <v>62201294.850000001</v>
      </c>
      <c r="LVG18" s="454">
        <f>+LVA18+LVD18</f>
        <v>60000000</v>
      </c>
      <c r="LVH18" s="461"/>
      <c r="LVI18" s="450"/>
      <c r="LVJ18" s="594">
        <f>(LVF18-LUX18)/LUX18</f>
        <v>0.13401162364699606</v>
      </c>
      <c r="LVK18" s="436" t="s">
        <v>141</v>
      </c>
      <c r="LVL18" s="448">
        <v>54850667.799999997</v>
      </c>
      <c r="LVM18" s="449"/>
      <c r="LVN18" s="448">
        <f>LVL18+LVM18</f>
        <v>54850667.799999997</v>
      </c>
      <c r="LVO18" s="452"/>
      <c r="LVP18" s="452">
        <v>62201294.850000001</v>
      </c>
      <c r="LVQ18" s="451">
        <f>60000000</f>
        <v>60000000</v>
      </c>
      <c r="LVR18" s="459"/>
      <c r="LVS18" s="452"/>
      <c r="LVT18" s="450">
        <v>0</v>
      </c>
      <c r="LVU18" s="460"/>
      <c r="LVV18" s="450">
        <f>LVP18+LVS18</f>
        <v>62201294.850000001</v>
      </c>
      <c r="LVW18" s="454">
        <f>+LVQ18+LVT18</f>
        <v>60000000</v>
      </c>
      <c r="LVX18" s="461"/>
      <c r="LVY18" s="450"/>
      <c r="LVZ18" s="594">
        <f>(LVV18-LVN18)/LVN18</f>
        <v>0.13401162364699606</v>
      </c>
      <c r="LWA18" s="436" t="s">
        <v>141</v>
      </c>
      <c r="LWB18" s="448">
        <v>54850667.799999997</v>
      </c>
      <c r="LWC18" s="449"/>
      <c r="LWD18" s="448">
        <f>LWB18+LWC18</f>
        <v>54850667.799999997</v>
      </c>
      <c r="LWE18" s="452"/>
      <c r="LWF18" s="452">
        <v>62201294.850000001</v>
      </c>
      <c r="LWG18" s="451">
        <f>60000000</f>
        <v>60000000</v>
      </c>
      <c r="LWH18" s="459"/>
      <c r="LWI18" s="452"/>
      <c r="LWJ18" s="450">
        <v>0</v>
      </c>
      <c r="LWK18" s="460"/>
      <c r="LWL18" s="450">
        <f>LWF18+LWI18</f>
        <v>62201294.850000001</v>
      </c>
      <c r="LWM18" s="454">
        <f>+LWG18+LWJ18</f>
        <v>60000000</v>
      </c>
      <c r="LWN18" s="461"/>
      <c r="LWO18" s="450"/>
      <c r="LWP18" s="594">
        <f>(LWL18-LWD18)/LWD18</f>
        <v>0.13401162364699606</v>
      </c>
      <c r="LWQ18" s="436" t="s">
        <v>141</v>
      </c>
      <c r="LWR18" s="448">
        <v>54850667.799999997</v>
      </c>
      <c r="LWS18" s="449"/>
      <c r="LWT18" s="448">
        <f>LWR18+LWS18</f>
        <v>54850667.799999997</v>
      </c>
      <c r="LWU18" s="452"/>
      <c r="LWV18" s="452">
        <v>62201294.850000001</v>
      </c>
      <c r="LWW18" s="451">
        <f>60000000</f>
        <v>60000000</v>
      </c>
      <c r="LWX18" s="459"/>
      <c r="LWY18" s="452"/>
      <c r="LWZ18" s="450">
        <v>0</v>
      </c>
      <c r="LXA18" s="460"/>
      <c r="LXB18" s="450">
        <f>LWV18+LWY18</f>
        <v>62201294.850000001</v>
      </c>
      <c r="LXC18" s="454">
        <f>+LWW18+LWZ18</f>
        <v>60000000</v>
      </c>
      <c r="LXD18" s="461"/>
      <c r="LXE18" s="450"/>
      <c r="LXF18" s="594">
        <f>(LXB18-LWT18)/LWT18</f>
        <v>0.13401162364699606</v>
      </c>
      <c r="LXG18" s="436" t="s">
        <v>141</v>
      </c>
      <c r="LXH18" s="448">
        <v>54850667.799999997</v>
      </c>
      <c r="LXI18" s="449"/>
      <c r="LXJ18" s="448">
        <f>LXH18+LXI18</f>
        <v>54850667.799999997</v>
      </c>
      <c r="LXK18" s="452"/>
      <c r="LXL18" s="452">
        <v>62201294.850000001</v>
      </c>
      <c r="LXM18" s="451">
        <f>60000000</f>
        <v>60000000</v>
      </c>
      <c r="LXN18" s="459"/>
      <c r="LXO18" s="452"/>
      <c r="LXP18" s="450">
        <v>0</v>
      </c>
      <c r="LXQ18" s="460"/>
      <c r="LXR18" s="450">
        <f>LXL18+LXO18</f>
        <v>62201294.850000001</v>
      </c>
      <c r="LXS18" s="454">
        <f>+LXM18+LXP18</f>
        <v>60000000</v>
      </c>
      <c r="LXT18" s="461"/>
      <c r="LXU18" s="450"/>
      <c r="LXV18" s="594">
        <f>(LXR18-LXJ18)/LXJ18</f>
        <v>0.13401162364699606</v>
      </c>
      <c r="LXW18" s="436" t="s">
        <v>141</v>
      </c>
      <c r="LXX18" s="448">
        <v>54850667.799999997</v>
      </c>
      <c r="LXY18" s="449"/>
      <c r="LXZ18" s="448">
        <f>LXX18+LXY18</f>
        <v>54850667.799999997</v>
      </c>
      <c r="LYA18" s="452"/>
      <c r="LYB18" s="452">
        <v>62201294.850000001</v>
      </c>
      <c r="LYC18" s="451">
        <f>60000000</f>
        <v>60000000</v>
      </c>
      <c r="LYD18" s="459"/>
      <c r="LYE18" s="452"/>
      <c r="LYF18" s="450">
        <v>0</v>
      </c>
      <c r="LYG18" s="460"/>
      <c r="LYH18" s="450">
        <f>LYB18+LYE18</f>
        <v>62201294.850000001</v>
      </c>
      <c r="LYI18" s="454">
        <f>+LYC18+LYF18</f>
        <v>60000000</v>
      </c>
      <c r="LYJ18" s="461"/>
      <c r="LYK18" s="450"/>
      <c r="LYL18" s="594">
        <f>(LYH18-LXZ18)/LXZ18</f>
        <v>0.13401162364699606</v>
      </c>
      <c r="LYM18" s="436" t="s">
        <v>141</v>
      </c>
      <c r="LYN18" s="448">
        <v>54850667.799999997</v>
      </c>
      <c r="LYO18" s="449"/>
      <c r="LYP18" s="448">
        <f>LYN18+LYO18</f>
        <v>54850667.799999997</v>
      </c>
      <c r="LYQ18" s="452"/>
      <c r="LYR18" s="452">
        <v>62201294.850000001</v>
      </c>
      <c r="LYS18" s="451">
        <f>60000000</f>
        <v>60000000</v>
      </c>
      <c r="LYT18" s="459"/>
      <c r="LYU18" s="452"/>
      <c r="LYV18" s="450">
        <v>0</v>
      </c>
      <c r="LYW18" s="460"/>
      <c r="LYX18" s="450">
        <f>LYR18+LYU18</f>
        <v>62201294.850000001</v>
      </c>
      <c r="LYY18" s="454">
        <f>+LYS18+LYV18</f>
        <v>60000000</v>
      </c>
      <c r="LYZ18" s="461"/>
      <c r="LZA18" s="450"/>
      <c r="LZB18" s="594">
        <f>(LYX18-LYP18)/LYP18</f>
        <v>0.13401162364699606</v>
      </c>
      <c r="LZC18" s="436" t="s">
        <v>141</v>
      </c>
      <c r="LZD18" s="448">
        <v>54850667.799999997</v>
      </c>
      <c r="LZE18" s="449"/>
      <c r="LZF18" s="448">
        <f>LZD18+LZE18</f>
        <v>54850667.799999997</v>
      </c>
      <c r="LZG18" s="452"/>
      <c r="LZH18" s="452">
        <v>62201294.850000001</v>
      </c>
      <c r="LZI18" s="451">
        <f>60000000</f>
        <v>60000000</v>
      </c>
      <c r="LZJ18" s="459"/>
      <c r="LZK18" s="452"/>
      <c r="LZL18" s="450">
        <v>0</v>
      </c>
      <c r="LZM18" s="460"/>
      <c r="LZN18" s="450">
        <f>LZH18+LZK18</f>
        <v>62201294.850000001</v>
      </c>
      <c r="LZO18" s="454">
        <f>+LZI18+LZL18</f>
        <v>60000000</v>
      </c>
      <c r="LZP18" s="461"/>
      <c r="LZQ18" s="450"/>
      <c r="LZR18" s="594">
        <f>(LZN18-LZF18)/LZF18</f>
        <v>0.13401162364699606</v>
      </c>
      <c r="LZS18" s="436" t="s">
        <v>141</v>
      </c>
      <c r="LZT18" s="448">
        <v>54850667.799999997</v>
      </c>
      <c r="LZU18" s="449"/>
      <c r="LZV18" s="448">
        <f>LZT18+LZU18</f>
        <v>54850667.799999997</v>
      </c>
      <c r="LZW18" s="452"/>
      <c r="LZX18" s="452">
        <v>62201294.850000001</v>
      </c>
      <c r="LZY18" s="451">
        <f>60000000</f>
        <v>60000000</v>
      </c>
      <c r="LZZ18" s="459"/>
      <c r="MAA18" s="452"/>
      <c r="MAB18" s="450">
        <v>0</v>
      </c>
      <c r="MAC18" s="460"/>
      <c r="MAD18" s="450">
        <f>LZX18+MAA18</f>
        <v>62201294.850000001</v>
      </c>
      <c r="MAE18" s="454">
        <f>+LZY18+MAB18</f>
        <v>60000000</v>
      </c>
      <c r="MAF18" s="461"/>
      <c r="MAG18" s="450"/>
      <c r="MAH18" s="594">
        <f>(MAD18-LZV18)/LZV18</f>
        <v>0.13401162364699606</v>
      </c>
      <c r="MAI18" s="436" t="s">
        <v>141</v>
      </c>
      <c r="MAJ18" s="448">
        <v>54850667.799999997</v>
      </c>
      <c r="MAK18" s="449"/>
      <c r="MAL18" s="448">
        <f>MAJ18+MAK18</f>
        <v>54850667.799999997</v>
      </c>
      <c r="MAM18" s="452"/>
      <c r="MAN18" s="452">
        <v>62201294.850000001</v>
      </c>
      <c r="MAO18" s="451">
        <f>60000000</f>
        <v>60000000</v>
      </c>
      <c r="MAP18" s="459"/>
      <c r="MAQ18" s="452"/>
      <c r="MAR18" s="450">
        <v>0</v>
      </c>
      <c r="MAS18" s="460"/>
      <c r="MAT18" s="450">
        <f>MAN18+MAQ18</f>
        <v>62201294.850000001</v>
      </c>
      <c r="MAU18" s="454">
        <f>+MAO18+MAR18</f>
        <v>60000000</v>
      </c>
      <c r="MAV18" s="461"/>
      <c r="MAW18" s="450"/>
      <c r="MAX18" s="594">
        <f>(MAT18-MAL18)/MAL18</f>
        <v>0.13401162364699606</v>
      </c>
      <c r="MAY18" s="436" t="s">
        <v>141</v>
      </c>
      <c r="MAZ18" s="448">
        <v>54850667.799999997</v>
      </c>
      <c r="MBA18" s="449"/>
      <c r="MBB18" s="448">
        <f>MAZ18+MBA18</f>
        <v>54850667.799999997</v>
      </c>
      <c r="MBC18" s="452"/>
      <c r="MBD18" s="452">
        <v>62201294.850000001</v>
      </c>
      <c r="MBE18" s="451">
        <f>60000000</f>
        <v>60000000</v>
      </c>
      <c r="MBF18" s="459"/>
      <c r="MBG18" s="452"/>
      <c r="MBH18" s="450">
        <v>0</v>
      </c>
      <c r="MBI18" s="460"/>
      <c r="MBJ18" s="450">
        <f>MBD18+MBG18</f>
        <v>62201294.850000001</v>
      </c>
      <c r="MBK18" s="454">
        <f>+MBE18+MBH18</f>
        <v>60000000</v>
      </c>
      <c r="MBL18" s="461"/>
      <c r="MBM18" s="450"/>
      <c r="MBN18" s="594">
        <f>(MBJ18-MBB18)/MBB18</f>
        <v>0.13401162364699606</v>
      </c>
      <c r="MBO18" s="436" t="s">
        <v>141</v>
      </c>
      <c r="MBP18" s="448">
        <v>54850667.799999997</v>
      </c>
      <c r="MBQ18" s="449"/>
      <c r="MBR18" s="448">
        <f>MBP18+MBQ18</f>
        <v>54850667.799999997</v>
      </c>
      <c r="MBS18" s="452"/>
      <c r="MBT18" s="452">
        <v>62201294.850000001</v>
      </c>
      <c r="MBU18" s="451">
        <f>60000000</f>
        <v>60000000</v>
      </c>
      <c r="MBV18" s="459"/>
      <c r="MBW18" s="452"/>
      <c r="MBX18" s="450">
        <v>0</v>
      </c>
      <c r="MBY18" s="460"/>
      <c r="MBZ18" s="450">
        <f>MBT18+MBW18</f>
        <v>62201294.850000001</v>
      </c>
      <c r="MCA18" s="454">
        <f>+MBU18+MBX18</f>
        <v>60000000</v>
      </c>
      <c r="MCB18" s="461"/>
      <c r="MCC18" s="450"/>
      <c r="MCD18" s="594">
        <f>(MBZ18-MBR18)/MBR18</f>
        <v>0.13401162364699606</v>
      </c>
      <c r="MCE18" s="436" t="s">
        <v>141</v>
      </c>
      <c r="MCF18" s="448">
        <v>54850667.799999997</v>
      </c>
      <c r="MCG18" s="449"/>
      <c r="MCH18" s="448">
        <f>MCF18+MCG18</f>
        <v>54850667.799999997</v>
      </c>
      <c r="MCI18" s="452"/>
      <c r="MCJ18" s="452">
        <v>62201294.850000001</v>
      </c>
      <c r="MCK18" s="451">
        <f>60000000</f>
        <v>60000000</v>
      </c>
      <c r="MCL18" s="459"/>
      <c r="MCM18" s="452"/>
      <c r="MCN18" s="450">
        <v>0</v>
      </c>
      <c r="MCO18" s="460"/>
      <c r="MCP18" s="450">
        <f>MCJ18+MCM18</f>
        <v>62201294.850000001</v>
      </c>
      <c r="MCQ18" s="454">
        <f>+MCK18+MCN18</f>
        <v>60000000</v>
      </c>
      <c r="MCR18" s="461"/>
      <c r="MCS18" s="450"/>
      <c r="MCT18" s="594">
        <f>(MCP18-MCH18)/MCH18</f>
        <v>0.13401162364699606</v>
      </c>
      <c r="MCU18" s="436" t="s">
        <v>141</v>
      </c>
      <c r="MCV18" s="448">
        <v>54850667.799999997</v>
      </c>
      <c r="MCW18" s="449"/>
      <c r="MCX18" s="448">
        <f>MCV18+MCW18</f>
        <v>54850667.799999997</v>
      </c>
      <c r="MCY18" s="452"/>
      <c r="MCZ18" s="452">
        <v>62201294.850000001</v>
      </c>
      <c r="MDA18" s="451">
        <f>60000000</f>
        <v>60000000</v>
      </c>
      <c r="MDB18" s="459"/>
      <c r="MDC18" s="452"/>
      <c r="MDD18" s="450">
        <v>0</v>
      </c>
      <c r="MDE18" s="460"/>
      <c r="MDF18" s="450">
        <f>MCZ18+MDC18</f>
        <v>62201294.850000001</v>
      </c>
      <c r="MDG18" s="454">
        <f>+MDA18+MDD18</f>
        <v>60000000</v>
      </c>
      <c r="MDH18" s="461"/>
      <c r="MDI18" s="450"/>
      <c r="MDJ18" s="594">
        <f>(MDF18-MCX18)/MCX18</f>
        <v>0.13401162364699606</v>
      </c>
      <c r="MDK18" s="436" t="s">
        <v>141</v>
      </c>
      <c r="MDL18" s="448">
        <v>54850667.799999997</v>
      </c>
      <c r="MDM18" s="449"/>
      <c r="MDN18" s="448">
        <f>MDL18+MDM18</f>
        <v>54850667.799999997</v>
      </c>
      <c r="MDO18" s="452"/>
      <c r="MDP18" s="452">
        <v>62201294.850000001</v>
      </c>
      <c r="MDQ18" s="451">
        <f>60000000</f>
        <v>60000000</v>
      </c>
      <c r="MDR18" s="459"/>
      <c r="MDS18" s="452"/>
      <c r="MDT18" s="450">
        <v>0</v>
      </c>
      <c r="MDU18" s="460"/>
      <c r="MDV18" s="450">
        <f>MDP18+MDS18</f>
        <v>62201294.850000001</v>
      </c>
      <c r="MDW18" s="454">
        <f>+MDQ18+MDT18</f>
        <v>60000000</v>
      </c>
      <c r="MDX18" s="461"/>
      <c r="MDY18" s="450"/>
      <c r="MDZ18" s="594">
        <f>(MDV18-MDN18)/MDN18</f>
        <v>0.13401162364699606</v>
      </c>
      <c r="MEA18" s="436" t="s">
        <v>141</v>
      </c>
      <c r="MEB18" s="448">
        <v>54850667.799999997</v>
      </c>
      <c r="MEC18" s="449"/>
      <c r="MED18" s="448">
        <f>MEB18+MEC18</f>
        <v>54850667.799999997</v>
      </c>
      <c r="MEE18" s="452"/>
      <c r="MEF18" s="452">
        <v>62201294.850000001</v>
      </c>
      <c r="MEG18" s="451">
        <f>60000000</f>
        <v>60000000</v>
      </c>
      <c r="MEH18" s="459"/>
      <c r="MEI18" s="452"/>
      <c r="MEJ18" s="450">
        <v>0</v>
      </c>
      <c r="MEK18" s="460"/>
      <c r="MEL18" s="450">
        <f>MEF18+MEI18</f>
        <v>62201294.850000001</v>
      </c>
      <c r="MEM18" s="454">
        <f>+MEG18+MEJ18</f>
        <v>60000000</v>
      </c>
      <c r="MEN18" s="461"/>
      <c r="MEO18" s="450"/>
      <c r="MEP18" s="594">
        <f>(MEL18-MED18)/MED18</f>
        <v>0.13401162364699606</v>
      </c>
      <c r="MEQ18" s="436" t="s">
        <v>141</v>
      </c>
      <c r="MER18" s="448">
        <v>54850667.799999997</v>
      </c>
      <c r="MES18" s="449"/>
      <c r="MET18" s="448">
        <f>MER18+MES18</f>
        <v>54850667.799999997</v>
      </c>
      <c r="MEU18" s="452"/>
      <c r="MEV18" s="452">
        <v>62201294.850000001</v>
      </c>
      <c r="MEW18" s="451">
        <f>60000000</f>
        <v>60000000</v>
      </c>
      <c r="MEX18" s="459"/>
      <c r="MEY18" s="452"/>
      <c r="MEZ18" s="450">
        <v>0</v>
      </c>
      <c r="MFA18" s="460"/>
      <c r="MFB18" s="450">
        <f>MEV18+MEY18</f>
        <v>62201294.850000001</v>
      </c>
      <c r="MFC18" s="454">
        <f>+MEW18+MEZ18</f>
        <v>60000000</v>
      </c>
      <c r="MFD18" s="461"/>
      <c r="MFE18" s="450"/>
      <c r="MFF18" s="594">
        <f>(MFB18-MET18)/MET18</f>
        <v>0.13401162364699606</v>
      </c>
      <c r="MFG18" s="436" t="s">
        <v>141</v>
      </c>
      <c r="MFH18" s="448">
        <v>54850667.799999997</v>
      </c>
      <c r="MFI18" s="449"/>
      <c r="MFJ18" s="448">
        <f>MFH18+MFI18</f>
        <v>54850667.799999997</v>
      </c>
      <c r="MFK18" s="452"/>
      <c r="MFL18" s="452">
        <v>62201294.850000001</v>
      </c>
      <c r="MFM18" s="451">
        <f>60000000</f>
        <v>60000000</v>
      </c>
      <c r="MFN18" s="459"/>
      <c r="MFO18" s="452"/>
      <c r="MFP18" s="450">
        <v>0</v>
      </c>
      <c r="MFQ18" s="460"/>
      <c r="MFR18" s="450">
        <f>MFL18+MFO18</f>
        <v>62201294.850000001</v>
      </c>
      <c r="MFS18" s="454">
        <f>+MFM18+MFP18</f>
        <v>60000000</v>
      </c>
      <c r="MFT18" s="461"/>
      <c r="MFU18" s="450"/>
      <c r="MFV18" s="594">
        <f>(MFR18-MFJ18)/MFJ18</f>
        <v>0.13401162364699606</v>
      </c>
      <c r="MFW18" s="436" t="s">
        <v>141</v>
      </c>
      <c r="MFX18" s="448">
        <v>54850667.799999997</v>
      </c>
      <c r="MFY18" s="449"/>
      <c r="MFZ18" s="448">
        <f>MFX18+MFY18</f>
        <v>54850667.799999997</v>
      </c>
      <c r="MGA18" s="452"/>
      <c r="MGB18" s="452">
        <v>62201294.850000001</v>
      </c>
      <c r="MGC18" s="451">
        <f>60000000</f>
        <v>60000000</v>
      </c>
      <c r="MGD18" s="459"/>
      <c r="MGE18" s="452"/>
      <c r="MGF18" s="450">
        <v>0</v>
      </c>
      <c r="MGG18" s="460"/>
      <c r="MGH18" s="450">
        <f>MGB18+MGE18</f>
        <v>62201294.850000001</v>
      </c>
      <c r="MGI18" s="454">
        <f>+MGC18+MGF18</f>
        <v>60000000</v>
      </c>
      <c r="MGJ18" s="461"/>
      <c r="MGK18" s="450"/>
      <c r="MGL18" s="594">
        <f>(MGH18-MFZ18)/MFZ18</f>
        <v>0.13401162364699606</v>
      </c>
      <c r="MGM18" s="436" t="s">
        <v>141</v>
      </c>
      <c r="MGN18" s="448">
        <v>54850667.799999997</v>
      </c>
      <c r="MGO18" s="449"/>
      <c r="MGP18" s="448">
        <f>MGN18+MGO18</f>
        <v>54850667.799999997</v>
      </c>
      <c r="MGQ18" s="452"/>
      <c r="MGR18" s="452">
        <v>62201294.850000001</v>
      </c>
      <c r="MGS18" s="451">
        <f>60000000</f>
        <v>60000000</v>
      </c>
      <c r="MGT18" s="459"/>
      <c r="MGU18" s="452"/>
      <c r="MGV18" s="450">
        <v>0</v>
      </c>
      <c r="MGW18" s="460"/>
      <c r="MGX18" s="450">
        <f>MGR18+MGU18</f>
        <v>62201294.850000001</v>
      </c>
      <c r="MGY18" s="454">
        <f>+MGS18+MGV18</f>
        <v>60000000</v>
      </c>
      <c r="MGZ18" s="461"/>
      <c r="MHA18" s="450"/>
      <c r="MHB18" s="594">
        <f>(MGX18-MGP18)/MGP18</f>
        <v>0.13401162364699606</v>
      </c>
      <c r="MHC18" s="436" t="s">
        <v>141</v>
      </c>
      <c r="MHD18" s="448">
        <v>54850667.799999997</v>
      </c>
      <c r="MHE18" s="449"/>
      <c r="MHF18" s="448">
        <f>MHD18+MHE18</f>
        <v>54850667.799999997</v>
      </c>
      <c r="MHG18" s="452"/>
      <c r="MHH18" s="452">
        <v>62201294.850000001</v>
      </c>
      <c r="MHI18" s="451">
        <f>60000000</f>
        <v>60000000</v>
      </c>
      <c r="MHJ18" s="459"/>
      <c r="MHK18" s="452"/>
      <c r="MHL18" s="450">
        <v>0</v>
      </c>
      <c r="MHM18" s="460"/>
      <c r="MHN18" s="450">
        <f>MHH18+MHK18</f>
        <v>62201294.850000001</v>
      </c>
      <c r="MHO18" s="454">
        <f>+MHI18+MHL18</f>
        <v>60000000</v>
      </c>
      <c r="MHP18" s="461"/>
      <c r="MHQ18" s="450"/>
      <c r="MHR18" s="594">
        <f>(MHN18-MHF18)/MHF18</f>
        <v>0.13401162364699606</v>
      </c>
      <c r="MHS18" s="436" t="s">
        <v>141</v>
      </c>
      <c r="MHT18" s="448">
        <v>54850667.799999997</v>
      </c>
      <c r="MHU18" s="449"/>
      <c r="MHV18" s="448">
        <f>MHT18+MHU18</f>
        <v>54850667.799999997</v>
      </c>
      <c r="MHW18" s="452"/>
      <c r="MHX18" s="452">
        <v>62201294.850000001</v>
      </c>
      <c r="MHY18" s="451">
        <f>60000000</f>
        <v>60000000</v>
      </c>
      <c r="MHZ18" s="459"/>
      <c r="MIA18" s="452"/>
      <c r="MIB18" s="450">
        <v>0</v>
      </c>
      <c r="MIC18" s="460"/>
      <c r="MID18" s="450">
        <f>MHX18+MIA18</f>
        <v>62201294.850000001</v>
      </c>
      <c r="MIE18" s="454">
        <f>+MHY18+MIB18</f>
        <v>60000000</v>
      </c>
      <c r="MIF18" s="461"/>
      <c r="MIG18" s="450"/>
      <c r="MIH18" s="594">
        <f>(MID18-MHV18)/MHV18</f>
        <v>0.13401162364699606</v>
      </c>
      <c r="MII18" s="436" t="s">
        <v>141</v>
      </c>
      <c r="MIJ18" s="448">
        <v>54850667.799999997</v>
      </c>
      <c r="MIK18" s="449"/>
      <c r="MIL18" s="448">
        <f>MIJ18+MIK18</f>
        <v>54850667.799999997</v>
      </c>
      <c r="MIM18" s="452"/>
      <c r="MIN18" s="452">
        <v>62201294.850000001</v>
      </c>
      <c r="MIO18" s="451">
        <f>60000000</f>
        <v>60000000</v>
      </c>
      <c r="MIP18" s="459"/>
      <c r="MIQ18" s="452"/>
      <c r="MIR18" s="450">
        <v>0</v>
      </c>
      <c r="MIS18" s="460"/>
      <c r="MIT18" s="450">
        <f>MIN18+MIQ18</f>
        <v>62201294.850000001</v>
      </c>
      <c r="MIU18" s="454">
        <f>+MIO18+MIR18</f>
        <v>60000000</v>
      </c>
      <c r="MIV18" s="461"/>
      <c r="MIW18" s="450"/>
      <c r="MIX18" s="594">
        <f>(MIT18-MIL18)/MIL18</f>
        <v>0.13401162364699606</v>
      </c>
      <c r="MIY18" s="436" t="s">
        <v>141</v>
      </c>
      <c r="MIZ18" s="448">
        <v>54850667.799999997</v>
      </c>
      <c r="MJA18" s="449"/>
      <c r="MJB18" s="448">
        <f>MIZ18+MJA18</f>
        <v>54850667.799999997</v>
      </c>
      <c r="MJC18" s="452"/>
      <c r="MJD18" s="452">
        <v>62201294.850000001</v>
      </c>
      <c r="MJE18" s="451">
        <f>60000000</f>
        <v>60000000</v>
      </c>
      <c r="MJF18" s="459"/>
      <c r="MJG18" s="452"/>
      <c r="MJH18" s="450">
        <v>0</v>
      </c>
      <c r="MJI18" s="460"/>
      <c r="MJJ18" s="450">
        <f>MJD18+MJG18</f>
        <v>62201294.850000001</v>
      </c>
      <c r="MJK18" s="454">
        <f>+MJE18+MJH18</f>
        <v>60000000</v>
      </c>
      <c r="MJL18" s="461"/>
      <c r="MJM18" s="450"/>
      <c r="MJN18" s="594">
        <f>(MJJ18-MJB18)/MJB18</f>
        <v>0.13401162364699606</v>
      </c>
      <c r="MJO18" s="436" t="s">
        <v>141</v>
      </c>
      <c r="MJP18" s="448">
        <v>54850667.799999997</v>
      </c>
      <c r="MJQ18" s="449"/>
      <c r="MJR18" s="448">
        <f>MJP18+MJQ18</f>
        <v>54850667.799999997</v>
      </c>
      <c r="MJS18" s="452"/>
      <c r="MJT18" s="452">
        <v>62201294.850000001</v>
      </c>
      <c r="MJU18" s="451">
        <f>60000000</f>
        <v>60000000</v>
      </c>
      <c r="MJV18" s="459"/>
      <c r="MJW18" s="452"/>
      <c r="MJX18" s="450">
        <v>0</v>
      </c>
      <c r="MJY18" s="460"/>
      <c r="MJZ18" s="450">
        <f>MJT18+MJW18</f>
        <v>62201294.850000001</v>
      </c>
      <c r="MKA18" s="454">
        <f>+MJU18+MJX18</f>
        <v>60000000</v>
      </c>
      <c r="MKB18" s="461"/>
      <c r="MKC18" s="450"/>
      <c r="MKD18" s="594">
        <f>(MJZ18-MJR18)/MJR18</f>
        <v>0.13401162364699606</v>
      </c>
      <c r="MKE18" s="436" t="s">
        <v>141</v>
      </c>
      <c r="MKF18" s="448">
        <v>54850667.799999997</v>
      </c>
      <c r="MKG18" s="449"/>
      <c r="MKH18" s="448">
        <f>MKF18+MKG18</f>
        <v>54850667.799999997</v>
      </c>
      <c r="MKI18" s="452"/>
      <c r="MKJ18" s="452">
        <v>62201294.850000001</v>
      </c>
      <c r="MKK18" s="451">
        <f>60000000</f>
        <v>60000000</v>
      </c>
      <c r="MKL18" s="459"/>
      <c r="MKM18" s="452"/>
      <c r="MKN18" s="450">
        <v>0</v>
      </c>
      <c r="MKO18" s="460"/>
      <c r="MKP18" s="450">
        <f>MKJ18+MKM18</f>
        <v>62201294.850000001</v>
      </c>
      <c r="MKQ18" s="454">
        <f>+MKK18+MKN18</f>
        <v>60000000</v>
      </c>
      <c r="MKR18" s="461"/>
      <c r="MKS18" s="450"/>
      <c r="MKT18" s="594">
        <f>(MKP18-MKH18)/MKH18</f>
        <v>0.13401162364699606</v>
      </c>
      <c r="MKU18" s="436" t="s">
        <v>141</v>
      </c>
      <c r="MKV18" s="448">
        <v>54850667.799999997</v>
      </c>
      <c r="MKW18" s="449"/>
      <c r="MKX18" s="448">
        <f>MKV18+MKW18</f>
        <v>54850667.799999997</v>
      </c>
      <c r="MKY18" s="452"/>
      <c r="MKZ18" s="452">
        <v>62201294.850000001</v>
      </c>
      <c r="MLA18" s="451">
        <f>60000000</f>
        <v>60000000</v>
      </c>
      <c r="MLB18" s="459"/>
      <c r="MLC18" s="452"/>
      <c r="MLD18" s="450">
        <v>0</v>
      </c>
      <c r="MLE18" s="460"/>
      <c r="MLF18" s="450">
        <f>MKZ18+MLC18</f>
        <v>62201294.850000001</v>
      </c>
      <c r="MLG18" s="454">
        <f>+MLA18+MLD18</f>
        <v>60000000</v>
      </c>
      <c r="MLH18" s="461"/>
      <c r="MLI18" s="450"/>
      <c r="MLJ18" s="594">
        <f>(MLF18-MKX18)/MKX18</f>
        <v>0.13401162364699606</v>
      </c>
      <c r="MLK18" s="436" t="s">
        <v>141</v>
      </c>
      <c r="MLL18" s="448">
        <v>54850667.799999997</v>
      </c>
      <c r="MLM18" s="449"/>
      <c r="MLN18" s="448">
        <f>MLL18+MLM18</f>
        <v>54850667.799999997</v>
      </c>
      <c r="MLO18" s="452"/>
      <c r="MLP18" s="452">
        <v>62201294.850000001</v>
      </c>
      <c r="MLQ18" s="451">
        <f>60000000</f>
        <v>60000000</v>
      </c>
      <c r="MLR18" s="459"/>
      <c r="MLS18" s="452"/>
      <c r="MLT18" s="450">
        <v>0</v>
      </c>
      <c r="MLU18" s="460"/>
      <c r="MLV18" s="450">
        <f>MLP18+MLS18</f>
        <v>62201294.850000001</v>
      </c>
      <c r="MLW18" s="454">
        <f>+MLQ18+MLT18</f>
        <v>60000000</v>
      </c>
      <c r="MLX18" s="461"/>
      <c r="MLY18" s="450"/>
      <c r="MLZ18" s="594">
        <f>(MLV18-MLN18)/MLN18</f>
        <v>0.13401162364699606</v>
      </c>
      <c r="MMA18" s="436" t="s">
        <v>141</v>
      </c>
      <c r="MMB18" s="448">
        <v>54850667.799999997</v>
      </c>
      <c r="MMC18" s="449"/>
      <c r="MMD18" s="448">
        <f>MMB18+MMC18</f>
        <v>54850667.799999997</v>
      </c>
      <c r="MME18" s="452"/>
      <c r="MMF18" s="452">
        <v>62201294.850000001</v>
      </c>
      <c r="MMG18" s="451">
        <f>60000000</f>
        <v>60000000</v>
      </c>
      <c r="MMH18" s="459"/>
      <c r="MMI18" s="452"/>
      <c r="MMJ18" s="450">
        <v>0</v>
      </c>
      <c r="MMK18" s="460"/>
      <c r="MML18" s="450">
        <f>MMF18+MMI18</f>
        <v>62201294.850000001</v>
      </c>
      <c r="MMM18" s="454">
        <f>+MMG18+MMJ18</f>
        <v>60000000</v>
      </c>
      <c r="MMN18" s="461"/>
      <c r="MMO18" s="450"/>
      <c r="MMP18" s="594">
        <f>(MML18-MMD18)/MMD18</f>
        <v>0.13401162364699606</v>
      </c>
      <c r="MMQ18" s="436" t="s">
        <v>141</v>
      </c>
      <c r="MMR18" s="448">
        <v>54850667.799999997</v>
      </c>
      <c r="MMS18" s="449"/>
      <c r="MMT18" s="448">
        <f>MMR18+MMS18</f>
        <v>54850667.799999997</v>
      </c>
      <c r="MMU18" s="452"/>
      <c r="MMV18" s="452">
        <v>62201294.850000001</v>
      </c>
      <c r="MMW18" s="451">
        <f>60000000</f>
        <v>60000000</v>
      </c>
      <c r="MMX18" s="459"/>
      <c r="MMY18" s="452"/>
      <c r="MMZ18" s="450">
        <v>0</v>
      </c>
      <c r="MNA18" s="460"/>
      <c r="MNB18" s="450">
        <f>MMV18+MMY18</f>
        <v>62201294.850000001</v>
      </c>
      <c r="MNC18" s="454">
        <f>+MMW18+MMZ18</f>
        <v>60000000</v>
      </c>
      <c r="MND18" s="461"/>
      <c r="MNE18" s="450"/>
      <c r="MNF18" s="594">
        <f>(MNB18-MMT18)/MMT18</f>
        <v>0.13401162364699606</v>
      </c>
      <c r="MNG18" s="436" t="s">
        <v>141</v>
      </c>
      <c r="MNH18" s="448">
        <v>54850667.799999997</v>
      </c>
      <c r="MNI18" s="449"/>
      <c r="MNJ18" s="448">
        <f>MNH18+MNI18</f>
        <v>54850667.799999997</v>
      </c>
      <c r="MNK18" s="452"/>
      <c r="MNL18" s="452">
        <v>62201294.850000001</v>
      </c>
      <c r="MNM18" s="451">
        <f>60000000</f>
        <v>60000000</v>
      </c>
      <c r="MNN18" s="459"/>
      <c r="MNO18" s="452"/>
      <c r="MNP18" s="450">
        <v>0</v>
      </c>
      <c r="MNQ18" s="460"/>
      <c r="MNR18" s="450">
        <f>MNL18+MNO18</f>
        <v>62201294.850000001</v>
      </c>
      <c r="MNS18" s="454">
        <f>+MNM18+MNP18</f>
        <v>60000000</v>
      </c>
      <c r="MNT18" s="461"/>
      <c r="MNU18" s="450"/>
      <c r="MNV18" s="594">
        <f>(MNR18-MNJ18)/MNJ18</f>
        <v>0.13401162364699606</v>
      </c>
      <c r="MNW18" s="436" t="s">
        <v>141</v>
      </c>
      <c r="MNX18" s="448">
        <v>54850667.799999997</v>
      </c>
      <c r="MNY18" s="449"/>
      <c r="MNZ18" s="448">
        <f>MNX18+MNY18</f>
        <v>54850667.799999997</v>
      </c>
      <c r="MOA18" s="452"/>
      <c r="MOB18" s="452">
        <v>62201294.850000001</v>
      </c>
      <c r="MOC18" s="451">
        <f>60000000</f>
        <v>60000000</v>
      </c>
      <c r="MOD18" s="459"/>
      <c r="MOE18" s="452"/>
      <c r="MOF18" s="450">
        <v>0</v>
      </c>
      <c r="MOG18" s="460"/>
      <c r="MOH18" s="450">
        <f>MOB18+MOE18</f>
        <v>62201294.850000001</v>
      </c>
      <c r="MOI18" s="454">
        <f>+MOC18+MOF18</f>
        <v>60000000</v>
      </c>
      <c r="MOJ18" s="461"/>
      <c r="MOK18" s="450"/>
      <c r="MOL18" s="594">
        <f>(MOH18-MNZ18)/MNZ18</f>
        <v>0.13401162364699606</v>
      </c>
      <c r="MOM18" s="436" t="s">
        <v>141</v>
      </c>
      <c r="MON18" s="448">
        <v>54850667.799999997</v>
      </c>
      <c r="MOO18" s="449"/>
      <c r="MOP18" s="448">
        <f>MON18+MOO18</f>
        <v>54850667.799999997</v>
      </c>
      <c r="MOQ18" s="452"/>
      <c r="MOR18" s="452">
        <v>62201294.850000001</v>
      </c>
      <c r="MOS18" s="451">
        <f>60000000</f>
        <v>60000000</v>
      </c>
      <c r="MOT18" s="459"/>
      <c r="MOU18" s="452"/>
      <c r="MOV18" s="450">
        <v>0</v>
      </c>
      <c r="MOW18" s="460"/>
      <c r="MOX18" s="450">
        <f>MOR18+MOU18</f>
        <v>62201294.850000001</v>
      </c>
      <c r="MOY18" s="454">
        <f>+MOS18+MOV18</f>
        <v>60000000</v>
      </c>
      <c r="MOZ18" s="461"/>
      <c r="MPA18" s="450"/>
      <c r="MPB18" s="594">
        <f>(MOX18-MOP18)/MOP18</f>
        <v>0.13401162364699606</v>
      </c>
      <c r="MPC18" s="436" t="s">
        <v>141</v>
      </c>
      <c r="MPD18" s="448">
        <v>54850667.799999997</v>
      </c>
      <c r="MPE18" s="449"/>
      <c r="MPF18" s="448">
        <f>MPD18+MPE18</f>
        <v>54850667.799999997</v>
      </c>
      <c r="MPG18" s="452"/>
      <c r="MPH18" s="452">
        <v>62201294.850000001</v>
      </c>
      <c r="MPI18" s="451">
        <f>60000000</f>
        <v>60000000</v>
      </c>
      <c r="MPJ18" s="459"/>
      <c r="MPK18" s="452"/>
      <c r="MPL18" s="450">
        <v>0</v>
      </c>
      <c r="MPM18" s="460"/>
      <c r="MPN18" s="450">
        <f>MPH18+MPK18</f>
        <v>62201294.850000001</v>
      </c>
      <c r="MPO18" s="454">
        <f>+MPI18+MPL18</f>
        <v>60000000</v>
      </c>
      <c r="MPP18" s="461"/>
      <c r="MPQ18" s="450"/>
      <c r="MPR18" s="594">
        <f>(MPN18-MPF18)/MPF18</f>
        <v>0.13401162364699606</v>
      </c>
      <c r="MPS18" s="436" t="s">
        <v>141</v>
      </c>
      <c r="MPT18" s="448">
        <v>54850667.799999997</v>
      </c>
      <c r="MPU18" s="449"/>
      <c r="MPV18" s="448">
        <f>MPT18+MPU18</f>
        <v>54850667.799999997</v>
      </c>
      <c r="MPW18" s="452"/>
      <c r="MPX18" s="452">
        <v>62201294.850000001</v>
      </c>
      <c r="MPY18" s="451">
        <f>60000000</f>
        <v>60000000</v>
      </c>
      <c r="MPZ18" s="459"/>
      <c r="MQA18" s="452"/>
      <c r="MQB18" s="450">
        <v>0</v>
      </c>
      <c r="MQC18" s="460"/>
      <c r="MQD18" s="450">
        <f>MPX18+MQA18</f>
        <v>62201294.850000001</v>
      </c>
      <c r="MQE18" s="454">
        <f>+MPY18+MQB18</f>
        <v>60000000</v>
      </c>
      <c r="MQF18" s="461"/>
      <c r="MQG18" s="450"/>
      <c r="MQH18" s="594">
        <f>(MQD18-MPV18)/MPV18</f>
        <v>0.13401162364699606</v>
      </c>
      <c r="MQI18" s="436" t="s">
        <v>141</v>
      </c>
      <c r="MQJ18" s="448">
        <v>54850667.799999997</v>
      </c>
      <c r="MQK18" s="449"/>
      <c r="MQL18" s="448">
        <f>MQJ18+MQK18</f>
        <v>54850667.799999997</v>
      </c>
      <c r="MQM18" s="452"/>
      <c r="MQN18" s="452">
        <v>62201294.850000001</v>
      </c>
      <c r="MQO18" s="451">
        <f>60000000</f>
        <v>60000000</v>
      </c>
      <c r="MQP18" s="459"/>
      <c r="MQQ18" s="452"/>
      <c r="MQR18" s="450">
        <v>0</v>
      </c>
      <c r="MQS18" s="460"/>
      <c r="MQT18" s="450">
        <f>MQN18+MQQ18</f>
        <v>62201294.850000001</v>
      </c>
      <c r="MQU18" s="454">
        <f>+MQO18+MQR18</f>
        <v>60000000</v>
      </c>
      <c r="MQV18" s="461"/>
      <c r="MQW18" s="450"/>
      <c r="MQX18" s="594">
        <f>(MQT18-MQL18)/MQL18</f>
        <v>0.13401162364699606</v>
      </c>
      <c r="MQY18" s="436" t="s">
        <v>141</v>
      </c>
      <c r="MQZ18" s="448">
        <v>54850667.799999997</v>
      </c>
      <c r="MRA18" s="449"/>
      <c r="MRB18" s="448">
        <f>MQZ18+MRA18</f>
        <v>54850667.799999997</v>
      </c>
      <c r="MRC18" s="452"/>
      <c r="MRD18" s="452">
        <v>62201294.850000001</v>
      </c>
      <c r="MRE18" s="451">
        <f>60000000</f>
        <v>60000000</v>
      </c>
      <c r="MRF18" s="459"/>
      <c r="MRG18" s="452"/>
      <c r="MRH18" s="450">
        <v>0</v>
      </c>
      <c r="MRI18" s="460"/>
      <c r="MRJ18" s="450">
        <f>MRD18+MRG18</f>
        <v>62201294.850000001</v>
      </c>
      <c r="MRK18" s="454">
        <f>+MRE18+MRH18</f>
        <v>60000000</v>
      </c>
      <c r="MRL18" s="461"/>
      <c r="MRM18" s="450"/>
      <c r="MRN18" s="594">
        <f>(MRJ18-MRB18)/MRB18</f>
        <v>0.13401162364699606</v>
      </c>
      <c r="MRO18" s="436" t="s">
        <v>141</v>
      </c>
      <c r="MRP18" s="448">
        <v>54850667.799999997</v>
      </c>
      <c r="MRQ18" s="449"/>
      <c r="MRR18" s="448">
        <f>MRP18+MRQ18</f>
        <v>54850667.799999997</v>
      </c>
      <c r="MRS18" s="452"/>
      <c r="MRT18" s="452">
        <v>62201294.850000001</v>
      </c>
      <c r="MRU18" s="451">
        <f>60000000</f>
        <v>60000000</v>
      </c>
      <c r="MRV18" s="459"/>
      <c r="MRW18" s="452"/>
      <c r="MRX18" s="450">
        <v>0</v>
      </c>
      <c r="MRY18" s="460"/>
      <c r="MRZ18" s="450">
        <f>MRT18+MRW18</f>
        <v>62201294.850000001</v>
      </c>
      <c r="MSA18" s="454">
        <f>+MRU18+MRX18</f>
        <v>60000000</v>
      </c>
      <c r="MSB18" s="461"/>
      <c r="MSC18" s="450"/>
      <c r="MSD18" s="594">
        <f>(MRZ18-MRR18)/MRR18</f>
        <v>0.13401162364699606</v>
      </c>
      <c r="MSE18" s="436" t="s">
        <v>141</v>
      </c>
      <c r="MSF18" s="448">
        <v>54850667.799999997</v>
      </c>
      <c r="MSG18" s="449"/>
      <c r="MSH18" s="448">
        <f>MSF18+MSG18</f>
        <v>54850667.799999997</v>
      </c>
      <c r="MSI18" s="452"/>
      <c r="MSJ18" s="452">
        <v>62201294.850000001</v>
      </c>
      <c r="MSK18" s="451">
        <f>60000000</f>
        <v>60000000</v>
      </c>
      <c r="MSL18" s="459"/>
      <c r="MSM18" s="452"/>
      <c r="MSN18" s="450">
        <v>0</v>
      </c>
      <c r="MSO18" s="460"/>
      <c r="MSP18" s="450">
        <f>MSJ18+MSM18</f>
        <v>62201294.850000001</v>
      </c>
      <c r="MSQ18" s="454">
        <f>+MSK18+MSN18</f>
        <v>60000000</v>
      </c>
      <c r="MSR18" s="461"/>
      <c r="MSS18" s="450"/>
      <c r="MST18" s="594">
        <f>(MSP18-MSH18)/MSH18</f>
        <v>0.13401162364699606</v>
      </c>
      <c r="MSU18" s="436" t="s">
        <v>141</v>
      </c>
      <c r="MSV18" s="448">
        <v>54850667.799999997</v>
      </c>
      <c r="MSW18" s="449"/>
      <c r="MSX18" s="448">
        <f>MSV18+MSW18</f>
        <v>54850667.799999997</v>
      </c>
      <c r="MSY18" s="452"/>
      <c r="MSZ18" s="452">
        <v>62201294.850000001</v>
      </c>
      <c r="MTA18" s="451">
        <f>60000000</f>
        <v>60000000</v>
      </c>
      <c r="MTB18" s="459"/>
      <c r="MTC18" s="452"/>
      <c r="MTD18" s="450">
        <v>0</v>
      </c>
      <c r="MTE18" s="460"/>
      <c r="MTF18" s="450">
        <f>MSZ18+MTC18</f>
        <v>62201294.850000001</v>
      </c>
      <c r="MTG18" s="454">
        <f>+MTA18+MTD18</f>
        <v>60000000</v>
      </c>
      <c r="MTH18" s="461"/>
      <c r="MTI18" s="450"/>
      <c r="MTJ18" s="594">
        <f>(MTF18-MSX18)/MSX18</f>
        <v>0.13401162364699606</v>
      </c>
      <c r="MTK18" s="436" t="s">
        <v>141</v>
      </c>
      <c r="MTL18" s="448">
        <v>54850667.799999997</v>
      </c>
      <c r="MTM18" s="449"/>
      <c r="MTN18" s="448">
        <f>MTL18+MTM18</f>
        <v>54850667.799999997</v>
      </c>
      <c r="MTO18" s="452"/>
      <c r="MTP18" s="452">
        <v>62201294.850000001</v>
      </c>
      <c r="MTQ18" s="451">
        <f>60000000</f>
        <v>60000000</v>
      </c>
      <c r="MTR18" s="459"/>
      <c r="MTS18" s="452"/>
      <c r="MTT18" s="450">
        <v>0</v>
      </c>
      <c r="MTU18" s="460"/>
      <c r="MTV18" s="450">
        <f>MTP18+MTS18</f>
        <v>62201294.850000001</v>
      </c>
      <c r="MTW18" s="454">
        <f>+MTQ18+MTT18</f>
        <v>60000000</v>
      </c>
      <c r="MTX18" s="461"/>
      <c r="MTY18" s="450"/>
      <c r="MTZ18" s="594">
        <f>(MTV18-MTN18)/MTN18</f>
        <v>0.13401162364699606</v>
      </c>
      <c r="MUA18" s="436" t="s">
        <v>141</v>
      </c>
      <c r="MUB18" s="448">
        <v>54850667.799999997</v>
      </c>
      <c r="MUC18" s="449"/>
      <c r="MUD18" s="448">
        <f>MUB18+MUC18</f>
        <v>54850667.799999997</v>
      </c>
      <c r="MUE18" s="452"/>
      <c r="MUF18" s="452">
        <v>62201294.850000001</v>
      </c>
      <c r="MUG18" s="451">
        <f>60000000</f>
        <v>60000000</v>
      </c>
      <c r="MUH18" s="459"/>
      <c r="MUI18" s="452"/>
      <c r="MUJ18" s="450">
        <v>0</v>
      </c>
      <c r="MUK18" s="460"/>
      <c r="MUL18" s="450">
        <f>MUF18+MUI18</f>
        <v>62201294.850000001</v>
      </c>
      <c r="MUM18" s="454">
        <f>+MUG18+MUJ18</f>
        <v>60000000</v>
      </c>
      <c r="MUN18" s="461"/>
      <c r="MUO18" s="450"/>
      <c r="MUP18" s="594">
        <f>(MUL18-MUD18)/MUD18</f>
        <v>0.13401162364699606</v>
      </c>
      <c r="MUQ18" s="436" t="s">
        <v>141</v>
      </c>
      <c r="MUR18" s="448">
        <v>54850667.799999997</v>
      </c>
      <c r="MUS18" s="449"/>
      <c r="MUT18" s="448">
        <f>MUR18+MUS18</f>
        <v>54850667.799999997</v>
      </c>
      <c r="MUU18" s="452"/>
      <c r="MUV18" s="452">
        <v>62201294.850000001</v>
      </c>
      <c r="MUW18" s="451">
        <f>60000000</f>
        <v>60000000</v>
      </c>
      <c r="MUX18" s="459"/>
      <c r="MUY18" s="452"/>
      <c r="MUZ18" s="450">
        <v>0</v>
      </c>
      <c r="MVA18" s="460"/>
      <c r="MVB18" s="450">
        <f>MUV18+MUY18</f>
        <v>62201294.850000001</v>
      </c>
      <c r="MVC18" s="454">
        <f>+MUW18+MUZ18</f>
        <v>60000000</v>
      </c>
      <c r="MVD18" s="461"/>
      <c r="MVE18" s="450"/>
      <c r="MVF18" s="594">
        <f>(MVB18-MUT18)/MUT18</f>
        <v>0.13401162364699606</v>
      </c>
      <c r="MVG18" s="436" t="s">
        <v>141</v>
      </c>
      <c r="MVH18" s="448">
        <v>54850667.799999997</v>
      </c>
      <c r="MVI18" s="449"/>
      <c r="MVJ18" s="448">
        <f>MVH18+MVI18</f>
        <v>54850667.799999997</v>
      </c>
      <c r="MVK18" s="452"/>
      <c r="MVL18" s="452">
        <v>62201294.850000001</v>
      </c>
      <c r="MVM18" s="451">
        <f>60000000</f>
        <v>60000000</v>
      </c>
      <c r="MVN18" s="459"/>
      <c r="MVO18" s="452"/>
      <c r="MVP18" s="450">
        <v>0</v>
      </c>
      <c r="MVQ18" s="460"/>
      <c r="MVR18" s="450">
        <f>MVL18+MVO18</f>
        <v>62201294.850000001</v>
      </c>
      <c r="MVS18" s="454">
        <f>+MVM18+MVP18</f>
        <v>60000000</v>
      </c>
      <c r="MVT18" s="461"/>
      <c r="MVU18" s="450"/>
      <c r="MVV18" s="594">
        <f>(MVR18-MVJ18)/MVJ18</f>
        <v>0.13401162364699606</v>
      </c>
      <c r="MVW18" s="436" t="s">
        <v>141</v>
      </c>
      <c r="MVX18" s="448">
        <v>54850667.799999997</v>
      </c>
      <c r="MVY18" s="449"/>
      <c r="MVZ18" s="448">
        <f>MVX18+MVY18</f>
        <v>54850667.799999997</v>
      </c>
      <c r="MWA18" s="452"/>
      <c r="MWB18" s="452">
        <v>62201294.850000001</v>
      </c>
      <c r="MWC18" s="451">
        <f>60000000</f>
        <v>60000000</v>
      </c>
      <c r="MWD18" s="459"/>
      <c r="MWE18" s="452"/>
      <c r="MWF18" s="450">
        <v>0</v>
      </c>
      <c r="MWG18" s="460"/>
      <c r="MWH18" s="450">
        <f>MWB18+MWE18</f>
        <v>62201294.850000001</v>
      </c>
      <c r="MWI18" s="454">
        <f>+MWC18+MWF18</f>
        <v>60000000</v>
      </c>
      <c r="MWJ18" s="461"/>
      <c r="MWK18" s="450"/>
      <c r="MWL18" s="594">
        <f>(MWH18-MVZ18)/MVZ18</f>
        <v>0.13401162364699606</v>
      </c>
      <c r="MWM18" s="436" t="s">
        <v>141</v>
      </c>
      <c r="MWN18" s="448">
        <v>54850667.799999997</v>
      </c>
      <c r="MWO18" s="449"/>
      <c r="MWP18" s="448">
        <f>MWN18+MWO18</f>
        <v>54850667.799999997</v>
      </c>
      <c r="MWQ18" s="452"/>
      <c r="MWR18" s="452">
        <v>62201294.850000001</v>
      </c>
      <c r="MWS18" s="451">
        <f>60000000</f>
        <v>60000000</v>
      </c>
      <c r="MWT18" s="459"/>
      <c r="MWU18" s="452"/>
      <c r="MWV18" s="450">
        <v>0</v>
      </c>
      <c r="MWW18" s="460"/>
      <c r="MWX18" s="450">
        <f>MWR18+MWU18</f>
        <v>62201294.850000001</v>
      </c>
      <c r="MWY18" s="454">
        <f>+MWS18+MWV18</f>
        <v>60000000</v>
      </c>
      <c r="MWZ18" s="461"/>
      <c r="MXA18" s="450"/>
      <c r="MXB18" s="594">
        <f>(MWX18-MWP18)/MWP18</f>
        <v>0.13401162364699606</v>
      </c>
      <c r="MXC18" s="436" t="s">
        <v>141</v>
      </c>
      <c r="MXD18" s="448">
        <v>54850667.799999997</v>
      </c>
      <c r="MXE18" s="449"/>
      <c r="MXF18" s="448">
        <f>MXD18+MXE18</f>
        <v>54850667.799999997</v>
      </c>
      <c r="MXG18" s="452"/>
      <c r="MXH18" s="452">
        <v>62201294.850000001</v>
      </c>
      <c r="MXI18" s="451">
        <f>60000000</f>
        <v>60000000</v>
      </c>
      <c r="MXJ18" s="459"/>
      <c r="MXK18" s="452"/>
      <c r="MXL18" s="450">
        <v>0</v>
      </c>
      <c r="MXM18" s="460"/>
      <c r="MXN18" s="450">
        <f>MXH18+MXK18</f>
        <v>62201294.850000001</v>
      </c>
      <c r="MXO18" s="454">
        <f>+MXI18+MXL18</f>
        <v>60000000</v>
      </c>
      <c r="MXP18" s="461"/>
      <c r="MXQ18" s="450"/>
      <c r="MXR18" s="594">
        <f>(MXN18-MXF18)/MXF18</f>
        <v>0.13401162364699606</v>
      </c>
      <c r="MXS18" s="436" t="s">
        <v>141</v>
      </c>
      <c r="MXT18" s="448">
        <v>54850667.799999997</v>
      </c>
      <c r="MXU18" s="449"/>
      <c r="MXV18" s="448">
        <f>MXT18+MXU18</f>
        <v>54850667.799999997</v>
      </c>
      <c r="MXW18" s="452"/>
      <c r="MXX18" s="452">
        <v>62201294.850000001</v>
      </c>
      <c r="MXY18" s="451">
        <f>60000000</f>
        <v>60000000</v>
      </c>
      <c r="MXZ18" s="459"/>
      <c r="MYA18" s="452"/>
      <c r="MYB18" s="450">
        <v>0</v>
      </c>
      <c r="MYC18" s="460"/>
      <c r="MYD18" s="450">
        <f>MXX18+MYA18</f>
        <v>62201294.850000001</v>
      </c>
      <c r="MYE18" s="454">
        <f>+MXY18+MYB18</f>
        <v>60000000</v>
      </c>
      <c r="MYF18" s="461"/>
      <c r="MYG18" s="450"/>
      <c r="MYH18" s="594">
        <f>(MYD18-MXV18)/MXV18</f>
        <v>0.13401162364699606</v>
      </c>
      <c r="MYI18" s="436" t="s">
        <v>141</v>
      </c>
      <c r="MYJ18" s="448">
        <v>54850667.799999997</v>
      </c>
      <c r="MYK18" s="449"/>
      <c r="MYL18" s="448">
        <f>MYJ18+MYK18</f>
        <v>54850667.799999997</v>
      </c>
      <c r="MYM18" s="452"/>
      <c r="MYN18" s="452">
        <v>62201294.850000001</v>
      </c>
      <c r="MYO18" s="451">
        <f>60000000</f>
        <v>60000000</v>
      </c>
      <c r="MYP18" s="459"/>
      <c r="MYQ18" s="452"/>
      <c r="MYR18" s="450">
        <v>0</v>
      </c>
      <c r="MYS18" s="460"/>
      <c r="MYT18" s="450">
        <f>MYN18+MYQ18</f>
        <v>62201294.850000001</v>
      </c>
      <c r="MYU18" s="454">
        <f>+MYO18+MYR18</f>
        <v>60000000</v>
      </c>
      <c r="MYV18" s="461"/>
      <c r="MYW18" s="450"/>
      <c r="MYX18" s="594">
        <f>(MYT18-MYL18)/MYL18</f>
        <v>0.13401162364699606</v>
      </c>
      <c r="MYY18" s="436" t="s">
        <v>141</v>
      </c>
      <c r="MYZ18" s="448">
        <v>54850667.799999997</v>
      </c>
      <c r="MZA18" s="449"/>
      <c r="MZB18" s="448">
        <f>MYZ18+MZA18</f>
        <v>54850667.799999997</v>
      </c>
      <c r="MZC18" s="452"/>
      <c r="MZD18" s="452">
        <v>62201294.850000001</v>
      </c>
      <c r="MZE18" s="451">
        <f>60000000</f>
        <v>60000000</v>
      </c>
      <c r="MZF18" s="459"/>
      <c r="MZG18" s="452"/>
      <c r="MZH18" s="450">
        <v>0</v>
      </c>
      <c r="MZI18" s="460"/>
      <c r="MZJ18" s="450">
        <f>MZD18+MZG18</f>
        <v>62201294.850000001</v>
      </c>
      <c r="MZK18" s="454">
        <f>+MZE18+MZH18</f>
        <v>60000000</v>
      </c>
      <c r="MZL18" s="461"/>
      <c r="MZM18" s="450"/>
      <c r="MZN18" s="594">
        <f>(MZJ18-MZB18)/MZB18</f>
        <v>0.13401162364699606</v>
      </c>
      <c r="MZO18" s="436" t="s">
        <v>141</v>
      </c>
      <c r="MZP18" s="448">
        <v>54850667.799999997</v>
      </c>
      <c r="MZQ18" s="449"/>
      <c r="MZR18" s="448">
        <f>MZP18+MZQ18</f>
        <v>54850667.799999997</v>
      </c>
      <c r="MZS18" s="452"/>
      <c r="MZT18" s="452">
        <v>62201294.850000001</v>
      </c>
      <c r="MZU18" s="451">
        <f>60000000</f>
        <v>60000000</v>
      </c>
      <c r="MZV18" s="459"/>
      <c r="MZW18" s="452"/>
      <c r="MZX18" s="450">
        <v>0</v>
      </c>
      <c r="MZY18" s="460"/>
      <c r="MZZ18" s="450">
        <f>MZT18+MZW18</f>
        <v>62201294.850000001</v>
      </c>
      <c r="NAA18" s="454">
        <f>+MZU18+MZX18</f>
        <v>60000000</v>
      </c>
      <c r="NAB18" s="461"/>
      <c r="NAC18" s="450"/>
      <c r="NAD18" s="594">
        <f>(MZZ18-MZR18)/MZR18</f>
        <v>0.13401162364699606</v>
      </c>
      <c r="NAE18" s="436" t="s">
        <v>141</v>
      </c>
      <c r="NAF18" s="448">
        <v>54850667.799999997</v>
      </c>
      <c r="NAG18" s="449"/>
      <c r="NAH18" s="448">
        <f>NAF18+NAG18</f>
        <v>54850667.799999997</v>
      </c>
      <c r="NAI18" s="452"/>
      <c r="NAJ18" s="452">
        <v>62201294.850000001</v>
      </c>
      <c r="NAK18" s="451">
        <f>60000000</f>
        <v>60000000</v>
      </c>
      <c r="NAL18" s="459"/>
      <c r="NAM18" s="452"/>
      <c r="NAN18" s="450">
        <v>0</v>
      </c>
      <c r="NAO18" s="460"/>
      <c r="NAP18" s="450">
        <f>NAJ18+NAM18</f>
        <v>62201294.850000001</v>
      </c>
      <c r="NAQ18" s="454">
        <f>+NAK18+NAN18</f>
        <v>60000000</v>
      </c>
      <c r="NAR18" s="461"/>
      <c r="NAS18" s="450"/>
      <c r="NAT18" s="594">
        <f>(NAP18-NAH18)/NAH18</f>
        <v>0.13401162364699606</v>
      </c>
      <c r="NAU18" s="436" t="s">
        <v>141</v>
      </c>
      <c r="NAV18" s="448">
        <v>54850667.799999997</v>
      </c>
      <c r="NAW18" s="449"/>
      <c r="NAX18" s="448">
        <f>NAV18+NAW18</f>
        <v>54850667.799999997</v>
      </c>
      <c r="NAY18" s="452"/>
      <c r="NAZ18" s="452">
        <v>62201294.850000001</v>
      </c>
      <c r="NBA18" s="451">
        <f>60000000</f>
        <v>60000000</v>
      </c>
      <c r="NBB18" s="459"/>
      <c r="NBC18" s="452"/>
      <c r="NBD18" s="450">
        <v>0</v>
      </c>
      <c r="NBE18" s="460"/>
      <c r="NBF18" s="450">
        <f>NAZ18+NBC18</f>
        <v>62201294.850000001</v>
      </c>
      <c r="NBG18" s="454">
        <f>+NBA18+NBD18</f>
        <v>60000000</v>
      </c>
      <c r="NBH18" s="461"/>
      <c r="NBI18" s="450"/>
      <c r="NBJ18" s="594">
        <f>(NBF18-NAX18)/NAX18</f>
        <v>0.13401162364699606</v>
      </c>
      <c r="NBK18" s="436" t="s">
        <v>141</v>
      </c>
      <c r="NBL18" s="448">
        <v>54850667.799999997</v>
      </c>
      <c r="NBM18" s="449"/>
      <c r="NBN18" s="448">
        <f>NBL18+NBM18</f>
        <v>54850667.799999997</v>
      </c>
      <c r="NBO18" s="452"/>
      <c r="NBP18" s="452">
        <v>62201294.850000001</v>
      </c>
      <c r="NBQ18" s="451">
        <f>60000000</f>
        <v>60000000</v>
      </c>
      <c r="NBR18" s="459"/>
      <c r="NBS18" s="452"/>
      <c r="NBT18" s="450">
        <v>0</v>
      </c>
      <c r="NBU18" s="460"/>
      <c r="NBV18" s="450">
        <f>NBP18+NBS18</f>
        <v>62201294.850000001</v>
      </c>
      <c r="NBW18" s="454">
        <f>+NBQ18+NBT18</f>
        <v>60000000</v>
      </c>
      <c r="NBX18" s="461"/>
      <c r="NBY18" s="450"/>
      <c r="NBZ18" s="594">
        <f>(NBV18-NBN18)/NBN18</f>
        <v>0.13401162364699606</v>
      </c>
      <c r="NCA18" s="436" t="s">
        <v>141</v>
      </c>
      <c r="NCB18" s="448">
        <v>54850667.799999997</v>
      </c>
      <c r="NCC18" s="449"/>
      <c r="NCD18" s="448">
        <f>NCB18+NCC18</f>
        <v>54850667.799999997</v>
      </c>
      <c r="NCE18" s="452"/>
      <c r="NCF18" s="452">
        <v>62201294.850000001</v>
      </c>
      <c r="NCG18" s="451">
        <f>60000000</f>
        <v>60000000</v>
      </c>
      <c r="NCH18" s="459"/>
      <c r="NCI18" s="452"/>
      <c r="NCJ18" s="450">
        <v>0</v>
      </c>
      <c r="NCK18" s="460"/>
      <c r="NCL18" s="450">
        <f>NCF18+NCI18</f>
        <v>62201294.850000001</v>
      </c>
      <c r="NCM18" s="454">
        <f>+NCG18+NCJ18</f>
        <v>60000000</v>
      </c>
      <c r="NCN18" s="461"/>
      <c r="NCO18" s="450"/>
      <c r="NCP18" s="594">
        <f>(NCL18-NCD18)/NCD18</f>
        <v>0.13401162364699606</v>
      </c>
      <c r="NCQ18" s="436" t="s">
        <v>141</v>
      </c>
      <c r="NCR18" s="448">
        <v>54850667.799999997</v>
      </c>
      <c r="NCS18" s="449"/>
      <c r="NCT18" s="448">
        <f>NCR18+NCS18</f>
        <v>54850667.799999997</v>
      </c>
      <c r="NCU18" s="452"/>
      <c r="NCV18" s="452">
        <v>62201294.850000001</v>
      </c>
      <c r="NCW18" s="451">
        <f>60000000</f>
        <v>60000000</v>
      </c>
      <c r="NCX18" s="459"/>
      <c r="NCY18" s="452"/>
      <c r="NCZ18" s="450">
        <v>0</v>
      </c>
      <c r="NDA18" s="460"/>
      <c r="NDB18" s="450">
        <f>NCV18+NCY18</f>
        <v>62201294.850000001</v>
      </c>
      <c r="NDC18" s="454">
        <f>+NCW18+NCZ18</f>
        <v>60000000</v>
      </c>
      <c r="NDD18" s="461"/>
      <c r="NDE18" s="450"/>
      <c r="NDF18" s="594">
        <f>(NDB18-NCT18)/NCT18</f>
        <v>0.13401162364699606</v>
      </c>
      <c r="NDG18" s="436" t="s">
        <v>141</v>
      </c>
      <c r="NDH18" s="448">
        <v>54850667.799999997</v>
      </c>
      <c r="NDI18" s="449"/>
      <c r="NDJ18" s="448">
        <f>NDH18+NDI18</f>
        <v>54850667.799999997</v>
      </c>
      <c r="NDK18" s="452"/>
      <c r="NDL18" s="452">
        <v>62201294.850000001</v>
      </c>
      <c r="NDM18" s="451">
        <f>60000000</f>
        <v>60000000</v>
      </c>
      <c r="NDN18" s="459"/>
      <c r="NDO18" s="452"/>
      <c r="NDP18" s="450">
        <v>0</v>
      </c>
      <c r="NDQ18" s="460"/>
      <c r="NDR18" s="450">
        <f>NDL18+NDO18</f>
        <v>62201294.850000001</v>
      </c>
      <c r="NDS18" s="454">
        <f>+NDM18+NDP18</f>
        <v>60000000</v>
      </c>
      <c r="NDT18" s="461"/>
      <c r="NDU18" s="450"/>
      <c r="NDV18" s="594">
        <f>(NDR18-NDJ18)/NDJ18</f>
        <v>0.13401162364699606</v>
      </c>
      <c r="NDW18" s="436" t="s">
        <v>141</v>
      </c>
      <c r="NDX18" s="448">
        <v>54850667.799999997</v>
      </c>
      <c r="NDY18" s="449"/>
      <c r="NDZ18" s="448">
        <f>NDX18+NDY18</f>
        <v>54850667.799999997</v>
      </c>
      <c r="NEA18" s="452"/>
      <c r="NEB18" s="452">
        <v>62201294.850000001</v>
      </c>
      <c r="NEC18" s="451">
        <f>60000000</f>
        <v>60000000</v>
      </c>
      <c r="NED18" s="459"/>
      <c r="NEE18" s="452"/>
      <c r="NEF18" s="450">
        <v>0</v>
      </c>
      <c r="NEG18" s="460"/>
      <c r="NEH18" s="450">
        <f>NEB18+NEE18</f>
        <v>62201294.850000001</v>
      </c>
      <c r="NEI18" s="454">
        <f>+NEC18+NEF18</f>
        <v>60000000</v>
      </c>
      <c r="NEJ18" s="461"/>
      <c r="NEK18" s="450"/>
      <c r="NEL18" s="594">
        <f>(NEH18-NDZ18)/NDZ18</f>
        <v>0.13401162364699606</v>
      </c>
      <c r="NEM18" s="436" t="s">
        <v>141</v>
      </c>
      <c r="NEN18" s="448">
        <v>54850667.799999997</v>
      </c>
      <c r="NEO18" s="449"/>
      <c r="NEP18" s="448">
        <f>NEN18+NEO18</f>
        <v>54850667.799999997</v>
      </c>
      <c r="NEQ18" s="452"/>
      <c r="NER18" s="452">
        <v>62201294.850000001</v>
      </c>
      <c r="NES18" s="451">
        <f>60000000</f>
        <v>60000000</v>
      </c>
      <c r="NET18" s="459"/>
      <c r="NEU18" s="452"/>
      <c r="NEV18" s="450">
        <v>0</v>
      </c>
      <c r="NEW18" s="460"/>
      <c r="NEX18" s="450">
        <f>NER18+NEU18</f>
        <v>62201294.850000001</v>
      </c>
      <c r="NEY18" s="454">
        <f>+NES18+NEV18</f>
        <v>60000000</v>
      </c>
      <c r="NEZ18" s="461"/>
      <c r="NFA18" s="450"/>
      <c r="NFB18" s="594">
        <f>(NEX18-NEP18)/NEP18</f>
        <v>0.13401162364699606</v>
      </c>
      <c r="NFC18" s="436" t="s">
        <v>141</v>
      </c>
      <c r="NFD18" s="448">
        <v>54850667.799999997</v>
      </c>
      <c r="NFE18" s="449"/>
      <c r="NFF18" s="448">
        <f>NFD18+NFE18</f>
        <v>54850667.799999997</v>
      </c>
      <c r="NFG18" s="452"/>
      <c r="NFH18" s="452">
        <v>62201294.850000001</v>
      </c>
      <c r="NFI18" s="451">
        <f>60000000</f>
        <v>60000000</v>
      </c>
      <c r="NFJ18" s="459"/>
      <c r="NFK18" s="452"/>
      <c r="NFL18" s="450">
        <v>0</v>
      </c>
      <c r="NFM18" s="460"/>
      <c r="NFN18" s="450">
        <f>NFH18+NFK18</f>
        <v>62201294.850000001</v>
      </c>
      <c r="NFO18" s="454">
        <f>+NFI18+NFL18</f>
        <v>60000000</v>
      </c>
      <c r="NFP18" s="461"/>
      <c r="NFQ18" s="450"/>
      <c r="NFR18" s="594">
        <f>(NFN18-NFF18)/NFF18</f>
        <v>0.13401162364699606</v>
      </c>
      <c r="NFS18" s="436" t="s">
        <v>141</v>
      </c>
      <c r="NFT18" s="448">
        <v>54850667.799999997</v>
      </c>
      <c r="NFU18" s="449"/>
      <c r="NFV18" s="448">
        <f>NFT18+NFU18</f>
        <v>54850667.799999997</v>
      </c>
      <c r="NFW18" s="452"/>
      <c r="NFX18" s="452">
        <v>62201294.850000001</v>
      </c>
      <c r="NFY18" s="451">
        <f>60000000</f>
        <v>60000000</v>
      </c>
      <c r="NFZ18" s="459"/>
      <c r="NGA18" s="452"/>
      <c r="NGB18" s="450">
        <v>0</v>
      </c>
      <c r="NGC18" s="460"/>
      <c r="NGD18" s="450">
        <f>NFX18+NGA18</f>
        <v>62201294.850000001</v>
      </c>
      <c r="NGE18" s="454">
        <f>+NFY18+NGB18</f>
        <v>60000000</v>
      </c>
      <c r="NGF18" s="461"/>
      <c r="NGG18" s="450"/>
      <c r="NGH18" s="594">
        <f>(NGD18-NFV18)/NFV18</f>
        <v>0.13401162364699606</v>
      </c>
      <c r="NGI18" s="436" t="s">
        <v>141</v>
      </c>
      <c r="NGJ18" s="448">
        <v>54850667.799999997</v>
      </c>
      <c r="NGK18" s="449"/>
      <c r="NGL18" s="448">
        <f>NGJ18+NGK18</f>
        <v>54850667.799999997</v>
      </c>
      <c r="NGM18" s="452"/>
      <c r="NGN18" s="452">
        <v>62201294.850000001</v>
      </c>
      <c r="NGO18" s="451">
        <f>60000000</f>
        <v>60000000</v>
      </c>
      <c r="NGP18" s="459"/>
      <c r="NGQ18" s="452"/>
      <c r="NGR18" s="450">
        <v>0</v>
      </c>
      <c r="NGS18" s="460"/>
      <c r="NGT18" s="450">
        <f>NGN18+NGQ18</f>
        <v>62201294.850000001</v>
      </c>
      <c r="NGU18" s="454">
        <f>+NGO18+NGR18</f>
        <v>60000000</v>
      </c>
      <c r="NGV18" s="461"/>
      <c r="NGW18" s="450"/>
      <c r="NGX18" s="594">
        <f>(NGT18-NGL18)/NGL18</f>
        <v>0.13401162364699606</v>
      </c>
      <c r="NGY18" s="436" t="s">
        <v>141</v>
      </c>
      <c r="NGZ18" s="448">
        <v>54850667.799999997</v>
      </c>
      <c r="NHA18" s="449"/>
      <c r="NHB18" s="448">
        <f>NGZ18+NHA18</f>
        <v>54850667.799999997</v>
      </c>
      <c r="NHC18" s="452"/>
      <c r="NHD18" s="452">
        <v>62201294.850000001</v>
      </c>
      <c r="NHE18" s="451">
        <f>60000000</f>
        <v>60000000</v>
      </c>
      <c r="NHF18" s="459"/>
      <c r="NHG18" s="452"/>
      <c r="NHH18" s="450">
        <v>0</v>
      </c>
      <c r="NHI18" s="460"/>
      <c r="NHJ18" s="450">
        <f>NHD18+NHG18</f>
        <v>62201294.850000001</v>
      </c>
      <c r="NHK18" s="454">
        <f>+NHE18+NHH18</f>
        <v>60000000</v>
      </c>
      <c r="NHL18" s="461"/>
      <c r="NHM18" s="450"/>
      <c r="NHN18" s="594">
        <f>(NHJ18-NHB18)/NHB18</f>
        <v>0.13401162364699606</v>
      </c>
      <c r="NHO18" s="436" t="s">
        <v>141</v>
      </c>
      <c r="NHP18" s="448">
        <v>54850667.799999997</v>
      </c>
      <c r="NHQ18" s="449"/>
      <c r="NHR18" s="448">
        <f>NHP18+NHQ18</f>
        <v>54850667.799999997</v>
      </c>
      <c r="NHS18" s="452"/>
      <c r="NHT18" s="452">
        <v>62201294.850000001</v>
      </c>
      <c r="NHU18" s="451">
        <f>60000000</f>
        <v>60000000</v>
      </c>
      <c r="NHV18" s="459"/>
      <c r="NHW18" s="452"/>
      <c r="NHX18" s="450">
        <v>0</v>
      </c>
      <c r="NHY18" s="460"/>
      <c r="NHZ18" s="450">
        <f>NHT18+NHW18</f>
        <v>62201294.850000001</v>
      </c>
      <c r="NIA18" s="454">
        <f>+NHU18+NHX18</f>
        <v>60000000</v>
      </c>
      <c r="NIB18" s="461"/>
      <c r="NIC18" s="450"/>
      <c r="NID18" s="594">
        <f>(NHZ18-NHR18)/NHR18</f>
        <v>0.13401162364699606</v>
      </c>
      <c r="NIE18" s="436" t="s">
        <v>141</v>
      </c>
      <c r="NIF18" s="448">
        <v>54850667.799999997</v>
      </c>
      <c r="NIG18" s="449"/>
      <c r="NIH18" s="448">
        <f>NIF18+NIG18</f>
        <v>54850667.799999997</v>
      </c>
      <c r="NII18" s="452"/>
      <c r="NIJ18" s="452">
        <v>62201294.850000001</v>
      </c>
      <c r="NIK18" s="451">
        <f>60000000</f>
        <v>60000000</v>
      </c>
      <c r="NIL18" s="459"/>
      <c r="NIM18" s="452"/>
      <c r="NIN18" s="450">
        <v>0</v>
      </c>
      <c r="NIO18" s="460"/>
      <c r="NIP18" s="450">
        <f>NIJ18+NIM18</f>
        <v>62201294.850000001</v>
      </c>
      <c r="NIQ18" s="454">
        <f>+NIK18+NIN18</f>
        <v>60000000</v>
      </c>
      <c r="NIR18" s="461"/>
      <c r="NIS18" s="450"/>
      <c r="NIT18" s="594">
        <f>(NIP18-NIH18)/NIH18</f>
        <v>0.13401162364699606</v>
      </c>
      <c r="NIU18" s="436" t="s">
        <v>141</v>
      </c>
      <c r="NIV18" s="448">
        <v>54850667.799999997</v>
      </c>
      <c r="NIW18" s="449"/>
      <c r="NIX18" s="448">
        <f>NIV18+NIW18</f>
        <v>54850667.799999997</v>
      </c>
      <c r="NIY18" s="452"/>
      <c r="NIZ18" s="452">
        <v>62201294.850000001</v>
      </c>
      <c r="NJA18" s="451">
        <f>60000000</f>
        <v>60000000</v>
      </c>
      <c r="NJB18" s="459"/>
      <c r="NJC18" s="452"/>
      <c r="NJD18" s="450">
        <v>0</v>
      </c>
      <c r="NJE18" s="460"/>
      <c r="NJF18" s="450">
        <f>NIZ18+NJC18</f>
        <v>62201294.850000001</v>
      </c>
      <c r="NJG18" s="454">
        <f>+NJA18+NJD18</f>
        <v>60000000</v>
      </c>
      <c r="NJH18" s="461"/>
      <c r="NJI18" s="450"/>
      <c r="NJJ18" s="594">
        <f>(NJF18-NIX18)/NIX18</f>
        <v>0.13401162364699606</v>
      </c>
      <c r="NJK18" s="436" t="s">
        <v>141</v>
      </c>
      <c r="NJL18" s="448">
        <v>54850667.799999997</v>
      </c>
      <c r="NJM18" s="449"/>
      <c r="NJN18" s="448">
        <f>NJL18+NJM18</f>
        <v>54850667.799999997</v>
      </c>
      <c r="NJO18" s="452"/>
      <c r="NJP18" s="452">
        <v>62201294.850000001</v>
      </c>
      <c r="NJQ18" s="451">
        <f>60000000</f>
        <v>60000000</v>
      </c>
      <c r="NJR18" s="459"/>
      <c r="NJS18" s="452"/>
      <c r="NJT18" s="450">
        <v>0</v>
      </c>
      <c r="NJU18" s="460"/>
      <c r="NJV18" s="450">
        <f>NJP18+NJS18</f>
        <v>62201294.850000001</v>
      </c>
      <c r="NJW18" s="454">
        <f>+NJQ18+NJT18</f>
        <v>60000000</v>
      </c>
      <c r="NJX18" s="461"/>
      <c r="NJY18" s="450"/>
      <c r="NJZ18" s="594">
        <f>(NJV18-NJN18)/NJN18</f>
        <v>0.13401162364699606</v>
      </c>
      <c r="NKA18" s="436" t="s">
        <v>141</v>
      </c>
      <c r="NKB18" s="448">
        <v>54850667.799999997</v>
      </c>
      <c r="NKC18" s="449"/>
      <c r="NKD18" s="448">
        <f>NKB18+NKC18</f>
        <v>54850667.799999997</v>
      </c>
      <c r="NKE18" s="452"/>
      <c r="NKF18" s="452">
        <v>62201294.850000001</v>
      </c>
      <c r="NKG18" s="451">
        <f>60000000</f>
        <v>60000000</v>
      </c>
      <c r="NKH18" s="459"/>
      <c r="NKI18" s="452"/>
      <c r="NKJ18" s="450">
        <v>0</v>
      </c>
      <c r="NKK18" s="460"/>
      <c r="NKL18" s="450">
        <f>NKF18+NKI18</f>
        <v>62201294.850000001</v>
      </c>
      <c r="NKM18" s="454">
        <f>+NKG18+NKJ18</f>
        <v>60000000</v>
      </c>
      <c r="NKN18" s="461"/>
      <c r="NKO18" s="450"/>
      <c r="NKP18" s="594">
        <f>(NKL18-NKD18)/NKD18</f>
        <v>0.13401162364699606</v>
      </c>
      <c r="NKQ18" s="436" t="s">
        <v>141</v>
      </c>
      <c r="NKR18" s="448">
        <v>54850667.799999997</v>
      </c>
      <c r="NKS18" s="449"/>
      <c r="NKT18" s="448">
        <f>NKR18+NKS18</f>
        <v>54850667.799999997</v>
      </c>
      <c r="NKU18" s="452"/>
      <c r="NKV18" s="452">
        <v>62201294.850000001</v>
      </c>
      <c r="NKW18" s="451">
        <f>60000000</f>
        <v>60000000</v>
      </c>
      <c r="NKX18" s="459"/>
      <c r="NKY18" s="452"/>
      <c r="NKZ18" s="450">
        <v>0</v>
      </c>
      <c r="NLA18" s="460"/>
      <c r="NLB18" s="450">
        <f>NKV18+NKY18</f>
        <v>62201294.850000001</v>
      </c>
      <c r="NLC18" s="454">
        <f>+NKW18+NKZ18</f>
        <v>60000000</v>
      </c>
      <c r="NLD18" s="461"/>
      <c r="NLE18" s="450"/>
      <c r="NLF18" s="594">
        <f>(NLB18-NKT18)/NKT18</f>
        <v>0.13401162364699606</v>
      </c>
      <c r="NLG18" s="436" t="s">
        <v>141</v>
      </c>
      <c r="NLH18" s="448">
        <v>54850667.799999997</v>
      </c>
      <c r="NLI18" s="449"/>
      <c r="NLJ18" s="448">
        <f>NLH18+NLI18</f>
        <v>54850667.799999997</v>
      </c>
      <c r="NLK18" s="452"/>
      <c r="NLL18" s="452">
        <v>62201294.850000001</v>
      </c>
      <c r="NLM18" s="451">
        <f>60000000</f>
        <v>60000000</v>
      </c>
      <c r="NLN18" s="459"/>
      <c r="NLO18" s="452"/>
      <c r="NLP18" s="450">
        <v>0</v>
      </c>
      <c r="NLQ18" s="460"/>
      <c r="NLR18" s="450">
        <f>NLL18+NLO18</f>
        <v>62201294.850000001</v>
      </c>
      <c r="NLS18" s="454">
        <f>+NLM18+NLP18</f>
        <v>60000000</v>
      </c>
      <c r="NLT18" s="461"/>
      <c r="NLU18" s="450"/>
      <c r="NLV18" s="594">
        <f>(NLR18-NLJ18)/NLJ18</f>
        <v>0.13401162364699606</v>
      </c>
      <c r="NLW18" s="436" t="s">
        <v>141</v>
      </c>
      <c r="NLX18" s="448">
        <v>54850667.799999997</v>
      </c>
      <c r="NLY18" s="449"/>
      <c r="NLZ18" s="448">
        <f>NLX18+NLY18</f>
        <v>54850667.799999997</v>
      </c>
      <c r="NMA18" s="452"/>
      <c r="NMB18" s="452">
        <v>62201294.850000001</v>
      </c>
      <c r="NMC18" s="451">
        <f>60000000</f>
        <v>60000000</v>
      </c>
      <c r="NMD18" s="459"/>
      <c r="NME18" s="452"/>
      <c r="NMF18" s="450">
        <v>0</v>
      </c>
      <c r="NMG18" s="460"/>
      <c r="NMH18" s="450">
        <f>NMB18+NME18</f>
        <v>62201294.850000001</v>
      </c>
      <c r="NMI18" s="454">
        <f>+NMC18+NMF18</f>
        <v>60000000</v>
      </c>
      <c r="NMJ18" s="461"/>
      <c r="NMK18" s="450"/>
      <c r="NML18" s="594">
        <f>(NMH18-NLZ18)/NLZ18</f>
        <v>0.13401162364699606</v>
      </c>
      <c r="NMM18" s="436" t="s">
        <v>141</v>
      </c>
      <c r="NMN18" s="448">
        <v>54850667.799999997</v>
      </c>
      <c r="NMO18" s="449"/>
      <c r="NMP18" s="448">
        <f>NMN18+NMO18</f>
        <v>54850667.799999997</v>
      </c>
      <c r="NMQ18" s="452"/>
      <c r="NMR18" s="452">
        <v>62201294.850000001</v>
      </c>
      <c r="NMS18" s="451">
        <f>60000000</f>
        <v>60000000</v>
      </c>
      <c r="NMT18" s="459"/>
      <c r="NMU18" s="452"/>
      <c r="NMV18" s="450">
        <v>0</v>
      </c>
      <c r="NMW18" s="460"/>
      <c r="NMX18" s="450">
        <f>NMR18+NMU18</f>
        <v>62201294.850000001</v>
      </c>
      <c r="NMY18" s="454">
        <f>+NMS18+NMV18</f>
        <v>60000000</v>
      </c>
      <c r="NMZ18" s="461"/>
      <c r="NNA18" s="450"/>
      <c r="NNB18" s="594">
        <f>(NMX18-NMP18)/NMP18</f>
        <v>0.13401162364699606</v>
      </c>
      <c r="NNC18" s="436" t="s">
        <v>141</v>
      </c>
      <c r="NND18" s="448">
        <v>54850667.799999997</v>
      </c>
      <c r="NNE18" s="449"/>
      <c r="NNF18" s="448">
        <f>NND18+NNE18</f>
        <v>54850667.799999997</v>
      </c>
      <c r="NNG18" s="452"/>
      <c r="NNH18" s="452">
        <v>62201294.850000001</v>
      </c>
      <c r="NNI18" s="451">
        <f>60000000</f>
        <v>60000000</v>
      </c>
      <c r="NNJ18" s="459"/>
      <c r="NNK18" s="452"/>
      <c r="NNL18" s="450">
        <v>0</v>
      </c>
      <c r="NNM18" s="460"/>
      <c r="NNN18" s="450">
        <f>NNH18+NNK18</f>
        <v>62201294.850000001</v>
      </c>
      <c r="NNO18" s="454">
        <f>+NNI18+NNL18</f>
        <v>60000000</v>
      </c>
      <c r="NNP18" s="461"/>
      <c r="NNQ18" s="450"/>
      <c r="NNR18" s="594">
        <f>(NNN18-NNF18)/NNF18</f>
        <v>0.13401162364699606</v>
      </c>
      <c r="NNS18" s="436" t="s">
        <v>141</v>
      </c>
      <c r="NNT18" s="448">
        <v>54850667.799999997</v>
      </c>
      <c r="NNU18" s="449"/>
      <c r="NNV18" s="448">
        <f>NNT18+NNU18</f>
        <v>54850667.799999997</v>
      </c>
      <c r="NNW18" s="452"/>
      <c r="NNX18" s="452">
        <v>62201294.850000001</v>
      </c>
      <c r="NNY18" s="451">
        <f>60000000</f>
        <v>60000000</v>
      </c>
      <c r="NNZ18" s="459"/>
      <c r="NOA18" s="452"/>
      <c r="NOB18" s="450">
        <v>0</v>
      </c>
      <c r="NOC18" s="460"/>
      <c r="NOD18" s="450">
        <f>NNX18+NOA18</f>
        <v>62201294.850000001</v>
      </c>
      <c r="NOE18" s="454">
        <f>+NNY18+NOB18</f>
        <v>60000000</v>
      </c>
      <c r="NOF18" s="461"/>
      <c r="NOG18" s="450"/>
      <c r="NOH18" s="594">
        <f>(NOD18-NNV18)/NNV18</f>
        <v>0.13401162364699606</v>
      </c>
      <c r="NOI18" s="436" t="s">
        <v>141</v>
      </c>
      <c r="NOJ18" s="448">
        <v>54850667.799999997</v>
      </c>
      <c r="NOK18" s="449"/>
      <c r="NOL18" s="448">
        <f>NOJ18+NOK18</f>
        <v>54850667.799999997</v>
      </c>
      <c r="NOM18" s="452"/>
      <c r="NON18" s="452">
        <v>62201294.850000001</v>
      </c>
      <c r="NOO18" s="451">
        <f>60000000</f>
        <v>60000000</v>
      </c>
      <c r="NOP18" s="459"/>
      <c r="NOQ18" s="452"/>
      <c r="NOR18" s="450">
        <v>0</v>
      </c>
      <c r="NOS18" s="460"/>
      <c r="NOT18" s="450">
        <f>NON18+NOQ18</f>
        <v>62201294.850000001</v>
      </c>
      <c r="NOU18" s="454">
        <f>+NOO18+NOR18</f>
        <v>60000000</v>
      </c>
      <c r="NOV18" s="461"/>
      <c r="NOW18" s="450"/>
      <c r="NOX18" s="594">
        <f>(NOT18-NOL18)/NOL18</f>
        <v>0.13401162364699606</v>
      </c>
      <c r="NOY18" s="436" t="s">
        <v>141</v>
      </c>
      <c r="NOZ18" s="448">
        <v>54850667.799999997</v>
      </c>
      <c r="NPA18" s="449"/>
      <c r="NPB18" s="448">
        <f>NOZ18+NPA18</f>
        <v>54850667.799999997</v>
      </c>
      <c r="NPC18" s="452"/>
      <c r="NPD18" s="452">
        <v>62201294.850000001</v>
      </c>
      <c r="NPE18" s="451">
        <f>60000000</f>
        <v>60000000</v>
      </c>
      <c r="NPF18" s="459"/>
      <c r="NPG18" s="452"/>
      <c r="NPH18" s="450">
        <v>0</v>
      </c>
      <c r="NPI18" s="460"/>
      <c r="NPJ18" s="450">
        <f>NPD18+NPG18</f>
        <v>62201294.850000001</v>
      </c>
      <c r="NPK18" s="454">
        <f>+NPE18+NPH18</f>
        <v>60000000</v>
      </c>
      <c r="NPL18" s="461"/>
      <c r="NPM18" s="450"/>
      <c r="NPN18" s="594">
        <f>(NPJ18-NPB18)/NPB18</f>
        <v>0.13401162364699606</v>
      </c>
      <c r="NPO18" s="436" t="s">
        <v>141</v>
      </c>
      <c r="NPP18" s="448">
        <v>54850667.799999997</v>
      </c>
      <c r="NPQ18" s="449"/>
      <c r="NPR18" s="448">
        <f>NPP18+NPQ18</f>
        <v>54850667.799999997</v>
      </c>
      <c r="NPS18" s="452"/>
      <c r="NPT18" s="452">
        <v>62201294.850000001</v>
      </c>
      <c r="NPU18" s="451">
        <f>60000000</f>
        <v>60000000</v>
      </c>
      <c r="NPV18" s="459"/>
      <c r="NPW18" s="452"/>
      <c r="NPX18" s="450">
        <v>0</v>
      </c>
      <c r="NPY18" s="460"/>
      <c r="NPZ18" s="450">
        <f>NPT18+NPW18</f>
        <v>62201294.850000001</v>
      </c>
      <c r="NQA18" s="454">
        <f>+NPU18+NPX18</f>
        <v>60000000</v>
      </c>
      <c r="NQB18" s="461"/>
      <c r="NQC18" s="450"/>
      <c r="NQD18" s="594">
        <f>(NPZ18-NPR18)/NPR18</f>
        <v>0.13401162364699606</v>
      </c>
      <c r="NQE18" s="436" t="s">
        <v>141</v>
      </c>
      <c r="NQF18" s="448">
        <v>54850667.799999997</v>
      </c>
      <c r="NQG18" s="449"/>
      <c r="NQH18" s="448">
        <f>NQF18+NQG18</f>
        <v>54850667.799999997</v>
      </c>
      <c r="NQI18" s="452"/>
      <c r="NQJ18" s="452">
        <v>62201294.850000001</v>
      </c>
      <c r="NQK18" s="451">
        <f>60000000</f>
        <v>60000000</v>
      </c>
      <c r="NQL18" s="459"/>
      <c r="NQM18" s="452"/>
      <c r="NQN18" s="450">
        <v>0</v>
      </c>
      <c r="NQO18" s="460"/>
      <c r="NQP18" s="450">
        <f>NQJ18+NQM18</f>
        <v>62201294.850000001</v>
      </c>
      <c r="NQQ18" s="454">
        <f>+NQK18+NQN18</f>
        <v>60000000</v>
      </c>
      <c r="NQR18" s="461"/>
      <c r="NQS18" s="450"/>
      <c r="NQT18" s="594">
        <f>(NQP18-NQH18)/NQH18</f>
        <v>0.13401162364699606</v>
      </c>
      <c r="NQU18" s="436" t="s">
        <v>141</v>
      </c>
      <c r="NQV18" s="448">
        <v>54850667.799999997</v>
      </c>
      <c r="NQW18" s="449"/>
      <c r="NQX18" s="448">
        <f>NQV18+NQW18</f>
        <v>54850667.799999997</v>
      </c>
      <c r="NQY18" s="452"/>
      <c r="NQZ18" s="452">
        <v>62201294.850000001</v>
      </c>
      <c r="NRA18" s="451">
        <f>60000000</f>
        <v>60000000</v>
      </c>
      <c r="NRB18" s="459"/>
      <c r="NRC18" s="452"/>
      <c r="NRD18" s="450">
        <v>0</v>
      </c>
      <c r="NRE18" s="460"/>
      <c r="NRF18" s="450">
        <f>NQZ18+NRC18</f>
        <v>62201294.850000001</v>
      </c>
      <c r="NRG18" s="454">
        <f>+NRA18+NRD18</f>
        <v>60000000</v>
      </c>
      <c r="NRH18" s="461"/>
      <c r="NRI18" s="450"/>
      <c r="NRJ18" s="594">
        <f>(NRF18-NQX18)/NQX18</f>
        <v>0.13401162364699606</v>
      </c>
      <c r="NRK18" s="436" t="s">
        <v>141</v>
      </c>
      <c r="NRL18" s="448">
        <v>54850667.799999997</v>
      </c>
      <c r="NRM18" s="449"/>
      <c r="NRN18" s="448">
        <f>NRL18+NRM18</f>
        <v>54850667.799999997</v>
      </c>
      <c r="NRO18" s="452"/>
      <c r="NRP18" s="452">
        <v>62201294.850000001</v>
      </c>
      <c r="NRQ18" s="451">
        <f>60000000</f>
        <v>60000000</v>
      </c>
      <c r="NRR18" s="459"/>
      <c r="NRS18" s="452"/>
      <c r="NRT18" s="450">
        <v>0</v>
      </c>
      <c r="NRU18" s="460"/>
      <c r="NRV18" s="450">
        <f>NRP18+NRS18</f>
        <v>62201294.850000001</v>
      </c>
      <c r="NRW18" s="454">
        <f>+NRQ18+NRT18</f>
        <v>60000000</v>
      </c>
      <c r="NRX18" s="461"/>
      <c r="NRY18" s="450"/>
      <c r="NRZ18" s="594">
        <f>(NRV18-NRN18)/NRN18</f>
        <v>0.13401162364699606</v>
      </c>
      <c r="NSA18" s="436" t="s">
        <v>141</v>
      </c>
      <c r="NSB18" s="448">
        <v>54850667.799999997</v>
      </c>
      <c r="NSC18" s="449"/>
      <c r="NSD18" s="448">
        <f>NSB18+NSC18</f>
        <v>54850667.799999997</v>
      </c>
      <c r="NSE18" s="452"/>
      <c r="NSF18" s="452">
        <v>62201294.850000001</v>
      </c>
      <c r="NSG18" s="451">
        <f>60000000</f>
        <v>60000000</v>
      </c>
      <c r="NSH18" s="459"/>
      <c r="NSI18" s="452"/>
      <c r="NSJ18" s="450">
        <v>0</v>
      </c>
      <c r="NSK18" s="460"/>
      <c r="NSL18" s="450">
        <f>NSF18+NSI18</f>
        <v>62201294.850000001</v>
      </c>
      <c r="NSM18" s="454">
        <f>+NSG18+NSJ18</f>
        <v>60000000</v>
      </c>
      <c r="NSN18" s="461"/>
      <c r="NSO18" s="450"/>
      <c r="NSP18" s="594">
        <f>(NSL18-NSD18)/NSD18</f>
        <v>0.13401162364699606</v>
      </c>
      <c r="NSQ18" s="436" t="s">
        <v>141</v>
      </c>
      <c r="NSR18" s="448">
        <v>54850667.799999997</v>
      </c>
      <c r="NSS18" s="449"/>
      <c r="NST18" s="448">
        <f>NSR18+NSS18</f>
        <v>54850667.799999997</v>
      </c>
      <c r="NSU18" s="452"/>
      <c r="NSV18" s="452">
        <v>62201294.850000001</v>
      </c>
      <c r="NSW18" s="451">
        <f>60000000</f>
        <v>60000000</v>
      </c>
      <c r="NSX18" s="459"/>
      <c r="NSY18" s="452"/>
      <c r="NSZ18" s="450">
        <v>0</v>
      </c>
      <c r="NTA18" s="460"/>
      <c r="NTB18" s="450">
        <f>NSV18+NSY18</f>
        <v>62201294.850000001</v>
      </c>
      <c r="NTC18" s="454">
        <f>+NSW18+NSZ18</f>
        <v>60000000</v>
      </c>
      <c r="NTD18" s="461"/>
      <c r="NTE18" s="450"/>
      <c r="NTF18" s="594">
        <f>(NTB18-NST18)/NST18</f>
        <v>0.13401162364699606</v>
      </c>
      <c r="NTG18" s="436" t="s">
        <v>141</v>
      </c>
      <c r="NTH18" s="448">
        <v>54850667.799999997</v>
      </c>
      <c r="NTI18" s="449"/>
      <c r="NTJ18" s="448">
        <f>NTH18+NTI18</f>
        <v>54850667.799999997</v>
      </c>
      <c r="NTK18" s="452"/>
      <c r="NTL18" s="452">
        <v>62201294.850000001</v>
      </c>
      <c r="NTM18" s="451">
        <f>60000000</f>
        <v>60000000</v>
      </c>
      <c r="NTN18" s="459"/>
      <c r="NTO18" s="452"/>
      <c r="NTP18" s="450">
        <v>0</v>
      </c>
      <c r="NTQ18" s="460"/>
      <c r="NTR18" s="450">
        <f>NTL18+NTO18</f>
        <v>62201294.850000001</v>
      </c>
      <c r="NTS18" s="454">
        <f>+NTM18+NTP18</f>
        <v>60000000</v>
      </c>
      <c r="NTT18" s="461"/>
      <c r="NTU18" s="450"/>
      <c r="NTV18" s="594">
        <f>(NTR18-NTJ18)/NTJ18</f>
        <v>0.13401162364699606</v>
      </c>
      <c r="NTW18" s="436" t="s">
        <v>141</v>
      </c>
      <c r="NTX18" s="448">
        <v>54850667.799999997</v>
      </c>
      <c r="NTY18" s="449"/>
      <c r="NTZ18" s="448">
        <f>NTX18+NTY18</f>
        <v>54850667.799999997</v>
      </c>
      <c r="NUA18" s="452"/>
      <c r="NUB18" s="452">
        <v>62201294.850000001</v>
      </c>
      <c r="NUC18" s="451">
        <f>60000000</f>
        <v>60000000</v>
      </c>
      <c r="NUD18" s="459"/>
      <c r="NUE18" s="452"/>
      <c r="NUF18" s="450">
        <v>0</v>
      </c>
      <c r="NUG18" s="460"/>
      <c r="NUH18" s="450">
        <f>NUB18+NUE18</f>
        <v>62201294.850000001</v>
      </c>
      <c r="NUI18" s="454">
        <f>+NUC18+NUF18</f>
        <v>60000000</v>
      </c>
      <c r="NUJ18" s="461"/>
      <c r="NUK18" s="450"/>
      <c r="NUL18" s="594">
        <f>(NUH18-NTZ18)/NTZ18</f>
        <v>0.13401162364699606</v>
      </c>
      <c r="NUM18" s="436" t="s">
        <v>141</v>
      </c>
      <c r="NUN18" s="448">
        <v>54850667.799999997</v>
      </c>
      <c r="NUO18" s="449"/>
      <c r="NUP18" s="448">
        <f>NUN18+NUO18</f>
        <v>54850667.799999997</v>
      </c>
      <c r="NUQ18" s="452"/>
      <c r="NUR18" s="452">
        <v>62201294.850000001</v>
      </c>
      <c r="NUS18" s="451">
        <f>60000000</f>
        <v>60000000</v>
      </c>
      <c r="NUT18" s="459"/>
      <c r="NUU18" s="452"/>
      <c r="NUV18" s="450">
        <v>0</v>
      </c>
      <c r="NUW18" s="460"/>
      <c r="NUX18" s="450">
        <f>NUR18+NUU18</f>
        <v>62201294.850000001</v>
      </c>
      <c r="NUY18" s="454">
        <f>+NUS18+NUV18</f>
        <v>60000000</v>
      </c>
      <c r="NUZ18" s="461"/>
      <c r="NVA18" s="450"/>
      <c r="NVB18" s="594">
        <f>(NUX18-NUP18)/NUP18</f>
        <v>0.13401162364699606</v>
      </c>
      <c r="NVC18" s="436" t="s">
        <v>141</v>
      </c>
      <c r="NVD18" s="448">
        <v>54850667.799999997</v>
      </c>
      <c r="NVE18" s="449"/>
      <c r="NVF18" s="448">
        <f>NVD18+NVE18</f>
        <v>54850667.799999997</v>
      </c>
      <c r="NVG18" s="452"/>
      <c r="NVH18" s="452">
        <v>62201294.850000001</v>
      </c>
      <c r="NVI18" s="451">
        <f>60000000</f>
        <v>60000000</v>
      </c>
      <c r="NVJ18" s="459"/>
      <c r="NVK18" s="452"/>
      <c r="NVL18" s="450">
        <v>0</v>
      </c>
      <c r="NVM18" s="460"/>
      <c r="NVN18" s="450">
        <f>NVH18+NVK18</f>
        <v>62201294.850000001</v>
      </c>
      <c r="NVO18" s="454">
        <f>+NVI18+NVL18</f>
        <v>60000000</v>
      </c>
      <c r="NVP18" s="461"/>
      <c r="NVQ18" s="450"/>
      <c r="NVR18" s="594">
        <f>(NVN18-NVF18)/NVF18</f>
        <v>0.13401162364699606</v>
      </c>
      <c r="NVS18" s="436" t="s">
        <v>141</v>
      </c>
      <c r="NVT18" s="448">
        <v>54850667.799999997</v>
      </c>
      <c r="NVU18" s="449"/>
      <c r="NVV18" s="448">
        <f>NVT18+NVU18</f>
        <v>54850667.799999997</v>
      </c>
      <c r="NVW18" s="452"/>
      <c r="NVX18" s="452">
        <v>62201294.850000001</v>
      </c>
      <c r="NVY18" s="451">
        <f>60000000</f>
        <v>60000000</v>
      </c>
      <c r="NVZ18" s="459"/>
      <c r="NWA18" s="452"/>
      <c r="NWB18" s="450">
        <v>0</v>
      </c>
      <c r="NWC18" s="460"/>
      <c r="NWD18" s="450">
        <f>NVX18+NWA18</f>
        <v>62201294.850000001</v>
      </c>
      <c r="NWE18" s="454">
        <f>+NVY18+NWB18</f>
        <v>60000000</v>
      </c>
      <c r="NWF18" s="461"/>
      <c r="NWG18" s="450"/>
      <c r="NWH18" s="594">
        <f>(NWD18-NVV18)/NVV18</f>
        <v>0.13401162364699606</v>
      </c>
      <c r="NWI18" s="436" t="s">
        <v>141</v>
      </c>
      <c r="NWJ18" s="448">
        <v>54850667.799999997</v>
      </c>
      <c r="NWK18" s="449"/>
      <c r="NWL18" s="448">
        <f>NWJ18+NWK18</f>
        <v>54850667.799999997</v>
      </c>
      <c r="NWM18" s="452"/>
      <c r="NWN18" s="452">
        <v>62201294.850000001</v>
      </c>
      <c r="NWO18" s="451">
        <f>60000000</f>
        <v>60000000</v>
      </c>
      <c r="NWP18" s="459"/>
      <c r="NWQ18" s="452"/>
      <c r="NWR18" s="450">
        <v>0</v>
      </c>
      <c r="NWS18" s="460"/>
      <c r="NWT18" s="450">
        <f>NWN18+NWQ18</f>
        <v>62201294.850000001</v>
      </c>
      <c r="NWU18" s="454">
        <f>+NWO18+NWR18</f>
        <v>60000000</v>
      </c>
      <c r="NWV18" s="461"/>
      <c r="NWW18" s="450"/>
      <c r="NWX18" s="594">
        <f>(NWT18-NWL18)/NWL18</f>
        <v>0.13401162364699606</v>
      </c>
      <c r="NWY18" s="436" t="s">
        <v>141</v>
      </c>
      <c r="NWZ18" s="448">
        <v>54850667.799999997</v>
      </c>
      <c r="NXA18" s="449"/>
      <c r="NXB18" s="448">
        <f>NWZ18+NXA18</f>
        <v>54850667.799999997</v>
      </c>
      <c r="NXC18" s="452"/>
      <c r="NXD18" s="452">
        <v>62201294.850000001</v>
      </c>
      <c r="NXE18" s="451">
        <f>60000000</f>
        <v>60000000</v>
      </c>
      <c r="NXF18" s="459"/>
      <c r="NXG18" s="452"/>
      <c r="NXH18" s="450">
        <v>0</v>
      </c>
      <c r="NXI18" s="460"/>
      <c r="NXJ18" s="450">
        <f>NXD18+NXG18</f>
        <v>62201294.850000001</v>
      </c>
      <c r="NXK18" s="454">
        <f>+NXE18+NXH18</f>
        <v>60000000</v>
      </c>
      <c r="NXL18" s="461"/>
      <c r="NXM18" s="450"/>
      <c r="NXN18" s="594">
        <f>(NXJ18-NXB18)/NXB18</f>
        <v>0.13401162364699606</v>
      </c>
      <c r="NXO18" s="436" t="s">
        <v>141</v>
      </c>
      <c r="NXP18" s="448">
        <v>54850667.799999997</v>
      </c>
      <c r="NXQ18" s="449"/>
      <c r="NXR18" s="448">
        <f>NXP18+NXQ18</f>
        <v>54850667.799999997</v>
      </c>
      <c r="NXS18" s="452"/>
      <c r="NXT18" s="452">
        <v>62201294.850000001</v>
      </c>
      <c r="NXU18" s="451">
        <f>60000000</f>
        <v>60000000</v>
      </c>
      <c r="NXV18" s="459"/>
      <c r="NXW18" s="452"/>
      <c r="NXX18" s="450">
        <v>0</v>
      </c>
      <c r="NXY18" s="460"/>
      <c r="NXZ18" s="450">
        <f>NXT18+NXW18</f>
        <v>62201294.850000001</v>
      </c>
      <c r="NYA18" s="454">
        <f>+NXU18+NXX18</f>
        <v>60000000</v>
      </c>
      <c r="NYB18" s="461"/>
      <c r="NYC18" s="450"/>
      <c r="NYD18" s="594">
        <f>(NXZ18-NXR18)/NXR18</f>
        <v>0.13401162364699606</v>
      </c>
      <c r="NYE18" s="436" t="s">
        <v>141</v>
      </c>
      <c r="NYF18" s="448">
        <v>54850667.799999997</v>
      </c>
      <c r="NYG18" s="449"/>
      <c r="NYH18" s="448">
        <f>NYF18+NYG18</f>
        <v>54850667.799999997</v>
      </c>
      <c r="NYI18" s="452"/>
      <c r="NYJ18" s="452">
        <v>62201294.850000001</v>
      </c>
      <c r="NYK18" s="451">
        <f>60000000</f>
        <v>60000000</v>
      </c>
      <c r="NYL18" s="459"/>
      <c r="NYM18" s="452"/>
      <c r="NYN18" s="450">
        <v>0</v>
      </c>
      <c r="NYO18" s="460"/>
      <c r="NYP18" s="450">
        <f>NYJ18+NYM18</f>
        <v>62201294.850000001</v>
      </c>
      <c r="NYQ18" s="454">
        <f>+NYK18+NYN18</f>
        <v>60000000</v>
      </c>
      <c r="NYR18" s="461"/>
      <c r="NYS18" s="450"/>
      <c r="NYT18" s="594">
        <f>(NYP18-NYH18)/NYH18</f>
        <v>0.13401162364699606</v>
      </c>
      <c r="NYU18" s="436" t="s">
        <v>141</v>
      </c>
      <c r="NYV18" s="448">
        <v>54850667.799999997</v>
      </c>
      <c r="NYW18" s="449"/>
      <c r="NYX18" s="448">
        <f>NYV18+NYW18</f>
        <v>54850667.799999997</v>
      </c>
      <c r="NYY18" s="452"/>
      <c r="NYZ18" s="452">
        <v>62201294.850000001</v>
      </c>
      <c r="NZA18" s="451">
        <f>60000000</f>
        <v>60000000</v>
      </c>
      <c r="NZB18" s="459"/>
      <c r="NZC18" s="452"/>
      <c r="NZD18" s="450">
        <v>0</v>
      </c>
      <c r="NZE18" s="460"/>
      <c r="NZF18" s="450">
        <f>NYZ18+NZC18</f>
        <v>62201294.850000001</v>
      </c>
      <c r="NZG18" s="454">
        <f>+NZA18+NZD18</f>
        <v>60000000</v>
      </c>
      <c r="NZH18" s="461"/>
      <c r="NZI18" s="450"/>
      <c r="NZJ18" s="594">
        <f>(NZF18-NYX18)/NYX18</f>
        <v>0.13401162364699606</v>
      </c>
      <c r="NZK18" s="436" t="s">
        <v>141</v>
      </c>
      <c r="NZL18" s="448">
        <v>54850667.799999997</v>
      </c>
      <c r="NZM18" s="449"/>
      <c r="NZN18" s="448">
        <f>NZL18+NZM18</f>
        <v>54850667.799999997</v>
      </c>
      <c r="NZO18" s="452"/>
      <c r="NZP18" s="452">
        <v>62201294.850000001</v>
      </c>
      <c r="NZQ18" s="451">
        <f>60000000</f>
        <v>60000000</v>
      </c>
      <c r="NZR18" s="459"/>
      <c r="NZS18" s="452"/>
      <c r="NZT18" s="450">
        <v>0</v>
      </c>
      <c r="NZU18" s="460"/>
      <c r="NZV18" s="450">
        <f>NZP18+NZS18</f>
        <v>62201294.850000001</v>
      </c>
      <c r="NZW18" s="454">
        <f>+NZQ18+NZT18</f>
        <v>60000000</v>
      </c>
      <c r="NZX18" s="461"/>
      <c r="NZY18" s="450"/>
      <c r="NZZ18" s="594">
        <f>(NZV18-NZN18)/NZN18</f>
        <v>0.13401162364699606</v>
      </c>
      <c r="OAA18" s="436" t="s">
        <v>141</v>
      </c>
      <c r="OAB18" s="448">
        <v>54850667.799999997</v>
      </c>
      <c r="OAC18" s="449"/>
      <c r="OAD18" s="448">
        <f>OAB18+OAC18</f>
        <v>54850667.799999997</v>
      </c>
      <c r="OAE18" s="452"/>
      <c r="OAF18" s="452">
        <v>62201294.850000001</v>
      </c>
      <c r="OAG18" s="451">
        <f>60000000</f>
        <v>60000000</v>
      </c>
      <c r="OAH18" s="459"/>
      <c r="OAI18" s="452"/>
      <c r="OAJ18" s="450">
        <v>0</v>
      </c>
      <c r="OAK18" s="460"/>
      <c r="OAL18" s="450">
        <f>OAF18+OAI18</f>
        <v>62201294.850000001</v>
      </c>
      <c r="OAM18" s="454">
        <f>+OAG18+OAJ18</f>
        <v>60000000</v>
      </c>
      <c r="OAN18" s="461"/>
      <c r="OAO18" s="450"/>
      <c r="OAP18" s="594">
        <f>(OAL18-OAD18)/OAD18</f>
        <v>0.13401162364699606</v>
      </c>
      <c r="OAQ18" s="436" t="s">
        <v>141</v>
      </c>
      <c r="OAR18" s="448">
        <v>54850667.799999997</v>
      </c>
      <c r="OAS18" s="449"/>
      <c r="OAT18" s="448">
        <f>OAR18+OAS18</f>
        <v>54850667.799999997</v>
      </c>
      <c r="OAU18" s="452"/>
      <c r="OAV18" s="452">
        <v>62201294.850000001</v>
      </c>
      <c r="OAW18" s="451">
        <f>60000000</f>
        <v>60000000</v>
      </c>
      <c r="OAX18" s="459"/>
      <c r="OAY18" s="452"/>
      <c r="OAZ18" s="450">
        <v>0</v>
      </c>
      <c r="OBA18" s="460"/>
      <c r="OBB18" s="450">
        <f>OAV18+OAY18</f>
        <v>62201294.850000001</v>
      </c>
      <c r="OBC18" s="454">
        <f>+OAW18+OAZ18</f>
        <v>60000000</v>
      </c>
      <c r="OBD18" s="461"/>
      <c r="OBE18" s="450"/>
      <c r="OBF18" s="594">
        <f>(OBB18-OAT18)/OAT18</f>
        <v>0.13401162364699606</v>
      </c>
      <c r="OBG18" s="436" t="s">
        <v>141</v>
      </c>
      <c r="OBH18" s="448">
        <v>54850667.799999997</v>
      </c>
      <c r="OBI18" s="449"/>
      <c r="OBJ18" s="448">
        <f>OBH18+OBI18</f>
        <v>54850667.799999997</v>
      </c>
      <c r="OBK18" s="452"/>
      <c r="OBL18" s="452">
        <v>62201294.850000001</v>
      </c>
      <c r="OBM18" s="451">
        <f>60000000</f>
        <v>60000000</v>
      </c>
      <c r="OBN18" s="459"/>
      <c r="OBO18" s="452"/>
      <c r="OBP18" s="450">
        <v>0</v>
      </c>
      <c r="OBQ18" s="460"/>
      <c r="OBR18" s="450">
        <f>OBL18+OBO18</f>
        <v>62201294.850000001</v>
      </c>
      <c r="OBS18" s="454">
        <f>+OBM18+OBP18</f>
        <v>60000000</v>
      </c>
      <c r="OBT18" s="461"/>
      <c r="OBU18" s="450"/>
      <c r="OBV18" s="594">
        <f>(OBR18-OBJ18)/OBJ18</f>
        <v>0.13401162364699606</v>
      </c>
      <c r="OBW18" s="436" t="s">
        <v>141</v>
      </c>
      <c r="OBX18" s="448">
        <v>54850667.799999997</v>
      </c>
      <c r="OBY18" s="449"/>
      <c r="OBZ18" s="448">
        <f>OBX18+OBY18</f>
        <v>54850667.799999997</v>
      </c>
      <c r="OCA18" s="452"/>
      <c r="OCB18" s="452">
        <v>62201294.850000001</v>
      </c>
      <c r="OCC18" s="451">
        <f>60000000</f>
        <v>60000000</v>
      </c>
      <c r="OCD18" s="459"/>
      <c r="OCE18" s="452"/>
      <c r="OCF18" s="450">
        <v>0</v>
      </c>
      <c r="OCG18" s="460"/>
      <c r="OCH18" s="450">
        <f>OCB18+OCE18</f>
        <v>62201294.850000001</v>
      </c>
      <c r="OCI18" s="454">
        <f>+OCC18+OCF18</f>
        <v>60000000</v>
      </c>
      <c r="OCJ18" s="461"/>
      <c r="OCK18" s="450"/>
      <c r="OCL18" s="594">
        <f>(OCH18-OBZ18)/OBZ18</f>
        <v>0.13401162364699606</v>
      </c>
      <c r="OCM18" s="436" t="s">
        <v>141</v>
      </c>
      <c r="OCN18" s="448">
        <v>54850667.799999997</v>
      </c>
      <c r="OCO18" s="449"/>
      <c r="OCP18" s="448">
        <f>OCN18+OCO18</f>
        <v>54850667.799999997</v>
      </c>
      <c r="OCQ18" s="452"/>
      <c r="OCR18" s="452">
        <v>62201294.850000001</v>
      </c>
      <c r="OCS18" s="451">
        <f>60000000</f>
        <v>60000000</v>
      </c>
      <c r="OCT18" s="459"/>
      <c r="OCU18" s="452"/>
      <c r="OCV18" s="450">
        <v>0</v>
      </c>
      <c r="OCW18" s="460"/>
      <c r="OCX18" s="450">
        <f>OCR18+OCU18</f>
        <v>62201294.850000001</v>
      </c>
      <c r="OCY18" s="454">
        <f>+OCS18+OCV18</f>
        <v>60000000</v>
      </c>
      <c r="OCZ18" s="461"/>
      <c r="ODA18" s="450"/>
      <c r="ODB18" s="594">
        <f>(OCX18-OCP18)/OCP18</f>
        <v>0.13401162364699606</v>
      </c>
      <c r="ODC18" s="436" t="s">
        <v>141</v>
      </c>
      <c r="ODD18" s="448">
        <v>54850667.799999997</v>
      </c>
      <c r="ODE18" s="449"/>
      <c r="ODF18" s="448">
        <f>ODD18+ODE18</f>
        <v>54850667.799999997</v>
      </c>
      <c r="ODG18" s="452"/>
      <c r="ODH18" s="452">
        <v>62201294.850000001</v>
      </c>
      <c r="ODI18" s="451">
        <f>60000000</f>
        <v>60000000</v>
      </c>
      <c r="ODJ18" s="459"/>
      <c r="ODK18" s="452"/>
      <c r="ODL18" s="450">
        <v>0</v>
      </c>
      <c r="ODM18" s="460"/>
      <c r="ODN18" s="450">
        <f>ODH18+ODK18</f>
        <v>62201294.850000001</v>
      </c>
      <c r="ODO18" s="454">
        <f>+ODI18+ODL18</f>
        <v>60000000</v>
      </c>
      <c r="ODP18" s="461"/>
      <c r="ODQ18" s="450"/>
      <c r="ODR18" s="594">
        <f>(ODN18-ODF18)/ODF18</f>
        <v>0.13401162364699606</v>
      </c>
      <c r="ODS18" s="436" t="s">
        <v>141</v>
      </c>
      <c r="ODT18" s="448">
        <v>54850667.799999997</v>
      </c>
      <c r="ODU18" s="449"/>
      <c r="ODV18" s="448">
        <f>ODT18+ODU18</f>
        <v>54850667.799999997</v>
      </c>
      <c r="ODW18" s="452"/>
      <c r="ODX18" s="452">
        <v>62201294.850000001</v>
      </c>
      <c r="ODY18" s="451">
        <f>60000000</f>
        <v>60000000</v>
      </c>
      <c r="ODZ18" s="459"/>
      <c r="OEA18" s="452"/>
      <c r="OEB18" s="450">
        <v>0</v>
      </c>
      <c r="OEC18" s="460"/>
      <c r="OED18" s="450">
        <f>ODX18+OEA18</f>
        <v>62201294.850000001</v>
      </c>
      <c r="OEE18" s="454">
        <f>+ODY18+OEB18</f>
        <v>60000000</v>
      </c>
      <c r="OEF18" s="461"/>
      <c r="OEG18" s="450"/>
      <c r="OEH18" s="594">
        <f>(OED18-ODV18)/ODV18</f>
        <v>0.13401162364699606</v>
      </c>
      <c r="OEI18" s="436" t="s">
        <v>141</v>
      </c>
      <c r="OEJ18" s="448">
        <v>54850667.799999997</v>
      </c>
      <c r="OEK18" s="449"/>
      <c r="OEL18" s="448">
        <f>OEJ18+OEK18</f>
        <v>54850667.799999997</v>
      </c>
      <c r="OEM18" s="452"/>
      <c r="OEN18" s="452">
        <v>62201294.850000001</v>
      </c>
      <c r="OEO18" s="451">
        <f>60000000</f>
        <v>60000000</v>
      </c>
      <c r="OEP18" s="459"/>
      <c r="OEQ18" s="452"/>
      <c r="OER18" s="450">
        <v>0</v>
      </c>
      <c r="OES18" s="460"/>
      <c r="OET18" s="450">
        <f>OEN18+OEQ18</f>
        <v>62201294.850000001</v>
      </c>
      <c r="OEU18" s="454">
        <f>+OEO18+OER18</f>
        <v>60000000</v>
      </c>
      <c r="OEV18" s="461"/>
      <c r="OEW18" s="450"/>
      <c r="OEX18" s="594">
        <f>(OET18-OEL18)/OEL18</f>
        <v>0.13401162364699606</v>
      </c>
      <c r="OEY18" s="436" t="s">
        <v>141</v>
      </c>
      <c r="OEZ18" s="448">
        <v>54850667.799999997</v>
      </c>
      <c r="OFA18" s="449"/>
      <c r="OFB18" s="448">
        <f>OEZ18+OFA18</f>
        <v>54850667.799999997</v>
      </c>
      <c r="OFC18" s="452"/>
      <c r="OFD18" s="452">
        <v>62201294.850000001</v>
      </c>
      <c r="OFE18" s="451">
        <f>60000000</f>
        <v>60000000</v>
      </c>
      <c r="OFF18" s="459"/>
      <c r="OFG18" s="452"/>
      <c r="OFH18" s="450">
        <v>0</v>
      </c>
      <c r="OFI18" s="460"/>
      <c r="OFJ18" s="450">
        <f>OFD18+OFG18</f>
        <v>62201294.850000001</v>
      </c>
      <c r="OFK18" s="454">
        <f>+OFE18+OFH18</f>
        <v>60000000</v>
      </c>
      <c r="OFL18" s="461"/>
      <c r="OFM18" s="450"/>
      <c r="OFN18" s="594">
        <f>(OFJ18-OFB18)/OFB18</f>
        <v>0.13401162364699606</v>
      </c>
      <c r="OFO18" s="436" t="s">
        <v>141</v>
      </c>
      <c r="OFP18" s="448">
        <v>54850667.799999997</v>
      </c>
      <c r="OFQ18" s="449"/>
      <c r="OFR18" s="448">
        <f>OFP18+OFQ18</f>
        <v>54850667.799999997</v>
      </c>
      <c r="OFS18" s="452"/>
      <c r="OFT18" s="452">
        <v>62201294.850000001</v>
      </c>
      <c r="OFU18" s="451">
        <f>60000000</f>
        <v>60000000</v>
      </c>
      <c r="OFV18" s="459"/>
      <c r="OFW18" s="452"/>
      <c r="OFX18" s="450">
        <v>0</v>
      </c>
      <c r="OFY18" s="460"/>
      <c r="OFZ18" s="450">
        <f>OFT18+OFW18</f>
        <v>62201294.850000001</v>
      </c>
      <c r="OGA18" s="454">
        <f>+OFU18+OFX18</f>
        <v>60000000</v>
      </c>
      <c r="OGB18" s="461"/>
      <c r="OGC18" s="450"/>
      <c r="OGD18" s="594">
        <f>(OFZ18-OFR18)/OFR18</f>
        <v>0.13401162364699606</v>
      </c>
      <c r="OGE18" s="436" t="s">
        <v>141</v>
      </c>
      <c r="OGF18" s="448">
        <v>54850667.799999997</v>
      </c>
      <c r="OGG18" s="449"/>
      <c r="OGH18" s="448">
        <f>OGF18+OGG18</f>
        <v>54850667.799999997</v>
      </c>
      <c r="OGI18" s="452"/>
      <c r="OGJ18" s="452">
        <v>62201294.850000001</v>
      </c>
      <c r="OGK18" s="451">
        <f>60000000</f>
        <v>60000000</v>
      </c>
      <c r="OGL18" s="459"/>
      <c r="OGM18" s="452"/>
      <c r="OGN18" s="450">
        <v>0</v>
      </c>
      <c r="OGO18" s="460"/>
      <c r="OGP18" s="450">
        <f>OGJ18+OGM18</f>
        <v>62201294.850000001</v>
      </c>
      <c r="OGQ18" s="454">
        <f>+OGK18+OGN18</f>
        <v>60000000</v>
      </c>
      <c r="OGR18" s="461"/>
      <c r="OGS18" s="450"/>
      <c r="OGT18" s="594">
        <f>(OGP18-OGH18)/OGH18</f>
        <v>0.13401162364699606</v>
      </c>
      <c r="OGU18" s="436" t="s">
        <v>141</v>
      </c>
      <c r="OGV18" s="448">
        <v>54850667.799999997</v>
      </c>
      <c r="OGW18" s="449"/>
      <c r="OGX18" s="448">
        <f>OGV18+OGW18</f>
        <v>54850667.799999997</v>
      </c>
      <c r="OGY18" s="452"/>
      <c r="OGZ18" s="452">
        <v>62201294.850000001</v>
      </c>
      <c r="OHA18" s="451">
        <f>60000000</f>
        <v>60000000</v>
      </c>
      <c r="OHB18" s="459"/>
      <c r="OHC18" s="452"/>
      <c r="OHD18" s="450">
        <v>0</v>
      </c>
      <c r="OHE18" s="460"/>
      <c r="OHF18" s="450">
        <f>OGZ18+OHC18</f>
        <v>62201294.850000001</v>
      </c>
      <c r="OHG18" s="454">
        <f>+OHA18+OHD18</f>
        <v>60000000</v>
      </c>
      <c r="OHH18" s="461"/>
      <c r="OHI18" s="450"/>
      <c r="OHJ18" s="594">
        <f>(OHF18-OGX18)/OGX18</f>
        <v>0.13401162364699606</v>
      </c>
      <c r="OHK18" s="436" t="s">
        <v>141</v>
      </c>
      <c r="OHL18" s="448">
        <v>54850667.799999997</v>
      </c>
      <c r="OHM18" s="449"/>
      <c r="OHN18" s="448">
        <f>OHL18+OHM18</f>
        <v>54850667.799999997</v>
      </c>
      <c r="OHO18" s="452"/>
      <c r="OHP18" s="452">
        <v>62201294.850000001</v>
      </c>
      <c r="OHQ18" s="451">
        <f>60000000</f>
        <v>60000000</v>
      </c>
      <c r="OHR18" s="459"/>
      <c r="OHS18" s="452"/>
      <c r="OHT18" s="450">
        <v>0</v>
      </c>
      <c r="OHU18" s="460"/>
      <c r="OHV18" s="450">
        <f>OHP18+OHS18</f>
        <v>62201294.850000001</v>
      </c>
      <c r="OHW18" s="454">
        <f>+OHQ18+OHT18</f>
        <v>60000000</v>
      </c>
      <c r="OHX18" s="461"/>
      <c r="OHY18" s="450"/>
      <c r="OHZ18" s="594">
        <f>(OHV18-OHN18)/OHN18</f>
        <v>0.13401162364699606</v>
      </c>
      <c r="OIA18" s="436" t="s">
        <v>141</v>
      </c>
      <c r="OIB18" s="448">
        <v>54850667.799999997</v>
      </c>
      <c r="OIC18" s="449"/>
      <c r="OID18" s="448">
        <f>OIB18+OIC18</f>
        <v>54850667.799999997</v>
      </c>
      <c r="OIE18" s="452"/>
      <c r="OIF18" s="452">
        <v>62201294.850000001</v>
      </c>
      <c r="OIG18" s="451">
        <f>60000000</f>
        <v>60000000</v>
      </c>
      <c r="OIH18" s="459"/>
      <c r="OII18" s="452"/>
      <c r="OIJ18" s="450">
        <v>0</v>
      </c>
      <c r="OIK18" s="460"/>
      <c r="OIL18" s="450">
        <f>OIF18+OII18</f>
        <v>62201294.850000001</v>
      </c>
      <c r="OIM18" s="454">
        <f>+OIG18+OIJ18</f>
        <v>60000000</v>
      </c>
      <c r="OIN18" s="461"/>
      <c r="OIO18" s="450"/>
      <c r="OIP18" s="594">
        <f>(OIL18-OID18)/OID18</f>
        <v>0.13401162364699606</v>
      </c>
      <c r="OIQ18" s="436" t="s">
        <v>141</v>
      </c>
      <c r="OIR18" s="448">
        <v>54850667.799999997</v>
      </c>
      <c r="OIS18" s="449"/>
      <c r="OIT18" s="448">
        <f>OIR18+OIS18</f>
        <v>54850667.799999997</v>
      </c>
      <c r="OIU18" s="452"/>
      <c r="OIV18" s="452">
        <v>62201294.850000001</v>
      </c>
      <c r="OIW18" s="451">
        <f>60000000</f>
        <v>60000000</v>
      </c>
      <c r="OIX18" s="459"/>
      <c r="OIY18" s="452"/>
      <c r="OIZ18" s="450">
        <v>0</v>
      </c>
      <c r="OJA18" s="460"/>
      <c r="OJB18" s="450">
        <f>OIV18+OIY18</f>
        <v>62201294.850000001</v>
      </c>
      <c r="OJC18" s="454">
        <f>+OIW18+OIZ18</f>
        <v>60000000</v>
      </c>
      <c r="OJD18" s="461"/>
      <c r="OJE18" s="450"/>
      <c r="OJF18" s="594">
        <f>(OJB18-OIT18)/OIT18</f>
        <v>0.13401162364699606</v>
      </c>
      <c r="OJG18" s="436" t="s">
        <v>141</v>
      </c>
      <c r="OJH18" s="448">
        <v>54850667.799999997</v>
      </c>
      <c r="OJI18" s="449"/>
      <c r="OJJ18" s="448">
        <f>OJH18+OJI18</f>
        <v>54850667.799999997</v>
      </c>
      <c r="OJK18" s="452"/>
      <c r="OJL18" s="452">
        <v>62201294.850000001</v>
      </c>
      <c r="OJM18" s="451">
        <f>60000000</f>
        <v>60000000</v>
      </c>
      <c r="OJN18" s="459"/>
      <c r="OJO18" s="452"/>
      <c r="OJP18" s="450">
        <v>0</v>
      </c>
      <c r="OJQ18" s="460"/>
      <c r="OJR18" s="450">
        <f>OJL18+OJO18</f>
        <v>62201294.850000001</v>
      </c>
      <c r="OJS18" s="454">
        <f>+OJM18+OJP18</f>
        <v>60000000</v>
      </c>
      <c r="OJT18" s="461"/>
      <c r="OJU18" s="450"/>
      <c r="OJV18" s="594">
        <f>(OJR18-OJJ18)/OJJ18</f>
        <v>0.13401162364699606</v>
      </c>
      <c r="OJW18" s="436" t="s">
        <v>141</v>
      </c>
      <c r="OJX18" s="448">
        <v>54850667.799999997</v>
      </c>
      <c r="OJY18" s="449"/>
      <c r="OJZ18" s="448">
        <f>OJX18+OJY18</f>
        <v>54850667.799999997</v>
      </c>
      <c r="OKA18" s="452"/>
      <c r="OKB18" s="452">
        <v>62201294.850000001</v>
      </c>
      <c r="OKC18" s="451">
        <f>60000000</f>
        <v>60000000</v>
      </c>
      <c r="OKD18" s="459"/>
      <c r="OKE18" s="452"/>
      <c r="OKF18" s="450">
        <v>0</v>
      </c>
      <c r="OKG18" s="460"/>
      <c r="OKH18" s="450">
        <f>OKB18+OKE18</f>
        <v>62201294.850000001</v>
      </c>
      <c r="OKI18" s="454">
        <f>+OKC18+OKF18</f>
        <v>60000000</v>
      </c>
      <c r="OKJ18" s="461"/>
      <c r="OKK18" s="450"/>
      <c r="OKL18" s="594">
        <f>(OKH18-OJZ18)/OJZ18</f>
        <v>0.13401162364699606</v>
      </c>
      <c r="OKM18" s="436" t="s">
        <v>141</v>
      </c>
      <c r="OKN18" s="448">
        <v>54850667.799999997</v>
      </c>
      <c r="OKO18" s="449"/>
      <c r="OKP18" s="448">
        <f>OKN18+OKO18</f>
        <v>54850667.799999997</v>
      </c>
      <c r="OKQ18" s="452"/>
      <c r="OKR18" s="452">
        <v>62201294.850000001</v>
      </c>
      <c r="OKS18" s="451">
        <f>60000000</f>
        <v>60000000</v>
      </c>
      <c r="OKT18" s="459"/>
      <c r="OKU18" s="452"/>
      <c r="OKV18" s="450">
        <v>0</v>
      </c>
      <c r="OKW18" s="460"/>
      <c r="OKX18" s="450">
        <f>OKR18+OKU18</f>
        <v>62201294.850000001</v>
      </c>
      <c r="OKY18" s="454">
        <f>+OKS18+OKV18</f>
        <v>60000000</v>
      </c>
      <c r="OKZ18" s="461"/>
      <c r="OLA18" s="450"/>
      <c r="OLB18" s="594">
        <f>(OKX18-OKP18)/OKP18</f>
        <v>0.13401162364699606</v>
      </c>
      <c r="OLC18" s="436" t="s">
        <v>141</v>
      </c>
      <c r="OLD18" s="448">
        <v>54850667.799999997</v>
      </c>
      <c r="OLE18" s="449"/>
      <c r="OLF18" s="448">
        <f>OLD18+OLE18</f>
        <v>54850667.799999997</v>
      </c>
      <c r="OLG18" s="452"/>
      <c r="OLH18" s="452">
        <v>62201294.850000001</v>
      </c>
      <c r="OLI18" s="451">
        <f>60000000</f>
        <v>60000000</v>
      </c>
      <c r="OLJ18" s="459"/>
      <c r="OLK18" s="452"/>
      <c r="OLL18" s="450">
        <v>0</v>
      </c>
      <c r="OLM18" s="460"/>
      <c r="OLN18" s="450">
        <f>OLH18+OLK18</f>
        <v>62201294.850000001</v>
      </c>
      <c r="OLO18" s="454">
        <f>+OLI18+OLL18</f>
        <v>60000000</v>
      </c>
      <c r="OLP18" s="461"/>
      <c r="OLQ18" s="450"/>
      <c r="OLR18" s="594">
        <f>(OLN18-OLF18)/OLF18</f>
        <v>0.13401162364699606</v>
      </c>
      <c r="OLS18" s="436" t="s">
        <v>141</v>
      </c>
      <c r="OLT18" s="448">
        <v>54850667.799999997</v>
      </c>
      <c r="OLU18" s="449"/>
      <c r="OLV18" s="448">
        <f>OLT18+OLU18</f>
        <v>54850667.799999997</v>
      </c>
      <c r="OLW18" s="452"/>
      <c r="OLX18" s="452">
        <v>62201294.850000001</v>
      </c>
      <c r="OLY18" s="451">
        <f>60000000</f>
        <v>60000000</v>
      </c>
      <c r="OLZ18" s="459"/>
      <c r="OMA18" s="452"/>
      <c r="OMB18" s="450">
        <v>0</v>
      </c>
      <c r="OMC18" s="460"/>
      <c r="OMD18" s="450">
        <f>OLX18+OMA18</f>
        <v>62201294.850000001</v>
      </c>
      <c r="OME18" s="454">
        <f>+OLY18+OMB18</f>
        <v>60000000</v>
      </c>
      <c r="OMF18" s="461"/>
      <c r="OMG18" s="450"/>
      <c r="OMH18" s="594">
        <f>(OMD18-OLV18)/OLV18</f>
        <v>0.13401162364699606</v>
      </c>
      <c r="OMI18" s="436" t="s">
        <v>141</v>
      </c>
      <c r="OMJ18" s="448">
        <v>54850667.799999997</v>
      </c>
      <c r="OMK18" s="449"/>
      <c r="OML18" s="448">
        <f>OMJ18+OMK18</f>
        <v>54850667.799999997</v>
      </c>
      <c r="OMM18" s="452"/>
      <c r="OMN18" s="452">
        <v>62201294.850000001</v>
      </c>
      <c r="OMO18" s="451">
        <f>60000000</f>
        <v>60000000</v>
      </c>
      <c r="OMP18" s="459"/>
      <c r="OMQ18" s="452"/>
      <c r="OMR18" s="450">
        <v>0</v>
      </c>
      <c r="OMS18" s="460"/>
      <c r="OMT18" s="450">
        <f>OMN18+OMQ18</f>
        <v>62201294.850000001</v>
      </c>
      <c r="OMU18" s="454">
        <f>+OMO18+OMR18</f>
        <v>60000000</v>
      </c>
      <c r="OMV18" s="461"/>
      <c r="OMW18" s="450"/>
      <c r="OMX18" s="594">
        <f>(OMT18-OML18)/OML18</f>
        <v>0.13401162364699606</v>
      </c>
      <c r="OMY18" s="436" t="s">
        <v>141</v>
      </c>
      <c r="OMZ18" s="448">
        <v>54850667.799999997</v>
      </c>
      <c r="ONA18" s="449"/>
      <c r="ONB18" s="448">
        <f>OMZ18+ONA18</f>
        <v>54850667.799999997</v>
      </c>
      <c r="ONC18" s="452"/>
      <c r="OND18" s="452">
        <v>62201294.850000001</v>
      </c>
      <c r="ONE18" s="451">
        <f>60000000</f>
        <v>60000000</v>
      </c>
      <c r="ONF18" s="459"/>
      <c r="ONG18" s="452"/>
      <c r="ONH18" s="450">
        <v>0</v>
      </c>
      <c r="ONI18" s="460"/>
      <c r="ONJ18" s="450">
        <f>OND18+ONG18</f>
        <v>62201294.850000001</v>
      </c>
      <c r="ONK18" s="454">
        <f>+ONE18+ONH18</f>
        <v>60000000</v>
      </c>
      <c r="ONL18" s="461"/>
      <c r="ONM18" s="450"/>
      <c r="ONN18" s="594">
        <f>(ONJ18-ONB18)/ONB18</f>
        <v>0.13401162364699606</v>
      </c>
      <c r="ONO18" s="436" t="s">
        <v>141</v>
      </c>
      <c r="ONP18" s="448">
        <v>54850667.799999997</v>
      </c>
      <c r="ONQ18" s="449"/>
      <c r="ONR18" s="448">
        <f>ONP18+ONQ18</f>
        <v>54850667.799999997</v>
      </c>
      <c r="ONS18" s="452"/>
      <c r="ONT18" s="452">
        <v>62201294.850000001</v>
      </c>
      <c r="ONU18" s="451">
        <f>60000000</f>
        <v>60000000</v>
      </c>
      <c r="ONV18" s="459"/>
      <c r="ONW18" s="452"/>
      <c r="ONX18" s="450">
        <v>0</v>
      </c>
      <c r="ONY18" s="460"/>
      <c r="ONZ18" s="450">
        <f>ONT18+ONW18</f>
        <v>62201294.850000001</v>
      </c>
      <c r="OOA18" s="454">
        <f>+ONU18+ONX18</f>
        <v>60000000</v>
      </c>
      <c r="OOB18" s="461"/>
      <c r="OOC18" s="450"/>
      <c r="OOD18" s="594">
        <f>(ONZ18-ONR18)/ONR18</f>
        <v>0.13401162364699606</v>
      </c>
      <c r="OOE18" s="436" t="s">
        <v>141</v>
      </c>
      <c r="OOF18" s="448">
        <v>54850667.799999997</v>
      </c>
      <c r="OOG18" s="449"/>
      <c r="OOH18" s="448">
        <f>OOF18+OOG18</f>
        <v>54850667.799999997</v>
      </c>
      <c r="OOI18" s="452"/>
      <c r="OOJ18" s="452">
        <v>62201294.850000001</v>
      </c>
      <c r="OOK18" s="451">
        <f>60000000</f>
        <v>60000000</v>
      </c>
      <c r="OOL18" s="459"/>
      <c r="OOM18" s="452"/>
      <c r="OON18" s="450">
        <v>0</v>
      </c>
      <c r="OOO18" s="460"/>
      <c r="OOP18" s="450">
        <f>OOJ18+OOM18</f>
        <v>62201294.850000001</v>
      </c>
      <c r="OOQ18" s="454">
        <f>+OOK18+OON18</f>
        <v>60000000</v>
      </c>
      <c r="OOR18" s="461"/>
      <c r="OOS18" s="450"/>
      <c r="OOT18" s="594">
        <f>(OOP18-OOH18)/OOH18</f>
        <v>0.13401162364699606</v>
      </c>
      <c r="OOU18" s="436" t="s">
        <v>141</v>
      </c>
      <c r="OOV18" s="448">
        <v>54850667.799999997</v>
      </c>
      <c r="OOW18" s="449"/>
      <c r="OOX18" s="448">
        <f>OOV18+OOW18</f>
        <v>54850667.799999997</v>
      </c>
      <c r="OOY18" s="452"/>
      <c r="OOZ18" s="452">
        <v>62201294.850000001</v>
      </c>
      <c r="OPA18" s="451">
        <f>60000000</f>
        <v>60000000</v>
      </c>
      <c r="OPB18" s="459"/>
      <c r="OPC18" s="452"/>
      <c r="OPD18" s="450">
        <v>0</v>
      </c>
      <c r="OPE18" s="460"/>
      <c r="OPF18" s="450">
        <f>OOZ18+OPC18</f>
        <v>62201294.850000001</v>
      </c>
      <c r="OPG18" s="454">
        <f>+OPA18+OPD18</f>
        <v>60000000</v>
      </c>
      <c r="OPH18" s="461"/>
      <c r="OPI18" s="450"/>
      <c r="OPJ18" s="594">
        <f>(OPF18-OOX18)/OOX18</f>
        <v>0.13401162364699606</v>
      </c>
      <c r="OPK18" s="436" t="s">
        <v>141</v>
      </c>
      <c r="OPL18" s="448">
        <v>54850667.799999997</v>
      </c>
      <c r="OPM18" s="449"/>
      <c r="OPN18" s="448">
        <f>OPL18+OPM18</f>
        <v>54850667.799999997</v>
      </c>
      <c r="OPO18" s="452"/>
      <c r="OPP18" s="452">
        <v>62201294.850000001</v>
      </c>
      <c r="OPQ18" s="451">
        <f>60000000</f>
        <v>60000000</v>
      </c>
      <c r="OPR18" s="459"/>
      <c r="OPS18" s="452"/>
      <c r="OPT18" s="450">
        <v>0</v>
      </c>
      <c r="OPU18" s="460"/>
      <c r="OPV18" s="450">
        <f>OPP18+OPS18</f>
        <v>62201294.850000001</v>
      </c>
      <c r="OPW18" s="454">
        <f>+OPQ18+OPT18</f>
        <v>60000000</v>
      </c>
      <c r="OPX18" s="461"/>
      <c r="OPY18" s="450"/>
      <c r="OPZ18" s="594">
        <f>(OPV18-OPN18)/OPN18</f>
        <v>0.13401162364699606</v>
      </c>
      <c r="OQA18" s="436" t="s">
        <v>141</v>
      </c>
      <c r="OQB18" s="448">
        <v>54850667.799999997</v>
      </c>
      <c r="OQC18" s="449"/>
      <c r="OQD18" s="448">
        <f>OQB18+OQC18</f>
        <v>54850667.799999997</v>
      </c>
      <c r="OQE18" s="452"/>
      <c r="OQF18" s="452">
        <v>62201294.850000001</v>
      </c>
      <c r="OQG18" s="451">
        <f>60000000</f>
        <v>60000000</v>
      </c>
      <c r="OQH18" s="459"/>
      <c r="OQI18" s="452"/>
      <c r="OQJ18" s="450">
        <v>0</v>
      </c>
      <c r="OQK18" s="460"/>
      <c r="OQL18" s="450">
        <f>OQF18+OQI18</f>
        <v>62201294.850000001</v>
      </c>
      <c r="OQM18" s="454">
        <f>+OQG18+OQJ18</f>
        <v>60000000</v>
      </c>
      <c r="OQN18" s="461"/>
      <c r="OQO18" s="450"/>
      <c r="OQP18" s="594">
        <f>(OQL18-OQD18)/OQD18</f>
        <v>0.13401162364699606</v>
      </c>
      <c r="OQQ18" s="436" t="s">
        <v>141</v>
      </c>
      <c r="OQR18" s="448">
        <v>54850667.799999997</v>
      </c>
      <c r="OQS18" s="449"/>
      <c r="OQT18" s="448">
        <f>OQR18+OQS18</f>
        <v>54850667.799999997</v>
      </c>
      <c r="OQU18" s="452"/>
      <c r="OQV18" s="452">
        <v>62201294.850000001</v>
      </c>
      <c r="OQW18" s="451">
        <f>60000000</f>
        <v>60000000</v>
      </c>
      <c r="OQX18" s="459"/>
      <c r="OQY18" s="452"/>
      <c r="OQZ18" s="450">
        <v>0</v>
      </c>
      <c r="ORA18" s="460"/>
      <c r="ORB18" s="450">
        <f>OQV18+OQY18</f>
        <v>62201294.850000001</v>
      </c>
      <c r="ORC18" s="454">
        <f>+OQW18+OQZ18</f>
        <v>60000000</v>
      </c>
      <c r="ORD18" s="461"/>
      <c r="ORE18" s="450"/>
      <c r="ORF18" s="594">
        <f>(ORB18-OQT18)/OQT18</f>
        <v>0.13401162364699606</v>
      </c>
      <c r="ORG18" s="436" t="s">
        <v>141</v>
      </c>
      <c r="ORH18" s="448">
        <v>54850667.799999997</v>
      </c>
      <c r="ORI18" s="449"/>
      <c r="ORJ18" s="448">
        <f>ORH18+ORI18</f>
        <v>54850667.799999997</v>
      </c>
      <c r="ORK18" s="452"/>
      <c r="ORL18" s="452">
        <v>62201294.850000001</v>
      </c>
      <c r="ORM18" s="451">
        <f>60000000</f>
        <v>60000000</v>
      </c>
      <c r="ORN18" s="459"/>
      <c r="ORO18" s="452"/>
      <c r="ORP18" s="450">
        <v>0</v>
      </c>
      <c r="ORQ18" s="460"/>
      <c r="ORR18" s="450">
        <f>ORL18+ORO18</f>
        <v>62201294.850000001</v>
      </c>
      <c r="ORS18" s="454">
        <f>+ORM18+ORP18</f>
        <v>60000000</v>
      </c>
      <c r="ORT18" s="461"/>
      <c r="ORU18" s="450"/>
      <c r="ORV18" s="594">
        <f>(ORR18-ORJ18)/ORJ18</f>
        <v>0.13401162364699606</v>
      </c>
      <c r="ORW18" s="436" t="s">
        <v>141</v>
      </c>
      <c r="ORX18" s="448">
        <v>54850667.799999997</v>
      </c>
      <c r="ORY18" s="449"/>
      <c r="ORZ18" s="448">
        <f>ORX18+ORY18</f>
        <v>54850667.799999997</v>
      </c>
      <c r="OSA18" s="452"/>
      <c r="OSB18" s="452">
        <v>62201294.850000001</v>
      </c>
      <c r="OSC18" s="451">
        <f>60000000</f>
        <v>60000000</v>
      </c>
      <c r="OSD18" s="459"/>
      <c r="OSE18" s="452"/>
      <c r="OSF18" s="450">
        <v>0</v>
      </c>
      <c r="OSG18" s="460"/>
      <c r="OSH18" s="450">
        <f>OSB18+OSE18</f>
        <v>62201294.850000001</v>
      </c>
      <c r="OSI18" s="454">
        <f>+OSC18+OSF18</f>
        <v>60000000</v>
      </c>
      <c r="OSJ18" s="461"/>
      <c r="OSK18" s="450"/>
      <c r="OSL18" s="594">
        <f>(OSH18-ORZ18)/ORZ18</f>
        <v>0.13401162364699606</v>
      </c>
      <c r="OSM18" s="436" t="s">
        <v>141</v>
      </c>
      <c r="OSN18" s="448">
        <v>54850667.799999997</v>
      </c>
      <c r="OSO18" s="449"/>
      <c r="OSP18" s="448">
        <f>OSN18+OSO18</f>
        <v>54850667.799999997</v>
      </c>
      <c r="OSQ18" s="452"/>
      <c r="OSR18" s="452">
        <v>62201294.850000001</v>
      </c>
      <c r="OSS18" s="451">
        <f>60000000</f>
        <v>60000000</v>
      </c>
      <c r="OST18" s="459"/>
      <c r="OSU18" s="452"/>
      <c r="OSV18" s="450">
        <v>0</v>
      </c>
      <c r="OSW18" s="460"/>
      <c r="OSX18" s="450">
        <f>OSR18+OSU18</f>
        <v>62201294.850000001</v>
      </c>
      <c r="OSY18" s="454">
        <f>+OSS18+OSV18</f>
        <v>60000000</v>
      </c>
      <c r="OSZ18" s="461"/>
      <c r="OTA18" s="450"/>
      <c r="OTB18" s="594">
        <f>(OSX18-OSP18)/OSP18</f>
        <v>0.13401162364699606</v>
      </c>
      <c r="OTC18" s="436" t="s">
        <v>141</v>
      </c>
      <c r="OTD18" s="448">
        <v>54850667.799999997</v>
      </c>
      <c r="OTE18" s="449"/>
      <c r="OTF18" s="448">
        <f>OTD18+OTE18</f>
        <v>54850667.799999997</v>
      </c>
      <c r="OTG18" s="452"/>
      <c r="OTH18" s="452">
        <v>62201294.850000001</v>
      </c>
      <c r="OTI18" s="451">
        <f>60000000</f>
        <v>60000000</v>
      </c>
      <c r="OTJ18" s="459"/>
      <c r="OTK18" s="452"/>
      <c r="OTL18" s="450">
        <v>0</v>
      </c>
      <c r="OTM18" s="460"/>
      <c r="OTN18" s="450">
        <f>OTH18+OTK18</f>
        <v>62201294.850000001</v>
      </c>
      <c r="OTO18" s="454">
        <f>+OTI18+OTL18</f>
        <v>60000000</v>
      </c>
      <c r="OTP18" s="461"/>
      <c r="OTQ18" s="450"/>
      <c r="OTR18" s="594">
        <f>(OTN18-OTF18)/OTF18</f>
        <v>0.13401162364699606</v>
      </c>
      <c r="OTS18" s="436" t="s">
        <v>141</v>
      </c>
      <c r="OTT18" s="448">
        <v>54850667.799999997</v>
      </c>
      <c r="OTU18" s="449"/>
      <c r="OTV18" s="448">
        <f>OTT18+OTU18</f>
        <v>54850667.799999997</v>
      </c>
      <c r="OTW18" s="452"/>
      <c r="OTX18" s="452">
        <v>62201294.850000001</v>
      </c>
      <c r="OTY18" s="451">
        <f>60000000</f>
        <v>60000000</v>
      </c>
      <c r="OTZ18" s="459"/>
      <c r="OUA18" s="452"/>
      <c r="OUB18" s="450">
        <v>0</v>
      </c>
      <c r="OUC18" s="460"/>
      <c r="OUD18" s="450">
        <f>OTX18+OUA18</f>
        <v>62201294.850000001</v>
      </c>
      <c r="OUE18" s="454">
        <f>+OTY18+OUB18</f>
        <v>60000000</v>
      </c>
      <c r="OUF18" s="461"/>
      <c r="OUG18" s="450"/>
      <c r="OUH18" s="594">
        <f>(OUD18-OTV18)/OTV18</f>
        <v>0.13401162364699606</v>
      </c>
      <c r="OUI18" s="436" t="s">
        <v>141</v>
      </c>
      <c r="OUJ18" s="448">
        <v>54850667.799999997</v>
      </c>
      <c r="OUK18" s="449"/>
      <c r="OUL18" s="448">
        <f>OUJ18+OUK18</f>
        <v>54850667.799999997</v>
      </c>
      <c r="OUM18" s="452"/>
      <c r="OUN18" s="452">
        <v>62201294.850000001</v>
      </c>
      <c r="OUO18" s="451">
        <f>60000000</f>
        <v>60000000</v>
      </c>
      <c r="OUP18" s="459"/>
      <c r="OUQ18" s="452"/>
      <c r="OUR18" s="450">
        <v>0</v>
      </c>
      <c r="OUS18" s="460"/>
      <c r="OUT18" s="450">
        <f>OUN18+OUQ18</f>
        <v>62201294.850000001</v>
      </c>
      <c r="OUU18" s="454">
        <f>+OUO18+OUR18</f>
        <v>60000000</v>
      </c>
      <c r="OUV18" s="461"/>
      <c r="OUW18" s="450"/>
      <c r="OUX18" s="594">
        <f>(OUT18-OUL18)/OUL18</f>
        <v>0.13401162364699606</v>
      </c>
      <c r="OUY18" s="436" t="s">
        <v>141</v>
      </c>
      <c r="OUZ18" s="448">
        <v>54850667.799999997</v>
      </c>
      <c r="OVA18" s="449"/>
      <c r="OVB18" s="448">
        <f>OUZ18+OVA18</f>
        <v>54850667.799999997</v>
      </c>
      <c r="OVC18" s="452"/>
      <c r="OVD18" s="452">
        <v>62201294.850000001</v>
      </c>
      <c r="OVE18" s="451">
        <f>60000000</f>
        <v>60000000</v>
      </c>
      <c r="OVF18" s="459"/>
      <c r="OVG18" s="452"/>
      <c r="OVH18" s="450">
        <v>0</v>
      </c>
      <c r="OVI18" s="460"/>
      <c r="OVJ18" s="450">
        <f>OVD18+OVG18</f>
        <v>62201294.850000001</v>
      </c>
      <c r="OVK18" s="454">
        <f>+OVE18+OVH18</f>
        <v>60000000</v>
      </c>
      <c r="OVL18" s="461"/>
      <c r="OVM18" s="450"/>
      <c r="OVN18" s="594">
        <f>(OVJ18-OVB18)/OVB18</f>
        <v>0.13401162364699606</v>
      </c>
      <c r="OVO18" s="436" t="s">
        <v>141</v>
      </c>
      <c r="OVP18" s="448">
        <v>54850667.799999997</v>
      </c>
      <c r="OVQ18" s="449"/>
      <c r="OVR18" s="448">
        <f>OVP18+OVQ18</f>
        <v>54850667.799999997</v>
      </c>
      <c r="OVS18" s="452"/>
      <c r="OVT18" s="452">
        <v>62201294.850000001</v>
      </c>
      <c r="OVU18" s="451">
        <f>60000000</f>
        <v>60000000</v>
      </c>
      <c r="OVV18" s="459"/>
      <c r="OVW18" s="452"/>
      <c r="OVX18" s="450">
        <v>0</v>
      </c>
      <c r="OVY18" s="460"/>
      <c r="OVZ18" s="450">
        <f>OVT18+OVW18</f>
        <v>62201294.850000001</v>
      </c>
      <c r="OWA18" s="454">
        <f>+OVU18+OVX18</f>
        <v>60000000</v>
      </c>
      <c r="OWB18" s="461"/>
      <c r="OWC18" s="450"/>
      <c r="OWD18" s="594">
        <f>(OVZ18-OVR18)/OVR18</f>
        <v>0.13401162364699606</v>
      </c>
      <c r="OWE18" s="436" t="s">
        <v>141</v>
      </c>
      <c r="OWF18" s="448">
        <v>54850667.799999997</v>
      </c>
      <c r="OWG18" s="449"/>
      <c r="OWH18" s="448">
        <f>OWF18+OWG18</f>
        <v>54850667.799999997</v>
      </c>
      <c r="OWI18" s="452"/>
      <c r="OWJ18" s="452">
        <v>62201294.850000001</v>
      </c>
      <c r="OWK18" s="451">
        <f>60000000</f>
        <v>60000000</v>
      </c>
      <c r="OWL18" s="459"/>
      <c r="OWM18" s="452"/>
      <c r="OWN18" s="450">
        <v>0</v>
      </c>
      <c r="OWO18" s="460"/>
      <c r="OWP18" s="450">
        <f>OWJ18+OWM18</f>
        <v>62201294.850000001</v>
      </c>
      <c r="OWQ18" s="454">
        <f>+OWK18+OWN18</f>
        <v>60000000</v>
      </c>
      <c r="OWR18" s="461"/>
      <c r="OWS18" s="450"/>
      <c r="OWT18" s="594">
        <f>(OWP18-OWH18)/OWH18</f>
        <v>0.13401162364699606</v>
      </c>
      <c r="OWU18" s="436" t="s">
        <v>141</v>
      </c>
      <c r="OWV18" s="448">
        <v>54850667.799999997</v>
      </c>
      <c r="OWW18" s="449"/>
      <c r="OWX18" s="448">
        <f>OWV18+OWW18</f>
        <v>54850667.799999997</v>
      </c>
      <c r="OWY18" s="452"/>
      <c r="OWZ18" s="452">
        <v>62201294.850000001</v>
      </c>
      <c r="OXA18" s="451">
        <f>60000000</f>
        <v>60000000</v>
      </c>
      <c r="OXB18" s="459"/>
      <c r="OXC18" s="452"/>
      <c r="OXD18" s="450">
        <v>0</v>
      </c>
      <c r="OXE18" s="460"/>
      <c r="OXF18" s="450">
        <f>OWZ18+OXC18</f>
        <v>62201294.850000001</v>
      </c>
      <c r="OXG18" s="454">
        <f>+OXA18+OXD18</f>
        <v>60000000</v>
      </c>
      <c r="OXH18" s="461"/>
      <c r="OXI18" s="450"/>
      <c r="OXJ18" s="594">
        <f>(OXF18-OWX18)/OWX18</f>
        <v>0.13401162364699606</v>
      </c>
      <c r="OXK18" s="436" t="s">
        <v>141</v>
      </c>
      <c r="OXL18" s="448">
        <v>54850667.799999997</v>
      </c>
      <c r="OXM18" s="449"/>
      <c r="OXN18" s="448">
        <f>OXL18+OXM18</f>
        <v>54850667.799999997</v>
      </c>
      <c r="OXO18" s="452"/>
      <c r="OXP18" s="452">
        <v>62201294.850000001</v>
      </c>
      <c r="OXQ18" s="451">
        <f>60000000</f>
        <v>60000000</v>
      </c>
      <c r="OXR18" s="459"/>
      <c r="OXS18" s="452"/>
      <c r="OXT18" s="450">
        <v>0</v>
      </c>
      <c r="OXU18" s="460"/>
      <c r="OXV18" s="450">
        <f>OXP18+OXS18</f>
        <v>62201294.850000001</v>
      </c>
      <c r="OXW18" s="454">
        <f>+OXQ18+OXT18</f>
        <v>60000000</v>
      </c>
      <c r="OXX18" s="461"/>
      <c r="OXY18" s="450"/>
      <c r="OXZ18" s="594">
        <f>(OXV18-OXN18)/OXN18</f>
        <v>0.13401162364699606</v>
      </c>
      <c r="OYA18" s="436" t="s">
        <v>141</v>
      </c>
      <c r="OYB18" s="448">
        <v>54850667.799999997</v>
      </c>
      <c r="OYC18" s="449"/>
      <c r="OYD18" s="448">
        <f>OYB18+OYC18</f>
        <v>54850667.799999997</v>
      </c>
      <c r="OYE18" s="452"/>
      <c r="OYF18" s="452">
        <v>62201294.850000001</v>
      </c>
      <c r="OYG18" s="451">
        <f>60000000</f>
        <v>60000000</v>
      </c>
      <c r="OYH18" s="459"/>
      <c r="OYI18" s="452"/>
      <c r="OYJ18" s="450">
        <v>0</v>
      </c>
      <c r="OYK18" s="460"/>
      <c r="OYL18" s="450">
        <f>OYF18+OYI18</f>
        <v>62201294.850000001</v>
      </c>
      <c r="OYM18" s="454">
        <f>+OYG18+OYJ18</f>
        <v>60000000</v>
      </c>
      <c r="OYN18" s="461"/>
      <c r="OYO18" s="450"/>
      <c r="OYP18" s="594">
        <f>(OYL18-OYD18)/OYD18</f>
        <v>0.13401162364699606</v>
      </c>
      <c r="OYQ18" s="436" t="s">
        <v>141</v>
      </c>
      <c r="OYR18" s="448">
        <v>54850667.799999997</v>
      </c>
      <c r="OYS18" s="449"/>
      <c r="OYT18" s="448">
        <f>OYR18+OYS18</f>
        <v>54850667.799999997</v>
      </c>
      <c r="OYU18" s="452"/>
      <c r="OYV18" s="452">
        <v>62201294.850000001</v>
      </c>
      <c r="OYW18" s="451">
        <f>60000000</f>
        <v>60000000</v>
      </c>
      <c r="OYX18" s="459"/>
      <c r="OYY18" s="452"/>
      <c r="OYZ18" s="450">
        <v>0</v>
      </c>
      <c r="OZA18" s="460"/>
      <c r="OZB18" s="450">
        <f>OYV18+OYY18</f>
        <v>62201294.850000001</v>
      </c>
      <c r="OZC18" s="454">
        <f>+OYW18+OYZ18</f>
        <v>60000000</v>
      </c>
      <c r="OZD18" s="461"/>
      <c r="OZE18" s="450"/>
      <c r="OZF18" s="594">
        <f>(OZB18-OYT18)/OYT18</f>
        <v>0.13401162364699606</v>
      </c>
      <c r="OZG18" s="436" t="s">
        <v>141</v>
      </c>
      <c r="OZH18" s="448">
        <v>54850667.799999997</v>
      </c>
      <c r="OZI18" s="449"/>
      <c r="OZJ18" s="448">
        <f>OZH18+OZI18</f>
        <v>54850667.799999997</v>
      </c>
      <c r="OZK18" s="452"/>
      <c r="OZL18" s="452">
        <v>62201294.850000001</v>
      </c>
      <c r="OZM18" s="451">
        <f>60000000</f>
        <v>60000000</v>
      </c>
      <c r="OZN18" s="459"/>
      <c r="OZO18" s="452"/>
      <c r="OZP18" s="450">
        <v>0</v>
      </c>
      <c r="OZQ18" s="460"/>
      <c r="OZR18" s="450">
        <f>OZL18+OZO18</f>
        <v>62201294.850000001</v>
      </c>
      <c r="OZS18" s="454">
        <f>+OZM18+OZP18</f>
        <v>60000000</v>
      </c>
      <c r="OZT18" s="461"/>
      <c r="OZU18" s="450"/>
      <c r="OZV18" s="594">
        <f>(OZR18-OZJ18)/OZJ18</f>
        <v>0.13401162364699606</v>
      </c>
      <c r="OZW18" s="436" t="s">
        <v>141</v>
      </c>
      <c r="OZX18" s="448">
        <v>54850667.799999997</v>
      </c>
      <c r="OZY18" s="449"/>
      <c r="OZZ18" s="448">
        <f>OZX18+OZY18</f>
        <v>54850667.799999997</v>
      </c>
      <c r="PAA18" s="452"/>
      <c r="PAB18" s="452">
        <v>62201294.850000001</v>
      </c>
      <c r="PAC18" s="451">
        <f>60000000</f>
        <v>60000000</v>
      </c>
      <c r="PAD18" s="459"/>
      <c r="PAE18" s="452"/>
      <c r="PAF18" s="450">
        <v>0</v>
      </c>
      <c r="PAG18" s="460"/>
      <c r="PAH18" s="450">
        <f>PAB18+PAE18</f>
        <v>62201294.850000001</v>
      </c>
      <c r="PAI18" s="454">
        <f>+PAC18+PAF18</f>
        <v>60000000</v>
      </c>
      <c r="PAJ18" s="461"/>
      <c r="PAK18" s="450"/>
      <c r="PAL18" s="594">
        <f>(PAH18-OZZ18)/OZZ18</f>
        <v>0.13401162364699606</v>
      </c>
      <c r="PAM18" s="436" t="s">
        <v>141</v>
      </c>
      <c r="PAN18" s="448">
        <v>54850667.799999997</v>
      </c>
      <c r="PAO18" s="449"/>
      <c r="PAP18" s="448">
        <f>PAN18+PAO18</f>
        <v>54850667.799999997</v>
      </c>
      <c r="PAQ18" s="452"/>
      <c r="PAR18" s="452">
        <v>62201294.850000001</v>
      </c>
      <c r="PAS18" s="451">
        <f>60000000</f>
        <v>60000000</v>
      </c>
      <c r="PAT18" s="459"/>
      <c r="PAU18" s="452"/>
      <c r="PAV18" s="450">
        <v>0</v>
      </c>
      <c r="PAW18" s="460"/>
      <c r="PAX18" s="450">
        <f>PAR18+PAU18</f>
        <v>62201294.850000001</v>
      </c>
      <c r="PAY18" s="454">
        <f>+PAS18+PAV18</f>
        <v>60000000</v>
      </c>
      <c r="PAZ18" s="461"/>
      <c r="PBA18" s="450"/>
      <c r="PBB18" s="594">
        <f>(PAX18-PAP18)/PAP18</f>
        <v>0.13401162364699606</v>
      </c>
      <c r="PBC18" s="436" t="s">
        <v>141</v>
      </c>
      <c r="PBD18" s="448">
        <v>54850667.799999997</v>
      </c>
      <c r="PBE18" s="449"/>
      <c r="PBF18" s="448">
        <f>PBD18+PBE18</f>
        <v>54850667.799999997</v>
      </c>
      <c r="PBG18" s="452"/>
      <c r="PBH18" s="452">
        <v>62201294.850000001</v>
      </c>
      <c r="PBI18" s="451">
        <f>60000000</f>
        <v>60000000</v>
      </c>
      <c r="PBJ18" s="459"/>
      <c r="PBK18" s="452"/>
      <c r="PBL18" s="450">
        <v>0</v>
      </c>
      <c r="PBM18" s="460"/>
      <c r="PBN18" s="450">
        <f>PBH18+PBK18</f>
        <v>62201294.850000001</v>
      </c>
      <c r="PBO18" s="454">
        <f>+PBI18+PBL18</f>
        <v>60000000</v>
      </c>
      <c r="PBP18" s="461"/>
      <c r="PBQ18" s="450"/>
      <c r="PBR18" s="594">
        <f>(PBN18-PBF18)/PBF18</f>
        <v>0.13401162364699606</v>
      </c>
      <c r="PBS18" s="436" t="s">
        <v>141</v>
      </c>
      <c r="PBT18" s="448">
        <v>54850667.799999997</v>
      </c>
      <c r="PBU18" s="449"/>
      <c r="PBV18" s="448">
        <f>PBT18+PBU18</f>
        <v>54850667.799999997</v>
      </c>
      <c r="PBW18" s="452"/>
      <c r="PBX18" s="452">
        <v>62201294.850000001</v>
      </c>
      <c r="PBY18" s="451">
        <f>60000000</f>
        <v>60000000</v>
      </c>
      <c r="PBZ18" s="459"/>
      <c r="PCA18" s="452"/>
      <c r="PCB18" s="450">
        <v>0</v>
      </c>
      <c r="PCC18" s="460"/>
      <c r="PCD18" s="450">
        <f>PBX18+PCA18</f>
        <v>62201294.850000001</v>
      </c>
      <c r="PCE18" s="454">
        <f>+PBY18+PCB18</f>
        <v>60000000</v>
      </c>
      <c r="PCF18" s="461"/>
      <c r="PCG18" s="450"/>
      <c r="PCH18" s="594">
        <f>(PCD18-PBV18)/PBV18</f>
        <v>0.13401162364699606</v>
      </c>
      <c r="PCI18" s="436" t="s">
        <v>141</v>
      </c>
      <c r="PCJ18" s="448">
        <v>54850667.799999997</v>
      </c>
      <c r="PCK18" s="449"/>
      <c r="PCL18" s="448">
        <f>PCJ18+PCK18</f>
        <v>54850667.799999997</v>
      </c>
      <c r="PCM18" s="452"/>
      <c r="PCN18" s="452">
        <v>62201294.850000001</v>
      </c>
      <c r="PCO18" s="451">
        <f>60000000</f>
        <v>60000000</v>
      </c>
      <c r="PCP18" s="459"/>
      <c r="PCQ18" s="452"/>
      <c r="PCR18" s="450">
        <v>0</v>
      </c>
      <c r="PCS18" s="460"/>
      <c r="PCT18" s="450">
        <f>PCN18+PCQ18</f>
        <v>62201294.850000001</v>
      </c>
      <c r="PCU18" s="454">
        <f>+PCO18+PCR18</f>
        <v>60000000</v>
      </c>
      <c r="PCV18" s="461"/>
      <c r="PCW18" s="450"/>
      <c r="PCX18" s="594">
        <f>(PCT18-PCL18)/PCL18</f>
        <v>0.13401162364699606</v>
      </c>
      <c r="PCY18" s="436" t="s">
        <v>141</v>
      </c>
      <c r="PCZ18" s="448">
        <v>54850667.799999997</v>
      </c>
      <c r="PDA18" s="449"/>
      <c r="PDB18" s="448">
        <f>PCZ18+PDA18</f>
        <v>54850667.799999997</v>
      </c>
      <c r="PDC18" s="452"/>
      <c r="PDD18" s="452">
        <v>62201294.850000001</v>
      </c>
      <c r="PDE18" s="451">
        <f>60000000</f>
        <v>60000000</v>
      </c>
      <c r="PDF18" s="459"/>
      <c r="PDG18" s="452"/>
      <c r="PDH18" s="450">
        <v>0</v>
      </c>
      <c r="PDI18" s="460"/>
      <c r="PDJ18" s="450">
        <f>PDD18+PDG18</f>
        <v>62201294.850000001</v>
      </c>
      <c r="PDK18" s="454">
        <f>+PDE18+PDH18</f>
        <v>60000000</v>
      </c>
      <c r="PDL18" s="461"/>
      <c r="PDM18" s="450"/>
      <c r="PDN18" s="594">
        <f>(PDJ18-PDB18)/PDB18</f>
        <v>0.13401162364699606</v>
      </c>
      <c r="PDO18" s="436" t="s">
        <v>141</v>
      </c>
      <c r="PDP18" s="448">
        <v>54850667.799999997</v>
      </c>
      <c r="PDQ18" s="449"/>
      <c r="PDR18" s="448">
        <f>PDP18+PDQ18</f>
        <v>54850667.799999997</v>
      </c>
      <c r="PDS18" s="452"/>
      <c r="PDT18" s="452">
        <v>62201294.850000001</v>
      </c>
      <c r="PDU18" s="451">
        <f>60000000</f>
        <v>60000000</v>
      </c>
      <c r="PDV18" s="459"/>
      <c r="PDW18" s="452"/>
      <c r="PDX18" s="450">
        <v>0</v>
      </c>
      <c r="PDY18" s="460"/>
      <c r="PDZ18" s="450">
        <f>PDT18+PDW18</f>
        <v>62201294.850000001</v>
      </c>
      <c r="PEA18" s="454">
        <f>+PDU18+PDX18</f>
        <v>60000000</v>
      </c>
      <c r="PEB18" s="461"/>
      <c r="PEC18" s="450"/>
      <c r="PED18" s="594">
        <f>(PDZ18-PDR18)/PDR18</f>
        <v>0.13401162364699606</v>
      </c>
      <c r="PEE18" s="436" t="s">
        <v>141</v>
      </c>
      <c r="PEF18" s="448">
        <v>54850667.799999997</v>
      </c>
      <c r="PEG18" s="449"/>
      <c r="PEH18" s="448">
        <f>PEF18+PEG18</f>
        <v>54850667.799999997</v>
      </c>
      <c r="PEI18" s="452"/>
      <c r="PEJ18" s="452">
        <v>62201294.850000001</v>
      </c>
      <c r="PEK18" s="451">
        <f>60000000</f>
        <v>60000000</v>
      </c>
      <c r="PEL18" s="459"/>
      <c r="PEM18" s="452"/>
      <c r="PEN18" s="450">
        <v>0</v>
      </c>
      <c r="PEO18" s="460"/>
      <c r="PEP18" s="450">
        <f>PEJ18+PEM18</f>
        <v>62201294.850000001</v>
      </c>
      <c r="PEQ18" s="454">
        <f>+PEK18+PEN18</f>
        <v>60000000</v>
      </c>
      <c r="PER18" s="461"/>
      <c r="PES18" s="450"/>
      <c r="PET18" s="594">
        <f>(PEP18-PEH18)/PEH18</f>
        <v>0.13401162364699606</v>
      </c>
      <c r="PEU18" s="436" t="s">
        <v>141</v>
      </c>
      <c r="PEV18" s="448">
        <v>54850667.799999997</v>
      </c>
      <c r="PEW18" s="449"/>
      <c r="PEX18" s="448">
        <f>PEV18+PEW18</f>
        <v>54850667.799999997</v>
      </c>
      <c r="PEY18" s="452"/>
      <c r="PEZ18" s="452">
        <v>62201294.850000001</v>
      </c>
      <c r="PFA18" s="451">
        <f>60000000</f>
        <v>60000000</v>
      </c>
      <c r="PFB18" s="459"/>
      <c r="PFC18" s="452"/>
      <c r="PFD18" s="450">
        <v>0</v>
      </c>
      <c r="PFE18" s="460"/>
      <c r="PFF18" s="450">
        <f>PEZ18+PFC18</f>
        <v>62201294.850000001</v>
      </c>
      <c r="PFG18" s="454">
        <f>+PFA18+PFD18</f>
        <v>60000000</v>
      </c>
      <c r="PFH18" s="461"/>
      <c r="PFI18" s="450"/>
      <c r="PFJ18" s="594">
        <f>(PFF18-PEX18)/PEX18</f>
        <v>0.13401162364699606</v>
      </c>
      <c r="PFK18" s="436" t="s">
        <v>141</v>
      </c>
      <c r="PFL18" s="448">
        <v>54850667.799999997</v>
      </c>
      <c r="PFM18" s="449"/>
      <c r="PFN18" s="448">
        <f>PFL18+PFM18</f>
        <v>54850667.799999997</v>
      </c>
      <c r="PFO18" s="452"/>
      <c r="PFP18" s="452">
        <v>62201294.850000001</v>
      </c>
      <c r="PFQ18" s="451">
        <f>60000000</f>
        <v>60000000</v>
      </c>
      <c r="PFR18" s="459"/>
      <c r="PFS18" s="452"/>
      <c r="PFT18" s="450">
        <v>0</v>
      </c>
      <c r="PFU18" s="460"/>
      <c r="PFV18" s="450">
        <f>PFP18+PFS18</f>
        <v>62201294.850000001</v>
      </c>
      <c r="PFW18" s="454">
        <f>+PFQ18+PFT18</f>
        <v>60000000</v>
      </c>
      <c r="PFX18" s="461"/>
      <c r="PFY18" s="450"/>
      <c r="PFZ18" s="594">
        <f>(PFV18-PFN18)/PFN18</f>
        <v>0.13401162364699606</v>
      </c>
      <c r="PGA18" s="436" t="s">
        <v>141</v>
      </c>
      <c r="PGB18" s="448">
        <v>54850667.799999997</v>
      </c>
      <c r="PGC18" s="449"/>
      <c r="PGD18" s="448">
        <f>PGB18+PGC18</f>
        <v>54850667.799999997</v>
      </c>
      <c r="PGE18" s="452"/>
      <c r="PGF18" s="452">
        <v>62201294.850000001</v>
      </c>
      <c r="PGG18" s="451">
        <f>60000000</f>
        <v>60000000</v>
      </c>
      <c r="PGH18" s="459"/>
      <c r="PGI18" s="452"/>
      <c r="PGJ18" s="450">
        <v>0</v>
      </c>
      <c r="PGK18" s="460"/>
      <c r="PGL18" s="450">
        <f>PGF18+PGI18</f>
        <v>62201294.850000001</v>
      </c>
      <c r="PGM18" s="454">
        <f>+PGG18+PGJ18</f>
        <v>60000000</v>
      </c>
      <c r="PGN18" s="461"/>
      <c r="PGO18" s="450"/>
      <c r="PGP18" s="594">
        <f>(PGL18-PGD18)/PGD18</f>
        <v>0.13401162364699606</v>
      </c>
      <c r="PGQ18" s="436" t="s">
        <v>141</v>
      </c>
      <c r="PGR18" s="448">
        <v>54850667.799999997</v>
      </c>
      <c r="PGS18" s="449"/>
      <c r="PGT18" s="448">
        <f>PGR18+PGS18</f>
        <v>54850667.799999997</v>
      </c>
      <c r="PGU18" s="452"/>
      <c r="PGV18" s="452">
        <v>62201294.850000001</v>
      </c>
      <c r="PGW18" s="451">
        <f>60000000</f>
        <v>60000000</v>
      </c>
      <c r="PGX18" s="459"/>
      <c r="PGY18" s="452"/>
      <c r="PGZ18" s="450">
        <v>0</v>
      </c>
      <c r="PHA18" s="460"/>
      <c r="PHB18" s="450">
        <f>PGV18+PGY18</f>
        <v>62201294.850000001</v>
      </c>
      <c r="PHC18" s="454">
        <f>+PGW18+PGZ18</f>
        <v>60000000</v>
      </c>
      <c r="PHD18" s="461"/>
      <c r="PHE18" s="450"/>
      <c r="PHF18" s="594">
        <f>(PHB18-PGT18)/PGT18</f>
        <v>0.13401162364699606</v>
      </c>
      <c r="PHG18" s="436" t="s">
        <v>141</v>
      </c>
      <c r="PHH18" s="448">
        <v>54850667.799999997</v>
      </c>
      <c r="PHI18" s="449"/>
      <c r="PHJ18" s="448">
        <f>PHH18+PHI18</f>
        <v>54850667.799999997</v>
      </c>
      <c r="PHK18" s="452"/>
      <c r="PHL18" s="452">
        <v>62201294.850000001</v>
      </c>
      <c r="PHM18" s="451">
        <f>60000000</f>
        <v>60000000</v>
      </c>
      <c r="PHN18" s="459"/>
      <c r="PHO18" s="452"/>
      <c r="PHP18" s="450">
        <v>0</v>
      </c>
      <c r="PHQ18" s="460"/>
      <c r="PHR18" s="450">
        <f>PHL18+PHO18</f>
        <v>62201294.850000001</v>
      </c>
      <c r="PHS18" s="454">
        <f>+PHM18+PHP18</f>
        <v>60000000</v>
      </c>
      <c r="PHT18" s="461"/>
      <c r="PHU18" s="450"/>
      <c r="PHV18" s="594">
        <f>(PHR18-PHJ18)/PHJ18</f>
        <v>0.13401162364699606</v>
      </c>
      <c r="PHW18" s="436" t="s">
        <v>141</v>
      </c>
      <c r="PHX18" s="448">
        <v>54850667.799999997</v>
      </c>
      <c r="PHY18" s="449"/>
      <c r="PHZ18" s="448">
        <f>PHX18+PHY18</f>
        <v>54850667.799999997</v>
      </c>
      <c r="PIA18" s="452"/>
      <c r="PIB18" s="452">
        <v>62201294.850000001</v>
      </c>
      <c r="PIC18" s="451">
        <f>60000000</f>
        <v>60000000</v>
      </c>
      <c r="PID18" s="459"/>
      <c r="PIE18" s="452"/>
      <c r="PIF18" s="450">
        <v>0</v>
      </c>
      <c r="PIG18" s="460"/>
      <c r="PIH18" s="450">
        <f>PIB18+PIE18</f>
        <v>62201294.850000001</v>
      </c>
      <c r="PII18" s="454">
        <f>+PIC18+PIF18</f>
        <v>60000000</v>
      </c>
      <c r="PIJ18" s="461"/>
      <c r="PIK18" s="450"/>
      <c r="PIL18" s="594">
        <f>(PIH18-PHZ18)/PHZ18</f>
        <v>0.13401162364699606</v>
      </c>
      <c r="PIM18" s="436" t="s">
        <v>141</v>
      </c>
      <c r="PIN18" s="448">
        <v>54850667.799999997</v>
      </c>
      <c r="PIO18" s="449"/>
      <c r="PIP18" s="448">
        <f>PIN18+PIO18</f>
        <v>54850667.799999997</v>
      </c>
      <c r="PIQ18" s="452"/>
      <c r="PIR18" s="452">
        <v>62201294.850000001</v>
      </c>
      <c r="PIS18" s="451">
        <f>60000000</f>
        <v>60000000</v>
      </c>
      <c r="PIT18" s="459"/>
      <c r="PIU18" s="452"/>
      <c r="PIV18" s="450">
        <v>0</v>
      </c>
      <c r="PIW18" s="460"/>
      <c r="PIX18" s="450">
        <f>PIR18+PIU18</f>
        <v>62201294.850000001</v>
      </c>
      <c r="PIY18" s="454">
        <f>+PIS18+PIV18</f>
        <v>60000000</v>
      </c>
      <c r="PIZ18" s="461"/>
      <c r="PJA18" s="450"/>
      <c r="PJB18" s="594">
        <f>(PIX18-PIP18)/PIP18</f>
        <v>0.13401162364699606</v>
      </c>
      <c r="PJC18" s="436" t="s">
        <v>141</v>
      </c>
      <c r="PJD18" s="448">
        <v>54850667.799999997</v>
      </c>
      <c r="PJE18" s="449"/>
      <c r="PJF18" s="448">
        <f>PJD18+PJE18</f>
        <v>54850667.799999997</v>
      </c>
      <c r="PJG18" s="452"/>
      <c r="PJH18" s="452">
        <v>62201294.850000001</v>
      </c>
      <c r="PJI18" s="451">
        <f>60000000</f>
        <v>60000000</v>
      </c>
      <c r="PJJ18" s="459"/>
      <c r="PJK18" s="452"/>
      <c r="PJL18" s="450">
        <v>0</v>
      </c>
      <c r="PJM18" s="460"/>
      <c r="PJN18" s="450">
        <f>PJH18+PJK18</f>
        <v>62201294.850000001</v>
      </c>
      <c r="PJO18" s="454">
        <f>+PJI18+PJL18</f>
        <v>60000000</v>
      </c>
      <c r="PJP18" s="461"/>
      <c r="PJQ18" s="450"/>
      <c r="PJR18" s="594">
        <f>(PJN18-PJF18)/PJF18</f>
        <v>0.13401162364699606</v>
      </c>
      <c r="PJS18" s="436" t="s">
        <v>141</v>
      </c>
      <c r="PJT18" s="448">
        <v>54850667.799999997</v>
      </c>
      <c r="PJU18" s="449"/>
      <c r="PJV18" s="448">
        <f>PJT18+PJU18</f>
        <v>54850667.799999997</v>
      </c>
      <c r="PJW18" s="452"/>
      <c r="PJX18" s="452">
        <v>62201294.850000001</v>
      </c>
      <c r="PJY18" s="451">
        <f>60000000</f>
        <v>60000000</v>
      </c>
      <c r="PJZ18" s="459"/>
      <c r="PKA18" s="452"/>
      <c r="PKB18" s="450">
        <v>0</v>
      </c>
      <c r="PKC18" s="460"/>
      <c r="PKD18" s="450">
        <f>PJX18+PKA18</f>
        <v>62201294.850000001</v>
      </c>
      <c r="PKE18" s="454">
        <f>+PJY18+PKB18</f>
        <v>60000000</v>
      </c>
      <c r="PKF18" s="461"/>
      <c r="PKG18" s="450"/>
      <c r="PKH18" s="594">
        <f>(PKD18-PJV18)/PJV18</f>
        <v>0.13401162364699606</v>
      </c>
      <c r="PKI18" s="436" t="s">
        <v>141</v>
      </c>
      <c r="PKJ18" s="448">
        <v>54850667.799999997</v>
      </c>
      <c r="PKK18" s="449"/>
      <c r="PKL18" s="448">
        <f>PKJ18+PKK18</f>
        <v>54850667.799999997</v>
      </c>
      <c r="PKM18" s="452"/>
      <c r="PKN18" s="452">
        <v>62201294.850000001</v>
      </c>
      <c r="PKO18" s="451">
        <f>60000000</f>
        <v>60000000</v>
      </c>
      <c r="PKP18" s="459"/>
      <c r="PKQ18" s="452"/>
      <c r="PKR18" s="450">
        <v>0</v>
      </c>
      <c r="PKS18" s="460"/>
      <c r="PKT18" s="450">
        <f>PKN18+PKQ18</f>
        <v>62201294.850000001</v>
      </c>
      <c r="PKU18" s="454">
        <f>+PKO18+PKR18</f>
        <v>60000000</v>
      </c>
      <c r="PKV18" s="461"/>
      <c r="PKW18" s="450"/>
      <c r="PKX18" s="594">
        <f>(PKT18-PKL18)/PKL18</f>
        <v>0.13401162364699606</v>
      </c>
      <c r="PKY18" s="436" t="s">
        <v>141</v>
      </c>
      <c r="PKZ18" s="448">
        <v>54850667.799999997</v>
      </c>
      <c r="PLA18" s="449"/>
      <c r="PLB18" s="448">
        <f>PKZ18+PLA18</f>
        <v>54850667.799999997</v>
      </c>
      <c r="PLC18" s="452"/>
      <c r="PLD18" s="452">
        <v>62201294.850000001</v>
      </c>
      <c r="PLE18" s="451">
        <f>60000000</f>
        <v>60000000</v>
      </c>
      <c r="PLF18" s="459"/>
      <c r="PLG18" s="452"/>
      <c r="PLH18" s="450">
        <v>0</v>
      </c>
      <c r="PLI18" s="460"/>
      <c r="PLJ18" s="450">
        <f>PLD18+PLG18</f>
        <v>62201294.850000001</v>
      </c>
      <c r="PLK18" s="454">
        <f>+PLE18+PLH18</f>
        <v>60000000</v>
      </c>
      <c r="PLL18" s="461"/>
      <c r="PLM18" s="450"/>
      <c r="PLN18" s="594">
        <f>(PLJ18-PLB18)/PLB18</f>
        <v>0.13401162364699606</v>
      </c>
      <c r="PLO18" s="436" t="s">
        <v>141</v>
      </c>
      <c r="PLP18" s="448">
        <v>54850667.799999997</v>
      </c>
      <c r="PLQ18" s="449"/>
      <c r="PLR18" s="448">
        <f>PLP18+PLQ18</f>
        <v>54850667.799999997</v>
      </c>
      <c r="PLS18" s="452"/>
      <c r="PLT18" s="452">
        <v>62201294.850000001</v>
      </c>
      <c r="PLU18" s="451">
        <f>60000000</f>
        <v>60000000</v>
      </c>
      <c r="PLV18" s="459"/>
      <c r="PLW18" s="452"/>
      <c r="PLX18" s="450">
        <v>0</v>
      </c>
      <c r="PLY18" s="460"/>
      <c r="PLZ18" s="450">
        <f>PLT18+PLW18</f>
        <v>62201294.850000001</v>
      </c>
      <c r="PMA18" s="454">
        <f>+PLU18+PLX18</f>
        <v>60000000</v>
      </c>
      <c r="PMB18" s="461"/>
      <c r="PMC18" s="450"/>
      <c r="PMD18" s="594">
        <f>(PLZ18-PLR18)/PLR18</f>
        <v>0.13401162364699606</v>
      </c>
      <c r="PME18" s="436" t="s">
        <v>141</v>
      </c>
      <c r="PMF18" s="448">
        <v>54850667.799999997</v>
      </c>
      <c r="PMG18" s="449"/>
      <c r="PMH18" s="448">
        <f>PMF18+PMG18</f>
        <v>54850667.799999997</v>
      </c>
      <c r="PMI18" s="452"/>
      <c r="PMJ18" s="452">
        <v>62201294.850000001</v>
      </c>
      <c r="PMK18" s="451">
        <f>60000000</f>
        <v>60000000</v>
      </c>
      <c r="PML18" s="459"/>
      <c r="PMM18" s="452"/>
      <c r="PMN18" s="450">
        <v>0</v>
      </c>
      <c r="PMO18" s="460"/>
      <c r="PMP18" s="450">
        <f>PMJ18+PMM18</f>
        <v>62201294.850000001</v>
      </c>
      <c r="PMQ18" s="454">
        <f>+PMK18+PMN18</f>
        <v>60000000</v>
      </c>
      <c r="PMR18" s="461"/>
      <c r="PMS18" s="450"/>
      <c r="PMT18" s="594">
        <f>(PMP18-PMH18)/PMH18</f>
        <v>0.13401162364699606</v>
      </c>
      <c r="PMU18" s="436" t="s">
        <v>141</v>
      </c>
      <c r="PMV18" s="448">
        <v>54850667.799999997</v>
      </c>
      <c r="PMW18" s="449"/>
      <c r="PMX18" s="448">
        <f>PMV18+PMW18</f>
        <v>54850667.799999997</v>
      </c>
      <c r="PMY18" s="452"/>
      <c r="PMZ18" s="452">
        <v>62201294.850000001</v>
      </c>
      <c r="PNA18" s="451">
        <f>60000000</f>
        <v>60000000</v>
      </c>
      <c r="PNB18" s="459"/>
      <c r="PNC18" s="452"/>
      <c r="PND18" s="450">
        <v>0</v>
      </c>
      <c r="PNE18" s="460"/>
      <c r="PNF18" s="450">
        <f>PMZ18+PNC18</f>
        <v>62201294.850000001</v>
      </c>
      <c r="PNG18" s="454">
        <f>+PNA18+PND18</f>
        <v>60000000</v>
      </c>
      <c r="PNH18" s="461"/>
      <c r="PNI18" s="450"/>
      <c r="PNJ18" s="594">
        <f>(PNF18-PMX18)/PMX18</f>
        <v>0.13401162364699606</v>
      </c>
      <c r="PNK18" s="436" t="s">
        <v>141</v>
      </c>
      <c r="PNL18" s="448">
        <v>54850667.799999997</v>
      </c>
      <c r="PNM18" s="449"/>
      <c r="PNN18" s="448">
        <f>PNL18+PNM18</f>
        <v>54850667.799999997</v>
      </c>
      <c r="PNO18" s="452"/>
      <c r="PNP18" s="452">
        <v>62201294.850000001</v>
      </c>
      <c r="PNQ18" s="451">
        <f>60000000</f>
        <v>60000000</v>
      </c>
      <c r="PNR18" s="459"/>
      <c r="PNS18" s="452"/>
      <c r="PNT18" s="450">
        <v>0</v>
      </c>
      <c r="PNU18" s="460"/>
      <c r="PNV18" s="450">
        <f>PNP18+PNS18</f>
        <v>62201294.850000001</v>
      </c>
      <c r="PNW18" s="454">
        <f>+PNQ18+PNT18</f>
        <v>60000000</v>
      </c>
      <c r="PNX18" s="461"/>
      <c r="PNY18" s="450"/>
      <c r="PNZ18" s="594">
        <f>(PNV18-PNN18)/PNN18</f>
        <v>0.13401162364699606</v>
      </c>
      <c r="POA18" s="436" t="s">
        <v>141</v>
      </c>
      <c r="POB18" s="448">
        <v>54850667.799999997</v>
      </c>
      <c r="POC18" s="449"/>
      <c r="POD18" s="448">
        <f>POB18+POC18</f>
        <v>54850667.799999997</v>
      </c>
      <c r="POE18" s="452"/>
      <c r="POF18" s="452">
        <v>62201294.850000001</v>
      </c>
      <c r="POG18" s="451">
        <f>60000000</f>
        <v>60000000</v>
      </c>
      <c r="POH18" s="459"/>
      <c r="POI18" s="452"/>
      <c r="POJ18" s="450">
        <v>0</v>
      </c>
      <c r="POK18" s="460"/>
      <c r="POL18" s="450">
        <f>POF18+POI18</f>
        <v>62201294.850000001</v>
      </c>
      <c r="POM18" s="454">
        <f>+POG18+POJ18</f>
        <v>60000000</v>
      </c>
      <c r="PON18" s="461"/>
      <c r="POO18" s="450"/>
      <c r="POP18" s="594">
        <f>(POL18-POD18)/POD18</f>
        <v>0.13401162364699606</v>
      </c>
      <c r="POQ18" s="436" t="s">
        <v>141</v>
      </c>
      <c r="POR18" s="448">
        <v>54850667.799999997</v>
      </c>
      <c r="POS18" s="449"/>
      <c r="POT18" s="448">
        <f>POR18+POS18</f>
        <v>54850667.799999997</v>
      </c>
      <c r="POU18" s="452"/>
      <c r="POV18" s="452">
        <v>62201294.850000001</v>
      </c>
      <c r="POW18" s="451">
        <f>60000000</f>
        <v>60000000</v>
      </c>
      <c r="POX18" s="459"/>
      <c r="POY18" s="452"/>
      <c r="POZ18" s="450">
        <v>0</v>
      </c>
      <c r="PPA18" s="460"/>
      <c r="PPB18" s="450">
        <f>POV18+POY18</f>
        <v>62201294.850000001</v>
      </c>
      <c r="PPC18" s="454">
        <f>+POW18+POZ18</f>
        <v>60000000</v>
      </c>
      <c r="PPD18" s="461"/>
      <c r="PPE18" s="450"/>
      <c r="PPF18" s="594">
        <f>(PPB18-POT18)/POT18</f>
        <v>0.13401162364699606</v>
      </c>
      <c r="PPG18" s="436" t="s">
        <v>141</v>
      </c>
      <c r="PPH18" s="448">
        <v>54850667.799999997</v>
      </c>
      <c r="PPI18" s="449"/>
      <c r="PPJ18" s="448">
        <f>PPH18+PPI18</f>
        <v>54850667.799999997</v>
      </c>
      <c r="PPK18" s="452"/>
      <c r="PPL18" s="452">
        <v>62201294.850000001</v>
      </c>
      <c r="PPM18" s="451">
        <f>60000000</f>
        <v>60000000</v>
      </c>
      <c r="PPN18" s="459"/>
      <c r="PPO18" s="452"/>
      <c r="PPP18" s="450">
        <v>0</v>
      </c>
      <c r="PPQ18" s="460"/>
      <c r="PPR18" s="450">
        <f>PPL18+PPO18</f>
        <v>62201294.850000001</v>
      </c>
      <c r="PPS18" s="454">
        <f>+PPM18+PPP18</f>
        <v>60000000</v>
      </c>
      <c r="PPT18" s="461"/>
      <c r="PPU18" s="450"/>
      <c r="PPV18" s="594">
        <f>(PPR18-PPJ18)/PPJ18</f>
        <v>0.13401162364699606</v>
      </c>
      <c r="PPW18" s="436" t="s">
        <v>141</v>
      </c>
      <c r="PPX18" s="448">
        <v>54850667.799999997</v>
      </c>
      <c r="PPY18" s="449"/>
      <c r="PPZ18" s="448">
        <f>PPX18+PPY18</f>
        <v>54850667.799999997</v>
      </c>
      <c r="PQA18" s="452"/>
      <c r="PQB18" s="452">
        <v>62201294.850000001</v>
      </c>
      <c r="PQC18" s="451">
        <f>60000000</f>
        <v>60000000</v>
      </c>
      <c r="PQD18" s="459"/>
      <c r="PQE18" s="452"/>
      <c r="PQF18" s="450">
        <v>0</v>
      </c>
      <c r="PQG18" s="460"/>
      <c r="PQH18" s="450">
        <f>PQB18+PQE18</f>
        <v>62201294.850000001</v>
      </c>
      <c r="PQI18" s="454">
        <f>+PQC18+PQF18</f>
        <v>60000000</v>
      </c>
      <c r="PQJ18" s="461"/>
      <c r="PQK18" s="450"/>
      <c r="PQL18" s="594">
        <f>(PQH18-PPZ18)/PPZ18</f>
        <v>0.13401162364699606</v>
      </c>
      <c r="PQM18" s="436" t="s">
        <v>141</v>
      </c>
      <c r="PQN18" s="448">
        <v>54850667.799999997</v>
      </c>
      <c r="PQO18" s="449"/>
      <c r="PQP18" s="448">
        <f>PQN18+PQO18</f>
        <v>54850667.799999997</v>
      </c>
      <c r="PQQ18" s="452"/>
      <c r="PQR18" s="452">
        <v>62201294.850000001</v>
      </c>
      <c r="PQS18" s="451">
        <f>60000000</f>
        <v>60000000</v>
      </c>
      <c r="PQT18" s="459"/>
      <c r="PQU18" s="452"/>
      <c r="PQV18" s="450">
        <v>0</v>
      </c>
      <c r="PQW18" s="460"/>
      <c r="PQX18" s="450">
        <f>PQR18+PQU18</f>
        <v>62201294.850000001</v>
      </c>
      <c r="PQY18" s="454">
        <f>+PQS18+PQV18</f>
        <v>60000000</v>
      </c>
      <c r="PQZ18" s="461"/>
      <c r="PRA18" s="450"/>
      <c r="PRB18" s="594">
        <f>(PQX18-PQP18)/PQP18</f>
        <v>0.13401162364699606</v>
      </c>
      <c r="PRC18" s="436" t="s">
        <v>141</v>
      </c>
      <c r="PRD18" s="448">
        <v>54850667.799999997</v>
      </c>
      <c r="PRE18" s="449"/>
      <c r="PRF18" s="448">
        <f>PRD18+PRE18</f>
        <v>54850667.799999997</v>
      </c>
      <c r="PRG18" s="452"/>
      <c r="PRH18" s="452">
        <v>62201294.850000001</v>
      </c>
      <c r="PRI18" s="451">
        <f>60000000</f>
        <v>60000000</v>
      </c>
      <c r="PRJ18" s="459"/>
      <c r="PRK18" s="452"/>
      <c r="PRL18" s="450">
        <v>0</v>
      </c>
      <c r="PRM18" s="460"/>
      <c r="PRN18" s="450">
        <f>PRH18+PRK18</f>
        <v>62201294.850000001</v>
      </c>
      <c r="PRO18" s="454">
        <f>+PRI18+PRL18</f>
        <v>60000000</v>
      </c>
      <c r="PRP18" s="461"/>
      <c r="PRQ18" s="450"/>
      <c r="PRR18" s="594">
        <f>(PRN18-PRF18)/PRF18</f>
        <v>0.13401162364699606</v>
      </c>
      <c r="PRS18" s="436" t="s">
        <v>141</v>
      </c>
      <c r="PRT18" s="448">
        <v>54850667.799999997</v>
      </c>
      <c r="PRU18" s="449"/>
      <c r="PRV18" s="448">
        <f>PRT18+PRU18</f>
        <v>54850667.799999997</v>
      </c>
      <c r="PRW18" s="452"/>
      <c r="PRX18" s="452">
        <v>62201294.850000001</v>
      </c>
      <c r="PRY18" s="451">
        <f>60000000</f>
        <v>60000000</v>
      </c>
      <c r="PRZ18" s="459"/>
      <c r="PSA18" s="452"/>
      <c r="PSB18" s="450">
        <v>0</v>
      </c>
      <c r="PSC18" s="460"/>
      <c r="PSD18" s="450">
        <f>PRX18+PSA18</f>
        <v>62201294.850000001</v>
      </c>
      <c r="PSE18" s="454">
        <f>+PRY18+PSB18</f>
        <v>60000000</v>
      </c>
      <c r="PSF18" s="461"/>
      <c r="PSG18" s="450"/>
      <c r="PSH18" s="594">
        <f>(PSD18-PRV18)/PRV18</f>
        <v>0.13401162364699606</v>
      </c>
      <c r="PSI18" s="436" t="s">
        <v>141</v>
      </c>
      <c r="PSJ18" s="448">
        <v>54850667.799999997</v>
      </c>
      <c r="PSK18" s="449"/>
      <c r="PSL18" s="448">
        <f>PSJ18+PSK18</f>
        <v>54850667.799999997</v>
      </c>
      <c r="PSM18" s="452"/>
      <c r="PSN18" s="452">
        <v>62201294.850000001</v>
      </c>
      <c r="PSO18" s="451">
        <f>60000000</f>
        <v>60000000</v>
      </c>
      <c r="PSP18" s="459"/>
      <c r="PSQ18" s="452"/>
      <c r="PSR18" s="450">
        <v>0</v>
      </c>
      <c r="PSS18" s="460"/>
      <c r="PST18" s="450">
        <f>PSN18+PSQ18</f>
        <v>62201294.850000001</v>
      </c>
      <c r="PSU18" s="454">
        <f>+PSO18+PSR18</f>
        <v>60000000</v>
      </c>
      <c r="PSV18" s="461"/>
      <c r="PSW18" s="450"/>
      <c r="PSX18" s="594">
        <f>(PST18-PSL18)/PSL18</f>
        <v>0.13401162364699606</v>
      </c>
      <c r="PSY18" s="436" t="s">
        <v>141</v>
      </c>
      <c r="PSZ18" s="448">
        <v>54850667.799999997</v>
      </c>
      <c r="PTA18" s="449"/>
      <c r="PTB18" s="448">
        <f>PSZ18+PTA18</f>
        <v>54850667.799999997</v>
      </c>
      <c r="PTC18" s="452"/>
      <c r="PTD18" s="452">
        <v>62201294.850000001</v>
      </c>
      <c r="PTE18" s="451">
        <f>60000000</f>
        <v>60000000</v>
      </c>
      <c r="PTF18" s="459"/>
      <c r="PTG18" s="452"/>
      <c r="PTH18" s="450">
        <v>0</v>
      </c>
      <c r="PTI18" s="460"/>
      <c r="PTJ18" s="450">
        <f>PTD18+PTG18</f>
        <v>62201294.850000001</v>
      </c>
      <c r="PTK18" s="454">
        <f>+PTE18+PTH18</f>
        <v>60000000</v>
      </c>
      <c r="PTL18" s="461"/>
      <c r="PTM18" s="450"/>
      <c r="PTN18" s="594">
        <f>(PTJ18-PTB18)/PTB18</f>
        <v>0.13401162364699606</v>
      </c>
      <c r="PTO18" s="436" t="s">
        <v>141</v>
      </c>
      <c r="PTP18" s="448">
        <v>54850667.799999997</v>
      </c>
      <c r="PTQ18" s="449"/>
      <c r="PTR18" s="448">
        <f>PTP18+PTQ18</f>
        <v>54850667.799999997</v>
      </c>
      <c r="PTS18" s="452"/>
      <c r="PTT18" s="452">
        <v>62201294.850000001</v>
      </c>
      <c r="PTU18" s="451">
        <f>60000000</f>
        <v>60000000</v>
      </c>
      <c r="PTV18" s="459"/>
      <c r="PTW18" s="452"/>
      <c r="PTX18" s="450">
        <v>0</v>
      </c>
      <c r="PTY18" s="460"/>
      <c r="PTZ18" s="450">
        <f>PTT18+PTW18</f>
        <v>62201294.850000001</v>
      </c>
      <c r="PUA18" s="454">
        <f>+PTU18+PTX18</f>
        <v>60000000</v>
      </c>
      <c r="PUB18" s="461"/>
      <c r="PUC18" s="450"/>
      <c r="PUD18" s="594">
        <f>(PTZ18-PTR18)/PTR18</f>
        <v>0.13401162364699606</v>
      </c>
      <c r="PUE18" s="436" t="s">
        <v>141</v>
      </c>
      <c r="PUF18" s="448">
        <v>54850667.799999997</v>
      </c>
      <c r="PUG18" s="449"/>
      <c r="PUH18" s="448">
        <f>PUF18+PUG18</f>
        <v>54850667.799999997</v>
      </c>
      <c r="PUI18" s="452"/>
      <c r="PUJ18" s="452">
        <v>62201294.850000001</v>
      </c>
      <c r="PUK18" s="451">
        <f>60000000</f>
        <v>60000000</v>
      </c>
      <c r="PUL18" s="459"/>
      <c r="PUM18" s="452"/>
      <c r="PUN18" s="450">
        <v>0</v>
      </c>
      <c r="PUO18" s="460"/>
      <c r="PUP18" s="450">
        <f>PUJ18+PUM18</f>
        <v>62201294.850000001</v>
      </c>
      <c r="PUQ18" s="454">
        <f>+PUK18+PUN18</f>
        <v>60000000</v>
      </c>
      <c r="PUR18" s="461"/>
      <c r="PUS18" s="450"/>
      <c r="PUT18" s="594">
        <f>(PUP18-PUH18)/PUH18</f>
        <v>0.13401162364699606</v>
      </c>
      <c r="PUU18" s="436" t="s">
        <v>141</v>
      </c>
      <c r="PUV18" s="448">
        <v>54850667.799999997</v>
      </c>
      <c r="PUW18" s="449"/>
      <c r="PUX18" s="448">
        <f>PUV18+PUW18</f>
        <v>54850667.799999997</v>
      </c>
      <c r="PUY18" s="452"/>
      <c r="PUZ18" s="452">
        <v>62201294.850000001</v>
      </c>
      <c r="PVA18" s="451">
        <f>60000000</f>
        <v>60000000</v>
      </c>
      <c r="PVB18" s="459"/>
      <c r="PVC18" s="452"/>
      <c r="PVD18" s="450">
        <v>0</v>
      </c>
      <c r="PVE18" s="460"/>
      <c r="PVF18" s="450">
        <f>PUZ18+PVC18</f>
        <v>62201294.850000001</v>
      </c>
      <c r="PVG18" s="454">
        <f>+PVA18+PVD18</f>
        <v>60000000</v>
      </c>
      <c r="PVH18" s="461"/>
      <c r="PVI18" s="450"/>
      <c r="PVJ18" s="594">
        <f>(PVF18-PUX18)/PUX18</f>
        <v>0.13401162364699606</v>
      </c>
      <c r="PVK18" s="436" t="s">
        <v>141</v>
      </c>
      <c r="PVL18" s="448">
        <v>54850667.799999997</v>
      </c>
      <c r="PVM18" s="449"/>
      <c r="PVN18" s="448">
        <f>PVL18+PVM18</f>
        <v>54850667.799999997</v>
      </c>
      <c r="PVO18" s="452"/>
      <c r="PVP18" s="452">
        <v>62201294.850000001</v>
      </c>
      <c r="PVQ18" s="451">
        <f>60000000</f>
        <v>60000000</v>
      </c>
      <c r="PVR18" s="459"/>
      <c r="PVS18" s="452"/>
      <c r="PVT18" s="450">
        <v>0</v>
      </c>
      <c r="PVU18" s="460"/>
      <c r="PVV18" s="450">
        <f>PVP18+PVS18</f>
        <v>62201294.850000001</v>
      </c>
      <c r="PVW18" s="454">
        <f>+PVQ18+PVT18</f>
        <v>60000000</v>
      </c>
      <c r="PVX18" s="461"/>
      <c r="PVY18" s="450"/>
      <c r="PVZ18" s="594">
        <f>(PVV18-PVN18)/PVN18</f>
        <v>0.13401162364699606</v>
      </c>
      <c r="PWA18" s="436" t="s">
        <v>141</v>
      </c>
      <c r="PWB18" s="448">
        <v>54850667.799999997</v>
      </c>
      <c r="PWC18" s="449"/>
      <c r="PWD18" s="448">
        <f>PWB18+PWC18</f>
        <v>54850667.799999997</v>
      </c>
      <c r="PWE18" s="452"/>
      <c r="PWF18" s="452">
        <v>62201294.850000001</v>
      </c>
      <c r="PWG18" s="451">
        <f>60000000</f>
        <v>60000000</v>
      </c>
      <c r="PWH18" s="459"/>
      <c r="PWI18" s="452"/>
      <c r="PWJ18" s="450">
        <v>0</v>
      </c>
      <c r="PWK18" s="460"/>
      <c r="PWL18" s="450">
        <f>PWF18+PWI18</f>
        <v>62201294.850000001</v>
      </c>
      <c r="PWM18" s="454">
        <f>+PWG18+PWJ18</f>
        <v>60000000</v>
      </c>
      <c r="PWN18" s="461"/>
      <c r="PWO18" s="450"/>
      <c r="PWP18" s="594">
        <f>(PWL18-PWD18)/PWD18</f>
        <v>0.13401162364699606</v>
      </c>
      <c r="PWQ18" s="436" t="s">
        <v>141</v>
      </c>
      <c r="PWR18" s="448">
        <v>54850667.799999997</v>
      </c>
      <c r="PWS18" s="449"/>
      <c r="PWT18" s="448">
        <f>PWR18+PWS18</f>
        <v>54850667.799999997</v>
      </c>
      <c r="PWU18" s="452"/>
      <c r="PWV18" s="452">
        <v>62201294.850000001</v>
      </c>
      <c r="PWW18" s="451">
        <f>60000000</f>
        <v>60000000</v>
      </c>
      <c r="PWX18" s="459"/>
      <c r="PWY18" s="452"/>
      <c r="PWZ18" s="450">
        <v>0</v>
      </c>
      <c r="PXA18" s="460"/>
      <c r="PXB18" s="450">
        <f>PWV18+PWY18</f>
        <v>62201294.850000001</v>
      </c>
      <c r="PXC18" s="454">
        <f>+PWW18+PWZ18</f>
        <v>60000000</v>
      </c>
      <c r="PXD18" s="461"/>
      <c r="PXE18" s="450"/>
      <c r="PXF18" s="594">
        <f>(PXB18-PWT18)/PWT18</f>
        <v>0.13401162364699606</v>
      </c>
      <c r="PXG18" s="436" t="s">
        <v>141</v>
      </c>
      <c r="PXH18" s="448">
        <v>54850667.799999997</v>
      </c>
      <c r="PXI18" s="449"/>
      <c r="PXJ18" s="448">
        <f>PXH18+PXI18</f>
        <v>54850667.799999997</v>
      </c>
      <c r="PXK18" s="452"/>
      <c r="PXL18" s="452">
        <v>62201294.850000001</v>
      </c>
      <c r="PXM18" s="451">
        <f>60000000</f>
        <v>60000000</v>
      </c>
      <c r="PXN18" s="459"/>
      <c r="PXO18" s="452"/>
      <c r="PXP18" s="450">
        <v>0</v>
      </c>
      <c r="PXQ18" s="460"/>
      <c r="PXR18" s="450">
        <f>PXL18+PXO18</f>
        <v>62201294.850000001</v>
      </c>
      <c r="PXS18" s="454">
        <f>+PXM18+PXP18</f>
        <v>60000000</v>
      </c>
      <c r="PXT18" s="461"/>
      <c r="PXU18" s="450"/>
      <c r="PXV18" s="594">
        <f>(PXR18-PXJ18)/PXJ18</f>
        <v>0.13401162364699606</v>
      </c>
      <c r="PXW18" s="436" t="s">
        <v>141</v>
      </c>
      <c r="PXX18" s="448">
        <v>54850667.799999997</v>
      </c>
      <c r="PXY18" s="449"/>
      <c r="PXZ18" s="448">
        <f>PXX18+PXY18</f>
        <v>54850667.799999997</v>
      </c>
      <c r="PYA18" s="452"/>
      <c r="PYB18" s="452">
        <v>62201294.850000001</v>
      </c>
      <c r="PYC18" s="451">
        <f>60000000</f>
        <v>60000000</v>
      </c>
      <c r="PYD18" s="459"/>
      <c r="PYE18" s="452"/>
      <c r="PYF18" s="450">
        <v>0</v>
      </c>
      <c r="PYG18" s="460"/>
      <c r="PYH18" s="450">
        <f>PYB18+PYE18</f>
        <v>62201294.850000001</v>
      </c>
      <c r="PYI18" s="454">
        <f>+PYC18+PYF18</f>
        <v>60000000</v>
      </c>
      <c r="PYJ18" s="461"/>
      <c r="PYK18" s="450"/>
      <c r="PYL18" s="594">
        <f>(PYH18-PXZ18)/PXZ18</f>
        <v>0.13401162364699606</v>
      </c>
      <c r="PYM18" s="436" t="s">
        <v>141</v>
      </c>
      <c r="PYN18" s="448">
        <v>54850667.799999997</v>
      </c>
      <c r="PYO18" s="449"/>
      <c r="PYP18" s="448">
        <f>PYN18+PYO18</f>
        <v>54850667.799999997</v>
      </c>
      <c r="PYQ18" s="452"/>
      <c r="PYR18" s="452">
        <v>62201294.850000001</v>
      </c>
      <c r="PYS18" s="451">
        <f>60000000</f>
        <v>60000000</v>
      </c>
      <c r="PYT18" s="459"/>
      <c r="PYU18" s="452"/>
      <c r="PYV18" s="450">
        <v>0</v>
      </c>
      <c r="PYW18" s="460"/>
      <c r="PYX18" s="450">
        <f>PYR18+PYU18</f>
        <v>62201294.850000001</v>
      </c>
      <c r="PYY18" s="454">
        <f>+PYS18+PYV18</f>
        <v>60000000</v>
      </c>
      <c r="PYZ18" s="461"/>
      <c r="PZA18" s="450"/>
      <c r="PZB18" s="594">
        <f>(PYX18-PYP18)/PYP18</f>
        <v>0.13401162364699606</v>
      </c>
      <c r="PZC18" s="436" t="s">
        <v>141</v>
      </c>
      <c r="PZD18" s="448">
        <v>54850667.799999997</v>
      </c>
      <c r="PZE18" s="449"/>
      <c r="PZF18" s="448">
        <f>PZD18+PZE18</f>
        <v>54850667.799999997</v>
      </c>
      <c r="PZG18" s="452"/>
      <c r="PZH18" s="452">
        <v>62201294.850000001</v>
      </c>
      <c r="PZI18" s="451">
        <f>60000000</f>
        <v>60000000</v>
      </c>
      <c r="PZJ18" s="459"/>
      <c r="PZK18" s="452"/>
      <c r="PZL18" s="450">
        <v>0</v>
      </c>
      <c r="PZM18" s="460"/>
      <c r="PZN18" s="450">
        <f>PZH18+PZK18</f>
        <v>62201294.850000001</v>
      </c>
      <c r="PZO18" s="454">
        <f>+PZI18+PZL18</f>
        <v>60000000</v>
      </c>
      <c r="PZP18" s="461"/>
      <c r="PZQ18" s="450"/>
      <c r="PZR18" s="594">
        <f>(PZN18-PZF18)/PZF18</f>
        <v>0.13401162364699606</v>
      </c>
      <c r="PZS18" s="436" t="s">
        <v>141</v>
      </c>
      <c r="PZT18" s="448">
        <v>54850667.799999997</v>
      </c>
      <c r="PZU18" s="449"/>
      <c r="PZV18" s="448">
        <f>PZT18+PZU18</f>
        <v>54850667.799999997</v>
      </c>
      <c r="PZW18" s="452"/>
      <c r="PZX18" s="452">
        <v>62201294.850000001</v>
      </c>
      <c r="PZY18" s="451">
        <f>60000000</f>
        <v>60000000</v>
      </c>
      <c r="PZZ18" s="459"/>
      <c r="QAA18" s="452"/>
      <c r="QAB18" s="450">
        <v>0</v>
      </c>
      <c r="QAC18" s="460"/>
      <c r="QAD18" s="450">
        <f>PZX18+QAA18</f>
        <v>62201294.850000001</v>
      </c>
      <c r="QAE18" s="454">
        <f>+PZY18+QAB18</f>
        <v>60000000</v>
      </c>
      <c r="QAF18" s="461"/>
      <c r="QAG18" s="450"/>
      <c r="QAH18" s="594">
        <f>(QAD18-PZV18)/PZV18</f>
        <v>0.13401162364699606</v>
      </c>
      <c r="QAI18" s="436" t="s">
        <v>141</v>
      </c>
      <c r="QAJ18" s="448">
        <v>54850667.799999997</v>
      </c>
      <c r="QAK18" s="449"/>
      <c r="QAL18" s="448">
        <f>QAJ18+QAK18</f>
        <v>54850667.799999997</v>
      </c>
      <c r="QAM18" s="452"/>
      <c r="QAN18" s="452">
        <v>62201294.850000001</v>
      </c>
      <c r="QAO18" s="451">
        <f>60000000</f>
        <v>60000000</v>
      </c>
      <c r="QAP18" s="459"/>
      <c r="QAQ18" s="452"/>
      <c r="QAR18" s="450">
        <v>0</v>
      </c>
      <c r="QAS18" s="460"/>
      <c r="QAT18" s="450">
        <f>QAN18+QAQ18</f>
        <v>62201294.850000001</v>
      </c>
      <c r="QAU18" s="454">
        <f>+QAO18+QAR18</f>
        <v>60000000</v>
      </c>
      <c r="QAV18" s="461"/>
      <c r="QAW18" s="450"/>
      <c r="QAX18" s="594">
        <f>(QAT18-QAL18)/QAL18</f>
        <v>0.13401162364699606</v>
      </c>
      <c r="QAY18" s="436" t="s">
        <v>141</v>
      </c>
      <c r="QAZ18" s="448">
        <v>54850667.799999997</v>
      </c>
      <c r="QBA18" s="449"/>
      <c r="QBB18" s="448">
        <f>QAZ18+QBA18</f>
        <v>54850667.799999997</v>
      </c>
      <c r="QBC18" s="452"/>
      <c r="QBD18" s="452">
        <v>62201294.850000001</v>
      </c>
      <c r="QBE18" s="451">
        <f>60000000</f>
        <v>60000000</v>
      </c>
      <c r="QBF18" s="459"/>
      <c r="QBG18" s="452"/>
      <c r="QBH18" s="450">
        <v>0</v>
      </c>
      <c r="QBI18" s="460"/>
      <c r="QBJ18" s="450">
        <f>QBD18+QBG18</f>
        <v>62201294.850000001</v>
      </c>
      <c r="QBK18" s="454">
        <f>+QBE18+QBH18</f>
        <v>60000000</v>
      </c>
      <c r="QBL18" s="461"/>
      <c r="QBM18" s="450"/>
      <c r="QBN18" s="594">
        <f>(QBJ18-QBB18)/QBB18</f>
        <v>0.13401162364699606</v>
      </c>
      <c r="QBO18" s="436" t="s">
        <v>141</v>
      </c>
      <c r="QBP18" s="448">
        <v>54850667.799999997</v>
      </c>
      <c r="QBQ18" s="449"/>
      <c r="QBR18" s="448">
        <f>QBP18+QBQ18</f>
        <v>54850667.799999997</v>
      </c>
      <c r="QBS18" s="452"/>
      <c r="QBT18" s="452">
        <v>62201294.850000001</v>
      </c>
      <c r="QBU18" s="451">
        <f>60000000</f>
        <v>60000000</v>
      </c>
      <c r="QBV18" s="459"/>
      <c r="QBW18" s="452"/>
      <c r="QBX18" s="450">
        <v>0</v>
      </c>
      <c r="QBY18" s="460"/>
      <c r="QBZ18" s="450">
        <f>QBT18+QBW18</f>
        <v>62201294.850000001</v>
      </c>
      <c r="QCA18" s="454">
        <f>+QBU18+QBX18</f>
        <v>60000000</v>
      </c>
      <c r="QCB18" s="461"/>
      <c r="QCC18" s="450"/>
      <c r="QCD18" s="594">
        <f>(QBZ18-QBR18)/QBR18</f>
        <v>0.13401162364699606</v>
      </c>
      <c r="QCE18" s="436" t="s">
        <v>141</v>
      </c>
      <c r="QCF18" s="448">
        <v>54850667.799999997</v>
      </c>
      <c r="QCG18" s="449"/>
      <c r="QCH18" s="448">
        <f>QCF18+QCG18</f>
        <v>54850667.799999997</v>
      </c>
      <c r="QCI18" s="452"/>
      <c r="QCJ18" s="452">
        <v>62201294.850000001</v>
      </c>
      <c r="QCK18" s="451">
        <f>60000000</f>
        <v>60000000</v>
      </c>
      <c r="QCL18" s="459"/>
      <c r="QCM18" s="452"/>
      <c r="QCN18" s="450">
        <v>0</v>
      </c>
      <c r="QCO18" s="460"/>
      <c r="QCP18" s="450">
        <f>QCJ18+QCM18</f>
        <v>62201294.850000001</v>
      </c>
      <c r="QCQ18" s="454">
        <f>+QCK18+QCN18</f>
        <v>60000000</v>
      </c>
      <c r="QCR18" s="461"/>
      <c r="QCS18" s="450"/>
      <c r="QCT18" s="594">
        <f>(QCP18-QCH18)/QCH18</f>
        <v>0.13401162364699606</v>
      </c>
      <c r="QCU18" s="436" t="s">
        <v>141</v>
      </c>
      <c r="QCV18" s="448">
        <v>54850667.799999997</v>
      </c>
      <c r="QCW18" s="449"/>
      <c r="QCX18" s="448">
        <f>QCV18+QCW18</f>
        <v>54850667.799999997</v>
      </c>
      <c r="QCY18" s="452"/>
      <c r="QCZ18" s="452">
        <v>62201294.850000001</v>
      </c>
      <c r="QDA18" s="451">
        <f>60000000</f>
        <v>60000000</v>
      </c>
      <c r="QDB18" s="459"/>
      <c r="QDC18" s="452"/>
      <c r="QDD18" s="450">
        <v>0</v>
      </c>
      <c r="QDE18" s="460"/>
      <c r="QDF18" s="450">
        <f>QCZ18+QDC18</f>
        <v>62201294.850000001</v>
      </c>
      <c r="QDG18" s="454">
        <f>+QDA18+QDD18</f>
        <v>60000000</v>
      </c>
      <c r="QDH18" s="461"/>
      <c r="QDI18" s="450"/>
      <c r="QDJ18" s="594">
        <f>(QDF18-QCX18)/QCX18</f>
        <v>0.13401162364699606</v>
      </c>
      <c r="QDK18" s="436" t="s">
        <v>141</v>
      </c>
      <c r="QDL18" s="448">
        <v>54850667.799999997</v>
      </c>
      <c r="QDM18" s="449"/>
      <c r="QDN18" s="448">
        <f>QDL18+QDM18</f>
        <v>54850667.799999997</v>
      </c>
      <c r="QDO18" s="452"/>
      <c r="QDP18" s="452">
        <v>62201294.850000001</v>
      </c>
      <c r="QDQ18" s="451">
        <f>60000000</f>
        <v>60000000</v>
      </c>
      <c r="QDR18" s="459"/>
      <c r="QDS18" s="452"/>
      <c r="QDT18" s="450">
        <v>0</v>
      </c>
      <c r="QDU18" s="460"/>
      <c r="QDV18" s="450">
        <f>QDP18+QDS18</f>
        <v>62201294.850000001</v>
      </c>
      <c r="QDW18" s="454">
        <f>+QDQ18+QDT18</f>
        <v>60000000</v>
      </c>
      <c r="QDX18" s="461"/>
      <c r="QDY18" s="450"/>
      <c r="QDZ18" s="594">
        <f>(QDV18-QDN18)/QDN18</f>
        <v>0.13401162364699606</v>
      </c>
      <c r="QEA18" s="436" t="s">
        <v>141</v>
      </c>
      <c r="QEB18" s="448">
        <v>54850667.799999997</v>
      </c>
      <c r="QEC18" s="449"/>
      <c r="QED18" s="448">
        <f>QEB18+QEC18</f>
        <v>54850667.799999997</v>
      </c>
      <c r="QEE18" s="452"/>
      <c r="QEF18" s="452">
        <v>62201294.850000001</v>
      </c>
      <c r="QEG18" s="451">
        <f>60000000</f>
        <v>60000000</v>
      </c>
      <c r="QEH18" s="459"/>
      <c r="QEI18" s="452"/>
      <c r="QEJ18" s="450">
        <v>0</v>
      </c>
      <c r="QEK18" s="460"/>
      <c r="QEL18" s="450">
        <f>QEF18+QEI18</f>
        <v>62201294.850000001</v>
      </c>
      <c r="QEM18" s="454">
        <f>+QEG18+QEJ18</f>
        <v>60000000</v>
      </c>
      <c r="QEN18" s="461"/>
      <c r="QEO18" s="450"/>
      <c r="QEP18" s="594">
        <f>(QEL18-QED18)/QED18</f>
        <v>0.13401162364699606</v>
      </c>
      <c r="QEQ18" s="436" t="s">
        <v>141</v>
      </c>
      <c r="QER18" s="448">
        <v>54850667.799999997</v>
      </c>
      <c r="QES18" s="449"/>
      <c r="QET18" s="448">
        <f>QER18+QES18</f>
        <v>54850667.799999997</v>
      </c>
      <c r="QEU18" s="452"/>
      <c r="QEV18" s="452">
        <v>62201294.850000001</v>
      </c>
      <c r="QEW18" s="451">
        <f>60000000</f>
        <v>60000000</v>
      </c>
      <c r="QEX18" s="459"/>
      <c r="QEY18" s="452"/>
      <c r="QEZ18" s="450">
        <v>0</v>
      </c>
      <c r="QFA18" s="460"/>
      <c r="QFB18" s="450">
        <f>QEV18+QEY18</f>
        <v>62201294.850000001</v>
      </c>
      <c r="QFC18" s="454">
        <f>+QEW18+QEZ18</f>
        <v>60000000</v>
      </c>
      <c r="QFD18" s="461"/>
      <c r="QFE18" s="450"/>
      <c r="QFF18" s="594">
        <f>(QFB18-QET18)/QET18</f>
        <v>0.13401162364699606</v>
      </c>
      <c r="QFG18" s="436" t="s">
        <v>141</v>
      </c>
      <c r="QFH18" s="448">
        <v>54850667.799999997</v>
      </c>
      <c r="QFI18" s="449"/>
      <c r="QFJ18" s="448">
        <f>QFH18+QFI18</f>
        <v>54850667.799999997</v>
      </c>
      <c r="QFK18" s="452"/>
      <c r="QFL18" s="452">
        <v>62201294.850000001</v>
      </c>
      <c r="QFM18" s="451">
        <f>60000000</f>
        <v>60000000</v>
      </c>
      <c r="QFN18" s="459"/>
      <c r="QFO18" s="452"/>
      <c r="QFP18" s="450">
        <v>0</v>
      </c>
      <c r="QFQ18" s="460"/>
      <c r="QFR18" s="450">
        <f>QFL18+QFO18</f>
        <v>62201294.850000001</v>
      </c>
      <c r="QFS18" s="454">
        <f>+QFM18+QFP18</f>
        <v>60000000</v>
      </c>
      <c r="QFT18" s="461"/>
      <c r="QFU18" s="450"/>
      <c r="QFV18" s="594">
        <f>(QFR18-QFJ18)/QFJ18</f>
        <v>0.13401162364699606</v>
      </c>
      <c r="QFW18" s="436" t="s">
        <v>141</v>
      </c>
      <c r="QFX18" s="448">
        <v>54850667.799999997</v>
      </c>
      <c r="QFY18" s="449"/>
      <c r="QFZ18" s="448">
        <f>QFX18+QFY18</f>
        <v>54850667.799999997</v>
      </c>
      <c r="QGA18" s="452"/>
      <c r="QGB18" s="452">
        <v>62201294.850000001</v>
      </c>
      <c r="QGC18" s="451">
        <f>60000000</f>
        <v>60000000</v>
      </c>
      <c r="QGD18" s="459"/>
      <c r="QGE18" s="452"/>
      <c r="QGF18" s="450">
        <v>0</v>
      </c>
      <c r="QGG18" s="460"/>
      <c r="QGH18" s="450">
        <f>QGB18+QGE18</f>
        <v>62201294.850000001</v>
      </c>
      <c r="QGI18" s="454">
        <f>+QGC18+QGF18</f>
        <v>60000000</v>
      </c>
      <c r="QGJ18" s="461"/>
      <c r="QGK18" s="450"/>
      <c r="QGL18" s="594">
        <f>(QGH18-QFZ18)/QFZ18</f>
        <v>0.13401162364699606</v>
      </c>
      <c r="QGM18" s="436" t="s">
        <v>141</v>
      </c>
      <c r="QGN18" s="448">
        <v>54850667.799999997</v>
      </c>
      <c r="QGO18" s="449"/>
      <c r="QGP18" s="448">
        <f>QGN18+QGO18</f>
        <v>54850667.799999997</v>
      </c>
      <c r="QGQ18" s="452"/>
      <c r="QGR18" s="452">
        <v>62201294.850000001</v>
      </c>
      <c r="QGS18" s="451">
        <f>60000000</f>
        <v>60000000</v>
      </c>
      <c r="QGT18" s="459"/>
      <c r="QGU18" s="452"/>
      <c r="QGV18" s="450">
        <v>0</v>
      </c>
      <c r="QGW18" s="460"/>
      <c r="QGX18" s="450">
        <f>QGR18+QGU18</f>
        <v>62201294.850000001</v>
      </c>
      <c r="QGY18" s="454">
        <f>+QGS18+QGV18</f>
        <v>60000000</v>
      </c>
      <c r="QGZ18" s="461"/>
      <c r="QHA18" s="450"/>
      <c r="QHB18" s="594">
        <f>(QGX18-QGP18)/QGP18</f>
        <v>0.13401162364699606</v>
      </c>
      <c r="QHC18" s="436" t="s">
        <v>141</v>
      </c>
      <c r="QHD18" s="448">
        <v>54850667.799999997</v>
      </c>
      <c r="QHE18" s="449"/>
      <c r="QHF18" s="448">
        <f>QHD18+QHE18</f>
        <v>54850667.799999997</v>
      </c>
      <c r="QHG18" s="452"/>
      <c r="QHH18" s="452">
        <v>62201294.850000001</v>
      </c>
      <c r="QHI18" s="451">
        <f>60000000</f>
        <v>60000000</v>
      </c>
      <c r="QHJ18" s="459"/>
      <c r="QHK18" s="452"/>
      <c r="QHL18" s="450">
        <v>0</v>
      </c>
      <c r="QHM18" s="460"/>
      <c r="QHN18" s="450">
        <f>QHH18+QHK18</f>
        <v>62201294.850000001</v>
      </c>
      <c r="QHO18" s="454">
        <f>+QHI18+QHL18</f>
        <v>60000000</v>
      </c>
      <c r="QHP18" s="461"/>
      <c r="QHQ18" s="450"/>
      <c r="QHR18" s="594">
        <f>(QHN18-QHF18)/QHF18</f>
        <v>0.13401162364699606</v>
      </c>
      <c r="QHS18" s="436" t="s">
        <v>141</v>
      </c>
      <c r="QHT18" s="448">
        <v>54850667.799999997</v>
      </c>
      <c r="QHU18" s="449"/>
      <c r="QHV18" s="448">
        <f>QHT18+QHU18</f>
        <v>54850667.799999997</v>
      </c>
      <c r="QHW18" s="452"/>
      <c r="QHX18" s="452">
        <v>62201294.850000001</v>
      </c>
      <c r="QHY18" s="451">
        <f>60000000</f>
        <v>60000000</v>
      </c>
      <c r="QHZ18" s="459"/>
      <c r="QIA18" s="452"/>
      <c r="QIB18" s="450">
        <v>0</v>
      </c>
      <c r="QIC18" s="460"/>
      <c r="QID18" s="450">
        <f>QHX18+QIA18</f>
        <v>62201294.850000001</v>
      </c>
      <c r="QIE18" s="454">
        <f>+QHY18+QIB18</f>
        <v>60000000</v>
      </c>
      <c r="QIF18" s="461"/>
      <c r="QIG18" s="450"/>
      <c r="QIH18" s="594">
        <f>(QID18-QHV18)/QHV18</f>
        <v>0.13401162364699606</v>
      </c>
      <c r="QII18" s="436" t="s">
        <v>141</v>
      </c>
      <c r="QIJ18" s="448">
        <v>54850667.799999997</v>
      </c>
      <c r="QIK18" s="449"/>
      <c r="QIL18" s="448">
        <f>QIJ18+QIK18</f>
        <v>54850667.799999997</v>
      </c>
      <c r="QIM18" s="452"/>
      <c r="QIN18" s="452">
        <v>62201294.850000001</v>
      </c>
      <c r="QIO18" s="451">
        <f>60000000</f>
        <v>60000000</v>
      </c>
      <c r="QIP18" s="459"/>
      <c r="QIQ18" s="452"/>
      <c r="QIR18" s="450">
        <v>0</v>
      </c>
      <c r="QIS18" s="460"/>
      <c r="QIT18" s="450">
        <f>QIN18+QIQ18</f>
        <v>62201294.850000001</v>
      </c>
      <c r="QIU18" s="454">
        <f>+QIO18+QIR18</f>
        <v>60000000</v>
      </c>
      <c r="QIV18" s="461"/>
      <c r="QIW18" s="450"/>
      <c r="QIX18" s="594">
        <f>(QIT18-QIL18)/QIL18</f>
        <v>0.13401162364699606</v>
      </c>
      <c r="QIY18" s="436" t="s">
        <v>141</v>
      </c>
      <c r="QIZ18" s="448">
        <v>54850667.799999997</v>
      </c>
      <c r="QJA18" s="449"/>
      <c r="QJB18" s="448">
        <f>QIZ18+QJA18</f>
        <v>54850667.799999997</v>
      </c>
      <c r="QJC18" s="452"/>
      <c r="QJD18" s="452">
        <v>62201294.850000001</v>
      </c>
      <c r="QJE18" s="451">
        <f>60000000</f>
        <v>60000000</v>
      </c>
      <c r="QJF18" s="459"/>
      <c r="QJG18" s="452"/>
      <c r="QJH18" s="450">
        <v>0</v>
      </c>
      <c r="QJI18" s="460"/>
      <c r="QJJ18" s="450">
        <f>QJD18+QJG18</f>
        <v>62201294.850000001</v>
      </c>
      <c r="QJK18" s="454">
        <f>+QJE18+QJH18</f>
        <v>60000000</v>
      </c>
      <c r="QJL18" s="461"/>
      <c r="QJM18" s="450"/>
      <c r="QJN18" s="594">
        <f>(QJJ18-QJB18)/QJB18</f>
        <v>0.13401162364699606</v>
      </c>
      <c r="QJO18" s="436" t="s">
        <v>141</v>
      </c>
      <c r="QJP18" s="448">
        <v>54850667.799999997</v>
      </c>
      <c r="QJQ18" s="449"/>
      <c r="QJR18" s="448">
        <f>QJP18+QJQ18</f>
        <v>54850667.799999997</v>
      </c>
      <c r="QJS18" s="452"/>
      <c r="QJT18" s="452">
        <v>62201294.850000001</v>
      </c>
      <c r="QJU18" s="451">
        <f>60000000</f>
        <v>60000000</v>
      </c>
      <c r="QJV18" s="459"/>
      <c r="QJW18" s="452"/>
      <c r="QJX18" s="450">
        <v>0</v>
      </c>
      <c r="QJY18" s="460"/>
      <c r="QJZ18" s="450">
        <f>QJT18+QJW18</f>
        <v>62201294.850000001</v>
      </c>
      <c r="QKA18" s="454">
        <f>+QJU18+QJX18</f>
        <v>60000000</v>
      </c>
      <c r="QKB18" s="461"/>
      <c r="QKC18" s="450"/>
      <c r="QKD18" s="594">
        <f>(QJZ18-QJR18)/QJR18</f>
        <v>0.13401162364699606</v>
      </c>
      <c r="QKE18" s="436" t="s">
        <v>141</v>
      </c>
      <c r="QKF18" s="448">
        <v>54850667.799999997</v>
      </c>
      <c r="QKG18" s="449"/>
      <c r="QKH18" s="448">
        <f>QKF18+QKG18</f>
        <v>54850667.799999997</v>
      </c>
      <c r="QKI18" s="452"/>
      <c r="QKJ18" s="452">
        <v>62201294.850000001</v>
      </c>
      <c r="QKK18" s="451">
        <f>60000000</f>
        <v>60000000</v>
      </c>
      <c r="QKL18" s="459"/>
      <c r="QKM18" s="452"/>
      <c r="QKN18" s="450">
        <v>0</v>
      </c>
      <c r="QKO18" s="460"/>
      <c r="QKP18" s="450">
        <f>QKJ18+QKM18</f>
        <v>62201294.850000001</v>
      </c>
      <c r="QKQ18" s="454">
        <f>+QKK18+QKN18</f>
        <v>60000000</v>
      </c>
      <c r="QKR18" s="461"/>
      <c r="QKS18" s="450"/>
      <c r="QKT18" s="594">
        <f>(QKP18-QKH18)/QKH18</f>
        <v>0.13401162364699606</v>
      </c>
      <c r="QKU18" s="436" t="s">
        <v>141</v>
      </c>
      <c r="QKV18" s="448">
        <v>54850667.799999997</v>
      </c>
      <c r="QKW18" s="449"/>
      <c r="QKX18" s="448">
        <f>QKV18+QKW18</f>
        <v>54850667.799999997</v>
      </c>
      <c r="QKY18" s="452"/>
      <c r="QKZ18" s="452">
        <v>62201294.850000001</v>
      </c>
      <c r="QLA18" s="451">
        <f>60000000</f>
        <v>60000000</v>
      </c>
      <c r="QLB18" s="459"/>
      <c r="QLC18" s="452"/>
      <c r="QLD18" s="450">
        <v>0</v>
      </c>
      <c r="QLE18" s="460"/>
      <c r="QLF18" s="450">
        <f>QKZ18+QLC18</f>
        <v>62201294.850000001</v>
      </c>
      <c r="QLG18" s="454">
        <f>+QLA18+QLD18</f>
        <v>60000000</v>
      </c>
      <c r="QLH18" s="461"/>
      <c r="QLI18" s="450"/>
      <c r="QLJ18" s="594">
        <f>(QLF18-QKX18)/QKX18</f>
        <v>0.13401162364699606</v>
      </c>
      <c r="QLK18" s="436" t="s">
        <v>141</v>
      </c>
      <c r="QLL18" s="448">
        <v>54850667.799999997</v>
      </c>
      <c r="QLM18" s="449"/>
      <c r="QLN18" s="448">
        <f>QLL18+QLM18</f>
        <v>54850667.799999997</v>
      </c>
      <c r="QLO18" s="452"/>
      <c r="QLP18" s="452">
        <v>62201294.850000001</v>
      </c>
      <c r="QLQ18" s="451">
        <f>60000000</f>
        <v>60000000</v>
      </c>
      <c r="QLR18" s="459"/>
      <c r="QLS18" s="452"/>
      <c r="QLT18" s="450">
        <v>0</v>
      </c>
      <c r="QLU18" s="460"/>
      <c r="QLV18" s="450">
        <f>QLP18+QLS18</f>
        <v>62201294.850000001</v>
      </c>
      <c r="QLW18" s="454">
        <f>+QLQ18+QLT18</f>
        <v>60000000</v>
      </c>
      <c r="QLX18" s="461"/>
      <c r="QLY18" s="450"/>
      <c r="QLZ18" s="594">
        <f>(QLV18-QLN18)/QLN18</f>
        <v>0.13401162364699606</v>
      </c>
      <c r="QMA18" s="436" t="s">
        <v>141</v>
      </c>
      <c r="QMB18" s="448">
        <v>54850667.799999997</v>
      </c>
      <c r="QMC18" s="449"/>
      <c r="QMD18" s="448">
        <f>QMB18+QMC18</f>
        <v>54850667.799999997</v>
      </c>
      <c r="QME18" s="452"/>
      <c r="QMF18" s="452">
        <v>62201294.850000001</v>
      </c>
      <c r="QMG18" s="451">
        <f>60000000</f>
        <v>60000000</v>
      </c>
      <c r="QMH18" s="459"/>
      <c r="QMI18" s="452"/>
      <c r="QMJ18" s="450">
        <v>0</v>
      </c>
      <c r="QMK18" s="460"/>
      <c r="QML18" s="450">
        <f>QMF18+QMI18</f>
        <v>62201294.850000001</v>
      </c>
      <c r="QMM18" s="454">
        <f>+QMG18+QMJ18</f>
        <v>60000000</v>
      </c>
      <c r="QMN18" s="461"/>
      <c r="QMO18" s="450"/>
      <c r="QMP18" s="594">
        <f>(QML18-QMD18)/QMD18</f>
        <v>0.13401162364699606</v>
      </c>
      <c r="QMQ18" s="436" t="s">
        <v>141</v>
      </c>
      <c r="QMR18" s="448">
        <v>54850667.799999997</v>
      </c>
      <c r="QMS18" s="449"/>
      <c r="QMT18" s="448">
        <f>QMR18+QMS18</f>
        <v>54850667.799999997</v>
      </c>
      <c r="QMU18" s="452"/>
      <c r="QMV18" s="452">
        <v>62201294.850000001</v>
      </c>
      <c r="QMW18" s="451">
        <f>60000000</f>
        <v>60000000</v>
      </c>
      <c r="QMX18" s="459"/>
      <c r="QMY18" s="452"/>
      <c r="QMZ18" s="450">
        <v>0</v>
      </c>
      <c r="QNA18" s="460"/>
      <c r="QNB18" s="450">
        <f>QMV18+QMY18</f>
        <v>62201294.850000001</v>
      </c>
      <c r="QNC18" s="454">
        <f>+QMW18+QMZ18</f>
        <v>60000000</v>
      </c>
      <c r="QND18" s="461"/>
      <c r="QNE18" s="450"/>
      <c r="QNF18" s="594">
        <f>(QNB18-QMT18)/QMT18</f>
        <v>0.13401162364699606</v>
      </c>
      <c r="QNG18" s="436" t="s">
        <v>141</v>
      </c>
      <c r="QNH18" s="448">
        <v>54850667.799999997</v>
      </c>
      <c r="QNI18" s="449"/>
      <c r="QNJ18" s="448">
        <f>QNH18+QNI18</f>
        <v>54850667.799999997</v>
      </c>
      <c r="QNK18" s="452"/>
      <c r="QNL18" s="452">
        <v>62201294.850000001</v>
      </c>
      <c r="QNM18" s="451">
        <f>60000000</f>
        <v>60000000</v>
      </c>
      <c r="QNN18" s="459"/>
      <c r="QNO18" s="452"/>
      <c r="QNP18" s="450">
        <v>0</v>
      </c>
      <c r="QNQ18" s="460"/>
      <c r="QNR18" s="450">
        <f>QNL18+QNO18</f>
        <v>62201294.850000001</v>
      </c>
      <c r="QNS18" s="454">
        <f>+QNM18+QNP18</f>
        <v>60000000</v>
      </c>
      <c r="QNT18" s="461"/>
      <c r="QNU18" s="450"/>
      <c r="QNV18" s="594">
        <f>(QNR18-QNJ18)/QNJ18</f>
        <v>0.13401162364699606</v>
      </c>
      <c r="QNW18" s="436" t="s">
        <v>141</v>
      </c>
      <c r="QNX18" s="448">
        <v>54850667.799999997</v>
      </c>
      <c r="QNY18" s="449"/>
      <c r="QNZ18" s="448">
        <f>QNX18+QNY18</f>
        <v>54850667.799999997</v>
      </c>
      <c r="QOA18" s="452"/>
      <c r="QOB18" s="452">
        <v>62201294.850000001</v>
      </c>
      <c r="QOC18" s="451">
        <f>60000000</f>
        <v>60000000</v>
      </c>
      <c r="QOD18" s="459"/>
      <c r="QOE18" s="452"/>
      <c r="QOF18" s="450">
        <v>0</v>
      </c>
      <c r="QOG18" s="460"/>
      <c r="QOH18" s="450">
        <f>QOB18+QOE18</f>
        <v>62201294.850000001</v>
      </c>
      <c r="QOI18" s="454">
        <f>+QOC18+QOF18</f>
        <v>60000000</v>
      </c>
      <c r="QOJ18" s="461"/>
      <c r="QOK18" s="450"/>
      <c r="QOL18" s="594">
        <f>(QOH18-QNZ18)/QNZ18</f>
        <v>0.13401162364699606</v>
      </c>
      <c r="QOM18" s="436" t="s">
        <v>141</v>
      </c>
      <c r="QON18" s="448">
        <v>54850667.799999997</v>
      </c>
      <c r="QOO18" s="449"/>
      <c r="QOP18" s="448">
        <f>QON18+QOO18</f>
        <v>54850667.799999997</v>
      </c>
      <c r="QOQ18" s="452"/>
      <c r="QOR18" s="452">
        <v>62201294.850000001</v>
      </c>
      <c r="QOS18" s="451">
        <f>60000000</f>
        <v>60000000</v>
      </c>
      <c r="QOT18" s="459"/>
      <c r="QOU18" s="452"/>
      <c r="QOV18" s="450">
        <v>0</v>
      </c>
      <c r="QOW18" s="460"/>
      <c r="QOX18" s="450">
        <f>QOR18+QOU18</f>
        <v>62201294.850000001</v>
      </c>
      <c r="QOY18" s="454">
        <f>+QOS18+QOV18</f>
        <v>60000000</v>
      </c>
      <c r="QOZ18" s="461"/>
      <c r="QPA18" s="450"/>
      <c r="QPB18" s="594">
        <f>(QOX18-QOP18)/QOP18</f>
        <v>0.13401162364699606</v>
      </c>
      <c r="QPC18" s="436" t="s">
        <v>141</v>
      </c>
      <c r="QPD18" s="448">
        <v>54850667.799999997</v>
      </c>
      <c r="QPE18" s="449"/>
      <c r="QPF18" s="448">
        <f>QPD18+QPE18</f>
        <v>54850667.799999997</v>
      </c>
      <c r="QPG18" s="452"/>
      <c r="QPH18" s="452">
        <v>62201294.850000001</v>
      </c>
      <c r="QPI18" s="451">
        <f>60000000</f>
        <v>60000000</v>
      </c>
      <c r="QPJ18" s="459"/>
      <c r="QPK18" s="452"/>
      <c r="QPL18" s="450">
        <v>0</v>
      </c>
      <c r="QPM18" s="460"/>
      <c r="QPN18" s="450">
        <f>QPH18+QPK18</f>
        <v>62201294.850000001</v>
      </c>
      <c r="QPO18" s="454">
        <f>+QPI18+QPL18</f>
        <v>60000000</v>
      </c>
      <c r="QPP18" s="461"/>
      <c r="QPQ18" s="450"/>
      <c r="QPR18" s="594">
        <f>(QPN18-QPF18)/QPF18</f>
        <v>0.13401162364699606</v>
      </c>
      <c r="QPS18" s="436" t="s">
        <v>141</v>
      </c>
      <c r="QPT18" s="448">
        <v>54850667.799999997</v>
      </c>
      <c r="QPU18" s="449"/>
      <c r="QPV18" s="448">
        <f>QPT18+QPU18</f>
        <v>54850667.799999997</v>
      </c>
      <c r="QPW18" s="452"/>
      <c r="QPX18" s="452">
        <v>62201294.850000001</v>
      </c>
      <c r="QPY18" s="451">
        <f>60000000</f>
        <v>60000000</v>
      </c>
      <c r="QPZ18" s="459"/>
      <c r="QQA18" s="452"/>
      <c r="QQB18" s="450">
        <v>0</v>
      </c>
      <c r="QQC18" s="460"/>
      <c r="QQD18" s="450">
        <f>QPX18+QQA18</f>
        <v>62201294.850000001</v>
      </c>
      <c r="QQE18" s="454">
        <f>+QPY18+QQB18</f>
        <v>60000000</v>
      </c>
      <c r="QQF18" s="461"/>
      <c r="QQG18" s="450"/>
      <c r="QQH18" s="594">
        <f>(QQD18-QPV18)/QPV18</f>
        <v>0.13401162364699606</v>
      </c>
      <c r="QQI18" s="436" t="s">
        <v>141</v>
      </c>
      <c r="QQJ18" s="448">
        <v>54850667.799999997</v>
      </c>
      <c r="QQK18" s="449"/>
      <c r="QQL18" s="448">
        <f>QQJ18+QQK18</f>
        <v>54850667.799999997</v>
      </c>
      <c r="QQM18" s="452"/>
      <c r="QQN18" s="452">
        <v>62201294.850000001</v>
      </c>
      <c r="QQO18" s="451">
        <f>60000000</f>
        <v>60000000</v>
      </c>
      <c r="QQP18" s="459"/>
      <c r="QQQ18" s="452"/>
      <c r="QQR18" s="450">
        <v>0</v>
      </c>
      <c r="QQS18" s="460"/>
      <c r="QQT18" s="450">
        <f>QQN18+QQQ18</f>
        <v>62201294.850000001</v>
      </c>
      <c r="QQU18" s="454">
        <f>+QQO18+QQR18</f>
        <v>60000000</v>
      </c>
      <c r="QQV18" s="461"/>
      <c r="QQW18" s="450"/>
      <c r="QQX18" s="594">
        <f>(QQT18-QQL18)/QQL18</f>
        <v>0.13401162364699606</v>
      </c>
      <c r="QQY18" s="436" t="s">
        <v>141</v>
      </c>
      <c r="QQZ18" s="448">
        <v>54850667.799999997</v>
      </c>
      <c r="QRA18" s="449"/>
      <c r="QRB18" s="448">
        <f>QQZ18+QRA18</f>
        <v>54850667.799999997</v>
      </c>
      <c r="QRC18" s="452"/>
      <c r="QRD18" s="452">
        <v>62201294.850000001</v>
      </c>
      <c r="QRE18" s="451">
        <f>60000000</f>
        <v>60000000</v>
      </c>
      <c r="QRF18" s="459"/>
      <c r="QRG18" s="452"/>
      <c r="QRH18" s="450">
        <v>0</v>
      </c>
      <c r="QRI18" s="460"/>
      <c r="QRJ18" s="450">
        <f>QRD18+QRG18</f>
        <v>62201294.850000001</v>
      </c>
      <c r="QRK18" s="454">
        <f>+QRE18+QRH18</f>
        <v>60000000</v>
      </c>
      <c r="QRL18" s="461"/>
      <c r="QRM18" s="450"/>
      <c r="QRN18" s="594">
        <f>(QRJ18-QRB18)/QRB18</f>
        <v>0.13401162364699606</v>
      </c>
      <c r="QRO18" s="436" t="s">
        <v>141</v>
      </c>
      <c r="QRP18" s="448">
        <v>54850667.799999997</v>
      </c>
      <c r="QRQ18" s="449"/>
      <c r="QRR18" s="448">
        <f>QRP18+QRQ18</f>
        <v>54850667.799999997</v>
      </c>
      <c r="QRS18" s="452"/>
      <c r="QRT18" s="452">
        <v>62201294.850000001</v>
      </c>
      <c r="QRU18" s="451">
        <f>60000000</f>
        <v>60000000</v>
      </c>
      <c r="QRV18" s="459"/>
      <c r="QRW18" s="452"/>
      <c r="QRX18" s="450">
        <v>0</v>
      </c>
      <c r="QRY18" s="460"/>
      <c r="QRZ18" s="450">
        <f>QRT18+QRW18</f>
        <v>62201294.850000001</v>
      </c>
      <c r="QSA18" s="454">
        <f>+QRU18+QRX18</f>
        <v>60000000</v>
      </c>
      <c r="QSB18" s="461"/>
      <c r="QSC18" s="450"/>
      <c r="QSD18" s="594">
        <f>(QRZ18-QRR18)/QRR18</f>
        <v>0.13401162364699606</v>
      </c>
      <c r="QSE18" s="436" t="s">
        <v>141</v>
      </c>
      <c r="QSF18" s="448">
        <v>54850667.799999997</v>
      </c>
      <c r="QSG18" s="449"/>
      <c r="QSH18" s="448">
        <f>QSF18+QSG18</f>
        <v>54850667.799999997</v>
      </c>
      <c r="QSI18" s="452"/>
      <c r="QSJ18" s="452">
        <v>62201294.850000001</v>
      </c>
      <c r="QSK18" s="451">
        <f>60000000</f>
        <v>60000000</v>
      </c>
      <c r="QSL18" s="459"/>
      <c r="QSM18" s="452"/>
      <c r="QSN18" s="450">
        <v>0</v>
      </c>
      <c r="QSO18" s="460"/>
      <c r="QSP18" s="450">
        <f>QSJ18+QSM18</f>
        <v>62201294.850000001</v>
      </c>
      <c r="QSQ18" s="454">
        <f>+QSK18+QSN18</f>
        <v>60000000</v>
      </c>
      <c r="QSR18" s="461"/>
      <c r="QSS18" s="450"/>
      <c r="QST18" s="594">
        <f>(QSP18-QSH18)/QSH18</f>
        <v>0.13401162364699606</v>
      </c>
      <c r="QSU18" s="436" t="s">
        <v>141</v>
      </c>
      <c r="QSV18" s="448">
        <v>54850667.799999997</v>
      </c>
      <c r="QSW18" s="449"/>
      <c r="QSX18" s="448">
        <f>QSV18+QSW18</f>
        <v>54850667.799999997</v>
      </c>
      <c r="QSY18" s="452"/>
      <c r="QSZ18" s="452">
        <v>62201294.850000001</v>
      </c>
      <c r="QTA18" s="451">
        <f>60000000</f>
        <v>60000000</v>
      </c>
      <c r="QTB18" s="459"/>
      <c r="QTC18" s="452"/>
      <c r="QTD18" s="450">
        <v>0</v>
      </c>
      <c r="QTE18" s="460"/>
      <c r="QTF18" s="450">
        <f>QSZ18+QTC18</f>
        <v>62201294.850000001</v>
      </c>
      <c r="QTG18" s="454">
        <f>+QTA18+QTD18</f>
        <v>60000000</v>
      </c>
      <c r="QTH18" s="461"/>
      <c r="QTI18" s="450"/>
      <c r="QTJ18" s="594">
        <f>(QTF18-QSX18)/QSX18</f>
        <v>0.13401162364699606</v>
      </c>
      <c r="QTK18" s="436" t="s">
        <v>141</v>
      </c>
      <c r="QTL18" s="448">
        <v>54850667.799999997</v>
      </c>
      <c r="QTM18" s="449"/>
      <c r="QTN18" s="448">
        <f>QTL18+QTM18</f>
        <v>54850667.799999997</v>
      </c>
      <c r="QTO18" s="452"/>
      <c r="QTP18" s="452">
        <v>62201294.850000001</v>
      </c>
      <c r="QTQ18" s="451">
        <f>60000000</f>
        <v>60000000</v>
      </c>
      <c r="QTR18" s="459"/>
      <c r="QTS18" s="452"/>
      <c r="QTT18" s="450">
        <v>0</v>
      </c>
      <c r="QTU18" s="460"/>
      <c r="QTV18" s="450">
        <f>QTP18+QTS18</f>
        <v>62201294.850000001</v>
      </c>
      <c r="QTW18" s="454">
        <f>+QTQ18+QTT18</f>
        <v>60000000</v>
      </c>
      <c r="QTX18" s="461"/>
      <c r="QTY18" s="450"/>
      <c r="QTZ18" s="594">
        <f>(QTV18-QTN18)/QTN18</f>
        <v>0.13401162364699606</v>
      </c>
      <c r="QUA18" s="436" t="s">
        <v>141</v>
      </c>
      <c r="QUB18" s="448">
        <v>54850667.799999997</v>
      </c>
      <c r="QUC18" s="449"/>
      <c r="QUD18" s="448">
        <f>QUB18+QUC18</f>
        <v>54850667.799999997</v>
      </c>
      <c r="QUE18" s="452"/>
      <c r="QUF18" s="452">
        <v>62201294.850000001</v>
      </c>
      <c r="QUG18" s="451">
        <f>60000000</f>
        <v>60000000</v>
      </c>
      <c r="QUH18" s="459"/>
      <c r="QUI18" s="452"/>
      <c r="QUJ18" s="450">
        <v>0</v>
      </c>
      <c r="QUK18" s="460"/>
      <c r="QUL18" s="450">
        <f>QUF18+QUI18</f>
        <v>62201294.850000001</v>
      </c>
      <c r="QUM18" s="454">
        <f>+QUG18+QUJ18</f>
        <v>60000000</v>
      </c>
      <c r="QUN18" s="461"/>
      <c r="QUO18" s="450"/>
      <c r="QUP18" s="594">
        <f>(QUL18-QUD18)/QUD18</f>
        <v>0.13401162364699606</v>
      </c>
      <c r="QUQ18" s="436" t="s">
        <v>141</v>
      </c>
      <c r="QUR18" s="448">
        <v>54850667.799999997</v>
      </c>
      <c r="QUS18" s="449"/>
      <c r="QUT18" s="448">
        <f>QUR18+QUS18</f>
        <v>54850667.799999997</v>
      </c>
      <c r="QUU18" s="452"/>
      <c r="QUV18" s="452">
        <v>62201294.850000001</v>
      </c>
      <c r="QUW18" s="451">
        <f>60000000</f>
        <v>60000000</v>
      </c>
      <c r="QUX18" s="459"/>
      <c r="QUY18" s="452"/>
      <c r="QUZ18" s="450">
        <v>0</v>
      </c>
      <c r="QVA18" s="460"/>
      <c r="QVB18" s="450">
        <f>QUV18+QUY18</f>
        <v>62201294.850000001</v>
      </c>
      <c r="QVC18" s="454">
        <f>+QUW18+QUZ18</f>
        <v>60000000</v>
      </c>
      <c r="QVD18" s="461"/>
      <c r="QVE18" s="450"/>
      <c r="QVF18" s="594">
        <f>(QVB18-QUT18)/QUT18</f>
        <v>0.13401162364699606</v>
      </c>
      <c r="QVG18" s="436" t="s">
        <v>141</v>
      </c>
      <c r="QVH18" s="448">
        <v>54850667.799999997</v>
      </c>
      <c r="QVI18" s="449"/>
      <c r="QVJ18" s="448">
        <f>QVH18+QVI18</f>
        <v>54850667.799999997</v>
      </c>
      <c r="QVK18" s="452"/>
      <c r="QVL18" s="452">
        <v>62201294.850000001</v>
      </c>
      <c r="QVM18" s="451">
        <f>60000000</f>
        <v>60000000</v>
      </c>
      <c r="QVN18" s="459"/>
      <c r="QVO18" s="452"/>
      <c r="QVP18" s="450">
        <v>0</v>
      </c>
      <c r="QVQ18" s="460"/>
      <c r="QVR18" s="450">
        <f>QVL18+QVO18</f>
        <v>62201294.850000001</v>
      </c>
      <c r="QVS18" s="454">
        <f>+QVM18+QVP18</f>
        <v>60000000</v>
      </c>
      <c r="QVT18" s="461"/>
      <c r="QVU18" s="450"/>
      <c r="QVV18" s="594">
        <f>(QVR18-QVJ18)/QVJ18</f>
        <v>0.13401162364699606</v>
      </c>
      <c r="QVW18" s="436" t="s">
        <v>141</v>
      </c>
      <c r="QVX18" s="448">
        <v>54850667.799999997</v>
      </c>
      <c r="QVY18" s="449"/>
      <c r="QVZ18" s="448">
        <f>QVX18+QVY18</f>
        <v>54850667.799999997</v>
      </c>
      <c r="QWA18" s="452"/>
      <c r="QWB18" s="452">
        <v>62201294.850000001</v>
      </c>
      <c r="QWC18" s="451">
        <f>60000000</f>
        <v>60000000</v>
      </c>
      <c r="QWD18" s="459"/>
      <c r="QWE18" s="452"/>
      <c r="QWF18" s="450">
        <v>0</v>
      </c>
      <c r="QWG18" s="460"/>
      <c r="QWH18" s="450">
        <f>QWB18+QWE18</f>
        <v>62201294.850000001</v>
      </c>
      <c r="QWI18" s="454">
        <f>+QWC18+QWF18</f>
        <v>60000000</v>
      </c>
      <c r="QWJ18" s="461"/>
      <c r="QWK18" s="450"/>
      <c r="QWL18" s="594">
        <f>(QWH18-QVZ18)/QVZ18</f>
        <v>0.13401162364699606</v>
      </c>
      <c r="QWM18" s="436" t="s">
        <v>141</v>
      </c>
      <c r="QWN18" s="448">
        <v>54850667.799999997</v>
      </c>
      <c r="QWO18" s="449"/>
      <c r="QWP18" s="448">
        <f>QWN18+QWO18</f>
        <v>54850667.799999997</v>
      </c>
      <c r="QWQ18" s="452"/>
      <c r="QWR18" s="452">
        <v>62201294.850000001</v>
      </c>
      <c r="QWS18" s="451">
        <f>60000000</f>
        <v>60000000</v>
      </c>
      <c r="QWT18" s="459"/>
      <c r="QWU18" s="452"/>
      <c r="QWV18" s="450">
        <v>0</v>
      </c>
      <c r="QWW18" s="460"/>
      <c r="QWX18" s="450">
        <f>QWR18+QWU18</f>
        <v>62201294.850000001</v>
      </c>
      <c r="QWY18" s="454">
        <f>+QWS18+QWV18</f>
        <v>60000000</v>
      </c>
      <c r="QWZ18" s="461"/>
      <c r="QXA18" s="450"/>
      <c r="QXB18" s="594">
        <f>(QWX18-QWP18)/QWP18</f>
        <v>0.13401162364699606</v>
      </c>
      <c r="QXC18" s="436" t="s">
        <v>141</v>
      </c>
      <c r="QXD18" s="448">
        <v>54850667.799999997</v>
      </c>
      <c r="QXE18" s="449"/>
      <c r="QXF18" s="448">
        <f>QXD18+QXE18</f>
        <v>54850667.799999997</v>
      </c>
      <c r="QXG18" s="452"/>
      <c r="QXH18" s="452">
        <v>62201294.850000001</v>
      </c>
      <c r="QXI18" s="451">
        <f>60000000</f>
        <v>60000000</v>
      </c>
      <c r="QXJ18" s="459"/>
      <c r="QXK18" s="452"/>
      <c r="QXL18" s="450">
        <v>0</v>
      </c>
      <c r="QXM18" s="460"/>
      <c r="QXN18" s="450">
        <f>QXH18+QXK18</f>
        <v>62201294.850000001</v>
      </c>
      <c r="QXO18" s="454">
        <f>+QXI18+QXL18</f>
        <v>60000000</v>
      </c>
      <c r="QXP18" s="461"/>
      <c r="QXQ18" s="450"/>
      <c r="QXR18" s="594">
        <f>(QXN18-QXF18)/QXF18</f>
        <v>0.13401162364699606</v>
      </c>
      <c r="QXS18" s="436" t="s">
        <v>141</v>
      </c>
      <c r="QXT18" s="448">
        <v>54850667.799999997</v>
      </c>
      <c r="QXU18" s="449"/>
      <c r="QXV18" s="448">
        <f>QXT18+QXU18</f>
        <v>54850667.799999997</v>
      </c>
      <c r="QXW18" s="452"/>
      <c r="QXX18" s="452">
        <v>62201294.850000001</v>
      </c>
      <c r="QXY18" s="451">
        <f>60000000</f>
        <v>60000000</v>
      </c>
      <c r="QXZ18" s="459"/>
      <c r="QYA18" s="452"/>
      <c r="QYB18" s="450">
        <v>0</v>
      </c>
      <c r="QYC18" s="460"/>
      <c r="QYD18" s="450">
        <f>QXX18+QYA18</f>
        <v>62201294.850000001</v>
      </c>
      <c r="QYE18" s="454">
        <f>+QXY18+QYB18</f>
        <v>60000000</v>
      </c>
      <c r="QYF18" s="461"/>
      <c r="QYG18" s="450"/>
      <c r="QYH18" s="594">
        <f>(QYD18-QXV18)/QXV18</f>
        <v>0.13401162364699606</v>
      </c>
      <c r="QYI18" s="436" t="s">
        <v>141</v>
      </c>
      <c r="QYJ18" s="448">
        <v>54850667.799999997</v>
      </c>
      <c r="QYK18" s="449"/>
      <c r="QYL18" s="448">
        <f>QYJ18+QYK18</f>
        <v>54850667.799999997</v>
      </c>
      <c r="QYM18" s="452"/>
      <c r="QYN18" s="452">
        <v>62201294.850000001</v>
      </c>
      <c r="QYO18" s="451">
        <f>60000000</f>
        <v>60000000</v>
      </c>
      <c r="QYP18" s="459"/>
      <c r="QYQ18" s="452"/>
      <c r="QYR18" s="450">
        <v>0</v>
      </c>
      <c r="QYS18" s="460"/>
      <c r="QYT18" s="450">
        <f>QYN18+QYQ18</f>
        <v>62201294.850000001</v>
      </c>
      <c r="QYU18" s="454">
        <f>+QYO18+QYR18</f>
        <v>60000000</v>
      </c>
      <c r="QYV18" s="461"/>
      <c r="QYW18" s="450"/>
      <c r="QYX18" s="594">
        <f>(QYT18-QYL18)/QYL18</f>
        <v>0.13401162364699606</v>
      </c>
      <c r="QYY18" s="436" t="s">
        <v>141</v>
      </c>
      <c r="QYZ18" s="448">
        <v>54850667.799999997</v>
      </c>
      <c r="QZA18" s="449"/>
      <c r="QZB18" s="448">
        <f>QYZ18+QZA18</f>
        <v>54850667.799999997</v>
      </c>
      <c r="QZC18" s="452"/>
      <c r="QZD18" s="452">
        <v>62201294.850000001</v>
      </c>
      <c r="QZE18" s="451">
        <f>60000000</f>
        <v>60000000</v>
      </c>
      <c r="QZF18" s="459"/>
      <c r="QZG18" s="452"/>
      <c r="QZH18" s="450">
        <v>0</v>
      </c>
      <c r="QZI18" s="460"/>
      <c r="QZJ18" s="450">
        <f>QZD18+QZG18</f>
        <v>62201294.850000001</v>
      </c>
      <c r="QZK18" s="454">
        <f>+QZE18+QZH18</f>
        <v>60000000</v>
      </c>
      <c r="QZL18" s="461"/>
      <c r="QZM18" s="450"/>
      <c r="QZN18" s="594">
        <f>(QZJ18-QZB18)/QZB18</f>
        <v>0.13401162364699606</v>
      </c>
      <c r="QZO18" s="436" t="s">
        <v>141</v>
      </c>
      <c r="QZP18" s="448">
        <v>54850667.799999997</v>
      </c>
      <c r="QZQ18" s="449"/>
      <c r="QZR18" s="448">
        <f>QZP18+QZQ18</f>
        <v>54850667.799999997</v>
      </c>
      <c r="QZS18" s="452"/>
      <c r="QZT18" s="452">
        <v>62201294.850000001</v>
      </c>
      <c r="QZU18" s="451">
        <f>60000000</f>
        <v>60000000</v>
      </c>
      <c r="QZV18" s="459"/>
      <c r="QZW18" s="452"/>
      <c r="QZX18" s="450">
        <v>0</v>
      </c>
      <c r="QZY18" s="460"/>
      <c r="QZZ18" s="450">
        <f>QZT18+QZW18</f>
        <v>62201294.850000001</v>
      </c>
      <c r="RAA18" s="454">
        <f>+QZU18+QZX18</f>
        <v>60000000</v>
      </c>
      <c r="RAB18" s="461"/>
      <c r="RAC18" s="450"/>
      <c r="RAD18" s="594">
        <f>(QZZ18-QZR18)/QZR18</f>
        <v>0.13401162364699606</v>
      </c>
      <c r="RAE18" s="436" t="s">
        <v>141</v>
      </c>
      <c r="RAF18" s="448">
        <v>54850667.799999997</v>
      </c>
      <c r="RAG18" s="449"/>
      <c r="RAH18" s="448">
        <f>RAF18+RAG18</f>
        <v>54850667.799999997</v>
      </c>
      <c r="RAI18" s="452"/>
      <c r="RAJ18" s="452">
        <v>62201294.850000001</v>
      </c>
      <c r="RAK18" s="451">
        <f>60000000</f>
        <v>60000000</v>
      </c>
      <c r="RAL18" s="459"/>
      <c r="RAM18" s="452"/>
      <c r="RAN18" s="450">
        <v>0</v>
      </c>
      <c r="RAO18" s="460"/>
      <c r="RAP18" s="450">
        <f>RAJ18+RAM18</f>
        <v>62201294.850000001</v>
      </c>
      <c r="RAQ18" s="454">
        <f>+RAK18+RAN18</f>
        <v>60000000</v>
      </c>
      <c r="RAR18" s="461"/>
      <c r="RAS18" s="450"/>
      <c r="RAT18" s="594">
        <f>(RAP18-RAH18)/RAH18</f>
        <v>0.13401162364699606</v>
      </c>
      <c r="RAU18" s="436" t="s">
        <v>141</v>
      </c>
      <c r="RAV18" s="448">
        <v>54850667.799999997</v>
      </c>
      <c r="RAW18" s="449"/>
      <c r="RAX18" s="448">
        <f>RAV18+RAW18</f>
        <v>54850667.799999997</v>
      </c>
      <c r="RAY18" s="452"/>
      <c r="RAZ18" s="452">
        <v>62201294.850000001</v>
      </c>
      <c r="RBA18" s="451">
        <f>60000000</f>
        <v>60000000</v>
      </c>
      <c r="RBB18" s="459"/>
      <c r="RBC18" s="452"/>
      <c r="RBD18" s="450">
        <v>0</v>
      </c>
      <c r="RBE18" s="460"/>
      <c r="RBF18" s="450">
        <f>RAZ18+RBC18</f>
        <v>62201294.850000001</v>
      </c>
      <c r="RBG18" s="454">
        <f>+RBA18+RBD18</f>
        <v>60000000</v>
      </c>
      <c r="RBH18" s="461"/>
      <c r="RBI18" s="450"/>
      <c r="RBJ18" s="594">
        <f>(RBF18-RAX18)/RAX18</f>
        <v>0.13401162364699606</v>
      </c>
      <c r="RBK18" s="436" t="s">
        <v>141</v>
      </c>
      <c r="RBL18" s="448">
        <v>54850667.799999997</v>
      </c>
      <c r="RBM18" s="449"/>
      <c r="RBN18" s="448">
        <f>RBL18+RBM18</f>
        <v>54850667.799999997</v>
      </c>
      <c r="RBO18" s="452"/>
      <c r="RBP18" s="452">
        <v>62201294.850000001</v>
      </c>
      <c r="RBQ18" s="451">
        <f>60000000</f>
        <v>60000000</v>
      </c>
      <c r="RBR18" s="459"/>
      <c r="RBS18" s="452"/>
      <c r="RBT18" s="450">
        <v>0</v>
      </c>
      <c r="RBU18" s="460"/>
      <c r="RBV18" s="450">
        <f>RBP18+RBS18</f>
        <v>62201294.850000001</v>
      </c>
      <c r="RBW18" s="454">
        <f>+RBQ18+RBT18</f>
        <v>60000000</v>
      </c>
      <c r="RBX18" s="461"/>
      <c r="RBY18" s="450"/>
      <c r="RBZ18" s="594">
        <f>(RBV18-RBN18)/RBN18</f>
        <v>0.13401162364699606</v>
      </c>
      <c r="RCA18" s="436" t="s">
        <v>141</v>
      </c>
      <c r="RCB18" s="448">
        <v>54850667.799999997</v>
      </c>
      <c r="RCC18" s="449"/>
      <c r="RCD18" s="448">
        <f>RCB18+RCC18</f>
        <v>54850667.799999997</v>
      </c>
      <c r="RCE18" s="452"/>
      <c r="RCF18" s="452">
        <v>62201294.850000001</v>
      </c>
      <c r="RCG18" s="451">
        <f>60000000</f>
        <v>60000000</v>
      </c>
      <c r="RCH18" s="459"/>
      <c r="RCI18" s="452"/>
      <c r="RCJ18" s="450">
        <v>0</v>
      </c>
      <c r="RCK18" s="460"/>
      <c r="RCL18" s="450">
        <f>RCF18+RCI18</f>
        <v>62201294.850000001</v>
      </c>
      <c r="RCM18" s="454">
        <f>+RCG18+RCJ18</f>
        <v>60000000</v>
      </c>
      <c r="RCN18" s="461"/>
      <c r="RCO18" s="450"/>
      <c r="RCP18" s="594">
        <f>(RCL18-RCD18)/RCD18</f>
        <v>0.13401162364699606</v>
      </c>
      <c r="RCQ18" s="436" t="s">
        <v>141</v>
      </c>
      <c r="RCR18" s="448">
        <v>54850667.799999997</v>
      </c>
      <c r="RCS18" s="449"/>
      <c r="RCT18" s="448">
        <f>RCR18+RCS18</f>
        <v>54850667.799999997</v>
      </c>
      <c r="RCU18" s="452"/>
      <c r="RCV18" s="452">
        <v>62201294.850000001</v>
      </c>
      <c r="RCW18" s="451">
        <f>60000000</f>
        <v>60000000</v>
      </c>
      <c r="RCX18" s="459"/>
      <c r="RCY18" s="452"/>
      <c r="RCZ18" s="450">
        <v>0</v>
      </c>
      <c r="RDA18" s="460"/>
      <c r="RDB18" s="450">
        <f>RCV18+RCY18</f>
        <v>62201294.850000001</v>
      </c>
      <c r="RDC18" s="454">
        <f>+RCW18+RCZ18</f>
        <v>60000000</v>
      </c>
      <c r="RDD18" s="461"/>
      <c r="RDE18" s="450"/>
      <c r="RDF18" s="594">
        <f>(RDB18-RCT18)/RCT18</f>
        <v>0.13401162364699606</v>
      </c>
      <c r="RDG18" s="436" t="s">
        <v>141</v>
      </c>
      <c r="RDH18" s="448">
        <v>54850667.799999997</v>
      </c>
      <c r="RDI18" s="449"/>
      <c r="RDJ18" s="448">
        <f>RDH18+RDI18</f>
        <v>54850667.799999997</v>
      </c>
      <c r="RDK18" s="452"/>
      <c r="RDL18" s="452">
        <v>62201294.850000001</v>
      </c>
      <c r="RDM18" s="451">
        <f>60000000</f>
        <v>60000000</v>
      </c>
      <c r="RDN18" s="459"/>
      <c r="RDO18" s="452"/>
      <c r="RDP18" s="450">
        <v>0</v>
      </c>
      <c r="RDQ18" s="460"/>
      <c r="RDR18" s="450">
        <f>RDL18+RDO18</f>
        <v>62201294.850000001</v>
      </c>
      <c r="RDS18" s="454">
        <f>+RDM18+RDP18</f>
        <v>60000000</v>
      </c>
      <c r="RDT18" s="461"/>
      <c r="RDU18" s="450"/>
      <c r="RDV18" s="594">
        <f>(RDR18-RDJ18)/RDJ18</f>
        <v>0.13401162364699606</v>
      </c>
      <c r="RDW18" s="436" t="s">
        <v>141</v>
      </c>
      <c r="RDX18" s="448">
        <v>54850667.799999997</v>
      </c>
      <c r="RDY18" s="449"/>
      <c r="RDZ18" s="448">
        <f>RDX18+RDY18</f>
        <v>54850667.799999997</v>
      </c>
      <c r="REA18" s="452"/>
      <c r="REB18" s="452">
        <v>62201294.850000001</v>
      </c>
      <c r="REC18" s="451">
        <f>60000000</f>
        <v>60000000</v>
      </c>
      <c r="RED18" s="459"/>
      <c r="REE18" s="452"/>
      <c r="REF18" s="450">
        <v>0</v>
      </c>
      <c r="REG18" s="460"/>
      <c r="REH18" s="450">
        <f>REB18+REE18</f>
        <v>62201294.850000001</v>
      </c>
      <c r="REI18" s="454">
        <f>+REC18+REF18</f>
        <v>60000000</v>
      </c>
      <c r="REJ18" s="461"/>
      <c r="REK18" s="450"/>
      <c r="REL18" s="594">
        <f>(REH18-RDZ18)/RDZ18</f>
        <v>0.13401162364699606</v>
      </c>
      <c r="REM18" s="436" t="s">
        <v>141</v>
      </c>
      <c r="REN18" s="448">
        <v>54850667.799999997</v>
      </c>
      <c r="REO18" s="449"/>
      <c r="REP18" s="448">
        <f>REN18+REO18</f>
        <v>54850667.799999997</v>
      </c>
      <c r="REQ18" s="452"/>
      <c r="RER18" s="452">
        <v>62201294.850000001</v>
      </c>
      <c r="RES18" s="451">
        <f>60000000</f>
        <v>60000000</v>
      </c>
      <c r="RET18" s="459"/>
      <c r="REU18" s="452"/>
      <c r="REV18" s="450">
        <v>0</v>
      </c>
      <c r="REW18" s="460"/>
      <c r="REX18" s="450">
        <f>RER18+REU18</f>
        <v>62201294.850000001</v>
      </c>
      <c r="REY18" s="454">
        <f>+RES18+REV18</f>
        <v>60000000</v>
      </c>
      <c r="REZ18" s="461"/>
      <c r="RFA18" s="450"/>
      <c r="RFB18" s="594">
        <f>(REX18-REP18)/REP18</f>
        <v>0.13401162364699606</v>
      </c>
      <c r="RFC18" s="436" t="s">
        <v>141</v>
      </c>
      <c r="RFD18" s="448">
        <v>54850667.799999997</v>
      </c>
      <c r="RFE18" s="449"/>
      <c r="RFF18" s="448">
        <f>RFD18+RFE18</f>
        <v>54850667.799999997</v>
      </c>
      <c r="RFG18" s="452"/>
      <c r="RFH18" s="452">
        <v>62201294.850000001</v>
      </c>
      <c r="RFI18" s="451">
        <f>60000000</f>
        <v>60000000</v>
      </c>
      <c r="RFJ18" s="459"/>
      <c r="RFK18" s="452"/>
      <c r="RFL18" s="450">
        <v>0</v>
      </c>
      <c r="RFM18" s="460"/>
      <c r="RFN18" s="450">
        <f>RFH18+RFK18</f>
        <v>62201294.850000001</v>
      </c>
      <c r="RFO18" s="454">
        <f>+RFI18+RFL18</f>
        <v>60000000</v>
      </c>
      <c r="RFP18" s="461"/>
      <c r="RFQ18" s="450"/>
      <c r="RFR18" s="594">
        <f>(RFN18-RFF18)/RFF18</f>
        <v>0.13401162364699606</v>
      </c>
      <c r="RFS18" s="436" t="s">
        <v>141</v>
      </c>
      <c r="RFT18" s="448">
        <v>54850667.799999997</v>
      </c>
      <c r="RFU18" s="449"/>
      <c r="RFV18" s="448">
        <f>RFT18+RFU18</f>
        <v>54850667.799999997</v>
      </c>
      <c r="RFW18" s="452"/>
      <c r="RFX18" s="452">
        <v>62201294.850000001</v>
      </c>
      <c r="RFY18" s="451">
        <f>60000000</f>
        <v>60000000</v>
      </c>
      <c r="RFZ18" s="459"/>
      <c r="RGA18" s="452"/>
      <c r="RGB18" s="450">
        <v>0</v>
      </c>
      <c r="RGC18" s="460"/>
      <c r="RGD18" s="450">
        <f>RFX18+RGA18</f>
        <v>62201294.850000001</v>
      </c>
      <c r="RGE18" s="454">
        <f>+RFY18+RGB18</f>
        <v>60000000</v>
      </c>
      <c r="RGF18" s="461"/>
      <c r="RGG18" s="450"/>
      <c r="RGH18" s="594">
        <f>(RGD18-RFV18)/RFV18</f>
        <v>0.13401162364699606</v>
      </c>
      <c r="RGI18" s="436" t="s">
        <v>141</v>
      </c>
      <c r="RGJ18" s="448">
        <v>54850667.799999997</v>
      </c>
      <c r="RGK18" s="449"/>
      <c r="RGL18" s="448">
        <f>RGJ18+RGK18</f>
        <v>54850667.799999997</v>
      </c>
      <c r="RGM18" s="452"/>
      <c r="RGN18" s="452">
        <v>62201294.850000001</v>
      </c>
      <c r="RGO18" s="451">
        <f>60000000</f>
        <v>60000000</v>
      </c>
      <c r="RGP18" s="459"/>
      <c r="RGQ18" s="452"/>
      <c r="RGR18" s="450">
        <v>0</v>
      </c>
      <c r="RGS18" s="460"/>
      <c r="RGT18" s="450">
        <f>RGN18+RGQ18</f>
        <v>62201294.850000001</v>
      </c>
      <c r="RGU18" s="454">
        <f>+RGO18+RGR18</f>
        <v>60000000</v>
      </c>
      <c r="RGV18" s="461"/>
      <c r="RGW18" s="450"/>
      <c r="RGX18" s="594">
        <f>(RGT18-RGL18)/RGL18</f>
        <v>0.13401162364699606</v>
      </c>
      <c r="RGY18" s="436" t="s">
        <v>141</v>
      </c>
      <c r="RGZ18" s="448">
        <v>54850667.799999997</v>
      </c>
      <c r="RHA18" s="449"/>
      <c r="RHB18" s="448">
        <f>RGZ18+RHA18</f>
        <v>54850667.799999997</v>
      </c>
      <c r="RHC18" s="452"/>
      <c r="RHD18" s="452">
        <v>62201294.850000001</v>
      </c>
      <c r="RHE18" s="451">
        <f>60000000</f>
        <v>60000000</v>
      </c>
      <c r="RHF18" s="459"/>
      <c r="RHG18" s="452"/>
      <c r="RHH18" s="450">
        <v>0</v>
      </c>
      <c r="RHI18" s="460"/>
      <c r="RHJ18" s="450">
        <f>RHD18+RHG18</f>
        <v>62201294.850000001</v>
      </c>
      <c r="RHK18" s="454">
        <f>+RHE18+RHH18</f>
        <v>60000000</v>
      </c>
      <c r="RHL18" s="461"/>
      <c r="RHM18" s="450"/>
      <c r="RHN18" s="594">
        <f>(RHJ18-RHB18)/RHB18</f>
        <v>0.13401162364699606</v>
      </c>
      <c r="RHO18" s="436" t="s">
        <v>141</v>
      </c>
      <c r="RHP18" s="448">
        <v>54850667.799999997</v>
      </c>
      <c r="RHQ18" s="449"/>
      <c r="RHR18" s="448">
        <f>RHP18+RHQ18</f>
        <v>54850667.799999997</v>
      </c>
      <c r="RHS18" s="452"/>
      <c r="RHT18" s="452">
        <v>62201294.850000001</v>
      </c>
      <c r="RHU18" s="451">
        <f>60000000</f>
        <v>60000000</v>
      </c>
      <c r="RHV18" s="459"/>
      <c r="RHW18" s="452"/>
      <c r="RHX18" s="450">
        <v>0</v>
      </c>
      <c r="RHY18" s="460"/>
      <c r="RHZ18" s="450">
        <f>RHT18+RHW18</f>
        <v>62201294.850000001</v>
      </c>
      <c r="RIA18" s="454">
        <f>+RHU18+RHX18</f>
        <v>60000000</v>
      </c>
      <c r="RIB18" s="461"/>
      <c r="RIC18" s="450"/>
      <c r="RID18" s="594">
        <f>(RHZ18-RHR18)/RHR18</f>
        <v>0.13401162364699606</v>
      </c>
      <c r="RIE18" s="436" t="s">
        <v>141</v>
      </c>
      <c r="RIF18" s="448">
        <v>54850667.799999997</v>
      </c>
      <c r="RIG18" s="449"/>
      <c r="RIH18" s="448">
        <f>RIF18+RIG18</f>
        <v>54850667.799999997</v>
      </c>
      <c r="RII18" s="452"/>
      <c r="RIJ18" s="452">
        <v>62201294.850000001</v>
      </c>
      <c r="RIK18" s="451">
        <f>60000000</f>
        <v>60000000</v>
      </c>
      <c r="RIL18" s="459"/>
      <c r="RIM18" s="452"/>
      <c r="RIN18" s="450">
        <v>0</v>
      </c>
      <c r="RIO18" s="460"/>
      <c r="RIP18" s="450">
        <f>RIJ18+RIM18</f>
        <v>62201294.850000001</v>
      </c>
      <c r="RIQ18" s="454">
        <f>+RIK18+RIN18</f>
        <v>60000000</v>
      </c>
      <c r="RIR18" s="461"/>
      <c r="RIS18" s="450"/>
      <c r="RIT18" s="594">
        <f>(RIP18-RIH18)/RIH18</f>
        <v>0.13401162364699606</v>
      </c>
      <c r="RIU18" s="436" t="s">
        <v>141</v>
      </c>
      <c r="RIV18" s="448">
        <v>54850667.799999997</v>
      </c>
      <c r="RIW18" s="449"/>
      <c r="RIX18" s="448">
        <f>RIV18+RIW18</f>
        <v>54850667.799999997</v>
      </c>
      <c r="RIY18" s="452"/>
      <c r="RIZ18" s="452">
        <v>62201294.850000001</v>
      </c>
      <c r="RJA18" s="451">
        <f>60000000</f>
        <v>60000000</v>
      </c>
      <c r="RJB18" s="459"/>
      <c r="RJC18" s="452"/>
      <c r="RJD18" s="450">
        <v>0</v>
      </c>
      <c r="RJE18" s="460"/>
      <c r="RJF18" s="450">
        <f>RIZ18+RJC18</f>
        <v>62201294.850000001</v>
      </c>
      <c r="RJG18" s="454">
        <f>+RJA18+RJD18</f>
        <v>60000000</v>
      </c>
      <c r="RJH18" s="461"/>
      <c r="RJI18" s="450"/>
      <c r="RJJ18" s="594">
        <f>(RJF18-RIX18)/RIX18</f>
        <v>0.13401162364699606</v>
      </c>
      <c r="RJK18" s="436" t="s">
        <v>141</v>
      </c>
      <c r="RJL18" s="448">
        <v>54850667.799999997</v>
      </c>
      <c r="RJM18" s="449"/>
      <c r="RJN18" s="448">
        <f>RJL18+RJM18</f>
        <v>54850667.799999997</v>
      </c>
      <c r="RJO18" s="452"/>
      <c r="RJP18" s="452">
        <v>62201294.850000001</v>
      </c>
      <c r="RJQ18" s="451">
        <f>60000000</f>
        <v>60000000</v>
      </c>
      <c r="RJR18" s="459"/>
      <c r="RJS18" s="452"/>
      <c r="RJT18" s="450">
        <v>0</v>
      </c>
      <c r="RJU18" s="460"/>
      <c r="RJV18" s="450">
        <f>RJP18+RJS18</f>
        <v>62201294.850000001</v>
      </c>
      <c r="RJW18" s="454">
        <f>+RJQ18+RJT18</f>
        <v>60000000</v>
      </c>
      <c r="RJX18" s="461"/>
      <c r="RJY18" s="450"/>
      <c r="RJZ18" s="594">
        <f>(RJV18-RJN18)/RJN18</f>
        <v>0.13401162364699606</v>
      </c>
      <c r="RKA18" s="436" t="s">
        <v>141</v>
      </c>
      <c r="RKB18" s="448">
        <v>54850667.799999997</v>
      </c>
      <c r="RKC18" s="449"/>
      <c r="RKD18" s="448">
        <f>RKB18+RKC18</f>
        <v>54850667.799999997</v>
      </c>
      <c r="RKE18" s="452"/>
      <c r="RKF18" s="452">
        <v>62201294.850000001</v>
      </c>
      <c r="RKG18" s="451">
        <f>60000000</f>
        <v>60000000</v>
      </c>
      <c r="RKH18" s="459"/>
      <c r="RKI18" s="452"/>
      <c r="RKJ18" s="450">
        <v>0</v>
      </c>
      <c r="RKK18" s="460"/>
      <c r="RKL18" s="450">
        <f>RKF18+RKI18</f>
        <v>62201294.850000001</v>
      </c>
      <c r="RKM18" s="454">
        <f>+RKG18+RKJ18</f>
        <v>60000000</v>
      </c>
      <c r="RKN18" s="461"/>
      <c r="RKO18" s="450"/>
      <c r="RKP18" s="594">
        <f>(RKL18-RKD18)/RKD18</f>
        <v>0.13401162364699606</v>
      </c>
      <c r="RKQ18" s="436" t="s">
        <v>141</v>
      </c>
      <c r="RKR18" s="448">
        <v>54850667.799999997</v>
      </c>
      <c r="RKS18" s="449"/>
      <c r="RKT18" s="448">
        <f>RKR18+RKS18</f>
        <v>54850667.799999997</v>
      </c>
      <c r="RKU18" s="452"/>
      <c r="RKV18" s="452">
        <v>62201294.850000001</v>
      </c>
      <c r="RKW18" s="451">
        <f>60000000</f>
        <v>60000000</v>
      </c>
      <c r="RKX18" s="459"/>
      <c r="RKY18" s="452"/>
      <c r="RKZ18" s="450">
        <v>0</v>
      </c>
      <c r="RLA18" s="460"/>
      <c r="RLB18" s="450">
        <f>RKV18+RKY18</f>
        <v>62201294.850000001</v>
      </c>
      <c r="RLC18" s="454">
        <f>+RKW18+RKZ18</f>
        <v>60000000</v>
      </c>
      <c r="RLD18" s="461"/>
      <c r="RLE18" s="450"/>
      <c r="RLF18" s="594">
        <f>(RLB18-RKT18)/RKT18</f>
        <v>0.13401162364699606</v>
      </c>
      <c r="RLG18" s="436" t="s">
        <v>141</v>
      </c>
      <c r="RLH18" s="448">
        <v>54850667.799999997</v>
      </c>
      <c r="RLI18" s="449"/>
      <c r="RLJ18" s="448">
        <f>RLH18+RLI18</f>
        <v>54850667.799999997</v>
      </c>
      <c r="RLK18" s="452"/>
      <c r="RLL18" s="452">
        <v>62201294.850000001</v>
      </c>
      <c r="RLM18" s="451">
        <f>60000000</f>
        <v>60000000</v>
      </c>
      <c r="RLN18" s="459"/>
      <c r="RLO18" s="452"/>
      <c r="RLP18" s="450">
        <v>0</v>
      </c>
      <c r="RLQ18" s="460"/>
      <c r="RLR18" s="450">
        <f>RLL18+RLO18</f>
        <v>62201294.850000001</v>
      </c>
      <c r="RLS18" s="454">
        <f>+RLM18+RLP18</f>
        <v>60000000</v>
      </c>
      <c r="RLT18" s="461"/>
      <c r="RLU18" s="450"/>
      <c r="RLV18" s="594">
        <f>(RLR18-RLJ18)/RLJ18</f>
        <v>0.13401162364699606</v>
      </c>
      <c r="RLW18" s="436" t="s">
        <v>141</v>
      </c>
      <c r="RLX18" s="448">
        <v>54850667.799999997</v>
      </c>
      <c r="RLY18" s="449"/>
      <c r="RLZ18" s="448">
        <f>RLX18+RLY18</f>
        <v>54850667.799999997</v>
      </c>
      <c r="RMA18" s="452"/>
      <c r="RMB18" s="452">
        <v>62201294.850000001</v>
      </c>
      <c r="RMC18" s="451">
        <f>60000000</f>
        <v>60000000</v>
      </c>
      <c r="RMD18" s="459"/>
      <c r="RME18" s="452"/>
      <c r="RMF18" s="450">
        <v>0</v>
      </c>
      <c r="RMG18" s="460"/>
      <c r="RMH18" s="450">
        <f>RMB18+RME18</f>
        <v>62201294.850000001</v>
      </c>
      <c r="RMI18" s="454">
        <f>+RMC18+RMF18</f>
        <v>60000000</v>
      </c>
      <c r="RMJ18" s="461"/>
      <c r="RMK18" s="450"/>
      <c r="RML18" s="594">
        <f>(RMH18-RLZ18)/RLZ18</f>
        <v>0.13401162364699606</v>
      </c>
      <c r="RMM18" s="436" t="s">
        <v>141</v>
      </c>
      <c r="RMN18" s="448">
        <v>54850667.799999997</v>
      </c>
      <c r="RMO18" s="449"/>
      <c r="RMP18" s="448">
        <f>RMN18+RMO18</f>
        <v>54850667.799999997</v>
      </c>
      <c r="RMQ18" s="452"/>
      <c r="RMR18" s="452">
        <v>62201294.850000001</v>
      </c>
      <c r="RMS18" s="451">
        <f>60000000</f>
        <v>60000000</v>
      </c>
      <c r="RMT18" s="459"/>
      <c r="RMU18" s="452"/>
      <c r="RMV18" s="450">
        <v>0</v>
      </c>
      <c r="RMW18" s="460"/>
      <c r="RMX18" s="450">
        <f>RMR18+RMU18</f>
        <v>62201294.850000001</v>
      </c>
      <c r="RMY18" s="454">
        <f>+RMS18+RMV18</f>
        <v>60000000</v>
      </c>
      <c r="RMZ18" s="461"/>
      <c r="RNA18" s="450"/>
      <c r="RNB18" s="594">
        <f>(RMX18-RMP18)/RMP18</f>
        <v>0.13401162364699606</v>
      </c>
      <c r="RNC18" s="436" t="s">
        <v>141</v>
      </c>
      <c r="RND18" s="448">
        <v>54850667.799999997</v>
      </c>
      <c r="RNE18" s="449"/>
      <c r="RNF18" s="448">
        <f>RND18+RNE18</f>
        <v>54850667.799999997</v>
      </c>
      <c r="RNG18" s="452"/>
      <c r="RNH18" s="452">
        <v>62201294.850000001</v>
      </c>
      <c r="RNI18" s="451">
        <f>60000000</f>
        <v>60000000</v>
      </c>
      <c r="RNJ18" s="459"/>
      <c r="RNK18" s="452"/>
      <c r="RNL18" s="450">
        <v>0</v>
      </c>
      <c r="RNM18" s="460"/>
      <c r="RNN18" s="450">
        <f>RNH18+RNK18</f>
        <v>62201294.850000001</v>
      </c>
      <c r="RNO18" s="454">
        <f>+RNI18+RNL18</f>
        <v>60000000</v>
      </c>
      <c r="RNP18" s="461"/>
      <c r="RNQ18" s="450"/>
      <c r="RNR18" s="594">
        <f>(RNN18-RNF18)/RNF18</f>
        <v>0.13401162364699606</v>
      </c>
      <c r="RNS18" s="436" t="s">
        <v>141</v>
      </c>
      <c r="RNT18" s="448">
        <v>54850667.799999997</v>
      </c>
      <c r="RNU18" s="449"/>
      <c r="RNV18" s="448">
        <f>RNT18+RNU18</f>
        <v>54850667.799999997</v>
      </c>
      <c r="RNW18" s="452"/>
      <c r="RNX18" s="452">
        <v>62201294.850000001</v>
      </c>
      <c r="RNY18" s="451">
        <f>60000000</f>
        <v>60000000</v>
      </c>
      <c r="RNZ18" s="459"/>
      <c r="ROA18" s="452"/>
      <c r="ROB18" s="450">
        <v>0</v>
      </c>
      <c r="ROC18" s="460"/>
      <c r="ROD18" s="450">
        <f>RNX18+ROA18</f>
        <v>62201294.850000001</v>
      </c>
      <c r="ROE18" s="454">
        <f>+RNY18+ROB18</f>
        <v>60000000</v>
      </c>
      <c r="ROF18" s="461"/>
      <c r="ROG18" s="450"/>
      <c r="ROH18" s="594">
        <f>(ROD18-RNV18)/RNV18</f>
        <v>0.13401162364699606</v>
      </c>
      <c r="ROI18" s="436" t="s">
        <v>141</v>
      </c>
      <c r="ROJ18" s="448">
        <v>54850667.799999997</v>
      </c>
      <c r="ROK18" s="449"/>
      <c r="ROL18" s="448">
        <f>ROJ18+ROK18</f>
        <v>54850667.799999997</v>
      </c>
      <c r="ROM18" s="452"/>
      <c r="RON18" s="452">
        <v>62201294.850000001</v>
      </c>
      <c r="ROO18" s="451">
        <f>60000000</f>
        <v>60000000</v>
      </c>
      <c r="ROP18" s="459"/>
      <c r="ROQ18" s="452"/>
      <c r="ROR18" s="450">
        <v>0</v>
      </c>
      <c r="ROS18" s="460"/>
      <c r="ROT18" s="450">
        <f>RON18+ROQ18</f>
        <v>62201294.850000001</v>
      </c>
      <c r="ROU18" s="454">
        <f>+ROO18+ROR18</f>
        <v>60000000</v>
      </c>
      <c r="ROV18" s="461"/>
      <c r="ROW18" s="450"/>
      <c r="ROX18" s="594">
        <f>(ROT18-ROL18)/ROL18</f>
        <v>0.13401162364699606</v>
      </c>
      <c r="ROY18" s="436" t="s">
        <v>141</v>
      </c>
      <c r="ROZ18" s="448">
        <v>54850667.799999997</v>
      </c>
      <c r="RPA18" s="449"/>
      <c r="RPB18" s="448">
        <f>ROZ18+RPA18</f>
        <v>54850667.799999997</v>
      </c>
      <c r="RPC18" s="452"/>
      <c r="RPD18" s="452">
        <v>62201294.850000001</v>
      </c>
      <c r="RPE18" s="451">
        <f>60000000</f>
        <v>60000000</v>
      </c>
      <c r="RPF18" s="459"/>
      <c r="RPG18" s="452"/>
      <c r="RPH18" s="450">
        <v>0</v>
      </c>
      <c r="RPI18" s="460"/>
      <c r="RPJ18" s="450">
        <f>RPD18+RPG18</f>
        <v>62201294.850000001</v>
      </c>
      <c r="RPK18" s="454">
        <f>+RPE18+RPH18</f>
        <v>60000000</v>
      </c>
      <c r="RPL18" s="461"/>
      <c r="RPM18" s="450"/>
      <c r="RPN18" s="594">
        <f>(RPJ18-RPB18)/RPB18</f>
        <v>0.13401162364699606</v>
      </c>
      <c r="RPO18" s="436" t="s">
        <v>141</v>
      </c>
      <c r="RPP18" s="448">
        <v>54850667.799999997</v>
      </c>
      <c r="RPQ18" s="449"/>
      <c r="RPR18" s="448">
        <f>RPP18+RPQ18</f>
        <v>54850667.799999997</v>
      </c>
      <c r="RPS18" s="452"/>
      <c r="RPT18" s="452">
        <v>62201294.850000001</v>
      </c>
      <c r="RPU18" s="451">
        <f>60000000</f>
        <v>60000000</v>
      </c>
      <c r="RPV18" s="459"/>
      <c r="RPW18" s="452"/>
      <c r="RPX18" s="450">
        <v>0</v>
      </c>
      <c r="RPY18" s="460"/>
      <c r="RPZ18" s="450">
        <f>RPT18+RPW18</f>
        <v>62201294.850000001</v>
      </c>
      <c r="RQA18" s="454">
        <f>+RPU18+RPX18</f>
        <v>60000000</v>
      </c>
      <c r="RQB18" s="461"/>
      <c r="RQC18" s="450"/>
      <c r="RQD18" s="594">
        <f>(RPZ18-RPR18)/RPR18</f>
        <v>0.13401162364699606</v>
      </c>
      <c r="RQE18" s="436" t="s">
        <v>141</v>
      </c>
      <c r="RQF18" s="448">
        <v>54850667.799999997</v>
      </c>
      <c r="RQG18" s="449"/>
      <c r="RQH18" s="448">
        <f>RQF18+RQG18</f>
        <v>54850667.799999997</v>
      </c>
      <c r="RQI18" s="452"/>
      <c r="RQJ18" s="452">
        <v>62201294.850000001</v>
      </c>
      <c r="RQK18" s="451">
        <f>60000000</f>
        <v>60000000</v>
      </c>
      <c r="RQL18" s="459"/>
      <c r="RQM18" s="452"/>
      <c r="RQN18" s="450">
        <v>0</v>
      </c>
      <c r="RQO18" s="460"/>
      <c r="RQP18" s="450">
        <f>RQJ18+RQM18</f>
        <v>62201294.850000001</v>
      </c>
      <c r="RQQ18" s="454">
        <f>+RQK18+RQN18</f>
        <v>60000000</v>
      </c>
      <c r="RQR18" s="461"/>
      <c r="RQS18" s="450"/>
      <c r="RQT18" s="594">
        <f>(RQP18-RQH18)/RQH18</f>
        <v>0.13401162364699606</v>
      </c>
      <c r="RQU18" s="436" t="s">
        <v>141</v>
      </c>
      <c r="RQV18" s="448">
        <v>54850667.799999997</v>
      </c>
      <c r="RQW18" s="449"/>
      <c r="RQX18" s="448">
        <f>RQV18+RQW18</f>
        <v>54850667.799999997</v>
      </c>
      <c r="RQY18" s="452"/>
      <c r="RQZ18" s="452">
        <v>62201294.850000001</v>
      </c>
      <c r="RRA18" s="451">
        <f>60000000</f>
        <v>60000000</v>
      </c>
      <c r="RRB18" s="459"/>
      <c r="RRC18" s="452"/>
      <c r="RRD18" s="450">
        <v>0</v>
      </c>
      <c r="RRE18" s="460"/>
      <c r="RRF18" s="450">
        <f>RQZ18+RRC18</f>
        <v>62201294.850000001</v>
      </c>
      <c r="RRG18" s="454">
        <f>+RRA18+RRD18</f>
        <v>60000000</v>
      </c>
      <c r="RRH18" s="461"/>
      <c r="RRI18" s="450"/>
      <c r="RRJ18" s="594">
        <f>(RRF18-RQX18)/RQX18</f>
        <v>0.13401162364699606</v>
      </c>
      <c r="RRK18" s="436" t="s">
        <v>141</v>
      </c>
      <c r="RRL18" s="448">
        <v>54850667.799999997</v>
      </c>
      <c r="RRM18" s="449"/>
      <c r="RRN18" s="448">
        <f>RRL18+RRM18</f>
        <v>54850667.799999997</v>
      </c>
      <c r="RRO18" s="452"/>
      <c r="RRP18" s="452">
        <v>62201294.850000001</v>
      </c>
      <c r="RRQ18" s="451">
        <f>60000000</f>
        <v>60000000</v>
      </c>
      <c r="RRR18" s="459"/>
      <c r="RRS18" s="452"/>
      <c r="RRT18" s="450">
        <v>0</v>
      </c>
      <c r="RRU18" s="460"/>
      <c r="RRV18" s="450">
        <f>RRP18+RRS18</f>
        <v>62201294.850000001</v>
      </c>
      <c r="RRW18" s="454">
        <f>+RRQ18+RRT18</f>
        <v>60000000</v>
      </c>
      <c r="RRX18" s="461"/>
      <c r="RRY18" s="450"/>
      <c r="RRZ18" s="594">
        <f>(RRV18-RRN18)/RRN18</f>
        <v>0.13401162364699606</v>
      </c>
      <c r="RSA18" s="436" t="s">
        <v>141</v>
      </c>
      <c r="RSB18" s="448">
        <v>54850667.799999997</v>
      </c>
      <c r="RSC18" s="449"/>
      <c r="RSD18" s="448">
        <f>RSB18+RSC18</f>
        <v>54850667.799999997</v>
      </c>
      <c r="RSE18" s="452"/>
      <c r="RSF18" s="452">
        <v>62201294.850000001</v>
      </c>
      <c r="RSG18" s="451">
        <f>60000000</f>
        <v>60000000</v>
      </c>
      <c r="RSH18" s="459"/>
      <c r="RSI18" s="452"/>
      <c r="RSJ18" s="450">
        <v>0</v>
      </c>
      <c r="RSK18" s="460"/>
      <c r="RSL18" s="450">
        <f>RSF18+RSI18</f>
        <v>62201294.850000001</v>
      </c>
      <c r="RSM18" s="454">
        <f>+RSG18+RSJ18</f>
        <v>60000000</v>
      </c>
      <c r="RSN18" s="461"/>
      <c r="RSO18" s="450"/>
      <c r="RSP18" s="594">
        <f>(RSL18-RSD18)/RSD18</f>
        <v>0.13401162364699606</v>
      </c>
      <c r="RSQ18" s="436" t="s">
        <v>141</v>
      </c>
      <c r="RSR18" s="448">
        <v>54850667.799999997</v>
      </c>
      <c r="RSS18" s="449"/>
      <c r="RST18" s="448">
        <f>RSR18+RSS18</f>
        <v>54850667.799999997</v>
      </c>
      <c r="RSU18" s="452"/>
      <c r="RSV18" s="452">
        <v>62201294.850000001</v>
      </c>
      <c r="RSW18" s="451">
        <f>60000000</f>
        <v>60000000</v>
      </c>
      <c r="RSX18" s="459"/>
      <c r="RSY18" s="452"/>
      <c r="RSZ18" s="450">
        <v>0</v>
      </c>
      <c r="RTA18" s="460"/>
      <c r="RTB18" s="450">
        <f>RSV18+RSY18</f>
        <v>62201294.850000001</v>
      </c>
      <c r="RTC18" s="454">
        <f>+RSW18+RSZ18</f>
        <v>60000000</v>
      </c>
      <c r="RTD18" s="461"/>
      <c r="RTE18" s="450"/>
      <c r="RTF18" s="594">
        <f>(RTB18-RST18)/RST18</f>
        <v>0.13401162364699606</v>
      </c>
      <c r="RTG18" s="436" t="s">
        <v>141</v>
      </c>
      <c r="RTH18" s="448">
        <v>54850667.799999997</v>
      </c>
      <c r="RTI18" s="449"/>
      <c r="RTJ18" s="448">
        <f>RTH18+RTI18</f>
        <v>54850667.799999997</v>
      </c>
      <c r="RTK18" s="452"/>
      <c r="RTL18" s="452">
        <v>62201294.850000001</v>
      </c>
      <c r="RTM18" s="451">
        <f>60000000</f>
        <v>60000000</v>
      </c>
      <c r="RTN18" s="459"/>
      <c r="RTO18" s="452"/>
      <c r="RTP18" s="450">
        <v>0</v>
      </c>
      <c r="RTQ18" s="460"/>
      <c r="RTR18" s="450">
        <f>RTL18+RTO18</f>
        <v>62201294.850000001</v>
      </c>
      <c r="RTS18" s="454">
        <f>+RTM18+RTP18</f>
        <v>60000000</v>
      </c>
      <c r="RTT18" s="461"/>
      <c r="RTU18" s="450"/>
      <c r="RTV18" s="594">
        <f>(RTR18-RTJ18)/RTJ18</f>
        <v>0.13401162364699606</v>
      </c>
      <c r="RTW18" s="436" t="s">
        <v>141</v>
      </c>
      <c r="RTX18" s="448">
        <v>54850667.799999997</v>
      </c>
      <c r="RTY18" s="449"/>
      <c r="RTZ18" s="448">
        <f>RTX18+RTY18</f>
        <v>54850667.799999997</v>
      </c>
      <c r="RUA18" s="452"/>
      <c r="RUB18" s="452">
        <v>62201294.850000001</v>
      </c>
      <c r="RUC18" s="451">
        <f>60000000</f>
        <v>60000000</v>
      </c>
      <c r="RUD18" s="459"/>
      <c r="RUE18" s="452"/>
      <c r="RUF18" s="450">
        <v>0</v>
      </c>
      <c r="RUG18" s="460"/>
      <c r="RUH18" s="450">
        <f>RUB18+RUE18</f>
        <v>62201294.850000001</v>
      </c>
      <c r="RUI18" s="454">
        <f>+RUC18+RUF18</f>
        <v>60000000</v>
      </c>
      <c r="RUJ18" s="461"/>
      <c r="RUK18" s="450"/>
      <c r="RUL18" s="594">
        <f>(RUH18-RTZ18)/RTZ18</f>
        <v>0.13401162364699606</v>
      </c>
      <c r="RUM18" s="436" t="s">
        <v>141</v>
      </c>
      <c r="RUN18" s="448">
        <v>54850667.799999997</v>
      </c>
      <c r="RUO18" s="449"/>
      <c r="RUP18" s="448">
        <f>RUN18+RUO18</f>
        <v>54850667.799999997</v>
      </c>
      <c r="RUQ18" s="452"/>
      <c r="RUR18" s="452">
        <v>62201294.850000001</v>
      </c>
      <c r="RUS18" s="451">
        <f>60000000</f>
        <v>60000000</v>
      </c>
      <c r="RUT18" s="459"/>
      <c r="RUU18" s="452"/>
      <c r="RUV18" s="450">
        <v>0</v>
      </c>
      <c r="RUW18" s="460"/>
      <c r="RUX18" s="450">
        <f>RUR18+RUU18</f>
        <v>62201294.850000001</v>
      </c>
      <c r="RUY18" s="454">
        <f>+RUS18+RUV18</f>
        <v>60000000</v>
      </c>
      <c r="RUZ18" s="461"/>
      <c r="RVA18" s="450"/>
      <c r="RVB18" s="594">
        <f>(RUX18-RUP18)/RUP18</f>
        <v>0.13401162364699606</v>
      </c>
      <c r="RVC18" s="436" t="s">
        <v>141</v>
      </c>
      <c r="RVD18" s="448">
        <v>54850667.799999997</v>
      </c>
      <c r="RVE18" s="449"/>
      <c r="RVF18" s="448">
        <f>RVD18+RVE18</f>
        <v>54850667.799999997</v>
      </c>
      <c r="RVG18" s="452"/>
      <c r="RVH18" s="452">
        <v>62201294.850000001</v>
      </c>
      <c r="RVI18" s="451">
        <f>60000000</f>
        <v>60000000</v>
      </c>
      <c r="RVJ18" s="459"/>
      <c r="RVK18" s="452"/>
      <c r="RVL18" s="450">
        <v>0</v>
      </c>
      <c r="RVM18" s="460"/>
      <c r="RVN18" s="450">
        <f>RVH18+RVK18</f>
        <v>62201294.850000001</v>
      </c>
      <c r="RVO18" s="454">
        <f>+RVI18+RVL18</f>
        <v>60000000</v>
      </c>
      <c r="RVP18" s="461"/>
      <c r="RVQ18" s="450"/>
      <c r="RVR18" s="594">
        <f>(RVN18-RVF18)/RVF18</f>
        <v>0.13401162364699606</v>
      </c>
      <c r="RVS18" s="436" t="s">
        <v>141</v>
      </c>
      <c r="RVT18" s="448">
        <v>54850667.799999997</v>
      </c>
      <c r="RVU18" s="449"/>
      <c r="RVV18" s="448">
        <f>RVT18+RVU18</f>
        <v>54850667.799999997</v>
      </c>
      <c r="RVW18" s="452"/>
      <c r="RVX18" s="452">
        <v>62201294.850000001</v>
      </c>
      <c r="RVY18" s="451">
        <f>60000000</f>
        <v>60000000</v>
      </c>
      <c r="RVZ18" s="459"/>
      <c r="RWA18" s="452"/>
      <c r="RWB18" s="450">
        <v>0</v>
      </c>
      <c r="RWC18" s="460"/>
      <c r="RWD18" s="450">
        <f>RVX18+RWA18</f>
        <v>62201294.850000001</v>
      </c>
      <c r="RWE18" s="454">
        <f>+RVY18+RWB18</f>
        <v>60000000</v>
      </c>
      <c r="RWF18" s="461"/>
      <c r="RWG18" s="450"/>
      <c r="RWH18" s="594">
        <f>(RWD18-RVV18)/RVV18</f>
        <v>0.13401162364699606</v>
      </c>
      <c r="RWI18" s="436" t="s">
        <v>141</v>
      </c>
      <c r="RWJ18" s="448">
        <v>54850667.799999997</v>
      </c>
      <c r="RWK18" s="449"/>
      <c r="RWL18" s="448">
        <f>RWJ18+RWK18</f>
        <v>54850667.799999997</v>
      </c>
      <c r="RWM18" s="452"/>
      <c r="RWN18" s="452">
        <v>62201294.850000001</v>
      </c>
      <c r="RWO18" s="451">
        <f>60000000</f>
        <v>60000000</v>
      </c>
      <c r="RWP18" s="459"/>
      <c r="RWQ18" s="452"/>
      <c r="RWR18" s="450">
        <v>0</v>
      </c>
      <c r="RWS18" s="460"/>
      <c r="RWT18" s="450">
        <f>RWN18+RWQ18</f>
        <v>62201294.850000001</v>
      </c>
      <c r="RWU18" s="454">
        <f>+RWO18+RWR18</f>
        <v>60000000</v>
      </c>
      <c r="RWV18" s="461"/>
      <c r="RWW18" s="450"/>
      <c r="RWX18" s="594">
        <f>(RWT18-RWL18)/RWL18</f>
        <v>0.13401162364699606</v>
      </c>
      <c r="RWY18" s="436" t="s">
        <v>141</v>
      </c>
      <c r="RWZ18" s="448">
        <v>54850667.799999997</v>
      </c>
      <c r="RXA18" s="449"/>
      <c r="RXB18" s="448">
        <f>RWZ18+RXA18</f>
        <v>54850667.799999997</v>
      </c>
      <c r="RXC18" s="452"/>
      <c r="RXD18" s="452">
        <v>62201294.850000001</v>
      </c>
      <c r="RXE18" s="451">
        <f>60000000</f>
        <v>60000000</v>
      </c>
      <c r="RXF18" s="459"/>
      <c r="RXG18" s="452"/>
      <c r="RXH18" s="450">
        <v>0</v>
      </c>
      <c r="RXI18" s="460"/>
      <c r="RXJ18" s="450">
        <f>RXD18+RXG18</f>
        <v>62201294.850000001</v>
      </c>
      <c r="RXK18" s="454">
        <f>+RXE18+RXH18</f>
        <v>60000000</v>
      </c>
      <c r="RXL18" s="461"/>
      <c r="RXM18" s="450"/>
      <c r="RXN18" s="594">
        <f>(RXJ18-RXB18)/RXB18</f>
        <v>0.13401162364699606</v>
      </c>
      <c r="RXO18" s="436" t="s">
        <v>141</v>
      </c>
      <c r="RXP18" s="448">
        <v>54850667.799999997</v>
      </c>
      <c r="RXQ18" s="449"/>
      <c r="RXR18" s="448">
        <f>RXP18+RXQ18</f>
        <v>54850667.799999997</v>
      </c>
      <c r="RXS18" s="452"/>
      <c r="RXT18" s="452">
        <v>62201294.850000001</v>
      </c>
      <c r="RXU18" s="451">
        <f>60000000</f>
        <v>60000000</v>
      </c>
      <c r="RXV18" s="459"/>
      <c r="RXW18" s="452"/>
      <c r="RXX18" s="450">
        <v>0</v>
      </c>
      <c r="RXY18" s="460"/>
      <c r="RXZ18" s="450">
        <f>RXT18+RXW18</f>
        <v>62201294.850000001</v>
      </c>
      <c r="RYA18" s="454">
        <f>+RXU18+RXX18</f>
        <v>60000000</v>
      </c>
      <c r="RYB18" s="461"/>
      <c r="RYC18" s="450"/>
      <c r="RYD18" s="594">
        <f>(RXZ18-RXR18)/RXR18</f>
        <v>0.13401162364699606</v>
      </c>
      <c r="RYE18" s="436" t="s">
        <v>141</v>
      </c>
      <c r="RYF18" s="448">
        <v>54850667.799999997</v>
      </c>
      <c r="RYG18" s="449"/>
      <c r="RYH18" s="448">
        <f>RYF18+RYG18</f>
        <v>54850667.799999997</v>
      </c>
      <c r="RYI18" s="452"/>
      <c r="RYJ18" s="452">
        <v>62201294.850000001</v>
      </c>
      <c r="RYK18" s="451">
        <f>60000000</f>
        <v>60000000</v>
      </c>
      <c r="RYL18" s="459"/>
      <c r="RYM18" s="452"/>
      <c r="RYN18" s="450">
        <v>0</v>
      </c>
      <c r="RYO18" s="460"/>
      <c r="RYP18" s="450">
        <f>RYJ18+RYM18</f>
        <v>62201294.850000001</v>
      </c>
      <c r="RYQ18" s="454">
        <f>+RYK18+RYN18</f>
        <v>60000000</v>
      </c>
      <c r="RYR18" s="461"/>
      <c r="RYS18" s="450"/>
      <c r="RYT18" s="594">
        <f>(RYP18-RYH18)/RYH18</f>
        <v>0.13401162364699606</v>
      </c>
      <c r="RYU18" s="436" t="s">
        <v>141</v>
      </c>
      <c r="RYV18" s="448">
        <v>54850667.799999997</v>
      </c>
      <c r="RYW18" s="449"/>
      <c r="RYX18" s="448">
        <f>RYV18+RYW18</f>
        <v>54850667.799999997</v>
      </c>
      <c r="RYY18" s="452"/>
      <c r="RYZ18" s="452">
        <v>62201294.850000001</v>
      </c>
      <c r="RZA18" s="451">
        <f>60000000</f>
        <v>60000000</v>
      </c>
      <c r="RZB18" s="459"/>
      <c r="RZC18" s="452"/>
      <c r="RZD18" s="450">
        <v>0</v>
      </c>
      <c r="RZE18" s="460"/>
      <c r="RZF18" s="450">
        <f>RYZ18+RZC18</f>
        <v>62201294.850000001</v>
      </c>
      <c r="RZG18" s="454">
        <f>+RZA18+RZD18</f>
        <v>60000000</v>
      </c>
      <c r="RZH18" s="461"/>
      <c r="RZI18" s="450"/>
      <c r="RZJ18" s="594">
        <f>(RZF18-RYX18)/RYX18</f>
        <v>0.13401162364699606</v>
      </c>
      <c r="RZK18" s="436" t="s">
        <v>141</v>
      </c>
      <c r="RZL18" s="448">
        <v>54850667.799999997</v>
      </c>
      <c r="RZM18" s="449"/>
      <c r="RZN18" s="448">
        <f>RZL18+RZM18</f>
        <v>54850667.799999997</v>
      </c>
      <c r="RZO18" s="452"/>
      <c r="RZP18" s="452">
        <v>62201294.850000001</v>
      </c>
      <c r="RZQ18" s="451">
        <f>60000000</f>
        <v>60000000</v>
      </c>
      <c r="RZR18" s="459"/>
      <c r="RZS18" s="452"/>
      <c r="RZT18" s="450">
        <v>0</v>
      </c>
      <c r="RZU18" s="460"/>
      <c r="RZV18" s="450">
        <f>RZP18+RZS18</f>
        <v>62201294.850000001</v>
      </c>
      <c r="RZW18" s="454">
        <f>+RZQ18+RZT18</f>
        <v>60000000</v>
      </c>
      <c r="RZX18" s="461"/>
      <c r="RZY18" s="450"/>
      <c r="RZZ18" s="594">
        <f>(RZV18-RZN18)/RZN18</f>
        <v>0.13401162364699606</v>
      </c>
      <c r="SAA18" s="436" t="s">
        <v>141</v>
      </c>
      <c r="SAB18" s="448">
        <v>54850667.799999997</v>
      </c>
      <c r="SAC18" s="449"/>
      <c r="SAD18" s="448">
        <f>SAB18+SAC18</f>
        <v>54850667.799999997</v>
      </c>
      <c r="SAE18" s="452"/>
      <c r="SAF18" s="452">
        <v>62201294.850000001</v>
      </c>
      <c r="SAG18" s="451">
        <f>60000000</f>
        <v>60000000</v>
      </c>
      <c r="SAH18" s="459"/>
      <c r="SAI18" s="452"/>
      <c r="SAJ18" s="450">
        <v>0</v>
      </c>
      <c r="SAK18" s="460"/>
      <c r="SAL18" s="450">
        <f>SAF18+SAI18</f>
        <v>62201294.850000001</v>
      </c>
      <c r="SAM18" s="454">
        <f>+SAG18+SAJ18</f>
        <v>60000000</v>
      </c>
      <c r="SAN18" s="461"/>
      <c r="SAO18" s="450"/>
      <c r="SAP18" s="594">
        <f>(SAL18-SAD18)/SAD18</f>
        <v>0.13401162364699606</v>
      </c>
      <c r="SAQ18" s="436" t="s">
        <v>141</v>
      </c>
      <c r="SAR18" s="448">
        <v>54850667.799999997</v>
      </c>
      <c r="SAS18" s="449"/>
      <c r="SAT18" s="448">
        <f>SAR18+SAS18</f>
        <v>54850667.799999997</v>
      </c>
      <c r="SAU18" s="452"/>
      <c r="SAV18" s="452">
        <v>62201294.850000001</v>
      </c>
      <c r="SAW18" s="451">
        <f>60000000</f>
        <v>60000000</v>
      </c>
      <c r="SAX18" s="459"/>
      <c r="SAY18" s="452"/>
      <c r="SAZ18" s="450">
        <v>0</v>
      </c>
      <c r="SBA18" s="460"/>
      <c r="SBB18" s="450">
        <f>SAV18+SAY18</f>
        <v>62201294.850000001</v>
      </c>
      <c r="SBC18" s="454">
        <f>+SAW18+SAZ18</f>
        <v>60000000</v>
      </c>
      <c r="SBD18" s="461"/>
      <c r="SBE18" s="450"/>
      <c r="SBF18" s="594">
        <f>(SBB18-SAT18)/SAT18</f>
        <v>0.13401162364699606</v>
      </c>
      <c r="SBG18" s="436" t="s">
        <v>141</v>
      </c>
      <c r="SBH18" s="448">
        <v>54850667.799999997</v>
      </c>
      <c r="SBI18" s="449"/>
      <c r="SBJ18" s="448">
        <f>SBH18+SBI18</f>
        <v>54850667.799999997</v>
      </c>
      <c r="SBK18" s="452"/>
      <c r="SBL18" s="452">
        <v>62201294.850000001</v>
      </c>
      <c r="SBM18" s="451">
        <f>60000000</f>
        <v>60000000</v>
      </c>
      <c r="SBN18" s="459"/>
      <c r="SBO18" s="452"/>
      <c r="SBP18" s="450">
        <v>0</v>
      </c>
      <c r="SBQ18" s="460"/>
      <c r="SBR18" s="450">
        <f>SBL18+SBO18</f>
        <v>62201294.850000001</v>
      </c>
      <c r="SBS18" s="454">
        <f>+SBM18+SBP18</f>
        <v>60000000</v>
      </c>
      <c r="SBT18" s="461"/>
      <c r="SBU18" s="450"/>
      <c r="SBV18" s="594">
        <f>(SBR18-SBJ18)/SBJ18</f>
        <v>0.13401162364699606</v>
      </c>
      <c r="SBW18" s="436" t="s">
        <v>141</v>
      </c>
      <c r="SBX18" s="448">
        <v>54850667.799999997</v>
      </c>
      <c r="SBY18" s="449"/>
      <c r="SBZ18" s="448">
        <f>SBX18+SBY18</f>
        <v>54850667.799999997</v>
      </c>
      <c r="SCA18" s="452"/>
      <c r="SCB18" s="452">
        <v>62201294.850000001</v>
      </c>
      <c r="SCC18" s="451">
        <f>60000000</f>
        <v>60000000</v>
      </c>
      <c r="SCD18" s="459"/>
      <c r="SCE18" s="452"/>
      <c r="SCF18" s="450">
        <v>0</v>
      </c>
      <c r="SCG18" s="460"/>
      <c r="SCH18" s="450">
        <f>SCB18+SCE18</f>
        <v>62201294.850000001</v>
      </c>
      <c r="SCI18" s="454">
        <f>+SCC18+SCF18</f>
        <v>60000000</v>
      </c>
      <c r="SCJ18" s="461"/>
      <c r="SCK18" s="450"/>
      <c r="SCL18" s="594">
        <f>(SCH18-SBZ18)/SBZ18</f>
        <v>0.13401162364699606</v>
      </c>
      <c r="SCM18" s="436" t="s">
        <v>141</v>
      </c>
      <c r="SCN18" s="448">
        <v>54850667.799999997</v>
      </c>
      <c r="SCO18" s="449"/>
      <c r="SCP18" s="448">
        <f>SCN18+SCO18</f>
        <v>54850667.799999997</v>
      </c>
      <c r="SCQ18" s="452"/>
      <c r="SCR18" s="452">
        <v>62201294.850000001</v>
      </c>
      <c r="SCS18" s="451">
        <f>60000000</f>
        <v>60000000</v>
      </c>
      <c r="SCT18" s="459"/>
      <c r="SCU18" s="452"/>
      <c r="SCV18" s="450">
        <v>0</v>
      </c>
      <c r="SCW18" s="460"/>
      <c r="SCX18" s="450">
        <f>SCR18+SCU18</f>
        <v>62201294.850000001</v>
      </c>
      <c r="SCY18" s="454">
        <f>+SCS18+SCV18</f>
        <v>60000000</v>
      </c>
      <c r="SCZ18" s="461"/>
      <c r="SDA18" s="450"/>
      <c r="SDB18" s="594">
        <f>(SCX18-SCP18)/SCP18</f>
        <v>0.13401162364699606</v>
      </c>
      <c r="SDC18" s="436" t="s">
        <v>141</v>
      </c>
      <c r="SDD18" s="448">
        <v>54850667.799999997</v>
      </c>
      <c r="SDE18" s="449"/>
      <c r="SDF18" s="448">
        <f>SDD18+SDE18</f>
        <v>54850667.799999997</v>
      </c>
      <c r="SDG18" s="452"/>
      <c r="SDH18" s="452">
        <v>62201294.850000001</v>
      </c>
      <c r="SDI18" s="451">
        <f>60000000</f>
        <v>60000000</v>
      </c>
      <c r="SDJ18" s="459"/>
      <c r="SDK18" s="452"/>
      <c r="SDL18" s="450">
        <v>0</v>
      </c>
      <c r="SDM18" s="460"/>
      <c r="SDN18" s="450">
        <f>SDH18+SDK18</f>
        <v>62201294.850000001</v>
      </c>
      <c r="SDO18" s="454">
        <f>+SDI18+SDL18</f>
        <v>60000000</v>
      </c>
      <c r="SDP18" s="461"/>
      <c r="SDQ18" s="450"/>
      <c r="SDR18" s="594">
        <f>(SDN18-SDF18)/SDF18</f>
        <v>0.13401162364699606</v>
      </c>
      <c r="SDS18" s="436" t="s">
        <v>141</v>
      </c>
      <c r="SDT18" s="448">
        <v>54850667.799999997</v>
      </c>
      <c r="SDU18" s="449"/>
      <c r="SDV18" s="448">
        <f>SDT18+SDU18</f>
        <v>54850667.799999997</v>
      </c>
      <c r="SDW18" s="452"/>
      <c r="SDX18" s="452">
        <v>62201294.850000001</v>
      </c>
      <c r="SDY18" s="451">
        <f>60000000</f>
        <v>60000000</v>
      </c>
      <c r="SDZ18" s="459"/>
      <c r="SEA18" s="452"/>
      <c r="SEB18" s="450">
        <v>0</v>
      </c>
      <c r="SEC18" s="460"/>
      <c r="SED18" s="450">
        <f>SDX18+SEA18</f>
        <v>62201294.850000001</v>
      </c>
      <c r="SEE18" s="454">
        <f>+SDY18+SEB18</f>
        <v>60000000</v>
      </c>
      <c r="SEF18" s="461"/>
      <c r="SEG18" s="450"/>
      <c r="SEH18" s="594">
        <f>(SED18-SDV18)/SDV18</f>
        <v>0.13401162364699606</v>
      </c>
      <c r="SEI18" s="436" t="s">
        <v>141</v>
      </c>
      <c r="SEJ18" s="448">
        <v>54850667.799999997</v>
      </c>
      <c r="SEK18" s="449"/>
      <c r="SEL18" s="448">
        <f>SEJ18+SEK18</f>
        <v>54850667.799999997</v>
      </c>
      <c r="SEM18" s="452"/>
      <c r="SEN18" s="452">
        <v>62201294.850000001</v>
      </c>
      <c r="SEO18" s="451">
        <f>60000000</f>
        <v>60000000</v>
      </c>
      <c r="SEP18" s="459"/>
      <c r="SEQ18" s="452"/>
      <c r="SER18" s="450">
        <v>0</v>
      </c>
      <c r="SES18" s="460"/>
      <c r="SET18" s="450">
        <f>SEN18+SEQ18</f>
        <v>62201294.850000001</v>
      </c>
      <c r="SEU18" s="454">
        <f>+SEO18+SER18</f>
        <v>60000000</v>
      </c>
      <c r="SEV18" s="461"/>
      <c r="SEW18" s="450"/>
      <c r="SEX18" s="594">
        <f>(SET18-SEL18)/SEL18</f>
        <v>0.13401162364699606</v>
      </c>
      <c r="SEY18" s="436" t="s">
        <v>141</v>
      </c>
      <c r="SEZ18" s="448">
        <v>54850667.799999997</v>
      </c>
      <c r="SFA18" s="449"/>
      <c r="SFB18" s="448">
        <f>SEZ18+SFA18</f>
        <v>54850667.799999997</v>
      </c>
      <c r="SFC18" s="452"/>
      <c r="SFD18" s="452">
        <v>62201294.850000001</v>
      </c>
      <c r="SFE18" s="451">
        <f>60000000</f>
        <v>60000000</v>
      </c>
      <c r="SFF18" s="459"/>
      <c r="SFG18" s="452"/>
      <c r="SFH18" s="450">
        <v>0</v>
      </c>
      <c r="SFI18" s="460"/>
      <c r="SFJ18" s="450">
        <f>SFD18+SFG18</f>
        <v>62201294.850000001</v>
      </c>
      <c r="SFK18" s="454">
        <f>+SFE18+SFH18</f>
        <v>60000000</v>
      </c>
      <c r="SFL18" s="461"/>
      <c r="SFM18" s="450"/>
      <c r="SFN18" s="594">
        <f>(SFJ18-SFB18)/SFB18</f>
        <v>0.13401162364699606</v>
      </c>
      <c r="SFO18" s="436" t="s">
        <v>141</v>
      </c>
      <c r="SFP18" s="448">
        <v>54850667.799999997</v>
      </c>
      <c r="SFQ18" s="449"/>
      <c r="SFR18" s="448">
        <f>SFP18+SFQ18</f>
        <v>54850667.799999997</v>
      </c>
      <c r="SFS18" s="452"/>
      <c r="SFT18" s="452">
        <v>62201294.850000001</v>
      </c>
      <c r="SFU18" s="451">
        <f>60000000</f>
        <v>60000000</v>
      </c>
      <c r="SFV18" s="459"/>
      <c r="SFW18" s="452"/>
      <c r="SFX18" s="450">
        <v>0</v>
      </c>
      <c r="SFY18" s="460"/>
      <c r="SFZ18" s="450">
        <f>SFT18+SFW18</f>
        <v>62201294.850000001</v>
      </c>
      <c r="SGA18" s="454">
        <f>+SFU18+SFX18</f>
        <v>60000000</v>
      </c>
      <c r="SGB18" s="461"/>
      <c r="SGC18" s="450"/>
      <c r="SGD18" s="594">
        <f>(SFZ18-SFR18)/SFR18</f>
        <v>0.13401162364699606</v>
      </c>
      <c r="SGE18" s="436" t="s">
        <v>141</v>
      </c>
      <c r="SGF18" s="448">
        <v>54850667.799999997</v>
      </c>
      <c r="SGG18" s="449"/>
      <c r="SGH18" s="448">
        <f>SGF18+SGG18</f>
        <v>54850667.799999997</v>
      </c>
      <c r="SGI18" s="452"/>
      <c r="SGJ18" s="452">
        <v>62201294.850000001</v>
      </c>
      <c r="SGK18" s="451">
        <f>60000000</f>
        <v>60000000</v>
      </c>
      <c r="SGL18" s="459"/>
      <c r="SGM18" s="452"/>
      <c r="SGN18" s="450">
        <v>0</v>
      </c>
      <c r="SGO18" s="460"/>
      <c r="SGP18" s="450">
        <f>SGJ18+SGM18</f>
        <v>62201294.850000001</v>
      </c>
      <c r="SGQ18" s="454">
        <f>+SGK18+SGN18</f>
        <v>60000000</v>
      </c>
      <c r="SGR18" s="461"/>
      <c r="SGS18" s="450"/>
      <c r="SGT18" s="594">
        <f>(SGP18-SGH18)/SGH18</f>
        <v>0.13401162364699606</v>
      </c>
      <c r="SGU18" s="436" t="s">
        <v>141</v>
      </c>
      <c r="SGV18" s="448">
        <v>54850667.799999997</v>
      </c>
      <c r="SGW18" s="449"/>
      <c r="SGX18" s="448">
        <f>SGV18+SGW18</f>
        <v>54850667.799999997</v>
      </c>
      <c r="SGY18" s="452"/>
      <c r="SGZ18" s="452">
        <v>62201294.850000001</v>
      </c>
      <c r="SHA18" s="451">
        <f>60000000</f>
        <v>60000000</v>
      </c>
      <c r="SHB18" s="459"/>
      <c r="SHC18" s="452"/>
      <c r="SHD18" s="450">
        <v>0</v>
      </c>
      <c r="SHE18" s="460"/>
      <c r="SHF18" s="450">
        <f>SGZ18+SHC18</f>
        <v>62201294.850000001</v>
      </c>
      <c r="SHG18" s="454">
        <f>+SHA18+SHD18</f>
        <v>60000000</v>
      </c>
      <c r="SHH18" s="461"/>
      <c r="SHI18" s="450"/>
      <c r="SHJ18" s="594">
        <f>(SHF18-SGX18)/SGX18</f>
        <v>0.13401162364699606</v>
      </c>
      <c r="SHK18" s="436" t="s">
        <v>141</v>
      </c>
      <c r="SHL18" s="448">
        <v>54850667.799999997</v>
      </c>
      <c r="SHM18" s="449"/>
      <c r="SHN18" s="448">
        <f>SHL18+SHM18</f>
        <v>54850667.799999997</v>
      </c>
      <c r="SHO18" s="452"/>
      <c r="SHP18" s="452">
        <v>62201294.850000001</v>
      </c>
      <c r="SHQ18" s="451">
        <f>60000000</f>
        <v>60000000</v>
      </c>
      <c r="SHR18" s="459"/>
      <c r="SHS18" s="452"/>
      <c r="SHT18" s="450">
        <v>0</v>
      </c>
      <c r="SHU18" s="460"/>
      <c r="SHV18" s="450">
        <f>SHP18+SHS18</f>
        <v>62201294.850000001</v>
      </c>
      <c r="SHW18" s="454">
        <f>+SHQ18+SHT18</f>
        <v>60000000</v>
      </c>
      <c r="SHX18" s="461"/>
      <c r="SHY18" s="450"/>
      <c r="SHZ18" s="594">
        <f>(SHV18-SHN18)/SHN18</f>
        <v>0.13401162364699606</v>
      </c>
      <c r="SIA18" s="436" t="s">
        <v>141</v>
      </c>
      <c r="SIB18" s="448">
        <v>54850667.799999997</v>
      </c>
      <c r="SIC18" s="449"/>
      <c r="SID18" s="448">
        <f>SIB18+SIC18</f>
        <v>54850667.799999997</v>
      </c>
      <c r="SIE18" s="452"/>
      <c r="SIF18" s="452">
        <v>62201294.850000001</v>
      </c>
      <c r="SIG18" s="451">
        <f>60000000</f>
        <v>60000000</v>
      </c>
      <c r="SIH18" s="459"/>
      <c r="SII18" s="452"/>
      <c r="SIJ18" s="450">
        <v>0</v>
      </c>
      <c r="SIK18" s="460"/>
      <c r="SIL18" s="450">
        <f>SIF18+SII18</f>
        <v>62201294.850000001</v>
      </c>
      <c r="SIM18" s="454">
        <f>+SIG18+SIJ18</f>
        <v>60000000</v>
      </c>
      <c r="SIN18" s="461"/>
      <c r="SIO18" s="450"/>
      <c r="SIP18" s="594">
        <f>(SIL18-SID18)/SID18</f>
        <v>0.13401162364699606</v>
      </c>
      <c r="SIQ18" s="436" t="s">
        <v>141</v>
      </c>
      <c r="SIR18" s="448">
        <v>54850667.799999997</v>
      </c>
      <c r="SIS18" s="449"/>
      <c r="SIT18" s="448">
        <f>SIR18+SIS18</f>
        <v>54850667.799999997</v>
      </c>
      <c r="SIU18" s="452"/>
      <c r="SIV18" s="452">
        <v>62201294.850000001</v>
      </c>
      <c r="SIW18" s="451">
        <f>60000000</f>
        <v>60000000</v>
      </c>
      <c r="SIX18" s="459"/>
      <c r="SIY18" s="452"/>
      <c r="SIZ18" s="450">
        <v>0</v>
      </c>
      <c r="SJA18" s="460"/>
      <c r="SJB18" s="450">
        <f>SIV18+SIY18</f>
        <v>62201294.850000001</v>
      </c>
      <c r="SJC18" s="454">
        <f>+SIW18+SIZ18</f>
        <v>60000000</v>
      </c>
      <c r="SJD18" s="461"/>
      <c r="SJE18" s="450"/>
      <c r="SJF18" s="594">
        <f>(SJB18-SIT18)/SIT18</f>
        <v>0.13401162364699606</v>
      </c>
      <c r="SJG18" s="436" t="s">
        <v>141</v>
      </c>
      <c r="SJH18" s="448">
        <v>54850667.799999997</v>
      </c>
      <c r="SJI18" s="449"/>
      <c r="SJJ18" s="448">
        <f>SJH18+SJI18</f>
        <v>54850667.799999997</v>
      </c>
      <c r="SJK18" s="452"/>
      <c r="SJL18" s="452">
        <v>62201294.850000001</v>
      </c>
      <c r="SJM18" s="451">
        <f>60000000</f>
        <v>60000000</v>
      </c>
      <c r="SJN18" s="459"/>
      <c r="SJO18" s="452"/>
      <c r="SJP18" s="450">
        <v>0</v>
      </c>
      <c r="SJQ18" s="460"/>
      <c r="SJR18" s="450">
        <f>SJL18+SJO18</f>
        <v>62201294.850000001</v>
      </c>
      <c r="SJS18" s="454">
        <f>+SJM18+SJP18</f>
        <v>60000000</v>
      </c>
      <c r="SJT18" s="461"/>
      <c r="SJU18" s="450"/>
      <c r="SJV18" s="594">
        <f>(SJR18-SJJ18)/SJJ18</f>
        <v>0.13401162364699606</v>
      </c>
      <c r="SJW18" s="436" t="s">
        <v>141</v>
      </c>
      <c r="SJX18" s="448">
        <v>54850667.799999997</v>
      </c>
      <c r="SJY18" s="449"/>
      <c r="SJZ18" s="448">
        <f>SJX18+SJY18</f>
        <v>54850667.799999997</v>
      </c>
      <c r="SKA18" s="452"/>
      <c r="SKB18" s="452">
        <v>62201294.850000001</v>
      </c>
      <c r="SKC18" s="451">
        <f>60000000</f>
        <v>60000000</v>
      </c>
      <c r="SKD18" s="459"/>
      <c r="SKE18" s="452"/>
      <c r="SKF18" s="450">
        <v>0</v>
      </c>
      <c r="SKG18" s="460"/>
      <c r="SKH18" s="450">
        <f>SKB18+SKE18</f>
        <v>62201294.850000001</v>
      </c>
      <c r="SKI18" s="454">
        <f>+SKC18+SKF18</f>
        <v>60000000</v>
      </c>
      <c r="SKJ18" s="461"/>
      <c r="SKK18" s="450"/>
      <c r="SKL18" s="594">
        <f>(SKH18-SJZ18)/SJZ18</f>
        <v>0.13401162364699606</v>
      </c>
      <c r="SKM18" s="436" t="s">
        <v>141</v>
      </c>
      <c r="SKN18" s="448">
        <v>54850667.799999997</v>
      </c>
      <c r="SKO18" s="449"/>
      <c r="SKP18" s="448">
        <f>SKN18+SKO18</f>
        <v>54850667.799999997</v>
      </c>
      <c r="SKQ18" s="452"/>
      <c r="SKR18" s="452">
        <v>62201294.850000001</v>
      </c>
      <c r="SKS18" s="451">
        <f>60000000</f>
        <v>60000000</v>
      </c>
      <c r="SKT18" s="459"/>
      <c r="SKU18" s="452"/>
      <c r="SKV18" s="450">
        <v>0</v>
      </c>
      <c r="SKW18" s="460"/>
      <c r="SKX18" s="450">
        <f>SKR18+SKU18</f>
        <v>62201294.850000001</v>
      </c>
      <c r="SKY18" s="454">
        <f>+SKS18+SKV18</f>
        <v>60000000</v>
      </c>
      <c r="SKZ18" s="461"/>
      <c r="SLA18" s="450"/>
      <c r="SLB18" s="594">
        <f>(SKX18-SKP18)/SKP18</f>
        <v>0.13401162364699606</v>
      </c>
      <c r="SLC18" s="436" t="s">
        <v>141</v>
      </c>
      <c r="SLD18" s="448">
        <v>54850667.799999997</v>
      </c>
      <c r="SLE18" s="449"/>
      <c r="SLF18" s="448">
        <f>SLD18+SLE18</f>
        <v>54850667.799999997</v>
      </c>
      <c r="SLG18" s="452"/>
      <c r="SLH18" s="452">
        <v>62201294.850000001</v>
      </c>
      <c r="SLI18" s="451">
        <f>60000000</f>
        <v>60000000</v>
      </c>
      <c r="SLJ18" s="459"/>
      <c r="SLK18" s="452"/>
      <c r="SLL18" s="450">
        <v>0</v>
      </c>
      <c r="SLM18" s="460"/>
      <c r="SLN18" s="450">
        <f>SLH18+SLK18</f>
        <v>62201294.850000001</v>
      </c>
      <c r="SLO18" s="454">
        <f>+SLI18+SLL18</f>
        <v>60000000</v>
      </c>
      <c r="SLP18" s="461"/>
      <c r="SLQ18" s="450"/>
      <c r="SLR18" s="594">
        <f>(SLN18-SLF18)/SLF18</f>
        <v>0.13401162364699606</v>
      </c>
      <c r="SLS18" s="436" t="s">
        <v>141</v>
      </c>
      <c r="SLT18" s="448">
        <v>54850667.799999997</v>
      </c>
      <c r="SLU18" s="449"/>
      <c r="SLV18" s="448">
        <f>SLT18+SLU18</f>
        <v>54850667.799999997</v>
      </c>
      <c r="SLW18" s="452"/>
      <c r="SLX18" s="452">
        <v>62201294.850000001</v>
      </c>
      <c r="SLY18" s="451">
        <f>60000000</f>
        <v>60000000</v>
      </c>
      <c r="SLZ18" s="459"/>
      <c r="SMA18" s="452"/>
      <c r="SMB18" s="450">
        <v>0</v>
      </c>
      <c r="SMC18" s="460"/>
      <c r="SMD18" s="450">
        <f>SLX18+SMA18</f>
        <v>62201294.850000001</v>
      </c>
      <c r="SME18" s="454">
        <f>+SLY18+SMB18</f>
        <v>60000000</v>
      </c>
      <c r="SMF18" s="461"/>
      <c r="SMG18" s="450"/>
      <c r="SMH18" s="594">
        <f>(SMD18-SLV18)/SLV18</f>
        <v>0.13401162364699606</v>
      </c>
      <c r="SMI18" s="436" t="s">
        <v>141</v>
      </c>
      <c r="SMJ18" s="448">
        <v>54850667.799999997</v>
      </c>
      <c r="SMK18" s="449"/>
      <c r="SML18" s="448">
        <f>SMJ18+SMK18</f>
        <v>54850667.799999997</v>
      </c>
      <c r="SMM18" s="452"/>
      <c r="SMN18" s="452">
        <v>62201294.850000001</v>
      </c>
      <c r="SMO18" s="451">
        <f>60000000</f>
        <v>60000000</v>
      </c>
      <c r="SMP18" s="459"/>
      <c r="SMQ18" s="452"/>
      <c r="SMR18" s="450">
        <v>0</v>
      </c>
      <c r="SMS18" s="460"/>
      <c r="SMT18" s="450">
        <f>SMN18+SMQ18</f>
        <v>62201294.850000001</v>
      </c>
      <c r="SMU18" s="454">
        <f>+SMO18+SMR18</f>
        <v>60000000</v>
      </c>
      <c r="SMV18" s="461"/>
      <c r="SMW18" s="450"/>
      <c r="SMX18" s="594">
        <f>(SMT18-SML18)/SML18</f>
        <v>0.13401162364699606</v>
      </c>
      <c r="SMY18" s="436" t="s">
        <v>141</v>
      </c>
      <c r="SMZ18" s="448">
        <v>54850667.799999997</v>
      </c>
      <c r="SNA18" s="449"/>
      <c r="SNB18" s="448">
        <f>SMZ18+SNA18</f>
        <v>54850667.799999997</v>
      </c>
      <c r="SNC18" s="452"/>
      <c r="SND18" s="452">
        <v>62201294.850000001</v>
      </c>
      <c r="SNE18" s="451">
        <f>60000000</f>
        <v>60000000</v>
      </c>
      <c r="SNF18" s="459"/>
      <c r="SNG18" s="452"/>
      <c r="SNH18" s="450">
        <v>0</v>
      </c>
      <c r="SNI18" s="460"/>
      <c r="SNJ18" s="450">
        <f>SND18+SNG18</f>
        <v>62201294.850000001</v>
      </c>
      <c r="SNK18" s="454">
        <f>+SNE18+SNH18</f>
        <v>60000000</v>
      </c>
      <c r="SNL18" s="461"/>
      <c r="SNM18" s="450"/>
      <c r="SNN18" s="594">
        <f>(SNJ18-SNB18)/SNB18</f>
        <v>0.13401162364699606</v>
      </c>
      <c r="SNO18" s="436" t="s">
        <v>141</v>
      </c>
      <c r="SNP18" s="448">
        <v>54850667.799999997</v>
      </c>
      <c r="SNQ18" s="449"/>
      <c r="SNR18" s="448">
        <f>SNP18+SNQ18</f>
        <v>54850667.799999997</v>
      </c>
      <c r="SNS18" s="452"/>
      <c r="SNT18" s="452">
        <v>62201294.850000001</v>
      </c>
      <c r="SNU18" s="451">
        <f>60000000</f>
        <v>60000000</v>
      </c>
      <c r="SNV18" s="459"/>
      <c r="SNW18" s="452"/>
      <c r="SNX18" s="450">
        <v>0</v>
      </c>
      <c r="SNY18" s="460"/>
      <c r="SNZ18" s="450">
        <f>SNT18+SNW18</f>
        <v>62201294.850000001</v>
      </c>
      <c r="SOA18" s="454">
        <f>+SNU18+SNX18</f>
        <v>60000000</v>
      </c>
      <c r="SOB18" s="461"/>
      <c r="SOC18" s="450"/>
      <c r="SOD18" s="594">
        <f>(SNZ18-SNR18)/SNR18</f>
        <v>0.13401162364699606</v>
      </c>
      <c r="SOE18" s="436" t="s">
        <v>141</v>
      </c>
      <c r="SOF18" s="448">
        <v>54850667.799999997</v>
      </c>
      <c r="SOG18" s="449"/>
      <c r="SOH18" s="448">
        <f>SOF18+SOG18</f>
        <v>54850667.799999997</v>
      </c>
      <c r="SOI18" s="452"/>
      <c r="SOJ18" s="452">
        <v>62201294.850000001</v>
      </c>
      <c r="SOK18" s="451">
        <f>60000000</f>
        <v>60000000</v>
      </c>
      <c r="SOL18" s="459"/>
      <c r="SOM18" s="452"/>
      <c r="SON18" s="450">
        <v>0</v>
      </c>
      <c r="SOO18" s="460"/>
      <c r="SOP18" s="450">
        <f>SOJ18+SOM18</f>
        <v>62201294.850000001</v>
      </c>
      <c r="SOQ18" s="454">
        <f>+SOK18+SON18</f>
        <v>60000000</v>
      </c>
      <c r="SOR18" s="461"/>
      <c r="SOS18" s="450"/>
      <c r="SOT18" s="594">
        <f>(SOP18-SOH18)/SOH18</f>
        <v>0.13401162364699606</v>
      </c>
      <c r="SOU18" s="436" t="s">
        <v>141</v>
      </c>
      <c r="SOV18" s="448">
        <v>54850667.799999997</v>
      </c>
      <c r="SOW18" s="449"/>
      <c r="SOX18" s="448">
        <f>SOV18+SOW18</f>
        <v>54850667.799999997</v>
      </c>
      <c r="SOY18" s="452"/>
      <c r="SOZ18" s="452">
        <v>62201294.850000001</v>
      </c>
      <c r="SPA18" s="451">
        <f>60000000</f>
        <v>60000000</v>
      </c>
      <c r="SPB18" s="459"/>
      <c r="SPC18" s="452"/>
      <c r="SPD18" s="450">
        <v>0</v>
      </c>
      <c r="SPE18" s="460"/>
      <c r="SPF18" s="450">
        <f>SOZ18+SPC18</f>
        <v>62201294.850000001</v>
      </c>
      <c r="SPG18" s="454">
        <f>+SPA18+SPD18</f>
        <v>60000000</v>
      </c>
      <c r="SPH18" s="461"/>
      <c r="SPI18" s="450"/>
      <c r="SPJ18" s="594">
        <f>(SPF18-SOX18)/SOX18</f>
        <v>0.13401162364699606</v>
      </c>
      <c r="SPK18" s="436" t="s">
        <v>141</v>
      </c>
      <c r="SPL18" s="448">
        <v>54850667.799999997</v>
      </c>
      <c r="SPM18" s="449"/>
      <c r="SPN18" s="448">
        <f>SPL18+SPM18</f>
        <v>54850667.799999997</v>
      </c>
      <c r="SPO18" s="452"/>
      <c r="SPP18" s="452">
        <v>62201294.850000001</v>
      </c>
      <c r="SPQ18" s="451">
        <f>60000000</f>
        <v>60000000</v>
      </c>
      <c r="SPR18" s="459"/>
      <c r="SPS18" s="452"/>
      <c r="SPT18" s="450">
        <v>0</v>
      </c>
      <c r="SPU18" s="460"/>
      <c r="SPV18" s="450">
        <f>SPP18+SPS18</f>
        <v>62201294.850000001</v>
      </c>
      <c r="SPW18" s="454">
        <f>+SPQ18+SPT18</f>
        <v>60000000</v>
      </c>
      <c r="SPX18" s="461"/>
      <c r="SPY18" s="450"/>
      <c r="SPZ18" s="594">
        <f>(SPV18-SPN18)/SPN18</f>
        <v>0.13401162364699606</v>
      </c>
      <c r="SQA18" s="436" t="s">
        <v>141</v>
      </c>
      <c r="SQB18" s="448">
        <v>54850667.799999997</v>
      </c>
      <c r="SQC18" s="449"/>
      <c r="SQD18" s="448">
        <f>SQB18+SQC18</f>
        <v>54850667.799999997</v>
      </c>
      <c r="SQE18" s="452"/>
      <c r="SQF18" s="452">
        <v>62201294.850000001</v>
      </c>
      <c r="SQG18" s="451">
        <f>60000000</f>
        <v>60000000</v>
      </c>
      <c r="SQH18" s="459"/>
      <c r="SQI18" s="452"/>
      <c r="SQJ18" s="450">
        <v>0</v>
      </c>
      <c r="SQK18" s="460"/>
      <c r="SQL18" s="450">
        <f>SQF18+SQI18</f>
        <v>62201294.850000001</v>
      </c>
      <c r="SQM18" s="454">
        <f>+SQG18+SQJ18</f>
        <v>60000000</v>
      </c>
      <c r="SQN18" s="461"/>
      <c r="SQO18" s="450"/>
      <c r="SQP18" s="594">
        <f>(SQL18-SQD18)/SQD18</f>
        <v>0.13401162364699606</v>
      </c>
      <c r="SQQ18" s="436" t="s">
        <v>141</v>
      </c>
      <c r="SQR18" s="448">
        <v>54850667.799999997</v>
      </c>
      <c r="SQS18" s="449"/>
      <c r="SQT18" s="448">
        <f>SQR18+SQS18</f>
        <v>54850667.799999997</v>
      </c>
      <c r="SQU18" s="452"/>
      <c r="SQV18" s="452">
        <v>62201294.850000001</v>
      </c>
      <c r="SQW18" s="451">
        <f>60000000</f>
        <v>60000000</v>
      </c>
      <c r="SQX18" s="459"/>
      <c r="SQY18" s="452"/>
      <c r="SQZ18" s="450">
        <v>0</v>
      </c>
      <c r="SRA18" s="460"/>
      <c r="SRB18" s="450">
        <f>SQV18+SQY18</f>
        <v>62201294.850000001</v>
      </c>
      <c r="SRC18" s="454">
        <f>+SQW18+SQZ18</f>
        <v>60000000</v>
      </c>
      <c r="SRD18" s="461"/>
      <c r="SRE18" s="450"/>
      <c r="SRF18" s="594">
        <f>(SRB18-SQT18)/SQT18</f>
        <v>0.13401162364699606</v>
      </c>
      <c r="SRG18" s="436" t="s">
        <v>141</v>
      </c>
      <c r="SRH18" s="448">
        <v>54850667.799999997</v>
      </c>
      <c r="SRI18" s="449"/>
      <c r="SRJ18" s="448">
        <f>SRH18+SRI18</f>
        <v>54850667.799999997</v>
      </c>
      <c r="SRK18" s="452"/>
      <c r="SRL18" s="452">
        <v>62201294.850000001</v>
      </c>
      <c r="SRM18" s="451">
        <f>60000000</f>
        <v>60000000</v>
      </c>
      <c r="SRN18" s="459"/>
      <c r="SRO18" s="452"/>
      <c r="SRP18" s="450">
        <v>0</v>
      </c>
      <c r="SRQ18" s="460"/>
      <c r="SRR18" s="450">
        <f>SRL18+SRO18</f>
        <v>62201294.850000001</v>
      </c>
      <c r="SRS18" s="454">
        <f>+SRM18+SRP18</f>
        <v>60000000</v>
      </c>
      <c r="SRT18" s="461"/>
      <c r="SRU18" s="450"/>
      <c r="SRV18" s="594">
        <f>(SRR18-SRJ18)/SRJ18</f>
        <v>0.13401162364699606</v>
      </c>
      <c r="SRW18" s="436" t="s">
        <v>141</v>
      </c>
      <c r="SRX18" s="448">
        <v>54850667.799999997</v>
      </c>
      <c r="SRY18" s="449"/>
      <c r="SRZ18" s="448">
        <f>SRX18+SRY18</f>
        <v>54850667.799999997</v>
      </c>
      <c r="SSA18" s="452"/>
      <c r="SSB18" s="452">
        <v>62201294.850000001</v>
      </c>
      <c r="SSC18" s="451">
        <f>60000000</f>
        <v>60000000</v>
      </c>
      <c r="SSD18" s="459"/>
      <c r="SSE18" s="452"/>
      <c r="SSF18" s="450">
        <v>0</v>
      </c>
      <c r="SSG18" s="460"/>
      <c r="SSH18" s="450">
        <f>SSB18+SSE18</f>
        <v>62201294.850000001</v>
      </c>
      <c r="SSI18" s="454">
        <f>+SSC18+SSF18</f>
        <v>60000000</v>
      </c>
      <c r="SSJ18" s="461"/>
      <c r="SSK18" s="450"/>
      <c r="SSL18" s="594">
        <f>(SSH18-SRZ18)/SRZ18</f>
        <v>0.13401162364699606</v>
      </c>
      <c r="SSM18" s="436" t="s">
        <v>141</v>
      </c>
      <c r="SSN18" s="448">
        <v>54850667.799999997</v>
      </c>
      <c r="SSO18" s="449"/>
      <c r="SSP18" s="448">
        <f>SSN18+SSO18</f>
        <v>54850667.799999997</v>
      </c>
      <c r="SSQ18" s="452"/>
      <c r="SSR18" s="452">
        <v>62201294.850000001</v>
      </c>
      <c r="SSS18" s="451">
        <f>60000000</f>
        <v>60000000</v>
      </c>
      <c r="SST18" s="459"/>
      <c r="SSU18" s="452"/>
      <c r="SSV18" s="450">
        <v>0</v>
      </c>
      <c r="SSW18" s="460"/>
      <c r="SSX18" s="450">
        <f>SSR18+SSU18</f>
        <v>62201294.850000001</v>
      </c>
      <c r="SSY18" s="454">
        <f>+SSS18+SSV18</f>
        <v>60000000</v>
      </c>
      <c r="SSZ18" s="461"/>
      <c r="STA18" s="450"/>
      <c r="STB18" s="594">
        <f>(SSX18-SSP18)/SSP18</f>
        <v>0.13401162364699606</v>
      </c>
      <c r="STC18" s="436" t="s">
        <v>141</v>
      </c>
      <c r="STD18" s="448">
        <v>54850667.799999997</v>
      </c>
      <c r="STE18" s="449"/>
      <c r="STF18" s="448">
        <f>STD18+STE18</f>
        <v>54850667.799999997</v>
      </c>
      <c r="STG18" s="452"/>
      <c r="STH18" s="452">
        <v>62201294.850000001</v>
      </c>
      <c r="STI18" s="451">
        <f>60000000</f>
        <v>60000000</v>
      </c>
      <c r="STJ18" s="459"/>
      <c r="STK18" s="452"/>
      <c r="STL18" s="450">
        <v>0</v>
      </c>
      <c r="STM18" s="460"/>
      <c r="STN18" s="450">
        <f>STH18+STK18</f>
        <v>62201294.850000001</v>
      </c>
      <c r="STO18" s="454">
        <f>+STI18+STL18</f>
        <v>60000000</v>
      </c>
      <c r="STP18" s="461"/>
      <c r="STQ18" s="450"/>
      <c r="STR18" s="594">
        <f>(STN18-STF18)/STF18</f>
        <v>0.13401162364699606</v>
      </c>
      <c r="STS18" s="436" t="s">
        <v>141</v>
      </c>
      <c r="STT18" s="448">
        <v>54850667.799999997</v>
      </c>
      <c r="STU18" s="449"/>
      <c r="STV18" s="448">
        <f>STT18+STU18</f>
        <v>54850667.799999997</v>
      </c>
      <c r="STW18" s="452"/>
      <c r="STX18" s="452">
        <v>62201294.850000001</v>
      </c>
      <c r="STY18" s="451">
        <f>60000000</f>
        <v>60000000</v>
      </c>
      <c r="STZ18" s="459"/>
      <c r="SUA18" s="452"/>
      <c r="SUB18" s="450">
        <v>0</v>
      </c>
      <c r="SUC18" s="460"/>
      <c r="SUD18" s="450">
        <f>STX18+SUA18</f>
        <v>62201294.850000001</v>
      </c>
      <c r="SUE18" s="454">
        <f>+STY18+SUB18</f>
        <v>60000000</v>
      </c>
      <c r="SUF18" s="461"/>
      <c r="SUG18" s="450"/>
      <c r="SUH18" s="594">
        <f>(SUD18-STV18)/STV18</f>
        <v>0.13401162364699606</v>
      </c>
      <c r="SUI18" s="436" t="s">
        <v>141</v>
      </c>
      <c r="SUJ18" s="448">
        <v>54850667.799999997</v>
      </c>
      <c r="SUK18" s="449"/>
      <c r="SUL18" s="448">
        <f>SUJ18+SUK18</f>
        <v>54850667.799999997</v>
      </c>
      <c r="SUM18" s="452"/>
      <c r="SUN18" s="452">
        <v>62201294.850000001</v>
      </c>
      <c r="SUO18" s="451">
        <f>60000000</f>
        <v>60000000</v>
      </c>
      <c r="SUP18" s="459"/>
      <c r="SUQ18" s="452"/>
      <c r="SUR18" s="450">
        <v>0</v>
      </c>
      <c r="SUS18" s="460"/>
      <c r="SUT18" s="450">
        <f>SUN18+SUQ18</f>
        <v>62201294.850000001</v>
      </c>
      <c r="SUU18" s="454">
        <f>+SUO18+SUR18</f>
        <v>60000000</v>
      </c>
      <c r="SUV18" s="461"/>
      <c r="SUW18" s="450"/>
      <c r="SUX18" s="594">
        <f>(SUT18-SUL18)/SUL18</f>
        <v>0.13401162364699606</v>
      </c>
      <c r="SUY18" s="436" t="s">
        <v>141</v>
      </c>
      <c r="SUZ18" s="448">
        <v>54850667.799999997</v>
      </c>
      <c r="SVA18" s="449"/>
      <c r="SVB18" s="448">
        <f>SUZ18+SVA18</f>
        <v>54850667.799999997</v>
      </c>
      <c r="SVC18" s="452"/>
      <c r="SVD18" s="452">
        <v>62201294.850000001</v>
      </c>
      <c r="SVE18" s="451">
        <f>60000000</f>
        <v>60000000</v>
      </c>
      <c r="SVF18" s="459"/>
      <c r="SVG18" s="452"/>
      <c r="SVH18" s="450">
        <v>0</v>
      </c>
      <c r="SVI18" s="460"/>
      <c r="SVJ18" s="450">
        <f>SVD18+SVG18</f>
        <v>62201294.850000001</v>
      </c>
      <c r="SVK18" s="454">
        <f>+SVE18+SVH18</f>
        <v>60000000</v>
      </c>
      <c r="SVL18" s="461"/>
      <c r="SVM18" s="450"/>
      <c r="SVN18" s="594">
        <f>(SVJ18-SVB18)/SVB18</f>
        <v>0.13401162364699606</v>
      </c>
      <c r="SVO18" s="436" t="s">
        <v>141</v>
      </c>
      <c r="SVP18" s="448">
        <v>54850667.799999997</v>
      </c>
      <c r="SVQ18" s="449"/>
      <c r="SVR18" s="448">
        <f>SVP18+SVQ18</f>
        <v>54850667.799999997</v>
      </c>
      <c r="SVS18" s="452"/>
      <c r="SVT18" s="452">
        <v>62201294.850000001</v>
      </c>
      <c r="SVU18" s="451">
        <f>60000000</f>
        <v>60000000</v>
      </c>
      <c r="SVV18" s="459"/>
      <c r="SVW18" s="452"/>
      <c r="SVX18" s="450">
        <v>0</v>
      </c>
      <c r="SVY18" s="460"/>
      <c r="SVZ18" s="450">
        <f>SVT18+SVW18</f>
        <v>62201294.850000001</v>
      </c>
      <c r="SWA18" s="454">
        <f>+SVU18+SVX18</f>
        <v>60000000</v>
      </c>
      <c r="SWB18" s="461"/>
      <c r="SWC18" s="450"/>
      <c r="SWD18" s="594">
        <f>(SVZ18-SVR18)/SVR18</f>
        <v>0.13401162364699606</v>
      </c>
      <c r="SWE18" s="436" t="s">
        <v>141</v>
      </c>
      <c r="SWF18" s="448">
        <v>54850667.799999997</v>
      </c>
      <c r="SWG18" s="449"/>
      <c r="SWH18" s="448">
        <f>SWF18+SWG18</f>
        <v>54850667.799999997</v>
      </c>
      <c r="SWI18" s="452"/>
      <c r="SWJ18" s="452">
        <v>62201294.850000001</v>
      </c>
      <c r="SWK18" s="451">
        <f>60000000</f>
        <v>60000000</v>
      </c>
      <c r="SWL18" s="459"/>
      <c r="SWM18" s="452"/>
      <c r="SWN18" s="450">
        <v>0</v>
      </c>
      <c r="SWO18" s="460"/>
      <c r="SWP18" s="450">
        <f>SWJ18+SWM18</f>
        <v>62201294.850000001</v>
      </c>
      <c r="SWQ18" s="454">
        <f>+SWK18+SWN18</f>
        <v>60000000</v>
      </c>
      <c r="SWR18" s="461"/>
      <c r="SWS18" s="450"/>
      <c r="SWT18" s="594">
        <f>(SWP18-SWH18)/SWH18</f>
        <v>0.13401162364699606</v>
      </c>
      <c r="SWU18" s="436" t="s">
        <v>141</v>
      </c>
      <c r="SWV18" s="448">
        <v>54850667.799999997</v>
      </c>
      <c r="SWW18" s="449"/>
      <c r="SWX18" s="448">
        <f>SWV18+SWW18</f>
        <v>54850667.799999997</v>
      </c>
      <c r="SWY18" s="452"/>
      <c r="SWZ18" s="452">
        <v>62201294.850000001</v>
      </c>
      <c r="SXA18" s="451">
        <f>60000000</f>
        <v>60000000</v>
      </c>
      <c r="SXB18" s="459"/>
      <c r="SXC18" s="452"/>
      <c r="SXD18" s="450">
        <v>0</v>
      </c>
      <c r="SXE18" s="460"/>
      <c r="SXF18" s="450">
        <f>SWZ18+SXC18</f>
        <v>62201294.850000001</v>
      </c>
      <c r="SXG18" s="454">
        <f>+SXA18+SXD18</f>
        <v>60000000</v>
      </c>
      <c r="SXH18" s="461"/>
      <c r="SXI18" s="450"/>
      <c r="SXJ18" s="594">
        <f>(SXF18-SWX18)/SWX18</f>
        <v>0.13401162364699606</v>
      </c>
      <c r="SXK18" s="436" t="s">
        <v>141</v>
      </c>
      <c r="SXL18" s="448">
        <v>54850667.799999997</v>
      </c>
      <c r="SXM18" s="449"/>
      <c r="SXN18" s="448">
        <f>SXL18+SXM18</f>
        <v>54850667.799999997</v>
      </c>
      <c r="SXO18" s="452"/>
      <c r="SXP18" s="452">
        <v>62201294.850000001</v>
      </c>
      <c r="SXQ18" s="451">
        <f>60000000</f>
        <v>60000000</v>
      </c>
      <c r="SXR18" s="459"/>
      <c r="SXS18" s="452"/>
      <c r="SXT18" s="450">
        <v>0</v>
      </c>
      <c r="SXU18" s="460"/>
      <c r="SXV18" s="450">
        <f>SXP18+SXS18</f>
        <v>62201294.850000001</v>
      </c>
      <c r="SXW18" s="454">
        <f>+SXQ18+SXT18</f>
        <v>60000000</v>
      </c>
      <c r="SXX18" s="461"/>
      <c r="SXY18" s="450"/>
      <c r="SXZ18" s="594">
        <f>(SXV18-SXN18)/SXN18</f>
        <v>0.13401162364699606</v>
      </c>
      <c r="SYA18" s="436" t="s">
        <v>141</v>
      </c>
      <c r="SYB18" s="448">
        <v>54850667.799999997</v>
      </c>
      <c r="SYC18" s="449"/>
      <c r="SYD18" s="448">
        <f>SYB18+SYC18</f>
        <v>54850667.799999997</v>
      </c>
      <c r="SYE18" s="452"/>
      <c r="SYF18" s="452">
        <v>62201294.850000001</v>
      </c>
      <c r="SYG18" s="451">
        <f>60000000</f>
        <v>60000000</v>
      </c>
      <c r="SYH18" s="459"/>
      <c r="SYI18" s="452"/>
      <c r="SYJ18" s="450">
        <v>0</v>
      </c>
      <c r="SYK18" s="460"/>
      <c r="SYL18" s="450">
        <f>SYF18+SYI18</f>
        <v>62201294.850000001</v>
      </c>
      <c r="SYM18" s="454">
        <f>+SYG18+SYJ18</f>
        <v>60000000</v>
      </c>
      <c r="SYN18" s="461"/>
      <c r="SYO18" s="450"/>
      <c r="SYP18" s="594">
        <f>(SYL18-SYD18)/SYD18</f>
        <v>0.13401162364699606</v>
      </c>
      <c r="SYQ18" s="436" t="s">
        <v>141</v>
      </c>
      <c r="SYR18" s="448">
        <v>54850667.799999997</v>
      </c>
      <c r="SYS18" s="449"/>
      <c r="SYT18" s="448">
        <f>SYR18+SYS18</f>
        <v>54850667.799999997</v>
      </c>
      <c r="SYU18" s="452"/>
      <c r="SYV18" s="452">
        <v>62201294.850000001</v>
      </c>
      <c r="SYW18" s="451">
        <f>60000000</f>
        <v>60000000</v>
      </c>
      <c r="SYX18" s="459"/>
      <c r="SYY18" s="452"/>
      <c r="SYZ18" s="450">
        <v>0</v>
      </c>
      <c r="SZA18" s="460"/>
      <c r="SZB18" s="450">
        <f>SYV18+SYY18</f>
        <v>62201294.850000001</v>
      </c>
      <c r="SZC18" s="454">
        <f>+SYW18+SYZ18</f>
        <v>60000000</v>
      </c>
      <c r="SZD18" s="461"/>
      <c r="SZE18" s="450"/>
      <c r="SZF18" s="594">
        <f>(SZB18-SYT18)/SYT18</f>
        <v>0.13401162364699606</v>
      </c>
      <c r="SZG18" s="436" t="s">
        <v>141</v>
      </c>
      <c r="SZH18" s="448">
        <v>54850667.799999997</v>
      </c>
      <c r="SZI18" s="449"/>
      <c r="SZJ18" s="448">
        <f>SZH18+SZI18</f>
        <v>54850667.799999997</v>
      </c>
      <c r="SZK18" s="452"/>
      <c r="SZL18" s="452">
        <v>62201294.850000001</v>
      </c>
      <c r="SZM18" s="451">
        <f>60000000</f>
        <v>60000000</v>
      </c>
      <c r="SZN18" s="459"/>
      <c r="SZO18" s="452"/>
      <c r="SZP18" s="450">
        <v>0</v>
      </c>
      <c r="SZQ18" s="460"/>
      <c r="SZR18" s="450">
        <f>SZL18+SZO18</f>
        <v>62201294.850000001</v>
      </c>
      <c r="SZS18" s="454">
        <f>+SZM18+SZP18</f>
        <v>60000000</v>
      </c>
      <c r="SZT18" s="461"/>
      <c r="SZU18" s="450"/>
      <c r="SZV18" s="594">
        <f>(SZR18-SZJ18)/SZJ18</f>
        <v>0.13401162364699606</v>
      </c>
      <c r="SZW18" s="436" t="s">
        <v>141</v>
      </c>
      <c r="SZX18" s="448">
        <v>54850667.799999997</v>
      </c>
      <c r="SZY18" s="449"/>
      <c r="SZZ18" s="448">
        <f>SZX18+SZY18</f>
        <v>54850667.799999997</v>
      </c>
      <c r="TAA18" s="452"/>
      <c r="TAB18" s="452">
        <v>62201294.850000001</v>
      </c>
      <c r="TAC18" s="451">
        <f>60000000</f>
        <v>60000000</v>
      </c>
      <c r="TAD18" s="459"/>
      <c r="TAE18" s="452"/>
      <c r="TAF18" s="450">
        <v>0</v>
      </c>
      <c r="TAG18" s="460"/>
      <c r="TAH18" s="450">
        <f>TAB18+TAE18</f>
        <v>62201294.850000001</v>
      </c>
      <c r="TAI18" s="454">
        <f>+TAC18+TAF18</f>
        <v>60000000</v>
      </c>
      <c r="TAJ18" s="461"/>
      <c r="TAK18" s="450"/>
      <c r="TAL18" s="594">
        <f>(TAH18-SZZ18)/SZZ18</f>
        <v>0.13401162364699606</v>
      </c>
      <c r="TAM18" s="436" t="s">
        <v>141</v>
      </c>
      <c r="TAN18" s="448">
        <v>54850667.799999997</v>
      </c>
      <c r="TAO18" s="449"/>
      <c r="TAP18" s="448">
        <f>TAN18+TAO18</f>
        <v>54850667.799999997</v>
      </c>
      <c r="TAQ18" s="452"/>
      <c r="TAR18" s="452">
        <v>62201294.850000001</v>
      </c>
      <c r="TAS18" s="451">
        <f>60000000</f>
        <v>60000000</v>
      </c>
      <c r="TAT18" s="459"/>
      <c r="TAU18" s="452"/>
      <c r="TAV18" s="450">
        <v>0</v>
      </c>
      <c r="TAW18" s="460"/>
      <c r="TAX18" s="450">
        <f>TAR18+TAU18</f>
        <v>62201294.850000001</v>
      </c>
      <c r="TAY18" s="454">
        <f>+TAS18+TAV18</f>
        <v>60000000</v>
      </c>
      <c r="TAZ18" s="461"/>
      <c r="TBA18" s="450"/>
      <c r="TBB18" s="594">
        <f>(TAX18-TAP18)/TAP18</f>
        <v>0.13401162364699606</v>
      </c>
      <c r="TBC18" s="436" t="s">
        <v>141</v>
      </c>
      <c r="TBD18" s="448">
        <v>54850667.799999997</v>
      </c>
      <c r="TBE18" s="449"/>
      <c r="TBF18" s="448">
        <f>TBD18+TBE18</f>
        <v>54850667.799999997</v>
      </c>
      <c r="TBG18" s="452"/>
      <c r="TBH18" s="452">
        <v>62201294.850000001</v>
      </c>
      <c r="TBI18" s="451">
        <f>60000000</f>
        <v>60000000</v>
      </c>
      <c r="TBJ18" s="459"/>
      <c r="TBK18" s="452"/>
      <c r="TBL18" s="450">
        <v>0</v>
      </c>
      <c r="TBM18" s="460"/>
      <c r="TBN18" s="450">
        <f>TBH18+TBK18</f>
        <v>62201294.850000001</v>
      </c>
      <c r="TBO18" s="454">
        <f>+TBI18+TBL18</f>
        <v>60000000</v>
      </c>
      <c r="TBP18" s="461"/>
      <c r="TBQ18" s="450"/>
      <c r="TBR18" s="594">
        <f>(TBN18-TBF18)/TBF18</f>
        <v>0.13401162364699606</v>
      </c>
      <c r="TBS18" s="436" t="s">
        <v>141</v>
      </c>
      <c r="TBT18" s="448">
        <v>54850667.799999997</v>
      </c>
      <c r="TBU18" s="449"/>
      <c r="TBV18" s="448">
        <f>TBT18+TBU18</f>
        <v>54850667.799999997</v>
      </c>
      <c r="TBW18" s="452"/>
      <c r="TBX18" s="452">
        <v>62201294.850000001</v>
      </c>
      <c r="TBY18" s="451">
        <f>60000000</f>
        <v>60000000</v>
      </c>
      <c r="TBZ18" s="459"/>
      <c r="TCA18" s="452"/>
      <c r="TCB18" s="450">
        <v>0</v>
      </c>
      <c r="TCC18" s="460"/>
      <c r="TCD18" s="450">
        <f>TBX18+TCA18</f>
        <v>62201294.850000001</v>
      </c>
      <c r="TCE18" s="454">
        <f>+TBY18+TCB18</f>
        <v>60000000</v>
      </c>
      <c r="TCF18" s="461"/>
      <c r="TCG18" s="450"/>
      <c r="TCH18" s="594">
        <f>(TCD18-TBV18)/TBV18</f>
        <v>0.13401162364699606</v>
      </c>
      <c r="TCI18" s="436" t="s">
        <v>141</v>
      </c>
      <c r="TCJ18" s="448">
        <v>54850667.799999997</v>
      </c>
      <c r="TCK18" s="449"/>
      <c r="TCL18" s="448">
        <f>TCJ18+TCK18</f>
        <v>54850667.799999997</v>
      </c>
      <c r="TCM18" s="452"/>
      <c r="TCN18" s="452">
        <v>62201294.850000001</v>
      </c>
      <c r="TCO18" s="451">
        <f>60000000</f>
        <v>60000000</v>
      </c>
      <c r="TCP18" s="459"/>
      <c r="TCQ18" s="452"/>
      <c r="TCR18" s="450">
        <v>0</v>
      </c>
      <c r="TCS18" s="460"/>
      <c r="TCT18" s="450">
        <f>TCN18+TCQ18</f>
        <v>62201294.850000001</v>
      </c>
      <c r="TCU18" s="454">
        <f>+TCO18+TCR18</f>
        <v>60000000</v>
      </c>
      <c r="TCV18" s="461"/>
      <c r="TCW18" s="450"/>
      <c r="TCX18" s="594">
        <f>(TCT18-TCL18)/TCL18</f>
        <v>0.13401162364699606</v>
      </c>
      <c r="TCY18" s="436" t="s">
        <v>141</v>
      </c>
      <c r="TCZ18" s="448">
        <v>54850667.799999997</v>
      </c>
      <c r="TDA18" s="449"/>
      <c r="TDB18" s="448">
        <f>TCZ18+TDA18</f>
        <v>54850667.799999997</v>
      </c>
      <c r="TDC18" s="452"/>
      <c r="TDD18" s="452">
        <v>62201294.850000001</v>
      </c>
      <c r="TDE18" s="451">
        <f>60000000</f>
        <v>60000000</v>
      </c>
      <c r="TDF18" s="459"/>
      <c r="TDG18" s="452"/>
      <c r="TDH18" s="450">
        <v>0</v>
      </c>
      <c r="TDI18" s="460"/>
      <c r="TDJ18" s="450">
        <f>TDD18+TDG18</f>
        <v>62201294.850000001</v>
      </c>
      <c r="TDK18" s="454">
        <f>+TDE18+TDH18</f>
        <v>60000000</v>
      </c>
      <c r="TDL18" s="461"/>
      <c r="TDM18" s="450"/>
      <c r="TDN18" s="594">
        <f>(TDJ18-TDB18)/TDB18</f>
        <v>0.13401162364699606</v>
      </c>
      <c r="TDO18" s="436" t="s">
        <v>141</v>
      </c>
      <c r="TDP18" s="448">
        <v>54850667.799999997</v>
      </c>
      <c r="TDQ18" s="449"/>
      <c r="TDR18" s="448">
        <f>TDP18+TDQ18</f>
        <v>54850667.799999997</v>
      </c>
      <c r="TDS18" s="452"/>
      <c r="TDT18" s="452">
        <v>62201294.850000001</v>
      </c>
      <c r="TDU18" s="451">
        <f>60000000</f>
        <v>60000000</v>
      </c>
      <c r="TDV18" s="459"/>
      <c r="TDW18" s="452"/>
      <c r="TDX18" s="450">
        <v>0</v>
      </c>
      <c r="TDY18" s="460"/>
      <c r="TDZ18" s="450">
        <f>TDT18+TDW18</f>
        <v>62201294.850000001</v>
      </c>
      <c r="TEA18" s="454">
        <f>+TDU18+TDX18</f>
        <v>60000000</v>
      </c>
      <c r="TEB18" s="461"/>
      <c r="TEC18" s="450"/>
      <c r="TED18" s="594">
        <f>(TDZ18-TDR18)/TDR18</f>
        <v>0.13401162364699606</v>
      </c>
      <c r="TEE18" s="436" t="s">
        <v>141</v>
      </c>
      <c r="TEF18" s="448">
        <v>54850667.799999997</v>
      </c>
      <c r="TEG18" s="449"/>
      <c r="TEH18" s="448">
        <f>TEF18+TEG18</f>
        <v>54850667.799999997</v>
      </c>
      <c r="TEI18" s="452"/>
      <c r="TEJ18" s="452">
        <v>62201294.850000001</v>
      </c>
      <c r="TEK18" s="451">
        <f>60000000</f>
        <v>60000000</v>
      </c>
      <c r="TEL18" s="459"/>
      <c r="TEM18" s="452"/>
      <c r="TEN18" s="450">
        <v>0</v>
      </c>
      <c r="TEO18" s="460"/>
      <c r="TEP18" s="450">
        <f>TEJ18+TEM18</f>
        <v>62201294.850000001</v>
      </c>
      <c r="TEQ18" s="454">
        <f>+TEK18+TEN18</f>
        <v>60000000</v>
      </c>
      <c r="TER18" s="461"/>
      <c r="TES18" s="450"/>
      <c r="TET18" s="594">
        <f>(TEP18-TEH18)/TEH18</f>
        <v>0.13401162364699606</v>
      </c>
      <c r="TEU18" s="436" t="s">
        <v>141</v>
      </c>
      <c r="TEV18" s="448">
        <v>54850667.799999997</v>
      </c>
      <c r="TEW18" s="449"/>
      <c r="TEX18" s="448">
        <f>TEV18+TEW18</f>
        <v>54850667.799999997</v>
      </c>
      <c r="TEY18" s="452"/>
      <c r="TEZ18" s="452">
        <v>62201294.850000001</v>
      </c>
      <c r="TFA18" s="451">
        <f>60000000</f>
        <v>60000000</v>
      </c>
      <c r="TFB18" s="459"/>
      <c r="TFC18" s="452"/>
      <c r="TFD18" s="450">
        <v>0</v>
      </c>
      <c r="TFE18" s="460"/>
      <c r="TFF18" s="450">
        <f>TEZ18+TFC18</f>
        <v>62201294.850000001</v>
      </c>
      <c r="TFG18" s="454">
        <f>+TFA18+TFD18</f>
        <v>60000000</v>
      </c>
      <c r="TFH18" s="461"/>
      <c r="TFI18" s="450"/>
      <c r="TFJ18" s="594">
        <f>(TFF18-TEX18)/TEX18</f>
        <v>0.13401162364699606</v>
      </c>
      <c r="TFK18" s="436" t="s">
        <v>141</v>
      </c>
      <c r="TFL18" s="448">
        <v>54850667.799999997</v>
      </c>
      <c r="TFM18" s="449"/>
      <c r="TFN18" s="448">
        <f>TFL18+TFM18</f>
        <v>54850667.799999997</v>
      </c>
      <c r="TFO18" s="452"/>
      <c r="TFP18" s="452">
        <v>62201294.850000001</v>
      </c>
      <c r="TFQ18" s="451">
        <f>60000000</f>
        <v>60000000</v>
      </c>
      <c r="TFR18" s="459"/>
      <c r="TFS18" s="452"/>
      <c r="TFT18" s="450">
        <v>0</v>
      </c>
      <c r="TFU18" s="460"/>
      <c r="TFV18" s="450">
        <f>TFP18+TFS18</f>
        <v>62201294.850000001</v>
      </c>
      <c r="TFW18" s="454">
        <f>+TFQ18+TFT18</f>
        <v>60000000</v>
      </c>
      <c r="TFX18" s="461"/>
      <c r="TFY18" s="450"/>
      <c r="TFZ18" s="594">
        <f>(TFV18-TFN18)/TFN18</f>
        <v>0.13401162364699606</v>
      </c>
      <c r="TGA18" s="436" t="s">
        <v>141</v>
      </c>
      <c r="TGB18" s="448">
        <v>54850667.799999997</v>
      </c>
      <c r="TGC18" s="449"/>
      <c r="TGD18" s="448">
        <f>TGB18+TGC18</f>
        <v>54850667.799999997</v>
      </c>
      <c r="TGE18" s="452"/>
      <c r="TGF18" s="452">
        <v>62201294.850000001</v>
      </c>
      <c r="TGG18" s="451">
        <f>60000000</f>
        <v>60000000</v>
      </c>
      <c r="TGH18" s="459"/>
      <c r="TGI18" s="452"/>
      <c r="TGJ18" s="450">
        <v>0</v>
      </c>
      <c r="TGK18" s="460"/>
      <c r="TGL18" s="450">
        <f>TGF18+TGI18</f>
        <v>62201294.850000001</v>
      </c>
      <c r="TGM18" s="454">
        <f>+TGG18+TGJ18</f>
        <v>60000000</v>
      </c>
      <c r="TGN18" s="461"/>
      <c r="TGO18" s="450"/>
      <c r="TGP18" s="594">
        <f>(TGL18-TGD18)/TGD18</f>
        <v>0.13401162364699606</v>
      </c>
      <c r="TGQ18" s="436" t="s">
        <v>141</v>
      </c>
      <c r="TGR18" s="448">
        <v>54850667.799999997</v>
      </c>
      <c r="TGS18" s="449"/>
      <c r="TGT18" s="448">
        <f>TGR18+TGS18</f>
        <v>54850667.799999997</v>
      </c>
      <c r="TGU18" s="452"/>
      <c r="TGV18" s="452">
        <v>62201294.850000001</v>
      </c>
      <c r="TGW18" s="451">
        <f>60000000</f>
        <v>60000000</v>
      </c>
      <c r="TGX18" s="459"/>
      <c r="TGY18" s="452"/>
      <c r="TGZ18" s="450">
        <v>0</v>
      </c>
      <c r="THA18" s="460"/>
      <c r="THB18" s="450">
        <f>TGV18+TGY18</f>
        <v>62201294.850000001</v>
      </c>
      <c r="THC18" s="454">
        <f>+TGW18+TGZ18</f>
        <v>60000000</v>
      </c>
      <c r="THD18" s="461"/>
      <c r="THE18" s="450"/>
      <c r="THF18" s="594">
        <f>(THB18-TGT18)/TGT18</f>
        <v>0.13401162364699606</v>
      </c>
      <c r="THG18" s="436" t="s">
        <v>141</v>
      </c>
      <c r="THH18" s="448">
        <v>54850667.799999997</v>
      </c>
      <c r="THI18" s="449"/>
      <c r="THJ18" s="448">
        <f>THH18+THI18</f>
        <v>54850667.799999997</v>
      </c>
      <c r="THK18" s="452"/>
      <c r="THL18" s="452">
        <v>62201294.850000001</v>
      </c>
      <c r="THM18" s="451">
        <f>60000000</f>
        <v>60000000</v>
      </c>
      <c r="THN18" s="459"/>
      <c r="THO18" s="452"/>
      <c r="THP18" s="450">
        <v>0</v>
      </c>
      <c r="THQ18" s="460"/>
      <c r="THR18" s="450">
        <f>THL18+THO18</f>
        <v>62201294.850000001</v>
      </c>
      <c r="THS18" s="454">
        <f>+THM18+THP18</f>
        <v>60000000</v>
      </c>
      <c r="THT18" s="461"/>
      <c r="THU18" s="450"/>
      <c r="THV18" s="594">
        <f>(THR18-THJ18)/THJ18</f>
        <v>0.13401162364699606</v>
      </c>
      <c r="THW18" s="436" t="s">
        <v>141</v>
      </c>
      <c r="THX18" s="448">
        <v>54850667.799999997</v>
      </c>
      <c r="THY18" s="449"/>
      <c r="THZ18" s="448">
        <f>THX18+THY18</f>
        <v>54850667.799999997</v>
      </c>
      <c r="TIA18" s="452"/>
      <c r="TIB18" s="452">
        <v>62201294.850000001</v>
      </c>
      <c r="TIC18" s="451">
        <f>60000000</f>
        <v>60000000</v>
      </c>
      <c r="TID18" s="459"/>
      <c r="TIE18" s="452"/>
      <c r="TIF18" s="450">
        <v>0</v>
      </c>
      <c r="TIG18" s="460"/>
      <c r="TIH18" s="450">
        <f>TIB18+TIE18</f>
        <v>62201294.850000001</v>
      </c>
      <c r="TII18" s="454">
        <f>+TIC18+TIF18</f>
        <v>60000000</v>
      </c>
      <c r="TIJ18" s="461"/>
      <c r="TIK18" s="450"/>
      <c r="TIL18" s="594">
        <f>(TIH18-THZ18)/THZ18</f>
        <v>0.13401162364699606</v>
      </c>
      <c r="TIM18" s="436" t="s">
        <v>141</v>
      </c>
      <c r="TIN18" s="448">
        <v>54850667.799999997</v>
      </c>
      <c r="TIO18" s="449"/>
      <c r="TIP18" s="448">
        <f>TIN18+TIO18</f>
        <v>54850667.799999997</v>
      </c>
      <c r="TIQ18" s="452"/>
      <c r="TIR18" s="452">
        <v>62201294.850000001</v>
      </c>
      <c r="TIS18" s="451">
        <f>60000000</f>
        <v>60000000</v>
      </c>
      <c r="TIT18" s="459"/>
      <c r="TIU18" s="452"/>
      <c r="TIV18" s="450">
        <v>0</v>
      </c>
      <c r="TIW18" s="460"/>
      <c r="TIX18" s="450">
        <f>TIR18+TIU18</f>
        <v>62201294.850000001</v>
      </c>
      <c r="TIY18" s="454">
        <f>+TIS18+TIV18</f>
        <v>60000000</v>
      </c>
      <c r="TIZ18" s="461"/>
      <c r="TJA18" s="450"/>
      <c r="TJB18" s="594">
        <f>(TIX18-TIP18)/TIP18</f>
        <v>0.13401162364699606</v>
      </c>
      <c r="TJC18" s="436" t="s">
        <v>141</v>
      </c>
      <c r="TJD18" s="448">
        <v>54850667.799999997</v>
      </c>
      <c r="TJE18" s="449"/>
      <c r="TJF18" s="448">
        <f>TJD18+TJE18</f>
        <v>54850667.799999997</v>
      </c>
      <c r="TJG18" s="452"/>
      <c r="TJH18" s="452">
        <v>62201294.850000001</v>
      </c>
      <c r="TJI18" s="451">
        <f>60000000</f>
        <v>60000000</v>
      </c>
      <c r="TJJ18" s="459"/>
      <c r="TJK18" s="452"/>
      <c r="TJL18" s="450">
        <v>0</v>
      </c>
      <c r="TJM18" s="460"/>
      <c r="TJN18" s="450">
        <f>TJH18+TJK18</f>
        <v>62201294.850000001</v>
      </c>
      <c r="TJO18" s="454">
        <f>+TJI18+TJL18</f>
        <v>60000000</v>
      </c>
      <c r="TJP18" s="461"/>
      <c r="TJQ18" s="450"/>
      <c r="TJR18" s="594">
        <f>(TJN18-TJF18)/TJF18</f>
        <v>0.13401162364699606</v>
      </c>
      <c r="TJS18" s="436" t="s">
        <v>141</v>
      </c>
      <c r="TJT18" s="448">
        <v>54850667.799999997</v>
      </c>
      <c r="TJU18" s="449"/>
      <c r="TJV18" s="448">
        <f>TJT18+TJU18</f>
        <v>54850667.799999997</v>
      </c>
      <c r="TJW18" s="452"/>
      <c r="TJX18" s="452">
        <v>62201294.850000001</v>
      </c>
      <c r="TJY18" s="451">
        <f>60000000</f>
        <v>60000000</v>
      </c>
      <c r="TJZ18" s="459"/>
      <c r="TKA18" s="452"/>
      <c r="TKB18" s="450">
        <v>0</v>
      </c>
      <c r="TKC18" s="460"/>
      <c r="TKD18" s="450">
        <f>TJX18+TKA18</f>
        <v>62201294.850000001</v>
      </c>
      <c r="TKE18" s="454">
        <f>+TJY18+TKB18</f>
        <v>60000000</v>
      </c>
      <c r="TKF18" s="461"/>
      <c r="TKG18" s="450"/>
      <c r="TKH18" s="594">
        <f>(TKD18-TJV18)/TJV18</f>
        <v>0.13401162364699606</v>
      </c>
      <c r="TKI18" s="436" t="s">
        <v>141</v>
      </c>
      <c r="TKJ18" s="448">
        <v>54850667.799999997</v>
      </c>
      <c r="TKK18" s="449"/>
      <c r="TKL18" s="448">
        <f>TKJ18+TKK18</f>
        <v>54850667.799999997</v>
      </c>
      <c r="TKM18" s="452"/>
      <c r="TKN18" s="452">
        <v>62201294.850000001</v>
      </c>
      <c r="TKO18" s="451">
        <f>60000000</f>
        <v>60000000</v>
      </c>
      <c r="TKP18" s="459"/>
      <c r="TKQ18" s="452"/>
      <c r="TKR18" s="450">
        <v>0</v>
      </c>
      <c r="TKS18" s="460"/>
      <c r="TKT18" s="450">
        <f>TKN18+TKQ18</f>
        <v>62201294.850000001</v>
      </c>
      <c r="TKU18" s="454">
        <f>+TKO18+TKR18</f>
        <v>60000000</v>
      </c>
      <c r="TKV18" s="461"/>
      <c r="TKW18" s="450"/>
      <c r="TKX18" s="594">
        <f>(TKT18-TKL18)/TKL18</f>
        <v>0.13401162364699606</v>
      </c>
      <c r="TKY18" s="436" t="s">
        <v>141</v>
      </c>
      <c r="TKZ18" s="448">
        <v>54850667.799999997</v>
      </c>
      <c r="TLA18" s="449"/>
      <c r="TLB18" s="448">
        <f>TKZ18+TLA18</f>
        <v>54850667.799999997</v>
      </c>
      <c r="TLC18" s="452"/>
      <c r="TLD18" s="452">
        <v>62201294.850000001</v>
      </c>
      <c r="TLE18" s="451">
        <f>60000000</f>
        <v>60000000</v>
      </c>
      <c r="TLF18" s="459"/>
      <c r="TLG18" s="452"/>
      <c r="TLH18" s="450">
        <v>0</v>
      </c>
      <c r="TLI18" s="460"/>
      <c r="TLJ18" s="450">
        <f>TLD18+TLG18</f>
        <v>62201294.850000001</v>
      </c>
      <c r="TLK18" s="454">
        <f>+TLE18+TLH18</f>
        <v>60000000</v>
      </c>
      <c r="TLL18" s="461"/>
      <c r="TLM18" s="450"/>
      <c r="TLN18" s="594">
        <f>(TLJ18-TLB18)/TLB18</f>
        <v>0.13401162364699606</v>
      </c>
      <c r="TLO18" s="436" t="s">
        <v>141</v>
      </c>
      <c r="TLP18" s="448">
        <v>54850667.799999997</v>
      </c>
      <c r="TLQ18" s="449"/>
      <c r="TLR18" s="448">
        <f>TLP18+TLQ18</f>
        <v>54850667.799999997</v>
      </c>
      <c r="TLS18" s="452"/>
      <c r="TLT18" s="452">
        <v>62201294.850000001</v>
      </c>
      <c r="TLU18" s="451">
        <f>60000000</f>
        <v>60000000</v>
      </c>
      <c r="TLV18" s="459"/>
      <c r="TLW18" s="452"/>
      <c r="TLX18" s="450">
        <v>0</v>
      </c>
      <c r="TLY18" s="460"/>
      <c r="TLZ18" s="450">
        <f>TLT18+TLW18</f>
        <v>62201294.850000001</v>
      </c>
      <c r="TMA18" s="454">
        <f>+TLU18+TLX18</f>
        <v>60000000</v>
      </c>
      <c r="TMB18" s="461"/>
      <c r="TMC18" s="450"/>
      <c r="TMD18" s="594">
        <f>(TLZ18-TLR18)/TLR18</f>
        <v>0.13401162364699606</v>
      </c>
      <c r="TME18" s="436" t="s">
        <v>141</v>
      </c>
      <c r="TMF18" s="448">
        <v>54850667.799999997</v>
      </c>
      <c r="TMG18" s="449"/>
      <c r="TMH18" s="448">
        <f>TMF18+TMG18</f>
        <v>54850667.799999997</v>
      </c>
      <c r="TMI18" s="452"/>
      <c r="TMJ18" s="452">
        <v>62201294.850000001</v>
      </c>
      <c r="TMK18" s="451">
        <f>60000000</f>
        <v>60000000</v>
      </c>
      <c r="TML18" s="459"/>
      <c r="TMM18" s="452"/>
      <c r="TMN18" s="450">
        <v>0</v>
      </c>
      <c r="TMO18" s="460"/>
      <c r="TMP18" s="450">
        <f>TMJ18+TMM18</f>
        <v>62201294.850000001</v>
      </c>
      <c r="TMQ18" s="454">
        <f>+TMK18+TMN18</f>
        <v>60000000</v>
      </c>
      <c r="TMR18" s="461"/>
      <c r="TMS18" s="450"/>
      <c r="TMT18" s="594">
        <f>(TMP18-TMH18)/TMH18</f>
        <v>0.13401162364699606</v>
      </c>
      <c r="TMU18" s="436" t="s">
        <v>141</v>
      </c>
      <c r="TMV18" s="448">
        <v>54850667.799999997</v>
      </c>
      <c r="TMW18" s="449"/>
      <c r="TMX18" s="448">
        <f>TMV18+TMW18</f>
        <v>54850667.799999997</v>
      </c>
      <c r="TMY18" s="452"/>
      <c r="TMZ18" s="452">
        <v>62201294.850000001</v>
      </c>
      <c r="TNA18" s="451">
        <f>60000000</f>
        <v>60000000</v>
      </c>
      <c r="TNB18" s="459"/>
      <c r="TNC18" s="452"/>
      <c r="TND18" s="450">
        <v>0</v>
      </c>
      <c r="TNE18" s="460"/>
      <c r="TNF18" s="450">
        <f>TMZ18+TNC18</f>
        <v>62201294.850000001</v>
      </c>
      <c r="TNG18" s="454">
        <f>+TNA18+TND18</f>
        <v>60000000</v>
      </c>
      <c r="TNH18" s="461"/>
      <c r="TNI18" s="450"/>
      <c r="TNJ18" s="594">
        <f>(TNF18-TMX18)/TMX18</f>
        <v>0.13401162364699606</v>
      </c>
      <c r="TNK18" s="436" t="s">
        <v>141</v>
      </c>
      <c r="TNL18" s="448">
        <v>54850667.799999997</v>
      </c>
      <c r="TNM18" s="449"/>
      <c r="TNN18" s="448">
        <f>TNL18+TNM18</f>
        <v>54850667.799999997</v>
      </c>
      <c r="TNO18" s="452"/>
      <c r="TNP18" s="452">
        <v>62201294.850000001</v>
      </c>
      <c r="TNQ18" s="451">
        <f>60000000</f>
        <v>60000000</v>
      </c>
      <c r="TNR18" s="459"/>
      <c r="TNS18" s="452"/>
      <c r="TNT18" s="450">
        <v>0</v>
      </c>
      <c r="TNU18" s="460"/>
      <c r="TNV18" s="450">
        <f>TNP18+TNS18</f>
        <v>62201294.850000001</v>
      </c>
      <c r="TNW18" s="454">
        <f>+TNQ18+TNT18</f>
        <v>60000000</v>
      </c>
      <c r="TNX18" s="461"/>
      <c r="TNY18" s="450"/>
      <c r="TNZ18" s="594">
        <f>(TNV18-TNN18)/TNN18</f>
        <v>0.13401162364699606</v>
      </c>
      <c r="TOA18" s="436" t="s">
        <v>141</v>
      </c>
      <c r="TOB18" s="448">
        <v>54850667.799999997</v>
      </c>
      <c r="TOC18" s="449"/>
      <c r="TOD18" s="448">
        <f>TOB18+TOC18</f>
        <v>54850667.799999997</v>
      </c>
      <c r="TOE18" s="452"/>
      <c r="TOF18" s="452">
        <v>62201294.850000001</v>
      </c>
      <c r="TOG18" s="451">
        <f>60000000</f>
        <v>60000000</v>
      </c>
      <c r="TOH18" s="459"/>
      <c r="TOI18" s="452"/>
      <c r="TOJ18" s="450">
        <v>0</v>
      </c>
      <c r="TOK18" s="460"/>
      <c r="TOL18" s="450">
        <f>TOF18+TOI18</f>
        <v>62201294.850000001</v>
      </c>
      <c r="TOM18" s="454">
        <f>+TOG18+TOJ18</f>
        <v>60000000</v>
      </c>
      <c r="TON18" s="461"/>
      <c r="TOO18" s="450"/>
      <c r="TOP18" s="594">
        <f>(TOL18-TOD18)/TOD18</f>
        <v>0.13401162364699606</v>
      </c>
      <c r="TOQ18" s="436" t="s">
        <v>141</v>
      </c>
      <c r="TOR18" s="448">
        <v>54850667.799999997</v>
      </c>
      <c r="TOS18" s="449"/>
      <c r="TOT18" s="448">
        <f>TOR18+TOS18</f>
        <v>54850667.799999997</v>
      </c>
      <c r="TOU18" s="452"/>
      <c r="TOV18" s="452">
        <v>62201294.850000001</v>
      </c>
      <c r="TOW18" s="451">
        <f>60000000</f>
        <v>60000000</v>
      </c>
      <c r="TOX18" s="459"/>
      <c r="TOY18" s="452"/>
      <c r="TOZ18" s="450">
        <v>0</v>
      </c>
      <c r="TPA18" s="460"/>
      <c r="TPB18" s="450">
        <f>TOV18+TOY18</f>
        <v>62201294.850000001</v>
      </c>
      <c r="TPC18" s="454">
        <f>+TOW18+TOZ18</f>
        <v>60000000</v>
      </c>
      <c r="TPD18" s="461"/>
      <c r="TPE18" s="450"/>
      <c r="TPF18" s="594">
        <f>(TPB18-TOT18)/TOT18</f>
        <v>0.13401162364699606</v>
      </c>
      <c r="TPG18" s="436" t="s">
        <v>141</v>
      </c>
      <c r="TPH18" s="448">
        <v>54850667.799999997</v>
      </c>
      <c r="TPI18" s="449"/>
      <c r="TPJ18" s="448">
        <f>TPH18+TPI18</f>
        <v>54850667.799999997</v>
      </c>
      <c r="TPK18" s="452"/>
      <c r="TPL18" s="452">
        <v>62201294.850000001</v>
      </c>
      <c r="TPM18" s="451">
        <f>60000000</f>
        <v>60000000</v>
      </c>
      <c r="TPN18" s="459"/>
      <c r="TPO18" s="452"/>
      <c r="TPP18" s="450">
        <v>0</v>
      </c>
      <c r="TPQ18" s="460"/>
      <c r="TPR18" s="450">
        <f>TPL18+TPO18</f>
        <v>62201294.850000001</v>
      </c>
      <c r="TPS18" s="454">
        <f>+TPM18+TPP18</f>
        <v>60000000</v>
      </c>
      <c r="TPT18" s="461"/>
      <c r="TPU18" s="450"/>
      <c r="TPV18" s="594">
        <f>(TPR18-TPJ18)/TPJ18</f>
        <v>0.13401162364699606</v>
      </c>
      <c r="TPW18" s="436" t="s">
        <v>141</v>
      </c>
      <c r="TPX18" s="448">
        <v>54850667.799999997</v>
      </c>
      <c r="TPY18" s="449"/>
      <c r="TPZ18" s="448">
        <f>TPX18+TPY18</f>
        <v>54850667.799999997</v>
      </c>
      <c r="TQA18" s="452"/>
      <c r="TQB18" s="452">
        <v>62201294.850000001</v>
      </c>
      <c r="TQC18" s="451">
        <f>60000000</f>
        <v>60000000</v>
      </c>
      <c r="TQD18" s="459"/>
      <c r="TQE18" s="452"/>
      <c r="TQF18" s="450">
        <v>0</v>
      </c>
      <c r="TQG18" s="460"/>
      <c r="TQH18" s="450">
        <f>TQB18+TQE18</f>
        <v>62201294.850000001</v>
      </c>
      <c r="TQI18" s="454">
        <f>+TQC18+TQF18</f>
        <v>60000000</v>
      </c>
      <c r="TQJ18" s="461"/>
      <c r="TQK18" s="450"/>
      <c r="TQL18" s="594">
        <f>(TQH18-TPZ18)/TPZ18</f>
        <v>0.13401162364699606</v>
      </c>
      <c r="TQM18" s="436" t="s">
        <v>141</v>
      </c>
      <c r="TQN18" s="448">
        <v>54850667.799999997</v>
      </c>
      <c r="TQO18" s="449"/>
      <c r="TQP18" s="448">
        <f>TQN18+TQO18</f>
        <v>54850667.799999997</v>
      </c>
      <c r="TQQ18" s="452"/>
      <c r="TQR18" s="452">
        <v>62201294.850000001</v>
      </c>
      <c r="TQS18" s="451">
        <f>60000000</f>
        <v>60000000</v>
      </c>
      <c r="TQT18" s="459"/>
      <c r="TQU18" s="452"/>
      <c r="TQV18" s="450">
        <v>0</v>
      </c>
      <c r="TQW18" s="460"/>
      <c r="TQX18" s="450">
        <f>TQR18+TQU18</f>
        <v>62201294.850000001</v>
      </c>
      <c r="TQY18" s="454">
        <f>+TQS18+TQV18</f>
        <v>60000000</v>
      </c>
      <c r="TQZ18" s="461"/>
      <c r="TRA18" s="450"/>
      <c r="TRB18" s="594">
        <f>(TQX18-TQP18)/TQP18</f>
        <v>0.13401162364699606</v>
      </c>
      <c r="TRC18" s="436" t="s">
        <v>141</v>
      </c>
      <c r="TRD18" s="448">
        <v>54850667.799999997</v>
      </c>
      <c r="TRE18" s="449"/>
      <c r="TRF18" s="448">
        <f>TRD18+TRE18</f>
        <v>54850667.799999997</v>
      </c>
      <c r="TRG18" s="452"/>
      <c r="TRH18" s="452">
        <v>62201294.850000001</v>
      </c>
      <c r="TRI18" s="451">
        <f>60000000</f>
        <v>60000000</v>
      </c>
      <c r="TRJ18" s="459"/>
      <c r="TRK18" s="452"/>
      <c r="TRL18" s="450">
        <v>0</v>
      </c>
      <c r="TRM18" s="460"/>
      <c r="TRN18" s="450">
        <f>TRH18+TRK18</f>
        <v>62201294.850000001</v>
      </c>
      <c r="TRO18" s="454">
        <f>+TRI18+TRL18</f>
        <v>60000000</v>
      </c>
      <c r="TRP18" s="461"/>
      <c r="TRQ18" s="450"/>
      <c r="TRR18" s="594">
        <f>(TRN18-TRF18)/TRF18</f>
        <v>0.13401162364699606</v>
      </c>
      <c r="TRS18" s="436" t="s">
        <v>141</v>
      </c>
      <c r="TRT18" s="448">
        <v>54850667.799999997</v>
      </c>
      <c r="TRU18" s="449"/>
      <c r="TRV18" s="448">
        <f>TRT18+TRU18</f>
        <v>54850667.799999997</v>
      </c>
      <c r="TRW18" s="452"/>
      <c r="TRX18" s="452">
        <v>62201294.850000001</v>
      </c>
      <c r="TRY18" s="451">
        <f>60000000</f>
        <v>60000000</v>
      </c>
      <c r="TRZ18" s="459"/>
      <c r="TSA18" s="452"/>
      <c r="TSB18" s="450">
        <v>0</v>
      </c>
      <c r="TSC18" s="460"/>
      <c r="TSD18" s="450">
        <f>TRX18+TSA18</f>
        <v>62201294.850000001</v>
      </c>
      <c r="TSE18" s="454">
        <f>+TRY18+TSB18</f>
        <v>60000000</v>
      </c>
      <c r="TSF18" s="461"/>
      <c r="TSG18" s="450"/>
      <c r="TSH18" s="594">
        <f>(TSD18-TRV18)/TRV18</f>
        <v>0.13401162364699606</v>
      </c>
      <c r="TSI18" s="436" t="s">
        <v>141</v>
      </c>
      <c r="TSJ18" s="448">
        <v>54850667.799999997</v>
      </c>
      <c r="TSK18" s="449"/>
      <c r="TSL18" s="448">
        <f>TSJ18+TSK18</f>
        <v>54850667.799999997</v>
      </c>
      <c r="TSM18" s="452"/>
      <c r="TSN18" s="452">
        <v>62201294.850000001</v>
      </c>
      <c r="TSO18" s="451">
        <f>60000000</f>
        <v>60000000</v>
      </c>
      <c r="TSP18" s="459"/>
      <c r="TSQ18" s="452"/>
      <c r="TSR18" s="450">
        <v>0</v>
      </c>
      <c r="TSS18" s="460"/>
      <c r="TST18" s="450">
        <f>TSN18+TSQ18</f>
        <v>62201294.850000001</v>
      </c>
      <c r="TSU18" s="454">
        <f>+TSO18+TSR18</f>
        <v>60000000</v>
      </c>
      <c r="TSV18" s="461"/>
      <c r="TSW18" s="450"/>
      <c r="TSX18" s="594">
        <f>(TST18-TSL18)/TSL18</f>
        <v>0.13401162364699606</v>
      </c>
      <c r="TSY18" s="436" t="s">
        <v>141</v>
      </c>
      <c r="TSZ18" s="448">
        <v>54850667.799999997</v>
      </c>
      <c r="TTA18" s="449"/>
      <c r="TTB18" s="448">
        <f>TSZ18+TTA18</f>
        <v>54850667.799999997</v>
      </c>
      <c r="TTC18" s="452"/>
      <c r="TTD18" s="452">
        <v>62201294.850000001</v>
      </c>
      <c r="TTE18" s="451">
        <f>60000000</f>
        <v>60000000</v>
      </c>
      <c r="TTF18" s="459"/>
      <c r="TTG18" s="452"/>
      <c r="TTH18" s="450">
        <v>0</v>
      </c>
      <c r="TTI18" s="460"/>
      <c r="TTJ18" s="450">
        <f>TTD18+TTG18</f>
        <v>62201294.850000001</v>
      </c>
      <c r="TTK18" s="454">
        <f>+TTE18+TTH18</f>
        <v>60000000</v>
      </c>
      <c r="TTL18" s="461"/>
      <c r="TTM18" s="450"/>
      <c r="TTN18" s="594">
        <f>(TTJ18-TTB18)/TTB18</f>
        <v>0.13401162364699606</v>
      </c>
      <c r="TTO18" s="436" t="s">
        <v>141</v>
      </c>
      <c r="TTP18" s="448">
        <v>54850667.799999997</v>
      </c>
      <c r="TTQ18" s="449"/>
      <c r="TTR18" s="448">
        <f>TTP18+TTQ18</f>
        <v>54850667.799999997</v>
      </c>
      <c r="TTS18" s="452"/>
      <c r="TTT18" s="452">
        <v>62201294.850000001</v>
      </c>
      <c r="TTU18" s="451">
        <f>60000000</f>
        <v>60000000</v>
      </c>
      <c r="TTV18" s="459"/>
      <c r="TTW18" s="452"/>
      <c r="TTX18" s="450">
        <v>0</v>
      </c>
      <c r="TTY18" s="460"/>
      <c r="TTZ18" s="450">
        <f>TTT18+TTW18</f>
        <v>62201294.850000001</v>
      </c>
      <c r="TUA18" s="454">
        <f>+TTU18+TTX18</f>
        <v>60000000</v>
      </c>
      <c r="TUB18" s="461"/>
      <c r="TUC18" s="450"/>
      <c r="TUD18" s="594">
        <f>(TTZ18-TTR18)/TTR18</f>
        <v>0.13401162364699606</v>
      </c>
      <c r="TUE18" s="436" t="s">
        <v>141</v>
      </c>
      <c r="TUF18" s="448">
        <v>54850667.799999997</v>
      </c>
      <c r="TUG18" s="449"/>
      <c r="TUH18" s="448">
        <f>TUF18+TUG18</f>
        <v>54850667.799999997</v>
      </c>
      <c r="TUI18" s="452"/>
      <c r="TUJ18" s="452">
        <v>62201294.850000001</v>
      </c>
      <c r="TUK18" s="451">
        <f>60000000</f>
        <v>60000000</v>
      </c>
      <c r="TUL18" s="459"/>
      <c r="TUM18" s="452"/>
      <c r="TUN18" s="450">
        <v>0</v>
      </c>
      <c r="TUO18" s="460"/>
      <c r="TUP18" s="450">
        <f>TUJ18+TUM18</f>
        <v>62201294.850000001</v>
      </c>
      <c r="TUQ18" s="454">
        <f>+TUK18+TUN18</f>
        <v>60000000</v>
      </c>
      <c r="TUR18" s="461"/>
      <c r="TUS18" s="450"/>
      <c r="TUT18" s="594">
        <f>(TUP18-TUH18)/TUH18</f>
        <v>0.13401162364699606</v>
      </c>
      <c r="TUU18" s="436" t="s">
        <v>141</v>
      </c>
      <c r="TUV18" s="448">
        <v>54850667.799999997</v>
      </c>
      <c r="TUW18" s="449"/>
      <c r="TUX18" s="448">
        <f>TUV18+TUW18</f>
        <v>54850667.799999997</v>
      </c>
      <c r="TUY18" s="452"/>
      <c r="TUZ18" s="452">
        <v>62201294.850000001</v>
      </c>
      <c r="TVA18" s="451">
        <f>60000000</f>
        <v>60000000</v>
      </c>
      <c r="TVB18" s="459"/>
      <c r="TVC18" s="452"/>
      <c r="TVD18" s="450">
        <v>0</v>
      </c>
      <c r="TVE18" s="460"/>
      <c r="TVF18" s="450">
        <f>TUZ18+TVC18</f>
        <v>62201294.850000001</v>
      </c>
      <c r="TVG18" s="454">
        <f>+TVA18+TVD18</f>
        <v>60000000</v>
      </c>
      <c r="TVH18" s="461"/>
      <c r="TVI18" s="450"/>
      <c r="TVJ18" s="594">
        <f>(TVF18-TUX18)/TUX18</f>
        <v>0.13401162364699606</v>
      </c>
      <c r="TVK18" s="436" t="s">
        <v>141</v>
      </c>
      <c r="TVL18" s="448">
        <v>54850667.799999997</v>
      </c>
      <c r="TVM18" s="449"/>
      <c r="TVN18" s="448">
        <f>TVL18+TVM18</f>
        <v>54850667.799999997</v>
      </c>
      <c r="TVO18" s="452"/>
      <c r="TVP18" s="452">
        <v>62201294.850000001</v>
      </c>
      <c r="TVQ18" s="451">
        <f>60000000</f>
        <v>60000000</v>
      </c>
      <c r="TVR18" s="459"/>
      <c r="TVS18" s="452"/>
      <c r="TVT18" s="450">
        <v>0</v>
      </c>
      <c r="TVU18" s="460"/>
      <c r="TVV18" s="450">
        <f>TVP18+TVS18</f>
        <v>62201294.850000001</v>
      </c>
      <c r="TVW18" s="454">
        <f>+TVQ18+TVT18</f>
        <v>60000000</v>
      </c>
      <c r="TVX18" s="461"/>
      <c r="TVY18" s="450"/>
      <c r="TVZ18" s="594">
        <f>(TVV18-TVN18)/TVN18</f>
        <v>0.13401162364699606</v>
      </c>
      <c r="TWA18" s="436" t="s">
        <v>141</v>
      </c>
      <c r="TWB18" s="448">
        <v>54850667.799999997</v>
      </c>
      <c r="TWC18" s="449"/>
      <c r="TWD18" s="448">
        <f>TWB18+TWC18</f>
        <v>54850667.799999997</v>
      </c>
      <c r="TWE18" s="452"/>
      <c r="TWF18" s="452">
        <v>62201294.850000001</v>
      </c>
      <c r="TWG18" s="451">
        <f>60000000</f>
        <v>60000000</v>
      </c>
      <c r="TWH18" s="459"/>
      <c r="TWI18" s="452"/>
      <c r="TWJ18" s="450">
        <v>0</v>
      </c>
      <c r="TWK18" s="460"/>
      <c r="TWL18" s="450">
        <f>TWF18+TWI18</f>
        <v>62201294.850000001</v>
      </c>
      <c r="TWM18" s="454">
        <f>+TWG18+TWJ18</f>
        <v>60000000</v>
      </c>
      <c r="TWN18" s="461"/>
      <c r="TWO18" s="450"/>
      <c r="TWP18" s="594">
        <f>(TWL18-TWD18)/TWD18</f>
        <v>0.13401162364699606</v>
      </c>
      <c r="TWQ18" s="436" t="s">
        <v>141</v>
      </c>
      <c r="TWR18" s="448">
        <v>54850667.799999997</v>
      </c>
      <c r="TWS18" s="449"/>
      <c r="TWT18" s="448">
        <f>TWR18+TWS18</f>
        <v>54850667.799999997</v>
      </c>
      <c r="TWU18" s="452"/>
      <c r="TWV18" s="452">
        <v>62201294.850000001</v>
      </c>
      <c r="TWW18" s="451">
        <f>60000000</f>
        <v>60000000</v>
      </c>
      <c r="TWX18" s="459"/>
      <c r="TWY18" s="452"/>
      <c r="TWZ18" s="450">
        <v>0</v>
      </c>
      <c r="TXA18" s="460"/>
      <c r="TXB18" s="450">
        <f>TWV18+TWY18</f>
        <v>62201294.850000001</v>
      </c>
      <c r="TXC18" s="454">
        <f>+TWW18+TWZ18</f>
        <v>60000000</v>
      </c>
      <c r="TXD18" s="461"/>
      <c r="TXE18" s="450"/>
      <c r="TXF18" s="594">
        <f>(TXB18-TWT18)/TWT18</f>
        <v>0.13401162364699606</v>
      </c>
      <c r="TXG18" s="436" t="s">
        <v>141</v>
      </c>
      <c r="TXH18" s="448">
        <v>54850667.799999997</v>
      </c>
      <c r="TXI18" s="449"/>
      <c r="TXJ18" s="448">
        <f>TXH18+TXI18</f>
        <v>54850667.799999997</v>
      </c>
      <c r="TXK18" s="452"/>
      <c r="TXL18" s="452">
        <v>62201294.850000001</v>
      </c>
      <c r="TXM18" s="451">
        <f>60000000</f>
        <v>60000000</v>
      </c>
      <c r="TXN18" s="459"/>
      <c r="TXO18" s="452"/>
      <c r="TXP18" s="450">
        <v>0</v>
      </c>
      <c r="TXQ18" s="460"/>
      <c r="TXR18" s="450">
        <f>TXL18+TXO18</f>
        <v>62201294.850000001</v>
      </c>
      <c r="TXS18" s="454">
        <f>+TXM18+TXP18</f>
        <v>60000000</v>
      </c>
      <c r="TXT18" s="461"/>
      <c r="TXU18" s="450"/>
      <c r="TXV18" s="594">
        <f>(TXR18-TXJ18)/TXJ18</f>
        <v>0.13401162364699606</v>
      </c>
      <c r="TXW18" s="436" t="s">
        <v>141</v>
      </c>
      <c r="TXX18" s="448">
        <v>54850667.799999997</v>
      </c>
      <c r="TXY18" s="449"/>
      <c r="TXZ18" s="448">
        <f>TXX18+TXY18</f>
        <v>54850667.799999997</v>
      </c>
      <c r="TYA18" s="452"/>
      <c r="TYB18" s="452">
        <v>62201294.850000001</v>
      </c>
      <c r="TYC18" s="451">
        <f>60000000</f>
        <v>60000000</v>
      </c>
      <c r="TYD18" s="459"/>
      <c r="TYE18" s="452"/>
      <c r="TYF18" s="450">
        <v>0</v>
      </c>
      <c r="TYG18" s="460"/>
      <c r="TYH18" s="450">
        <f>TYB18+TYE18</f>
        <v>62201294.850000001</v>
      </c>
      <c r="TYI18" s="454">
        <f>+TYC18+TYF18</f>
        <v>60000000</v>
      </c>
      <c r="TYJ18" s="461"/>
      <c r="TYK18" s="450"/>
      <c r="TYL18" s="594">
        <f>(TYH18-TXZ18)/TXZ18</f>
        <v>0.13401162364699606</v>
      </c>
      <c r="TYM18" s="436" t="s">
        <v>141</v>
      </c>
      <c r="TYN18" s="448">
        <v>54850667.799999997</v>
      </c>
      <c r="TYO18" s="449"/>
      <c r="TYP18" s="448">
        <f>TYN18+TYO18</f>
        <v>54850667.799999997</v>
      </c>
      <c r="TYQ18" s="452"/>
      <c r="TYR18" s="452">
        <v>62201294.850000001</v>
      </c>
      <c r="TYS18" s="451">
        <f>60000000</f>
        <v>60000000</v>
      </c>
      <c r="TYT18" s="459"/>
      <c r="TYU18" s="452"/>
      <c r="TYV18" s="450">
        <v>0</v>
      </c>
      <c r="TYW18" s="460"/>
      <c r="TYX18" s="450">
        <f>TYR18+TYU18</f>
        <v>62201294.850000001</v>
      </c>
      <c r="TYY18" s="454">
        <f>+TYS18+TYV18</f>
        <v>60000000</v>
      </c>
      <c r="TYZ18" s="461"/>
      <c r="TZA18" s="450"/>
      <c r="TZB18" s="594">
        <f>(TYX18-TYP18)/TYP18</f>
        <v>0.13401162364699606</v>
      </c>
      <c r="TZC18" s="436" t="s">
        <v>141</v>
      </c>
      <c r="TZD18" s="448">
        <v>54850667.799999997</v>
      </c>
      <c r="TZE18" s="449"/>
      <c r="TZF18" s="448">
        <f>TZD18+TZE18</f>
        <v>54850667.799999997</v>
      </c>
      <c r="TZG18" s="452"/>
      <c r="TZH18" s="452">
        <v>62201294.850000001</v>
      </c>
      <c r="TZI18" s="451">
        <f>60000000</f>
        <v>60000000</v>
      </c>
      <c r="TZJ18" s="459"/>
      <c r="TZK18" s="452"/>
      <c r="TZL18" s="450">
        <v>0</v>
      </c>
      <c r="TZM18" s="460"/>
      <c r="TZN18" s="450">
        <f>TZH18+TZK18</f>
        <v>62201294.850000001</v>
      </c>
      <c r="TZO18" s="454">
        <f>+TZI18+TZL18</f>
        <v>60000000</v>
      </c>
      <c r="TZP18" s="461"/>
      <c r="TZQ18" s="450"/>
      <c r="TZR18" s="594">
        <f>(TZN18-TZF18)/TZF18</f>
        <v>0.13401162364699606</v>
      </c>
      <c r="TZS18" s="436" t="s">
        <v>141</v>
      </c>
      <c r="TZT18" s="448">
        <v>54850667.799999997</v>
      </c>
      <c r="TZU18" s="449"/>
      <c r="TZV18" s="448">
        <f>TZT18+TZU18</f>
        <v>54850667.799999997</v>
      </c>
      <c r="TZW18" s="452"/>
      <c r="TZX18" s="452">
        <v>62201294.850000001</v>
      </c>
      <c r="TZY18" s="451">
        <f>60000000</f>
        <v>60000000</v>
      </c>
      <c r="TZZ18" s="459"/>
      <c r="UAA18" s="452"/>
      <c r="UAB18" s="450">
        <v>0</v>
      </c>
      <c r="UAC18" s="460"/>
      <c r="UAD18" s="450">
        <f>TZX18+UAA18</f>
        <v>62201294.850000001</v>
      </c>
      <c r="UAE18" s="454">
        <f>+TZY18+UAB18</f>
        <v>60000000</v>
      </c>
      <c r="UAF18" s="461"/>
      <c r="UAG18" s="450"/>
      <c r="UAH18" s="594">
        <f>(UAD18-TZV18)/TZV18</f>
        <v>0.13401162364699606</v>
      </c>
      <c r="UAI18" s="436" t="s">
        <v>141</v>
      </c>
      <c r="UAJ18" s="448">
        <v>54850667.799999997</v>
      </c>
      <c r="UAK18" s="449"/>
      <c r="UAL18" s="448">
        <f>UAJ18+UAK18</f>
        <v>54850667.799999997</v>
      </c>
      <c r="UAM18" s="452"/>
      <c r="UAN18" s="452">
        <v>62201294.850000001</v>
      </c>
      <c r="UAO18" s="451">
        <f>60000000</f>
        <v>60000000</v>
      </c>
      <c r="UAP18" s="459"/>
      <c r="UAQ18" s="452"/>
      <c r="UAR18" s="450">
        <v>0</v>
      </c>
      <c r="UAS18" s="460"/>
      <c r="UAT18" s="450">
        <f>UAN18+UAQ18</f>
        <v>62201294.850000001</v>
      </c>
      <c r="UAU18" s="454">
        <f>+UAO18+UAR18</f>
        <v>60000000</v>
      </c>
      <c r="UAV18" s="461"/>
      <c r="UAW18" s="450"/>
      <c r="UAX18" s="594">
        <f>(UAT18-UAL18)/UAL18</f>
        <v>0.13401162364699606</v>
      </c>
      <c r="UAY18" s="436" t="s">
        <v>141</v>
      </c>
      <c r="UAZ18" s="448">
        <v>54850667.799999997</v>
      </c>
      <c r="UBA18" s="449"/>
      <c r="UBB18" s="448">
        <f>UAZ18+UBA18</f>
        <v>54850667.799999997</v>
      </c>
      <c r="UBC18" s="452"/>
      <c r="UBD18" s="452">
        <v>62201294.850000001</v>
      </c>
      <c r="UBE18" s="451">
        <f>60000000</f>
        <v>60000000</v>
      </c>
      <c r="UBF18" s="459"/>
      <c r="UBG18" s="452"/>
      <c r="UBH18" s="450">
        <v>0</v>
      </c>
      <c r="UBI18" s="460"/>
      <c r="UBJ18" s="450">
        <f>UBD18+UBG18</f>
        <v>62201294.850000001</v>
      </c>
      <c r="UBK18" s="454">
        <f>+UBE18+UBH18</f>
        <v>60000000</v>
      </c>
      <c r="UBL18" s="461"/>
      <c r="UBM18" s="450"/>
      <c r="UBN18" s="594">
        <f>(UBJ18-UBB18)/UBB18</f>
        <v>0.13401162364699606</v>
      </c>
      <c r="UBO18" s="436" t="s">
        <v>141</v>
      </c>
      <c r="UBP18" s="448">
        <v>54850667.799999997</v>
      </c>
      <c r="UBQ18" s="449"/>
      <c r="UBR18" s="448">
        <f>UBP18+UBQ18</f>
        <v>54850667.799999997</v>
      </c>
      <c r="UBS18" s="452"/>
      <c r="UBT18" s="452">
        <v>62201294.850000001</v>
      </c>
      <c r="UBU18" s="451">
        <f>60000000</f>
        <v>60000000</v>
      </c>
      <c r="UBV18" s="459"/>
      <c r="UBW18" s="452"/>
      <c r="UBX18" s="450">
        <v>0</v>
      </c>
      <c r="UBY18" s="460"/>
      <c r="UBZ18" s="450">
        <f>UBT18+UBW18</f>
        <v>62201294.850000001</v>
      </c>
      <c r="UCA18" s="454">
        <f>+UBU18+UBX18</f>
        <v>60000000</v>
      </c>
      <c r="UCB18" s="461"/>
      <c r="UCC18" s="450"/>
      <c r="UCD18" s="594">
        <f>(UBZ18-UBR18)/UBR18</f>
        <v>0.13401162364699606</v>
      </c>
      <c r="UCE18" s="436" t="s">
        <v>141</v>
      </c>
      <c r="UCF18" s="448">
        <v>54850667.799999997</v>
      </c>
      <c r="UCG18" s="449"/>
      <c r="UCH18" s="448">
        <f>UCF18+UCG18</f>
        <v>54850667.799999997</v>
      </c>
      <c r="UCI18" s="452"/>
      <c r="UCJ18" s="452">
        <v>62201294.850000001</v>
      </c>
      <c r="UCK18" s="451">
        <f>60000000</f>
        <v>60000000</v>
      </c>
      <c r="UCL18" s="459"/>
      <c r="UCM18" s="452"/>
      <c r="UCN18" s="450">
        <v>0</v>
      </c>
      <c r="UCO18" s="460"/>
      <c r="UCP18" s="450">
        <f>UCJ18+UCM18</f>
        <v>62201294.850000001</v>
      </c>
      <c r="UCQ18" s="454">
        <f>+UCK18+UCN18</f>
        <v>60000000</v>
      </c>
      <c r="UCR18" s="461"/>
      <c r="UCS18" s="450"/>
      <c r="UCT18" s="594">
        <f>(UCP18-UCH18)/UCH18</f>
        <v>0.13401162364699606</v>
      </c>
      <c r="UCU18" s="436" t="s">
        <v>141</v>
      </c>
      <c r="UCV18" s="448">
        <v>54850667.799999997</v>
      </c>
      <c r="UCW18" s="449"/>
      <c r="UCX18" s="448">
        <f>UCV18+UCW18</f>
        <v>54850667.799999997</v>
      </c>
      <c r="UCY18" s="452"/>
      <c r="UCZ18" s="452">
        <v>62201294.850000001</v>
      </c>
      <c r="UDA18" s="451">
        <f>60000000</f>
        <v>60000000</v>
      </c>
      <c r="UDB18" s="459"/>
      <c r="UDC18" s="452"/>
      <c r="UDD18" s="450">
        <v>0</v>
      </c>
      <c r="UDE18" s="460"/>
      <c r="UDF18" s="450">
        <f>UCZ18+UDC18</f>
        <v>62201294.850000001</v>
      </c>
      <c r="UDG18" s="454">
        <f>+UDA18+UDD18</f>
        <v>60000000</v>
      </c>
      <c r="UDH18" s="461"/>
      <c r="UDI18" s="450"/>
      <c r="UDJ18" s="594">
        <f>(UDF18-UCX18)/UCX18</f>
        <v>0.13401162364699606</v>
      </c>
      <c r="UDK18" s="436" t="s">
        <v>141</v>
      </c>
      <c r="UDL18" s="448">
        <v>54850667.799999997</v>
      </c>
      <c r="UDM18" s="449"/>
      <c r="UDN18" s="448">
        <f>UDL18+UDM18</f>
        <v>54850667.799999997</v>
      </c>
      <c r="UDO18" s="452"/>
      <c r="UDP18" s="452">
        <v>62201294.850000001</v>
      </c>
      <c r="UDQ18" s="451">
        <f>60000000</f>
        <v>60000000</v>
      </c>
      <c r="UDR18" s="459"/>
      <c r="UDS18" s="452"/>
      <c r="UDT18" s="450">
        <v>0</v>
      </c>
      <c r="UDU18" s="460"/>
      <c r="UDV18" s="450">
        <f>UDP18+UDS18</f>
        <v>62201294.850000001</v>
      </c>
      <c r="UDW18" s="454">
        <f>+UDQ18+UDT18</f>
        <v>60000000</v>
      </c>
      <c r="UDX18" s="461"/>
      <c r="UDY18" s="450"/>
      <c r="UDZ18" s="594">
        <f>(UDV18-UDN18)/UDN18</f>
        <v>0.13401162364699606</v>
      </c>
      <c r="UEA18" s="436" t="s">
        <v>141</v>
      </c>
      <c r="UEB18" s="448">
        <v>54850667.799999997</v>
      </c>
      <c r="UEC18" s="449"/>
      <c r="UED18" s="448">
        <f>UEB18+UEC18</f>
        <v>54850667.799999997</v>
      </c>
      <c r="UEE18" s="452"/>
      <c r="UEF18" s="452">
        <v>62201294.850000001</v>
      </c>
      <c r="UEG18" s="451">
        <f>60000000</f>
        <v>60000000</v>
      </c>
      <c r="UEH18" s="459"/>
      <c r="UEI18" s="452"/>
      <c r="UEJ18" s="450">
        <v>0</v>
      </c>
      <c r="UEK18" s="460"/>
      <c r="UEL18" s="450">
        <f>UEF18+UEI18</f>
        <v>62201294.850000001</v>
      </c>
      <c r="UEM18" s="454">
        <f>+UEG18+UEJ18</f>
        <v>60000000</v>
      </c>
      <c r="UEN18" s="461"/>
      <c r="UEO18" s="450"/>
      <c r="UEP18" s="594">
        <f>(UEL18-UED18)/UED18</f>
        <v>0.13401162364699606</v>
      </c>
      <c r="UEQ18" s="436" t="s">
        <v>141</v>
      </c>
      <c r="UER18" s="448">
        <v>54850667.799999997</v>
      </c>
      <c r="UES18" s="449"/>
      <c r="UET18" s="448">
        <f>UER18+UES18</f>
        <v>54850667.799999997</v>
      </c>
      <c r="UEU18" s="452"/>
      <c r="UEV18" s="452">
        <v>62201294.850000001</v>
      </c>
      <c r="UEW18" s="451">
        <f>60000000</f>
        <v>60000000</v>
      </c>
      <c r="UEX18" s="459"/>
      <c r="UEY18" s="452"/>
      <c r="UEZ18" s="450">
        <v>0</v>
      </c>
      <c r="UFA18" s="460"/>
      <c r="UFB18" s="450">
        <f>UEV18+UEY18</f>
        <v>62201294.850000001</v>
      </c>
      <c r="UFC18" s="454">
        <f>+UEW18+UEZ18</f>
        <v>60000000</v>
      </c>
      <c r="UFD18" s="461"/>
      <c r="UFE18" s="450"/>
      <c r="UFF18" s="594">
        <f>(UFB18-UET18)/UET18</f>
        <v>0.13401162364699606</v>
      </c>
      <c r="UFG18" s="436" t="s">
        <v>141</v>
      </c>
      <c r="UFH18" s="448">
        <v>54850667.799999997</v>
      </c>
      <c r="UFI18" s="449"/>
      <c r="UFJ18" s="448">
        <f>UFH18+UFI18</f>
        <v>54850667.799999997</v>
      </c>
      <c r="UFK18" s="452"/>
      <c r="UFL18" s="452">
        <v>62201294.850000001</v>
      </c>
      <c r="UFM18" s="451">
        <f>60000000</f>
        <v>60000000</v>
      </c>
      <c r="UFN18" s="459"/>
      <c r="UFO18" s="452"/>
      <c r="UFP18" s="450">
        <v>0</v>
      </c>
      <c r="UFQ18" s="460"/>
      <c r="UFR18" s="450">
        <f>UFL18+UFO18</f>
        <v>62201294.850000001</v>
      </c>
      <c r="UFS18" s="454">
        <f>+UFM18+UFP18</f>
        <v>60000000</v>
      </c>
      <c r="UFT18" s="461"/>
      <c r="UFU18" s="450"/>
      <c r="UFV18" s="594">
        <f>(UFR18-UFJ18)/UFJ18</f>
        <v>0.13401162364699606</v>
      </c>
      <c r="UFW18" s="436" t="s">
        <v>141</v>
      </c>
      <c r="UFX18" s="448">
        <v>54850667.799999997</v>
      </c>
      <c r="UFY18" s="449"/>
      <c r="UFZ18" s="448">
        <f>UFX18+UFY18</f>
        <v>54850667.799999997</v>
      </c>
      <c r="UGA18" s="452"/>
      <c r="UGB18" s="452">
        <v>62201294.850000001</v>
      </c>
      <c r="UGC18" s="451">
        <f>60000000</f>
        <v>60000000</v>
      </c>
      <c r="UGD18" s="459"/>
      <c r="UGE18" s="452"/>
      <c r="UGF18" s="450">
        <v>0</v>
      </c>
      <c r="UGG18" s="460"/>
      <c r="UGH18" s="450">
        <f>UGB18+UGE18</f>
        <v>62201294.850000001</v>
      </c>
      <c r="UGI18" s="454">
        <f>+UGC18+UGF18</f>
        <v>60000000</v>
      </c>
      <c r="UGJ18" s="461"/>
      <c r="UGK18" s="450"/>
      <c r="UGL18" s="594">
        <f>(UGH18-UFZ18)/UFZ18</f>
        <v>0.13401162364699606</v>
      </c>
      <c r="UGM18" s="436" t="s">
        <v>141</v>
      </c>
      <c r="UGN18" s="448">
        <v>54850667.799999997</v>
      </c>
      <c r="UGO18" s="449"/>
      <c r="UGP18" s="448">
        <f>UGN18+UGO18</f>
        <v>54850667.799999997</v>
      </c>
      <c r="UGQ18" s="452"/>
      <c r="UGR18" s="452">
        <v>62201294.850000001</v>
      </c>
      <c r="UGS18" s="451">
        <f>60000000</f>
        <v>60000000</v>
      </c>
      <c r="UGT18" s="459"/>
      <c r="UGU18" s="452"/>
      <c r="UGV18" s="450">
        <v>0</v>
      </c>
      <c r="UGW18" s="460"/>
      <c r="UGX18" s="450">
        <f>UGR18+UGU18</f>
        <v>62201294.850000001</v>
      </c>
      <c r="UGY18" s="454">
        <f>+UGS18+UGV18</f>
        <v>60000000</v>
      </c>
      <c r="UGZ18" s="461"/>
      <c r="UHA18" s="450"/>
      <c r="UHB18" s="594">
        <f>(UGX18-UGP18)/UGP18</f>
        <v>0.13401162364699606</v>
      </c>
      <c r="UHC18" s="436" t="s">
        <v>141</v>
      </c>
      <c r="UHD18" s="448">
        <v>54850667.799999997</v>
      </c>
      <c r="UHE18" s="449"/>
      <c r="UHF18" s="448">
        <f>UHD18+UHE18</f>
        <v>54850667.799999997</v>
      </c>
      <c r="UHG18" s="452"/>
      <c r="UHH18" s="452">
        <v>62201294.850000001</v>
      </c>
      <c r="UHI18" s="451">
        <f>60000000</f>
        <v>60000000</v>
      </c>
      <c r="UHJ18" s="459"/>
      <c r="UHK18" s="452"/>
      <c r="UHL18" s="450">
        <v>0</v>
      </c>
      <c r="UHM18" s="460"/>
      <c r="UHN18" s="450">
        <f>UHH18+UHK18</f>
        <v>62201294.850000001</v>
      </c>
      <c r="UHO18" s="454">
        <f>+UHI18+UHL18</f>
        <v>60000000</v>
      </c>
      <c r="UHP18" s="461"/>
      <c r="UHQ18" s="450"/>
      <c r="UHR18" s="594">
        <f>(UHN18-UHF18)/UHF18</f>
        <v>0.13401162364699606</v>
      </c>
      <c r="UHS18" s="436" t="s">
        <v>141</v>
      </c>
      <c r="UHT18" s="448">
        <v>54850667.799999997</v>
      </c>
      <c r="UHU18" s="449"/>
      <c r="UHV18" s="448">
        <f>UHT18+UHU18</f>
        <v>54850667.799999997</v>
      </c>
      <c r="UHW18" s="452"/>
      <c r="UHX18" s="452">
        <v>62201294.850000001</v>
      </c>
      <c r="UHY18" s="451">
        <f>60000000</f>
        <v>60000000</v>
      </c>
      <c r="UHZ18" s="459"/>
      <c r="UIA18" s="452"/>
      <c r="UIB18" s="450">
        <v>0</v>
      </c>
      <c r="UIC18" s="460"/>
      <c r="UID18" s="450">
        <f>UHX18+UIA18</f>
        <v>62201294.850000001</v>
      </c>
      <c r="UIE18" s="454">
        <f>+UHY18+UIB18</f>
        <v>60000000</v>
      </c>
      <c r="UIF18" s="461"/>
      <c r="UIG18" s="450"/>
      <c r="UIH18" s="594">
        <f>(UID18-UHV18)/UHV18</f>
        <v>0.13401162364699606</v>
      </c>
      <c r="UII18" s="436" t="s">
        <v>141</v>
      </c>
      <c r="UIJ18" s="448">
        <v>54850667.799999997</v>
      </c>
      <c r="UIK18" s="449"/>
      <c r="UIL18" s="448">
        <f>UIJ18+UIK18</f>
        <v>54850667.799999997</v>
      </c>
      <c r="UIM18" s="452"/>
      <c r="UIN18" s="452">
        <v>62201294.850000001</v>
      </c>
      <c r="UIO18" s="451">
        <f>60000000</f>
        <v>60000000</v>
      </c>
      <c r="UIP18" s="459"/>
      <c r="UIQ18" s="452"/>
      <c r="UIR18" s="450">
        <v>0</v>
      </c>
      <c r="UIS18" s="460"/>
      <c r="UIT18" s="450">
        <f>UIN18+UIQ18</f>
        <v>62201294.850000001</v>
      </c>
      <c r="UIU18" s="454">
        <f>+UIO18+UIR18</f>
        <v>60000000</v>
      </c>
      <c r="UIV18" s="461"/>
      <c r="UIW18" s="450"/>
      <c r="UIX18" s="594">
        <f>(UIT18-UIL18)/UIL18</f>
        <v>0.13401162364699606</v>
      </c>
      <c r="UIY18" s="436" t="s">
        <v>141</v>
      </c>
      <c r="UIZ18" s="448">
        <v>54850667.799999997</v>
      </c>
      <c r="UJA18" s="449"/>
      <c r="UJB18" s="448">
        <f>UIZ18+UJA18</f>
        <v>54850667.799999997</v>
      </c>
      <c r="UJC18" s="452"/>
      <c r="UJD18" s="452">
        <v>62201294.850000001</v>
      </c>
      <c r="UJE18" s="451">
        <f>60000000</f>
        <v>60000000</v>
      </c>
      <c r="UJF18" s="459"/>
      <c r="UJG18" s="452"/>
      <c r="UJH18" s="450">
        <v>0</v>
      </c>
      <c r="UJI18" s="460"/>
      <c r="UJJ18" s="450">
        <f>UJD18+UJG18</f>
        <v>62201294.850000001</v>
      </c>
      <c r="UJK18" s="454">
        <f>+UJE18+UJH18</f>
        <v>60000000</v>
      </c>
      <c r="UJL18" s="461"/>
      <c r="UJM18" s="450"/>
      <c r="UJN18" s="594">
        <f>(UJJ18-UJB18)/UJB18</f>
        <v>0.13401162364699606</v>
      </c>
      <c r="UJO18" s="436" t="s">
        <v>141</v>
      </c>
      <c r="UJP18" s="448">
        <v>54850667.799999997</v>
      </c>
      <c r="UJQ18" s="449"/>
      <c r="UJR18" s="448">
        <f>UJP18+UJQ18</f>
        <v>54850667.799999997</v>
      </c>
      <c r="UJS18" s="452"/>
      <c r="UJT18" s="452">
        <v>62201294.850000001</v>
      </c>
      <c r="UJU18" s="451">
        <f>60000000</f>
        <v>60000000</v>
      </c>
      <c r="UJV18" s="459"/>
      <c r="UJW18" s="452"/>
      <c r="UJX18" s="450">
        <v>0</v>
      </c>
      <c r="UJY18" s="460"/>
      <c r="UJZ18" s="450">
        <f>UJT18+UJW18</f>
        <v>62201294.850000001</v>
      </c>
      <c r="UKA18" s="454">
        <f>+UJU18+UJX18</f>
        <v>60000000</v>
      </c>
      <c r="UKB18" s="461"/>
      <c r="UKC18" s="450"/>
      <c r="UKD18" s="594">
        <f>(UJZ18-UJR18)/UJR18</f>
        <v>0.13401162364699606</v>
      </c>
      <c r="UKE18" s="436" t="s">
        <v>141</v>
      </c>
      <c r="UKF18" s="448">
        <v>54850667.799999997</v>
      </c>
      <c r="UKG18" s="449"/>
      <c r="UKH18" s="448">
        <f>UKF18+UKG18</f>
        <v>54850667.799999997</v>
      </c>
      <c r="UKI18" s="452"/>
      <c r="UKJ18" s="452">
        <v>62201294.850000001</v>
      </c>
      <c r="UKK18" s="451">
        <f>60000000</f>
        <v>60000000</v>
      </c>
      <c r="UKL18" s="459"/>
      <c r="UKM18" s="452"/>
      <c r="UKN18" s="450">
        <v>0</v>
      </c>
      <c r="UKO18" s="460"/>
      <c r="UKP18" s="450">
        <f>UKJ18+UKM18</f>
        <v>62201294.850000001</v>
      </c>
      <c r="UKQ18" s="454">
        <f>+UKK18+UKN18</f>
        <v>60000000</v>
      </c>
      <c r="UKR18" s="461"/>
      <c r="UKS18" s="450"/>
      <c r="UKT18" s="594">
        <f>(UKP18-UKH18)/UKH18</f>
        <v>0.13401162364699606</v>
      </c>
      <c r="UKU18" s="436" t="s">
        <v>141</v>
      </c>
      <c r="UKV18" s="448">
        <v>54850667.799999997</v>
      </c>
      <c r="UKW18" s="449"/>
      <c r="UKX18" s="448">
        <f>UKV18+UKW18</f>
        <v>54850667.799999997</v>
      </c>
      <c r="UKY18" s="452"/>
      <c r="UKZ18" s="452">
        <v>62201294.850000001</v>
      </c>
      <c r="ULA18" s="451">
        <f>60000000</f>
        <v>60000000</v>
      </c>
      <c r="ULB18" s="459"/>
      <c r="ULC18" s="452"/>
      <c r="ULD18" s="450">
        <v>0</v>
      </c>
      <c r="ULE18" s="460"/>
      <c r="ULF18" s="450">
        <f>UKZ18+ULC18</f>
        <v>62201294.850000001</v>
      </c>
      <c r="ULG18" s="454">
        <f>+ULA18+ULD18</f>
        <v>60000000</v>
      </c>
      <c r="ULH18" s="461"/>
      <c r="ULI18" s="450"/>
      <c r="ULJ18" s="594">
        <f>(ULF18-UKX18)/UKX18</f>
        <v>0.13401162364699606</v>
      </c>
      <c r="ULK18" s="436" t="s">
        <v>141</v>
      </c>
      <c r="ULL18" s="448">
        <v>54850667.799999997</v>
      </c>
      <c r="ULM18" s="449"/>
      <c r="ULN18" s="448">
        <f>ULL18+ULM18</f>
        <v>54850667.799999997</v>
      </c>
      <c r="ULO18" s="452"/>
      <c r="ULP18" s="452">
        <v>62201294.850000001</v>
      </c>
      <c r="ULQ18" s="451">
        <f>60000000</f>
        <v>60000000</v>
      </c>
      <c r="ULR18" s="459"/>
      <c r="ULS18" s="452"/>
      <c r="ULT18" s="450">
        <v>0</v>
      </c>
      <c r="ULU18" s="460"/>
      <c r="ULV18" s="450">
        <f>ULP18+ULS18</f>
        <v>62201294.850000001</v>
      </c>
      <c r="ULW18" s="454">
        <f>+ULQ18+ULT18</f>
        <v>60000000</v>
      </c>
      <c r="ULX18" s="461"/>
      <c r="ULY18" s="450"/>
      <c r="ULZ18" s="594">
        <f>(ULV18-ULN18)/ULN18</f>
        <v>0.13401162364699606</v>
      </c>
      <c r="UMA18" s="436" t="s">
        <v>141</v>
      </c>
      <c r="UMB18" s="448">
        <v>54850667.799999997</v>
      </c>
      <c r="UMC18" s="449"/>
      <c r="UMD18" s="448">
        <f>UMB18+UMC18</f>
        <v>54850667.799999997</v>
      </c>
      <c r="UME18" s="452"/>
      <c r="UMF18" s="452">
        <v>62201294.850000001</v>
      </c>
      <c r="UMG18" s="451">
        <f>60000000</f>
        <v>60000000</v>
      </c>
      <c r="UMH18" s="459"/>
      <c r="UMI18" s="452"/>
      <c r="UMJ18" s="450">
        <v>0</v>
      </c>
      <c r="UMK18" s="460"/>
      <c r="UML18" s="450">
        <f>UMF18+UMI18</f>
        <v>62201294.850000001</v>
      </c>
      <c r="UMM18" s="454">
        <f>+UMG18+UMJ18</f>
        <v>60000000</v>
      </c>
      <c r="UMN18" s="461"/>
      <c r="UMO18" s="450"/>
      <c r="UMP18" s="594">
        <f>(UML18-UMD18)/UMD18</f>
        <v>0.13401162364699606</v>
      </c>
      <c r="UMQ18" s="436" t="s">
        <v>141</v>
      </c>
      <c r="UMR18" s="448">
        <v>54850667.799999997</v>
      </c>
      <c r="UMS18" s="449"/>
      <c r="UMT18" s="448">
        <f>UMR18+UMS18</f>
        <v>54850667.799999997</v>
      </c>
      <c r="UMU18" s="452"/>
      <c r="UMV18" s="452">
        <v>62201294.850000001</v>
      </c>
      <c r="UMW18" s="451">
        <f>60000000</f>
        <v>60000000</v>
      </c>
      <c r="UMX18" s="459"/>
      <c r="UMY18" s="452"/>
      <c r="UMZ18" s="450">
        <v>0</v>
      </c>
      <c r="UNA18" s="460"/>
      <c r="UNB18" s="450">
        <f>UMV18+UMY18</f>
        <v>62201294.850000001</v>
      </c>
      <c r="UNC18" s="454">
        <f>+UMW18+UMZ18</f>
        <v>60000000</v>
      </c>
      <c r="UND18" s="461"/>
      <c r="UNE18" s="450"/>
      <c r="UNF18" s="594">
        <f>(UNB18-UMT18)/UMT18</f>
        <v>0.13401162364699606</v>
      </c>
      <c r="UNG18" s="436" t="s">
        <v>141</v>
      </c>
      <c r="UNH18" s="448">
        <v>54850667.799999997</v>
      </c>
      <c r="UNI18" s="449"/>
      <c r="UNJ18" s="448">
        <f>UNH18+UNI18</f>
        <v>54850667.799999997</v>
      </c>
      <c r="UNK18" s="452"/>
      <c r="UNL18" s="452">
        <v>62201294.850000001</v>
      </c>
      <c r="UNM18" s="451">
        <f>60000000</f>
        <v>60000000</v>
      </c>
      <c r="UNN18" s="459"/>
      <c r="UNO18" s="452"/>
      <c r="UNP18" s="450">
        <v>0</v>
      </c>
      <c r="UNQ18" s="460"/>
      <c r="UNR18" s="450">
        <f>UNL18+UNO18</f>
        <v>62201294.850000001</v>
      </c>
      <c r="UNS18" s="454">
        <f>+UNM18+UNP18</f>
        <v>60000000</v>
      </c>
      <c r="UNT18" s="461"/>
      <c r="UNU18" s="450"/>
      <c r="UNV18" s="594">
        <f>(UNR18-UNJ18)/UNJ18</f>
        <v>0.13401162364699606</v>
      </c>
      <c r="UNW18" s="436" t="s">
        <v>141</v>
      </c>
      <c r="UNX18" s="448">
        <v>54850667.799999997</v>
      </c>
      <c r="UNY18" s="449"/>
      <c r="UNZ18" s="448">
        <f>UNX18+UNY18</f>
        <v>54850667.799999997</v>
      </c>
      <c r="UOA18" s="452"/>
      <c r="UOB18" s="452">
        <v>62201294.850000001</v>
      </c>
      <c r="UOC18" s="451">
        <f>60000000</f>
        <v>60000000</v>
      </c>
      <c r="UOD18" s="459"/>
      <c r="UOE18" s="452"/>
      <c r="UOF18" s="450">
        <v>0</v>
      </c>
      <c r="UOG18" s="460"/>
      <c r="UOH18" s="450">
        <f>UOB18+UOE18</f>
        <v>62201294.850000001</v>
      </c>
      <c r="UOI18" s="454">
        <f>+UOC18+UOF18</f>
        <v>60000000</v>
      </c>
      <c r="UOJ18" s="461"/>
      <c r="UOK18" s="450"/>
      <c r="UOL18" s="594">
        <f>(UOH18-UNZ18)/UNZ18</f>
        <v>0.13401162364699606</v>
      </c>
      <c r="UOM18" s="436" t="s">
        <v>141</v>
      </c>
      <c r="UON18" s="448">
        <v>54850667.799999997</v>
      </c>
      <c r="UOO18" s="449"/>
      <c r="UOP18" s="448">
        <f>UON18+UOO18</f>
        <v>54850667.799999997</v>
      </c>
      <c r="UOQ18" s="452"/>
      <c r="UOR18" s="452">
        <v>62201294.850000001</v>
      </c>
      <c r="UOS18" s="451">
        <f>60000000</f>
        <v>60000000</v>
      </c>
      <c r="UOT18" s="459"/>
      <c r="UOU18" s="452"/>
      <c r="UOV18" s="450">
        <v>0</v>
      </c>
      <c r="UOW18" s="460"/>
      <c r="UOX18" s="450">
        <f>UOR18+UOU18</f>
        <v>62201294.850000001</v>
      </c>
      <c r="UOY18" s="454">
        <f>+UOS18+UOV18</f>
        <v>60000000</v>
      </c>
      <c r="UOZ18" s="461"/>
      <c r="UPA18" s="450"/>
      <c r="UPB18" s="594">
        <f>(UOX18-UOP18)/UOP18</f>
        <v>0.13401162364699606</v>
      </c>
      <c r="UPC18" s="436" t="s">
        <v>141</v>
      </c>
      <c r="UPD18" s="448">
        <v>54850667.799999997</v>
      </c>
      <c r="UPE18" s="449"/>
      <c r="UPF18" s="448">
        <f>UPD18+UPE18</f>
        <v>54850667.799999997</v>
      </c>
      <c r="UPG18" s="452"/>
      <c r="UPH18" s="452">
        <v>62201294.850000001</v>
      </c>
      <c r="UPI18" s="451">
        <f>60000000</f>
        <v>60000000</v>
      </c>
      <c r="UPJ18" s="459"/>
      <c r="UPK18" s="452"/>
      <c r="UPL18" s="450">
        <v>0</v>
      </c>
      <c r="UPM18" s="460"/>
      <c r="UPN18" s="450">
        <f>UPH18+UPK18</f>
        <v>62201294.850000001</v>
      </c>
      <c r="UPO18" s="454">
        <f>+UPI18+UPL18</f>
        <v>60000000</v>
      </c>
      <c r="UPP18" s="461"/>
      <c r="UPQ18" s="450"/>
      <c r="UPR18" s="594">
        <f>(UPN18-UPF18)/UPF18</f>
        <v>0.13401162364699606</v>
      </c>
      <c r="UPS18" s="436" t="s">
        <v>141</v>
      </c>
      <c r="UPT18" s="448">
        <v>54850667.799999997</v>
      </c>
      <c r="UPU18" s="449"/>
      <c r="UPV18" s="448">
        <f>UPT18+UPU18</f>
        <v>54850667.799999997</v>
      </c>
      <c r="UPW18" s="452"/>
      <c r="UPX18" s="452">
        <v>62201294.850000001</v>
      </c>
      <c r="UPY18" s="451">
        <f>60000000</f>
        <v>60000000</v>
      </c>
      <c r="UPZ18" s="459"/>
      <c r="UQA18" s="452"/>
      <c r="UQB18" s="450">
        <v>0</v>
      </c>
      <c r="UQC18" s="460"/>
      <c r="UQD18" s="450">
        <f>UPX18+UQA18</f>
        <v>62201294.850000001</v>
      </c>
      <c r="UQE18" s="454">
        <f>+UPY18+UQB18</f>
        <v>60000000</v>
      </c>
      <c r="UQF18" s="461"/>
      <c r="UQG18" s="450"/>
      <c r="UQH18" s="594">
        <f>(UQD18-UPV18)/UPV18</f>
        <v>0.13401162364699606</v>
      </c>
      <c r="UQI18" s="436" t="s">
        <v>141</v>
      </c>
      <c r="UQJ18" s="448">
        <v>54850667.799999997</v>
      </c>
      <c r="UQK18" s="449"/>
      <c r="UQL18" s="448">
        <f>UQJ18+UQK18</f>
        <v>54850667.799999997</v>
      </c>
      <c r="UQM18" s="452"/>
      <c r="UQN18" s="452">
        <v>62201294.850000001</v>
      </c>
      <c r="UQO18" s="451">
        <f>60000000</f>
        <v>60000000</v>
      </c>
      <c r="UQP18" s="459"/>
      <c r="UQQ18" s="452"/>
      <c r="UQR18" s="450">
        <v>0</v>
      </c>
      <c r="UQS18" s="460"/>
      <c r="UQT18" s="450">
        <f>UQN18+UQQ18</f>
        <v>62201294.850000001</v>
      </c>
      <c r="UQU18" s="454">
        <f>+UQO18+UQR18</f>
        <v>60000000</v>
      </c>
      <c r="UQV18" s="461"/>
      <c r="UQW18" s="450"/>
      <c r="UQX18" s="594">
        <f>(UQT18-UQL18)/UQL18</f>
        <v>0.13401162364699606</v>
      </c>
      <c r="UQY18" s="436" t="s">
        <v>141</v>
      </c>
      <c r="UQZ18" s="448">
        <v>54850667.799999997</v>
      </c>
      <c r="URA18" s="449"/>
      <c r="URB18" s="448">
        <f>UQZ18+URA18</f>
        <v>54850667.799999997</v>
      </c>
      <c r="URC18" s="452"/>
      <c r="URD18" s="452">
        <v>62201294.850000001</v>
      </c>
      <c r="URE18" s="451">
        <f>60000000</f>
        <v>60000000</v>
      </c>
      <c r="URF18" s="459"/>
      <c r="URG18" s="452"/>
      <c r="URH18" s="450">
        <v>0</v>
      </c>
      <c r="URI18" s="460"/>
      <c r="URJ18" s="450">
        <f>URD18+URG18</f>
        <v>62201294.850000001</v>
      </c>
      <c r="URK18" s="454">
        <f>+URE18+URH18</f>
        <v>60000000</v>
      </c>
      <c r="URL18" s="461"/>
      <c r="URM18" s="450"/>
      <c r="URN18" s="594">
        <f>(URJ18-URB18)/URB18</f>
        <v>0.13401162364699606</v>
      </c>
      <c r="URO18" s="436" t="s">
        <v>141</v>
      </c>
      <c r="URP18" s="448">
        <v>54850667.799999997</v>
      </c>
      <c r="URQ18" s="449"/>
      <c r="URR18" s="448">
        <f>URP18+URQ18</f>
        <v>54850667.799999997</v>
      </c>
      <c r="URS18" s="452"/>
      <c r="URT18" s="452">
        <v>62201294.850000001</v>
      </c>
      <c r="URU18" s="451">
        <f>60000000</f>
        <v>60000000</v>
      </c>
      <c r="URV18" s="459"/>
      <c r="URW18" s="452"/>
      <c r="URX18" s="450">
        <v>0</v>
      </c>
      <c r="URY18" s="460"/>
      <c r="URZ18" s="450">
        <f>URT18+URW18</f>
        <v>62201294.850000001</v>
      </c>
      <c r="USA18" s="454">
        <f>+URU18+URX18</f>
        <v>60000000</v>
      </c>
      <c r="USB18" s="461"/>
      <c r="USC18" s="450"/>
      <c r="USD18" s="594">
        <f>(URZ18-URR18)/URR18</f>
        <v>0.13401162364699606</v>
      </c>
      <c r="USE18" s="436" t="s">
        <v>141</v>
      </c>
      <c r="USF18" s="448">
        <v>54850667.799999997</v>
      </c>
      <c r="USG18" s="449"/>
      <c r="USH18" s="448">
        <f>USF18+USG18</f>
        <v>54850667.799999997</v>
      </c>
      <c r="USI18" s="452"/>
      <c r="USJ18" s="452">
        <v>62201294.850000001</v>
      </c>
      <c r="USK18" s="451">
        <f>60000000</f>
        <v>60000000</v>
      </c>
      <c r="USL18" s="459"/>
      <c r="USM18" s="452"/>
      <c r="USN18" s="450">
        <v>0</v>
      </c>
      <c r="USO18" s="460"/>
      <c r="USP18" s="450">
        <f>USJ18+USM18</f>
        <v>62201294.850000001</v>
      </c>
      <c r="USQ18" s="454">
        <f>+USK18+USN18</f>
        <v>60000000</v>
      </c>
      <c r="USR18" s="461"/>
      <c r="USS18" s="450"/>
      <c r="UST18" s="594">
        <f>(USP18-USH18)/USH18</f>
        <v>0.13401162364699606</v>
      </c>
      <c r="USU18" s="436" t="s">
        <v>141</v>
      </c>
      <c r="USV18" s="448">
        <v>54850667.799999997</v>
      </c>
      <c r="USW18" s="449"/>
      <c r="USX18" s="448">
        <f>USV18+USW18</f>
        <v>54850667.799999997</v>
      </c>
      <c r="USY18" s="452"/>
      <c r="USZ18" s="452">
        <v>62201294.850000001</v>
      </c>
      <c r="UTA18" s="451">
        <f>60000000</f>
        <v>60000000</v>
      </c>
      <c r="UTB18" s="459"/>
      <c r="UTC18" s="452"/>
      <c r="UTD18" s="450">
        <v>0</v>
      </c>
      <c r="UTE18" s="460"/>
      <c r="UTF18" s="450">
        <f>USZ18+UTC18</f>
        <v>62201294.850000001</v>
      </c>
      <c r="UTG18" s="454">
        <f>+UTA18+UTD18</f>
        <v>60000000</v>
      </c>
      <c r="UTH18" s="461"/>
      <c r="UTI18" s="450"/>
      <c r="UTJ18" s="594">
        <f>(UTF18-USX18)/USX18</f>
        <v>0.13401162364699606</v>
      </c>
      <c r="UTK18" s="436" t="s">
        <v>141</v>
      </c>
      <c r="UTL18" s="448">
        <v>54850667.799999997</v>
      </c>
      <c r="UTM18" s="449"/>
      <c r="UTN18" s="448">
        <f>UTL18+UTM18</f>
        <v>54850667.799999997</v>
      </c>
      <c r="UTO18" s="452"/>
      <c r="UTP18" s="452">
        <v>62201294.850000001</v>
      </c>
      <c r="UTQ18" s="451">
        <f>60000000</f>
        <v>60000000</v>
      </c>
      <c r="UTR18" s="459"/>
      <c r="UTS18" s="452"/>
      <c r="UTT18" s="450">
        <v>0</v>
      </c>
      <c r="UTU18" s="460"/>
      <c r="UTV18" s="450">
        <f>UTP18+UTS18</f>
        <v>62201294.850000001</v>
      </c>
      <c r="UTW18" s="454">
        <f>+UTQ18+UTT18</f>
        <v>60000000</v>
      </c>
      <c r="UTX18" s="461"/>
      <c r="UTY18" s="450"/>
      <c r="UTZ18" s="594">
        <f>(UTV18-UTN18)/UTN18</f>
        <v>0.13401162364699606</v>
      </c>
      <c r="UUA18" s="436" t="s">
        <v>141</v>
      </c>
      <c r="UUB18" s="448">
        <v>54850667.799999997</v>
      </c>
      <c r="UUC18" s="449"/>
      <c r="UUD18" s="448">
        <f>UUB18+UUC18</f>
        <v>54850667.799999997</v>
      </c>
      <c r="UUE18" s="452"/>
      <c r="UUF18" s="452">
        <v>62201294.850000001</v>
      </c>
      <c r="UUG18" s="451">
        <f>60000000</f>
        <v>60000000</v>
      </c>
      <c r="UUH18" s="459"/>
      <c r="UUI18" s="452"/>
      <c r="UUJ18" s="450">
        <v>0</v>
      </c>
      <c r="UUK18" s="460"/>
      <c r="UUL18" s="450">
        <f>UUF18+UUI18</f>
        <v>62201294.850000001</v>
      </c>
      <c r="UUM18" s="454">
        <f>+UUG18+UUJ18</f>
        <v>60000000</v>
      </c>
      <c r="UUN18" s="461"/>
      <c r="UUO18" s="450"/>
      <c r="UUP18" s="594">
        <f>(UUL18-UUD18)/UUD18</f>
        <v>0.13401162364699606</v>
      </c>
      <c r="UUQ18" s="436" t="s">
        <v>141</v>
      </c>
      <c r="UUR18" s="448">
        <v>54850667.799999997</v>
      </c>
      <c r="UUS18" s="449"/>
      <c r="UUT18" s="448">
        <f>UUR18+UUS18</f>
        <v>54850667.799999997</v>
      </c>
      <c r="UUU18" s="452"/>
      <c r="UUV18" s="452">
        <v>62201294.850000001</v>
      </c>
      <c r="UUW18" s="451">
        <f>60000000</f>
        <v>60000000</v>
      </c>
      <c r="UUX18" s="459"/>
      <c r="UUY18" s="452"/>
      <c r="UUZ18" s="450">
        <v>0</v>
      </c>
      <c r="UVA18" s="460"/>
      <c r="UVB18" s="450">
        <f>UUV18+UUY18</f>
        <v>62201294.850000001</v>
      </c>
      <c r="UVC18" s="454">
        <f>+UUW18+UUZ18</f>
        <v>60000000</v>
      </c>
      <c r="UVD18" s="461"/>
      <c r="UVE18" s="450"/>
      <c r="UVF18" s="594">
        <f>(UVB18-UUT18)/UUT18</f>
        <v>0.13401162364699606</v>
      </c>
      <c r="UVG18" s="436" t="s">
        <v>141</v>
      </c>
      <c r="UVH18" s="448">
        <v>54850667.799999997</v>
      </c>
      <c r="UVI18" s="449"/>
      <c r="UVJ18" s="448">
        <f>UVH18+UVI18</f>
        <v>54850667.799999997</v>
      </c>
      <c r="UVK18" s="452"/>
      <c r="UVL18" s="452">
        <v>62201294.850000001</v>
      </c>
      <c r="UVM18" s="451">
        <f>60000000</f>
        <v>60000000</v>
      </c>
      <c r="UVN18" s="459"/>
      <c r="UVO18" s="452"/>
      <c r="UVP18" s="450">
        <v>0</v>
      </c>
      <c r="UVQ18" s="460"/>
      <c r="UVR18" s="450">
        <f>UVL18+UVO18</f>
        <v>62201294.850000001</v>
      </c>
      <c r="UVS18" s="454">
        <f>+UVM18+UVP18</f>
        <v>60000000</v>
      </c>
      <c r="UVT18" s="461"/>
      <c r="UVU18" s="450"/>
      <c r="UVV18" s="594">
        <f>(UVR18-UVJ18)/UVJ18</f>
        <v>0.13401162364699606</v>
      </c>
      <c r="UVW18" s="436" t="s">
        <v>141</v>
      </c>
      <c r="UVX18" s="448">
        <v>54850667.799999997</v>
      </c>
      <c r="UVY18" s="449"/>
      <c r="UVZ18" s="448">
        <f>UVX18+UVY18</f>
        <v>54850667.799999997</v>
      </c>
      <c r="UWA18" s="452"/>
      <c r="UWB18" s="452">
        <v>62201294.850000001</v>
      </c>
      <c r="UWC18" s="451">
        <f>60000000</f>
        <v>60000000</v>
      </c>
      <c r="UWD18" s="459"/>
      <c r="UWE18" s="452"/>
      <c r="UWF18" s="450">
        <v>0</v>
      </c>
      <c r="UWG18" s="460"/>
      <c r="UWH18" s="450">
        <f>UWB18+UWE18</f>
        <v>62201294.850000001</v>
      </c>
      <c r="UWI18" s="454">
        <f>+UWC18+UWF18</f>
        <v>60000000</v>
      </c>
      <c r="UWJ18" s="461"/>
      <c r="UWK18" s="450"/>
      <c r="UWL18" s="594">
        <f>(UWH18-UVZ18)/UVZ18</f>
        <v>0.13401162364699606</v>
      </c>
      <c r="UWM18" s="436" t="s">
        <v>141</v>
      </c>
      <c r="UWN18" s="448">
        <v>54850667.799999997</v>
      </c>
      <c r="UWO18" s="449"/>
      <c r="UWP18" s="448">
        <f>UWN18+UWO18</f>
        <v>54850667.799999997</v>
      </c>
      <c r="UWQ18" s="452"/>
      <c r="UWR18" s="452">
        <v>62201294.850000001</v>
      </c>
      <c r="UWS18" s="451">
        <f>60000000</f>
        <v>60000000</v>
      </c>
      <c r="UWT18" s="459"/>
      <c r="UWU18" s="452"/>
      <c r="UWV18" s="450">
        <v>0</v>
      </c>
      <c r="UWW18" s="460"/>
      <c r="UWX18" s="450">
        <f>UWR18+UWU18</f>
        <v>62201294.850000001</v>
      </c>
      <c r="UWY18" s="454">
        <f>+UWS18+UWV18</f>
        <v>60000000</v>
      </c>
      <c r="UWZ18" s="461"/>
      <c r="UXA18" s="450"/>
      <c r="UXB18" s="594">
        <f>(UWX18-UWP18)/UWP18</f>
        <v>0.13401162364699606</v>
      </c>
      <c r="UXC18" s="436" t="s">
        <v>141</v>
      </c>
      <c r="UXD18" s="448">
        <v>54850667.799999997</v>
      </c>
      <c r="UXE18" s="449"/>
      <c r="UXF18" s="448">
        <f>UXD18+UXE18</f>
        <v>54850667.799999997</v>
      </c>
      <c r="UXG18" s="452"/>
      <c r="UXH18" s="452">
        <v>62201294.850000001</v>
      </c>
      <c r="UXI18" s="451">
        <f>60000000</f>
        <v>60000000</v>
      </c>
      <c r="UXJ18" s="459"/>
      <c r="UXK18" s="452"/>
      <c r="UXL18" s="450">
        <v>0</v>
      </c>
      <c r="UXM18" s="460"/>
      <c r="UXN18" s="450">
        <f>UXH18+UXK18</f>
        <v>62201294.850000001</v>
      </c>
      <c r="UXO18" s="454">
        <f>+UXI18+UXL18</f>
        <v>60000000</v>
      </c>
      <c r="UXP18" s="461"/>
      <c r="UXQ18" s="450"/>
      <c r="UXR18" s="594">
        <f>(UXN18-UXF18)/UXF18</f>
        <v>0.13401162364699606</v>
      </c>
      <c r="UXS18" s="436" t="s">
        <v>141</v>
      </c>
      <c r="UXT18" s="448">
        <v>54850667.799999997</v>
      </c>
      <c r="UXU18" s="449"/>
      <c r="UXV18" s="448">
        <f>UXT18+UXU18</f>
        <v>54850667.799999997</v>
      </c>
      <c r="UXW18" s="452"/>
      <c r="UXX18" s="452">
        <v>62201294.850000001</v>
      </c>
      <c r="UXY18" s="451">
        <f>60000000</f>
        <v>60000000</v>
      </c>
      <c r="UXZ18" s="459"/>
      <c r="UYA18" s="452"/>
      <c r="UYB18" s="450">
        <v>0</v>
      </c>
      <c r="UYC18" s="460"/>
      <c r="UYD18" s="450">
        <f>UXX18+UYA18</f>
        <v>62201294.850000001</v>
      </c>
      <c r="UYE18" s="454">
        <f>+UXY18+UYB18</f>
        <v>60000000</v>
      </c>
      <c r="UYF18" s="461"/>
      <c r="UYG18" s="450"/>
      <c r="UYH18" s="594">
        <f>(UYD18-UXV18)/UXV18</f>
        <v>0.13401162364699606</v>
      </c>
      <c r="UYI18" s="436" t="s">
        <v>141</v>
      </c>
      <c r="UYJ18" s="448">
        <v>54850667.799999997</v>
      </c>
      <c r="UYK18" s="449"/>
      <c r="UYL18" s="448">
        <f>UYJ18+UYK18</f>
        <v>54850667.799999997</v>
      </c>
      <c r="UYM18" s="452"/>
      <c r="UYN18" s="452">
        <v>62201294.850000001</v>
      </c>
      <c r="UYO18" s="451">
        <f>60000000</f>
        <v>60000000</v>
      </c>
      <c r="UYP18" s="459"/>
      <c r="UYQ18" s="452"/>
      <c r="UYR18" s="450">
        <v>0</v>
      </c>
      <c r="UYS18" s="460"/>
      <c r="UYT18" s="450">
        <f>UYN18+UYQ18</f>
        <v>62201294.850000001</v>
      </c>
      <c r="UYU18" s="454">
        <f>+UYO18+UYR18</f>
        <v>60000000</v>
      </c>
      <c r="UYV18" s="461"/>
      <c r="UYW18" s="450"/>
      <c r="UYX18" s="594">
        <f>(UYT18-UYL18)/UYL18</f>
        <v>0.13401162364699606</v>
      </c>
      <c r="UYY18" s="436" t="s">
        <v>141</v>
      </c>
      <c r="UYZ18" s="448">
        <v>54850667.799999997</v>
      </c>
      <c r="UZA18" s="449"/>
      <c r="UZB18" s="448">
        <f>UYZ18+UZA18</f>
        <v>54850667.799999997</v>
      </c>
      <c r="UZC18" s="452"/>
      <c r="UZD18" s="452">
        <v>62201294.850000001</v>
      </c>
      <c r="UZE18" s="451">
        <f>60000000</f>
        <v>60000000</v>
      </c>
      <c r="UZF18" s="459"/>
      <c r="UZG18" s="452"/>
      <c r="UZH18" s="450">
        <v>0</v>
      </c>
      <c r="UZI18" s="460"/>
      <c r="UZJ18" s="450">
        <f>UZD18+UZG18</f>
        <v>62201294.850000001</v>
      </c>
      <c r="UZK18" s="454">
        <f>+UZE18+UZH18</f>
        <v>60000000</v>
      </c>
      <c r="UZL18" s="461"/>
      <c r="UZM18" s="450"/>
      <c r="UZN18" s="594">
        <f>(UZJ18-UZB18)/UZB18</f>
        <v>0.13401162364699606</v>
      </c>
      <c r="UZO18" s="436" t="s">
        <v>141</v>
      </c>
      <c r="UZP18" s="448">
        <v>54850667.799999997</v>
      </c>
      <c r="UZQ18" s="449"/>
      <c r="UZR18" s="448">
        <f>UZP18+UZQ18</f>
        <v>54850667.799999997</v>
      </c>
      <c r="UZS18" s="452"/>
      <c r="UZT18" s="452">
        <v>62201294.850000001</v>
      </c>
      <c r="UZU18" s="451">
        <f>60000000</f>
        <v>60000000</v>
      </c>
      <c r="UZV18" s="459"/>
      <c r="UZW18" s="452"/>
      <c r="UZX18" s="450">
        <v>0</v>
      </c>
      <c r="UZY18" s="460"/>
      <c r="UZZ18" s="450">
        <f>UZT18+UZW18</f>
        <v>62201294.850000001</v>
      </c>
      <c r="VAA18" s="454">
        <f>+UZU18+UZX18</f>
        <v>60000000</v>
      </c>
      <c r="VAB18" s="461"/>
      <c r="VAC18" s="450"/>
      <c r="VAD18" s="594">
        <f>(UZZ18-UZR18)/UZR18</f>
        <v>0.13401162364699606</v>
      </c>
      <c r="VAE18" s="436" t="s">
        <v>141</v>
      </c>
      <c r="VAF18" s="448">
        <v>54850667.799999997</v>
      </c>
      <c r="VAG18" s="449"/>
      <c r="VAH18" s="448">
        <f>VAF18+VAG18</f>
        <v>54850667.799999997</v>
      </c>
      <c r="VAI18" s="452"/>
      <c r="VAJ18" s="452">
        <v>62201294.850000001</v>
      </c>
      <c r="VAK18" s="451">
        <f>60000000</f>
        <v>60000000</v>
      </c>
      <c r="VAL18" s="459"/>
      <c r="VAM18" s="452"/>
      <c r="VAN18" s="450">
        <v>0</v>
      </c>
      <c r="VAO18" s="460"/>
      <c r="VAP18" s="450">
        <f>VAJ18+VAM18</f>
        <v>62201294.850000001</v>
      </c>
      <c r="VAQ18" s="454">
        <f>+VAK18+VAN18</f>
        <v>60000000</v>
      </c>
      <c r="VAR18" s="461"/>
      <c r="VAS18" s="450"/>
      <c r="VAT18" s="594">
        <f>(VAP18-VAH18)/VAH18</f>
        <v>0.13401162364699606</v>
      </c>
      <c r="VAU18" s="436" t="s">
        <v>141</v>
      </c>
      <c r="VAV18" s="448">
        <v>54850667.799999997</v>
      </c>
      <c r="VAW18" s="449"/>
      <c r="VAX18" s="448">
        <f>VAV18+VAW18</f>
        <v>54850667.799999997</v>
      </c>
      <c r="VAY18" s="452"/>
      <c r="VAZ18" s="452">
        <v>62201294.850000001</v>
      </c>
      <c r="VBA18" s="451">
        <f>60000000</f>
        <v>60000000</v>
      </c>
      <c r="VBB18" s="459"/>
      <c r="VBC18" s="452"/>
      <c r="VBD18" s="450">
        <v>0</v>
      </c>
      <c r="VBE18" s="460"/>
      <c r="VBF18" s="450">
        <f>VAZ18+VBC18</f>
        <v>62201294.850000001</v>
      </c>
      <c r="VBG18" s="454">
        <f>+VBA18+VBD18</f>
        <v>60000000</v>
      </c>
      <c r="VBH18" s="461"/>
      <c r="VBI18" s="450"/>
      <c r="VBJ18" s="594">
        <f>(VBF18-VAX18)/VAX18</f>
        <v>0.13401162364699606</v>
      </c>
      <c r="VBK18" s="436" t="s">
        <v>141</v>
      </c>
      <c r="VBL18" s="448">
        <v>54850667.799999997</v>
      </c>
      <c r="VBM18" s="449"/>
      <c r="VBN18" s="448">
        <f>VBL18+VBM18</f>
        <v>54850667.799999997</v>
      </c>
      <c r="VBO18" s="452"/>
      <c r="VBP18" s="452">
        <v>62201294.850000001</v>
      </c>
      <c r="VBQ18" s="451">
        <f>60000000</f>
        <v>60000000</v>
      </c>
      <c r="VBR18" s="459"/>
      <c r="VBS18" s="452"/>
      <c r="VBT18" s="450">
        <v>0</v>
      </c>
      <c r="VBU18" s="460"/>
      <c r="VBV18" s="450">
        <f>VBP18+VBS18</f>
        <v>62201294.850000001</v>
      </c>
      <c r="VBW18" s="454">
        <f>+VBQ18+VBT18</f>
        <v>60000000</v>
      </c>
      <c r="VBX18" s="461"/>
      <c r="VBY18" s="450"/>
      <c r="VBZ18" s="594">
        <f>(VBV18-VBN18)/VBN18</f>
        <v>0.13401162364699606</v>
      </c>
      <c r="VCA18" s="436" t="s">
        <v>141</v>
      </c>
      <c r="VCB18" s="448">
        <v>54850667.799999997</v>
      </c>
      <c r="VCC18" s="449"/>
      <c r="VCD18" s="448">
        <f>VCB18+VCC18</f>
        <v>54850667.799999997</v>
      </c>
      <c r="VCE18" s="452"/>
      <c r="VCF18" s="452">
        <v>62201294.850000001</v>
      </c>
      <c r="VCG18" s="451">
        <f>60000000</f>
        <v>60000000</v>
      </c>
      <c r="VCH18" s="459"/>
      <c r="VCI18" s="452"/>
      <c r="VCJ18" s="450">
        <v>0</v>
      </c>
      <c r="VCK18" s="460"/>
      <c r="VCL18" s="450">
        <f>VCF18+VCI18</f>
        <v>62201294.850000001</v>
      </c>
      <c r="VCM18" s="454">
        <f>+VCG18+VCJ18</f>
        <v>60000000</v>
      </c>
      <c r="VCN18" s="461"/>
      <c r="VCO18" s="450"/>
      <c r="VCP18" s="594">
        <f>(VCL18-VCD18)/VCD18</f>
        <v>0.13401162364699606</v>
      </c>
      <c r="VCQ18" s="436" t="s">
        <v>141</v>
      </c>
      <c r="VCR18" s="448">
        <v>54850667.799999997</v>
      </c>
      <c r="VCS18" s="449"/>
      <c r="VCT18" s="448">
        <f>VCR18+VCS18</f>
        <v>54850667.799999997</v>
      </c>
      <c r="VCU18" s="452"/>
      <c r="VCV18" s="452">
        <v>62201294.850000001</v>
      </c>
      <c r="VCW18" s="451">
        <f>60000000</f>
        <v>60000000</v>
      </c>
      <c r="VCX18" s="459"/>
      <c r="VCY18" s="452"/>
      <c r="VCZ18" s="450">
        <v>0</v>
      </c>
      <c r="VDA18" s="460"/>
      <c r="VDB18" s="450">
        <f>VCV18+VCY18</f>
        <v>62201294.850000001</v>
      </c>
      <c r="VDC18" s="454">
        <f>+VCW18+VCZ18</f>
        <v>60000000</v>
      </c>
      <c r="VDD18" s="461"/>
      <c r="VDE18" s="450"/>
      <c r="VDF18" s="594">
        <f>(VDB18-VCT18)/VCT18</f>
        <v>0.13401162364699606</v>
      </c>
      <c r="VDG18" s="436" t="s">
        <v>141</v>
      </c>
      <c r="VDH18" s="448">
        <v>54850667.799999997</v>
      </c>
      <c r="VDI18" s="449"/>
      <c r="VDJ18" s="448">
        <f>VDH18+VDI18</f>
        <v>54850667.799999997</v>
      </c>
      <c r="VDK18" s="452"/>
      <c r="VDL18" s="452">
        <v>62201294.850000001</v>
      </c>
      <c r="VDM18" s="451">
        <f>60000000</f>
        <v>60000000</v>
      </c>
      <c r="VDN18" s="459"/>
      <c r="VDO18" s="452"/>
      <c r="VDP18" s="450">
        <v>0</v>
      </c>
      <c r="VDQ18" s="460"/>
      <c r="VDR18" s="450">
        <f>VDL18+VDO18</f>
        <v>62201294.850000001</v>
      </c>
      <c r="VDS18" s="454">
        <f>+VDM18+VDP18</f>
        <v>60000000</v>
      </c>
      <c r="VDT18" s="461"/>
      <c r="VDU18" s="450"/>
      <c r="VDV18" s="594">
        <f>(VDR18-VDJ18)/VDJ18</f>
        <v>0.13401162364699606</v>
      </c>
      <c r="VDW18" s="436" t="s">
        <v>141</v>
      </c>
      <c r="VDX18" s="448">
        <v>54850667.799999997</v>
      </c>
      <c r="VDY18" s="449"/>
      <c r="VDZ18" s="448">
        <f>VDX18+VDY18</f>
        <v>54850667.799999997</v>
      </c>
      <c r="VEA18" s="452"/>
      <c r="VEB18" s="452">
        <v>62201294.850000001</v>
      </c>
      <c r="VEC18" s="451">
        <f>60000000</f>
        <v>60000000</v>
      </c>
      <c r="VED18" s="459"/>
      <c r="VEE18" s="452"/>
      <c r="VEF18" s="450">
        <v>0</v>
      </c>
      <c r="VEG18" s="460"/>
      <c r="VEH18" s="450">
        <f>VEB18+VEE18</f>
        <v>62201294.850000001</v>
      </c>
      <c r="VEI18" s="454">
        <f>+VEC18+VEF18</f>
        <v>60000000</v>
      </c>
      <c r="VEJ18" s="461"/>
      <c r="VEK18" s="450"/>
      <c r="VEL18" s="594">
        <f>(VEH18-VDZ18)/VDZ18</f>
        <v>0.13401162364699606</v>
      </c>
      <c r="VEM18" s="436" t="s">
        <v>141</v>
      </c>
      <c r="VEN18" s="448">
        <v>54850667.799999997</v>
      </c>
      <c r="VEO18" s="449"/>
      <c r="VEP18" s="448">
        <f>VEN18+VEO18</f>
        <v>54850667.799999997</v>
      </c>
      <c r="VEQ18" s="452"/>
      <c r="VER18" s="452">
        <v>62201294.850000001</v>
      </c>
      <c r="VES18" s="451">
        <f>60000000</f>
        <v>60000000</v>
      </c>
      <c r="VET18" s="459"/>
      <c r="VEU18" s="452"/>
      <c r="VEV18" s="450">
        <v>0</v>
      </c>
      <c r="VEW18" s="460"/>
      <c r="VEX18" s="450">
        <f>VER18+VEU18</f>
        <v>62201294.850000001</v>
      </c>
      <c r="VEY18" s="454">
        <f>+VES18+VEV18</f>
        <v>60000000</v>
      </c>
      <c r="VEZ18" s="461"/>
      <c r="VFA18" s="450"/>
      <c r="VFB18" s="594">
        <f>(VEX18-VEP18)/VEP18</f>
        <v>0.13401162364699606</v>
      </c>
      <c r="VFC18" s="436" t="s">
        <v>141</v>
      </c>
      <c r="VFD18" s="448">
        <v>54850667.799999997</v>
      </c>
      <c r="VFE18" s="449"/>
      <c r="VFF18" s="448">
        <f>VFD18+VFE18</f>
        <v>54850667.799999997</v>
      </c>
      <c r="VFG18" s="452"/>
      <c r="VFH18" s="452">
        <v>62201294.850000001</v>
      </c>
      <c r="VFI18" s="451">
        <f>60000000</f>
        <v>60000000</v>
      </c>
      <c r="VFJ18" s="459"/>
      <c r="VFK18" s="452"/>
      <c r="VFL18" s="450">
        <v>0</v>
      </c>
      <c r="VFM18" s="460"/>
      <c r="VFN18" s="450">
        <f>VFH18+VFK18</f>
        <v>62201294.850000001</v>
      </c>
      <c r="VFO18" s="454">
        <f>+VFI18+VFL18</f>
        <v>60000000</v>
      </c>
      <c r="VFP18" s="461"/>
      <c r="VFQ18" s="450"/>
      <c r="VFR18" s="594">
        <f>(VFN18-VFF18)/VFF18</f>
        <v>0.13401162364699606</v>
      </c>
      <c r="VFS18" s="436" t="s">
        <v>141</v>
      </c>
      <c r="VFT18" s="448">
        <v>54850667.799999997</v>
      </c>
      <c r="VFU18" s="449"/>
      <c r="VFV18" s="448">
        <f>VFT18+VFU18</f>
        <v>54850667.799999997</v>
      </c>
      <c r="VFW18" s="452"/>
      <c r="VFX18" s="452">
        <v>62201294.850000001</v>
      </c>
      <c r="VFY18" s="451">
        <f>60000000</f>
        <v>60000000</v>
      </c>
      <c r="VFZ18" s="459"/>
      <c r="VGA18" s="452"/>
      <c r="VGB18" s="450">
        <v>0</v>
      </c>
      <c r="VGC18" s="460"/>
      <c r="VGD18" s="450">
        <f>VFX18+VGA18</f>
        <v>62201294.850000001</v>
      </c>
      <c r="VGE18" s="454">
        <f>+VFY18+VGB18</f>
        <v>60000000</v>
      </c>
      <c r="VGF18" s="461"/>
      <c r="VGG18" s="450"/>
      <c r="VGH18" s="594">
        <f>(VGD18-VFV18)/VFV18</f>
        <v>0.13401162364699606</v>
      </c>
      <c r="VGI18" s="436" t="s">
        <v>141</v>
      </c>
      <c r="VGJ18" s="448">
        <v>54850667.799999997</v>
      </c>
      <c r="VGK18" s="449"/>
      <c r="VGL18" s="448">
        <f>VGJ18+VGK18</f>
        <v>54850667.799999997</v>
      </c>
      <c r="VGM18" s="452"/>
      <c r="VGN18" s="452">
        <v>62201294.850000001</v>
      </c>
      <c r="VGO18" s="451">
        <f>60000000</f>
        <v>60000000</v>
      </c>
      <c r="VGP18" s="459"/>
      <c r="VGQ18" s="452"/>
      <c r="VGR18" s="450">
        <v>0</v>
      </c>
      <c r="VGS18" s="460"/>
      <c r="VGT18" s="450">
        <f>VGN18+VGQ18</f>
        <v>62201294.850000001</v>
      </c>
      <c r="VGU18" s="454">
        <f>+VGO18+VGR18</f>
        <v>60000000</v>
      </c>
      <c r="VGV18" s="461"/>
      <c r="VGW18" s="450"/>
      <c r="VGX18" s="594">
        <f>(VGT18-VGL18)/VGL18</f>
        <v>0.13401162364699606</v>
      </c>
      <c r="VGY18" s="436" t="s">
        <v>141</v>
      </c>
      <c r="VGZ18" s="448">
        <v>54850667.799999997</v>
      </c>
      <c r="VHA18" s="449"/>
      <c r="VHB18" s="448">
        <f>VGZ18+VHA18</f>
        <v>54850667.799999997</v>
      </c>
      <c r="VHC18" s="452"/>
      <c r="VHD18" s="452">
        <v>62201294.850000001</v>
      </c>
      <c r="VHE18" s="451">
        <f>60000000</f>
        <v>60000000</v>
      </c>
      <c r="VHF18" s="459"/>
      <c r="VHG18" s="452"/>
      <c r="VHH18" s="450">
        <v>0</v>
      </c>
      <c r="VHI18" s="460"/>
      <c r="VHJ18" s="450">
        <f>VHD18+VHG18</f>
        <v>62201294.850000001</v>
      </c>
      <c r="VHK18" s="454">
        <f>+VHE18+VHH18</f>
        <v>60000000</v>
      </c>
      <c r="VHL18" s="461"/>
      <c r="VHM18" s="450"/>
      <c r="VHN18" s="594">
        <f>(VHJ18-VHB18)/VHB18</f>
        <v>0.13401162364699606</v>
      </c>
      <c r="VHO18" s="436" t="s">
        <v>141</v>
      </c>
      <c r="VHP18" s="448">
        <v>54850667.799999997</v>
      </c>
      <c r="VHQ18" s="449"/>
      <c r="VHR18" s="448">
        <f>VHP18+VHQ18</f>
        <v>54850667.799999997</v>
      </c>
      <c r="VHS18" s="452"/>
      <c r="VHT18" s="452">
        <v>62201294.850000001</v>
      </c>
      <c r="VHU18" s="451">
        <f>60000000</f>
        <v>60000000</v>
      </c>
      <c r="VHV18" s="459"/>
      <c r="VHW18" s="452"/>
      <c r="VHX18" s="450">
        <v>0</v>
      </c>
      <c r="VHY18" s="460"/>
      <c r="VHZ18" s="450">
        <f>VHT18+VHW18</f>
        <v>62201294.850000001</v>
      </c>
      <c r="VIA18" s="454">
        <f>+VHU18+VHX18</f>
        <v>60000000</v>
      </c>
      <c r="VIB18" s="461"/>
      <c r="VIC18" s="450"/>
      <c r="VID18" s="594">
        <f>(VHZ18-VHR18)/VHR18</f>
        <v>0.13401162364699606</v>
      </c>
      <c r="VIE18" s="436" t="s">
        <v>141</v>
      </c>
      <c r="VIF18" s="448">
        <v>54850667.799999997</v>
      </c>
      <c r="VIG18" s="449"/>
      <c r="VIH18" s="448">
        <f>VIF18+VIG18</f>
        <v>54850667.799999997</v>
      </c>
      <c r="VII18" s="452"/>
      <c r="VIJ18" s="452">
        <v>62201294.850000001</v>
      </c>
      <c r="VIK18" s="451">
        <f>60000000</f>
        <v>60000000</v>
      </c>
      <c r="VIL18" s="459"/>
      <c r="VIM18" s="452"/>
      <c r="VIN18" s="450">
        <v>0</v>
      </c>
      <c r="VIO18" s="460"/>
      <c r="VIP18" s="450">
        <f>VIJ18+VIM18</f>
        <v>62201294.850000001</v>
      </c>
      <c r="VIQ18" s="454">
        <f>+VIK18+VIN18</f>
        <v>60000000</v>
      </c>
      <c r="VIR18" s="461"/>
      <c r="VIS18" s="450"/>
      <c r="VIT18" s="594">
        <f>(VIP18-VIH18)/VIH18</f>
        <v>0.13401162364699606</v>
      </c>
      <c r="VIU18" s="436" t="s">
        <v>141</v>
      </c>
      <c r="VIV18" s="448">
        <v>54850667.799999997</v>
      </c>
      <c r="VIW18" s="449"/>
      <c r="VIX18" s="448">
        <f>VIV18+VIW18</f>
        <v>54850667.799999997</v>
      </c>
      <c r="VIY18" s="452"/>
      <c r="VIZ18" s="452">
        <v>62201294.850000001</v>
      </c>
      <c r="VJA18" s="451">
        <f>60000000</f>
        <v>60000000</v>
      </c>
      <c r="VJB18" s="459"/>
      <c r="VJC18" s="452"/>
      <c r="VJD18" s="450">
        <v>0</v>
      </c>
      <c r="VJE18" s="460"/>
      <c r="VJF18" s="450">
        <f>VIZ18+VJC18</f>
        <v>62201294.850000001</v>
      </c>
      <c r="VJG18" s="454">
        <f>+VJA18+VJD18</f>
        <v>60000000</v>
      </c>
      <c r="VJH18" s="461"/>
      <c r="VJI18" s="450"/>
      <c r="VJJ18" s="594">
        <f>(VJF18-VIX18)/VIX18</f>
        <v>0.13401162364699606</v>
      </c>
      <c r="VJK18" s="436" t="s">
        <v>141</v>
      </c>
      <c r="VJL18" s="448">
        <v>54850667.799999997</v>
      </c>
      <c r="VJM18" s="449"/>
      <c r="VJN18" s="448">
        <f>VJL18+VJM18</f>
        <v>54850667.799999997</v>
      </c>
      <c r="VJO18" s="452"/>
      <c r="VJP18" s="452">
        <v>62201294.850000001</v>
      </c>
      <c r="VJQ18" s="451">
        <f>60000000</f>
        <v>60000000</v>
      </c>
      <c r="VJR18" s="459"/>
      <c r="VJS18" s="452"/>
      <c r="VJT18" s="450">
        <v>0</v>
      </c>
      <c r="VJU18" s="460"/>
      <c r="VJV18" s="450">
        <f>VJP18+VJS18</f>
        <v>62201294.850000001</v>
      </c>
      <c r="VJW18" s="454">
        <f>+VJQ18+VJT18</f>
        <v>60000000</v>
      </c>
      <c r="VJX18" s="461"/>
      <c r="VJY18" s="450"/>
      <c r="VJZ18" s="594">
        <f>(VJV18-VJN18)/VJN18</f>
        <v>0.13401162364699606</v>
      </c>
      <c r="VKA18" s="436" t="s">
        <v>141</v>
      </c>
      <c r="VKB18" s="448">
        <v>54850667.799999997</v>
      </c>
      <c r="VKC18" s="449"/>
      <c r="VKD18" s="448">
        <f>VKB18+VKC18</f>
        <v>54850667.799999997</v>
      </c>
      <c r="VKE18" s="452"/>
      <c r="VKF18" s="452">
        <v>62201294.850000001</v>
      </c>
      <c r="VKG18" s="451">
        <f>60000000</f>
        <v>60000000</v>
      </c>
      <c r="VKH18" s="459"/>
      <c r="VKI18" s="452"/>
      <c r="VKJ18" s="450">
        <v>0</v>
      </c>
      <c r="VKK18" s="460"/>
      <c r="VKL18" s="450">
        <f>VKF18+VKI18</f>
        <v>62201294.850000001</v>
      </c>
      <c r="VKM18" s="454">
        <f>+VKG18+VKJ18</f>
        <v>60000000</v>
      </c>
      <c r="VKN18" s="461"/>
      <c r="VKO18" s="450"/>
      <c r="VKP18" s="594">
        <f>(VKL18-VKD18)/VKD18</f>
        <v>0.13401162364699606</v>
      </c>
      <c r="VKQ18" s="436" t="s">
        <v>141</v>
      </c>
      <c r="VKR18" s="448">
        <v>54850667.799999997</v>
      </c>
      <c r="VKS18" s="449"/>
      <c r="VKT18" s="448">
        <f>VKR18+VKS18</f>
        <v>54850667.799999997</v>
      </c>
      <c r="VKU18" s="452"/>
      <c r="VKV18" s="452">
        <v>62201294.850000001</v>
      </c>
      <c r="VKW18" s="451">
        <f>60000000</f>
        <v>60000000</v>
      </c>
      <c r="VKX18" s="459"/>
      <c r="VKY18" s="452"/>
      <c r="VKZ18" s="450">
        <v>0</v>
      </c>
      <c r="VLA18" s="460"/>
      <c r="VLB18" s="450">
        <f>VKV18+VKY18</f>
        <v>62201294.850000001</v>
      </c>
      <c r="VLC18" s="454">
        <f>+VKW18+VKZ18</f>
        <v>60000000</v>
      </c>
      <c r="VLD18" s="461"/>
      <c r="VLE18" s="450"/>
      <c r="VLF18" s="594">
        <f>(VLB18-VKT18)/VKT18</f>
        <v>0.13401162364699606</v>
      </c>
      <c r="VLG18" s="436" t="s">
        <v>141</v>
      </c>
      <c r="VLH18" s="448">
        <v>54850667.799999997</v>
      </c>
      <c r="VLI18" s="449"/>
      <c r="VLJ18" s="448">
        <f>VLH18+VLI18</f>
        <v>54850667.799999997</v>
      </c>
      <c r="VLK18" s="452"/>
      <c r="VLL18" s="452">
        <v>62201294.850000001</v>
      </c>
      <c r="VLM18" s="451">
        <f>60000000</f>
        <v>60000000</v>
      </c>
      <c r="VLN18" s="459"/>
      <c r="VLO18" s="452"/>
      <c r="VLP18" s="450">
        <v>0</v>
      </c>
      <c r="VLQ18" s="460"/>
      <c r="VLR18" s="450">
        <f>VLL18+VLO18</f>
        <v>62201294.850000001</v>
      </c>
      <c r="VLS18" s="454">
        <f>+VLM18+VLP18</f>
        <v>60000000</v>
      </c>
      <c r="VLT18" s="461"/>
      <c r="VLU18" s="450"/>
      <c r="VLV18" s="594">
        <f>(VLR18-VLJ18)/VLJ18</f>
        <v>0.13401162364699606</v>
      </c>
      <c r="VLW18" s="436" t="s">
        <v>141</v>
      </c>
      <c r="VLX18" s="448">
        <v>54850667.799999997</v>
      </c>
      <c r="VLY18" s="449"/>
      <c r="VLZ18" s="448">
        <f>VLX18+VLY18</f>
        <v>54850667.799999997</v>
      </c>
      <c r="VMA18" s="452"/>
      <c r="VMB18" s="452">
        <v>62201294.850000001</v>
      </c>
      <c r="VMC18" s="451">
        <f>60000000</f>
        <v>60000000</v>
      </c>
      <c r="VMD18" s="459"/>
      <c r="VME18" s="452"/>
      <c r="VMF18" s="450">
        <v>0</v>
      </c>
      <c r="VMG18" s="460"/>
      <c r="VMH18" s="450">
        <f>VMB18+VME18</f>
        <v>62201294.850000001</v>
      </c>
      <c r="VMI18" s="454">
        <f>+VMC18+VMF18</f>
        <v>60000000</v>
      </c>
      <c r="VMJ18" s="461"/>
      <c r="VMK18" s="450"/>
      <c r="VML18" s="594">
        <f>(VMH18-VLZ18)/VLZ18</f>
        <v>0.13401162364699606</v>
      </c>
      <c r="VMM18" s="436" t="s">
        <v>141</v>
      </c>
      <c r="VMN18" s="448">
        <v>54850667.799999997</v>
      </c>
      <c r="VMO18" s="449"/>
      <c r="VMP18" s="448">
        <f>VMN18+VMO18</f>
        <v>54850667.799999997</v>
      </c>
      <c r="VMQ18" s="452"/>
      <c r="VMR18" s="452">
        <v>62201294.850000001</v>
      </c>
      <c r="VMS18" s="451">
        <f>60000000</f>
        <v>60000000</v>
      </c>
      <c r="VMT18" s="459"/>
      <c r="VMU18" s="452"/>
      <c r="VMV18" s="450">
        <v>0</v>
      </c>
      <c r="VMW18" s="460"/>
      <c r="VMX18" s="450">
        <f>VMR18+VMU18</f>
        <v>62201294.850000001</v>
      </c>
      <c r="VMY18" s="454">
        <f>+VMS18+VMV18</f>
        <v>60000000</v>
      </c>
      <c r="VMZ18" s="461"/>
      <c r="VNA18" s="450"/>
      <c r="VNB18" s="594">
        <f>(VMX18-VMP18)/VMP18</f>
        <v>0.13401162364699606</v>
      </c>
      <c r="VNC18" s="436" t="s">
        <v>141</v>
      </c>
      <c r="VND18" s="448">
        <v>54850667.799999997</v>
      </c>
      <c r="VNE18" s="449"/>
      <c r="VNF18" s="448">
        <f>VND18+VNE18</f>
        <v>54850667.799999997</v>
      </c>
      <c r="VNG18" s="452"/>
      <c r="VNH18" s="452">
        <v>62201294.850000001</v>
      </c>
      <c r="VNI18" s="451">
        <f>60000000</f>
        <v>60000000</v>
      </c>
      <c r="VNJ18" s="459"/>
      <c r="VNK18" s="452"/>
      <c r="VNL18" s="450">
        <v>0</v>
      </c>
      <c r="VNM18" s="460"/>
      <c r="VNN18" s="450">
        <f>VNH18+VNK18</f>
        <v>62201294.850000001</v>
      </c>
      <c r="VNO18" s="454">
        <f>+VNI18+VNL18</f>
        <v>60000000</v>
      </c>
      <c r="VNP18" s="461"/>
      <c r="VNQ18" s="450"/>
      <c r="VNR18" s="594">
        <f>(VNN18-VNF18)/VNF18</f>
        <v>0.13401162364699606</v>
      </c>
      <c r="VNS18" s="436" t="s">
        <v>141</v>
      </c>
      <c r="VNT18" s="448">
        <v>54850667.799999997</v>
      </c>
      <c r="VNU18" s="449"/>
      <c r="VNV18" s="448">
        <f>VNT18+VNU18</f>
        <v>54850667.799999997</v>
      </c>
      <c r="VNW18" s="452"/>
      <c r="VNX18" s="452">
        <v>62201294.850000001</v>
      </c>
      <c r="VNY18" s="451">
        <f>60000000</f>
        <v>60000000</v>
      </c>
      <c r="VNZ18" s="459"/>
      <c r="VOA18" s="452"/>
      <c r="VOB18" s="450">
        <v>0</v>
      </c>
      <c r="VOC18" s="460"/>
      <c r="VOD18" s="450">
        <f>VNX18+VOA18</f>
        <v>62201294.850000001</v>
      </c>
      <c r="VOE18" s="454">
        <f>+VNY18+VOB18</f>
        <v>60000000</v>
      </c>
      <c r="VOF18" s="461"/>
      <c r="VOG18" s="450"/>
      <c r="VOH18" s="594">
        <f>(VOD18-VNV18)/VNV18</f>
        <v>0.13401162364699606</v>
      </c>
      <c r="VOI18" s="436" t="s">
        <v>141</v>
      </c>
      <c r="VOJ18" s="448">
        <v>54850667.799999997</v>
      </c>
      <c r="VOK18" s="449"/>
      <c r="VOL18" s="448">
        <f>VOJ18+VOK18</f>
        <v>54850667.799999997</v>
      </c>
      <c r="VOM18" s="452"/>
      <c r="VON18" s="452">
        <v>62201294.850000001</v>
      </c>
      <c r="VOO18" s="451">
        <f>60000000</f>
        <v>60000000</v>
      </c>
      <c r="VOP18" s="459"/>
      <c r="VOQ18" s="452"/>
      <c r="VOR18" s="450">
        <v>0</v>
      </c>
      <c r="VOS18" s="460"/>
      <c r="VOT18" s="450">
        <f>VON18+VOQ18</f>
        <v>62201294.850000001</v>
      </c>
      <c r="VOU18" s="454">
        <f>+VOO18+VOR18</f>
        <v>60000000</v>
      </c>
      <c r="VOV18" s="461"/>
      <c r="VOW18" s="450"/>
      <c r="VOX18" s="594">
        <f>(VOT18-VOL18)/VOL18</f>
        <v>0.13401162364699606</v>
      </c>
      <c r="VOY18" s="436" t="s">
        <v>141</v>
      </c>
      <c r="VOZ18" s="448">
        <v>54850667.799999997</v>
      </c>
      <c r="VPA18" s="449"/>
      <c r="VPB18" s="448">
        <f>VOZ18+VPA18</f>
        <v>54850667.799999997</v>
      </c>
      <c r="VPC18" s="452"/>
      <c r="VPD18" s="452">
        <v>62201294.850000001</v>
      </c>
      <c r="VPE18" s="451">
        <f>60000000</f>
        <v>60000000</v>
      </c>
      <c r="VPF18" s="459"/>
      <c r="VPG18" s="452"/>
      <c r="VPH18" s="450">
        <v>0</v>
      </c>
      <c r="VPI18" s="460"/>
      <c r="VPJ18" s="450">
        <f>VPD18+VPG18</f>
        <v>62201294.850000001</v>
      </c>
      <c r="VPK18" s="454">
        <f>+VPE18+VPH18</f>
        <v>60000000</v>
      </c>
      <c r="VPL18" s="461"/>
      <c r="VPM18" s="450"/>
      <c r="VPN18" s="594">
        <f>(VPJ18-VPB18)/VPB18</f>
        <v>0.13401162364699606</v>
      </c>
      <c r="VPO18" s="436" t="s">
        <v>141</v>
      </c>
      <c r="VPP18" s="448">
        <v>54850667.799999997</v>
      </c>
      <c r="VPQ18" s="449"/>
      <c r="VPR18" s="448">
        <f>VPP18+VPQ18</f>
        <v>54850667.799999997</v>
      </c>
      <c r="VPS18" s="452"/>
      <c r="VPT18" s="452">
        <v>62201294.850000001</v>
      </c>
      <c r="VPU18" s="451">
        <f>60000000</f>
        <v>60000000</v>
      </c>
      <c r="VPV18" s="459"/>
      <c r="VPW18" s="452"/>
      <c r="VPX18" s="450">
        <v>0</v>
      </c>
      <c r="VPY18" s="460"/>
      <c r="VPZ18" s="450">
        <f>VPT18+VPW18</f>
        <v>62201294.850000001</v>
      </c>
      <c r="VQA18" s="454">
        <f>+VPU18+VPX18</f>
        <v>60000000</v>
      </c>
      <c r="VQB18" s="461"/>
      <c r="VQC18" s="450"/>
      <c r="VQD18" s="594">
        <f>(VPZ18-VPR18)/VPR18</f>
        <v>0.13401162364699606</v>
      </c>
      <c r="VQE18" s="436" t="s">
        <v>141</v>
      </c>
      <c r="VQF18" s="448">
        <v>54850667.799999997</v>
      </c>
      <c r="VQG18" s="449"/>
      <c r="VQH18" s="448">
        <f>VQF18+VQG18</f>
        <v>54850667.799999997</v>
      </c>
      <c r="VQI18" s="452"/>
      <c r="VQJ18" s="452">
        <v>62201294.850000001</v>
      </c>
      <c r="VQK18" s="451">
        <f>60000000</f>
        <v>60000000</v>
      </c>
      <c r="VQL18" s="459"/>
      <c r="VQM18" s="452"/>
      <c r="VQN18" s="450">
        <v>0</v>
      </c>
      <c r="VQO18" s="460"/>
      <c r="VQP18" s="450">
        <f>VQJ18+VQM18</f>
        <v>62201294.850000001</v>
      </c>
      <c r="VQQ18" s="454">
        <f>+VQK18+VQN18</f>
        <v>60000000</v>
      </c>
      <c r="VQR18" s="461"/>
      <c r="VQS18" s="450"/>
      <c r="VQT18" s="594">
        <f>(VQP18-VQH18)/VQH18</f>
        <v>0.13401162364699606</v>
      </c>
      <c r="VQU18" s="436" t="s">
        <v>141</v>
      </c>
      <c r="VQV18" s="448">
        <v>54850667.799999997</v>
      </c>
      <c r="VQW18" s="449"/>
      <c r="VQX18" s="448">
        <f>VQV18+VQW18</f>
        <v>54850667.799999997</v>
      </c>
      <c r="VQY18" s="452"/>
      <c r="VQZ18" s="452">
        <v>62201294.850000001</v>
      </c>
      <c r="VRA18" s="451">
        <f>60000000</f>
        <v>60000000</v>
      </c>
      <c r="VRB18" s="459"/>
      <c r="VRC18" s="452"/>
      <c r="VRD18" s="450">
        <v>0</v>
      </c>
      <c r="VRE18" s="460"/>
      <c r="VRF18" s="450">
        <f>VQZ18+VRC18</f>
        <v>62201294.850000001</v>
      </c>
      <c r="VRG18" s="454">
        <f>+VRA18+VRD18</f>
        <v>60000000</v>
      </c>
      <c r="VRH18" s="461"/>
      <c r="VRI18" s="450"/>
      <c r="VRJ18" s="594">
        <f>(VRF18-VQX18)/VQX18</f>
        <v>0.13401162364699606</v>
      </c>
      <c r="VRK18" s="436" t="s">
        <v>141</v>
      </c>
      <c r="VRL18" s="448">
        <v>54850667.799999997</v>
      </c>
      <c r="VRM18" s="449"/>
      <c r="VRN18" s="448">
        <f>VRL18+VRM18</f>
        <v>54850667.799999997</v>
      </c>
      <c r="VRO18" s="452"/>
      <c r="VRP18" s="452">
        <v>62201294.850000001</v>
      </c>
      <c r="VRQ18" s="451">
        <f>60000000</f>
        <v>60000000</v>
      </c>
      <c r="VRR18" s="459"/>
      <c r="VRS18" s="452"/>
      <c r="VRT18" s="450">
        <v>0</v>
      </c>
      <c r="VRU18" s="460"/>
      <c r="VRV18" s="450">
        <f>VRP18+VRS18</f>
        <v>62201294.850000001</v>
      </c>
      <c r="VRW18" s="454">
        <f>+VRQ18+VRT18</f>
        <v>60000000</v>
      </c>
      <c r="VRX18" s="461"/>
      <c r="VRY18" s="450"/>
      <c r="VRZ18" s="594">
        <f>(VRV18-VRN18)/VRN18</f>
        <v>0.13401162364699606</v>
      </c>
      <c r="VSA18" s="436" t="s">
        <v>141</v>
      </c>
      <c r="VSB18" s="448">
        <v>54850667.799999997</v>
      </c>
      <c r="VSC18" s="449"/>
      <c r="VSD18" s="448">
        <f>VSB18+VSC18</f>
        <v>54850667.799999997</v>
      </c>
      <c r="VSE18" s="452"/>
      <c r="VSF18" s="452">
        <v>62201294.850000001</v>
      </c>
      <c r="VSG18" s="451">
        <f>60000000</f>
        <v>60000000</v>
      </c>
      <c r="VSH18" s="459"/>
      <c r="VSI18" s="452"/>
      <c r="VSJ18" s="450">
        <v>0</v>
      </c>
      <c r="VSK18" s="460"/>
      <c r="VSL18" s="450">
        <f>VSF18+VSI18</f>
        <v>62201294.850000001</v>
      </c>
      <c r="VSM18" s="454">
        <f>+VSG18+VSJ18</f>
        <v>60000000</v>
      </c>
      <c r="VSN18" s="461"/>
      <c r="VSO18" s="450"/>
      <c r="VSP18" s="594">
        <f>(VSL18-VSD18)/VSD18</f>
        <v>0.13401162364699606</v>
      </c>
      <c r="VSQ18" s="436" t="s">
        <v>141</v>
      </c>
      <c r="VSR18" s="448">
        <v>54850667.799999997</v>
      </c>
      <c r="VSS18" s="449"/>
      <c r="VST18" s="448">
        <f>VSR18+VSS18</f>
        <v>54850667.799999997</v>
      </c>
      <c r="VSU18" s="452"/>
      <c r="VSV18" s="452">
        <v>62201294.850000001</v>
      </c>
      <c r="VSW18" s="451">
        <f>60000000</f>
        <v>60000000</v>
      </c>
      <c r="VSX18" s="459"/>
      <c r="VSY18" s="452"/>
      <c r="VSZ18" s="450">
        <v>0</v>
      </c>
      <c r="VTA18" s="460"/>
      <c r="VTB18" s="450">
        <f>VSV18+VSY18</f>
        <v>62201294.850000001</v>
      </c>
      <c r="VTC18" s="454">
        <f>+VSW18+VSZ18</f>
        <v>60000000</v>
      </c>
      <c r="VTD18" s="461"/>
      <c r="VTE18" s="450"/>
      <c r="VTF18" s="594">
        <f>(VTB18-VST18)/VST18</f>
        <v>0.13401162364699606</v>
      </c>
      <c r="VTG18" s="436" t="s">
        <v>141</v>
      </c>
      <c r="VTH18" s="448">
        <v>54850667.799999997</v>
      </c>
      <c r="VTI18" s="449"/>
      <c r="VTJ18" s="448">
        <f>VTH18+VTI18</f>
        <v>54850667.799999997</v>
      </c>
      <c r="VTK18" s="452"/>
      <c r="VTL18" s="452">
        <v>62201294.850000001</v>
      </c>
      <c r="VTM18" s="451">
        <f>60000000</f>
        <v>60000000</v>
      </c>
      <c r="VTN18" s="459"/>
      <c r="VTO18" s="452"/>
      <c r="VTP18" s="450">
        <v>0</v>
      </c>
      <c r="VTQ18" s="460"/>
      <c r="VTR18" s="450">
        <f>VTL18+VTO18</f>
        <v>62201294.850000001</v>
      </c>
      <c r="VTS18" s="454">
        <f>+VTM18+VTP18</f>
        <v>60000000</v>
      </c>
      <c r="VTT18" s="461"/>
      <c r="VTU18" s="450"/>
      <c r="VTV18" s="594">
        <f>(VTR18-VTJ18)/VTJ18</f>
        <v>0.13401162364699606</v>
      </c>
      <c r="VTW18" s="436" t="s">
        <v>141</v>
      </c>
      <c r="VTX18" s="448">
        <v>54850667.799999997</v>
      </c>
      <c r="VTY18" s="449"/>
      <c r="VTZ18" s="448">
        <f>VTX18+VTY18</f>
        <v>54850667.799999997</v>
      </c>
      <c r="VUA18" s="452"/>
      <c r="VUB18" s="452">
        <v>62201294.850000001</v>
      </c>
      <c r="VUC18" s="451">
        <f>60000000</f>
        <v>60000000</v>
      </c>
      <c r="VUD18" s="459"/>
      <c r="VUE18" s="452"/>
      <c r="VUF18" s="450">
        <v>0</v>
      </c>
      <c r="VUG18" s="460"/>
      <c r="VUH18" s="450">
        <f>VUB18+VUE18</f>
        <v>62201294.850000001</v>
      </c>
      <c r="VUI18" s="454">
        <f>+VUC18+VUF18</f>
        <v>60000000</v>
      </c>
      <c r="VUJ18" s="461"/>
      <c r="VUK18" s="450"/>
      <c r="VUL18" s="594">
        <f>(VUH18-VTZ18)/VTZ18</f>
        <v>0.13401162364699606</v>
      </c>
      <c r="VUM18" s="436" t="s">
        <v>141</v>
      </c>
      <c r="VUN18" s="448">
        <v>54850667.799999997</v>
      </c>
      <c r="VUO18" s="449"/>
      <c r="VUP18" s="448">
        <f>VUN18+VUO18</f>
        <v>54850667.799999997</v>
      </c>
      <c r="VUQ18" s="452"/>
      <c r="VUR18" s="452">
        <v>62201294.850000001</v>
      </c>
      <c r="VUS18" s="451">
        <f>60000000</f>
        <v>60000000</v>
      </c>
      <c r="VUT18" s="459"/>
      <c r="VUU18" s="452"/>
      <c r="VUV18" s="450">
        <v>0</v>
      </c>
      <c r="VUW18" s="460"/>
      <c r="VUX18" s="450">
        <f>VUR18+VUU18</f>
        <v>62201294.850000001</v>
      </c>
      <c r="VUY18" s="454">
        <f>+VUS18+VUV18</f>
        <v>60000000</v>
      </c>
      <c r="VUZ18" s="461"/>
      <c r="VVA18" s="450"/>
      <c r="VVB18" s="594">
        <f>(VUX18-VUP18)/VUP18</f>
        <v>0.13401162364699606</v>
      </c>
      <c r="VVC18" s="436" t="s">
        <v>141</v>
      </c>
      <c r="VVD18" s="448">
        <v>54850667.799999997</v>
      </c>
      <c r="VVE18" s="449"/>
      <c r="VVF18" s="448">
        <f>VVD18+VVE18</f>
        <v>54850667.799999997</v>
      </c>
      <c r="VVG18" s="452"/>
      <c r="VVH18" s="452">
        <v>62201294.850000001</v>
      </c>
      <c r="VVI18" s="451">
        <f>60000000</f>
        <v>60000000</v>
      </c>
      <c r="VVJ18" s="459"/>
      <c r="VVK18" s="452"/>
      <c r="VVL18" s="450">
        <v>0</v>
      </c>
      <c r="VVM18" s="460"/>
      <c r="VVN18" s="450">
        <f>VVH18+VVK18</f>
        <v>62201294.850000001</v>
      </c>
      <c r="VVO18" s="454">
        <f>+VVI18+VVL18</f>
        <v>60000000</v>
      </c>
      <c r="VVP18" s="461"/>
      <c r="VVQ18" s="450"/>
      <c r="VVR18" s="594">
        <f>(VVN18-VVF18)/VVF18</f>
        <v>0.13401162364699606</v>
      </c>
      <c r="VVS18" s="436" t="s">
        <v>141</v>
      </c>
      <c r="VVT18" s="448">
        <v>54850667.799999997</v>
      </c>
      <c r="VVU18" s="449"/>
      <c r="VVV18" s="448">
        <f>VVT18+VVU18</f>
        <v>54850667.799999997</v>
      </c>
      <c r="VVW18" s="452"/>
      <c r="VVX18" s="452">
        <v>62201294.850000001</v>
      </c>
      <c r="VVY18" s="451">
        <f>60000000</f>
        <v>60000000</v>
      </c>
      <c r="VVZ18" s="459"/>
      <c r="VWA18" s="452"/>
      <c r="VWB18" s="450">
        <v>0</v>
      </c>
      <c r="VWC18" s="460"/>
      <c r="VWD18" s="450">
        <f>VVX18+VWA18</f>
        <v>62201294.850000001</v>
      </c>
      <c r="VWE18" s="454">
        <f>+VVY18+VWB18</f>
        <v>60000000</v>
      </c>
      <c r="VWF18" s="461"/>
      <c r="VWG18" s="450"/>
      <c r="VWH18" s="594">
        <f>(VWD18-VVV18)/VVV18</f>
        <v>0.13401162364699606</v>
      </c>
      <c r="VWI18" s="436" t="s">
        <v>141</v>
      </c>
      <c r="VWJ18" s="448">
        <v>54850667.799999997</v>
      </c>
      <c r="VWK18" s="449"/>
      <c r="VWL18" s="448">
        <f>VWJ18+VWK18</f>
        <v>54850667.799999997</v>
      </c>
      <c r="VWM18" s="452"/>
      <c r="VWN18" s="452">
        <v>62201294.850000001</v>
      </c>
      <c r="VWO18" s="451">
        <f>60000000</f>
        <v>60000000</v>
      </c>
      <c r="VWP18" s="459"/>
      <c r="VWQ18" s="452"/>
      <c r="VWR18" s="450">
        <v>0</v>
      </c>
      <c r="VWS18" s="460"/>
      <c r="VWT18" s="450">
        <f>VWN18+VWQ18</f>
        <v>62201294.850000001</v>
      </c>
      <c r="VWU18" s="454">
        <f>+VWO18+VWR18</f>
        <v>60000000</v>
      </c>
      <c r="VWV18" s="461"/>
      <c r="VWW18" s="450"/>
      <c r="VWX18" s="594">
        <f>(VWT18-VWL18)/VWL18</f>
        <v>0.13401162364699606</v>
      </c>
      <c r="VWY18" s="436" t="s">
        <v>141</v>
      </c>
      <c r="VWZ18" s="448">
        <v>54850667.799999997</v>
      </c>
      <c r="VXA18" s="449"/>
      <c r="VXB18" s="448">
        <f>VWZ18+VXA18</f>
        <v>54850667.799999997</v>
      </c>
      <c r="VXC18" s="452"/>
      <c r="VXD18" s="452">
        <v>62201294.850000001</v>
      </c>
      <c r="VXE18" s="451">
        <f>60000000</f>
        <v>60000000</v>
      </c>
      <c r="VXF18" s="459"/>
      <c r="VXG18" s="452"/>
      <c r="VXH18" s="450">
        <v>0</v>
      </c>
      <c r="VXI18" s="460"/>
      <c r="VXJ18" s="450">
        <f>VXD18+VXG18</f>
        <v>62201294.850000001</v>
      </c>
      <c r="VXK18" s="454">
        <f>+VXE18+VXH18</f>
        <v>60000000</v>
      </c>
      <c r="VXL18" s="461"/>
      <c r="VXM18" s="450"/>
      <c r="VXN18" s="594">
        <f>(VXJ18-VXB18)/VXB18</f>
        <v>0.13401162364699606</v>
      </c>
      <c r="VXO18" s="436" t="s">
        <v>141</v>
      </c>
      <c r="VXP18" s="448">
        <v>54850667.799999997</v>
      </c>
      <c r="VXQ18" s="449"/>
      <c r="VXR18" s="448">
        <f>VXP18+VXQ18</f>
        <v>54850667.799999997</v>
      </c>
      <c r="VXS18" s="452"/>
      <c r="VXT18" s="452">
        <v>62201294.850000001</v>
      </c>
      <c r="VXU18" s="451">
        <f>60000000</f>
        <v>60000000</v>
      </c>
      <c r="VXV18" s="459"/>
      <c r="VXW18" s="452"/>
      <c r="VXX18" s="450">
        <v>0</v>
      </c>
      <c r="VXY18" s="460"/>
      <c r="VXZ18" s="450">
        <f>VXT18+VXW18</f>
        <v>62201294.850000001</v>
      </c>
      <c r="VYA18" s="454">
        <f>+VXU18+VXX18</f>
        <v>60000000</v>
      </c>
      <c r="VYB18" s="461"/>
      <c r="VYC18" s="450"/>
      <c r="VYD18" s="594">
        <f>(VXZ18-VXR18)/VXR18</f>
        <v>0.13401162364699606</v>
      </c>
      <c r="VYE18" s="436" t="s">
        <v>141</v>
      </c>
      <c r="VYF18" s="448">
        <v>54850667.799999997</v>
      </c>
      <c r="VYG18" s="449"/>
      <c r="VYH18" s="448">
        <f>VYF18+VYG18</f>
        <v>54850667.799999997</v>
      </c>
      <c r="VYI18" s="452"/>
      <c r="VYJ18" s="452">
        <v>62201294.850000001</v>
      </c>
      <c r="VYK18" s="451">
        <f>60000000</f>
        <v>60000000</v>
      </c>
      <c r="VYL18" s="459"/>
      <c r="VYM18" s="452"/>
      <c r="VYN18" s="450">
        <v>0</v>
      </c>
      <c r="VYO18" s="460"/>
      <c r="VYP18" s="450">
        <f>VYJ18+VYM18</f>
        <v>62201294.850000001</v>
      </c>
      <c r="VYQ18" s="454">
        <f>+VYK18+VYN18</f>
        <v>60000000</v>
      </c>
      <c r="VYR18" s="461"/>
      <c r="VYS18" s="450"/>
      <c r="VYT18" s="594">
        <f>(VYP18-VYH18)/VYH18</f>
        <v>0.13401162364699606</v>
      </c>
      <c r="VYU18" s="436" t="s">
        <v>141</v>
      </c>
      <c r="VYV18" s="448">
        <v>54850667.799999997</v>
      </c>
      <c r="VYW18" s="449"/>
      <c r="VYX18" s="448">
        <f>VYV18+VYW18</f>
        <v>54850667.799999997</v>
      </c>
      <c r="VYY18" s="452"/>
      <c r="VYZ18" s="452">
        <v>62201294.850000001</v>
      </c>
      <c r="VZA18" s="451">
        <f>60000000</f>
        <v>60000000</v>
      </c>
      <c r="VZB18" s="459"/>
      <c r="VZC18" s="452"/>
      <c r="VZD18" s="450">
        <v>0</v>
      </c>
      <c r="VZE18" s="460"/>
      <c r="VZF18" s="450">
        <f>VYZ18+VZC18</f>
        <v>62201294.850000001</v>
      </c>
      <c r="VZG18" s="454">
        <f>+VZA18+VZD18</f>
        <v>60000000</v>
      </c>
      <c r="VZH18" s="461"/>
      <c r="VZI18" s="450"/>
      <c r="VZJ18" s="594">
        <f>(VZF18-VYX18)/VYX18</f>
        <v>0.13401162364699606</v>
      </c>
      <c r="VZK18" s="436" t="s">
        <v>141</v>
      </c>
      <c r="VZL18" s="448">
        <v>54850667.799999997</v>
      </c>
      <c r="VZM18" s="449"/>
      <c r="VZN18" s="448">
        <f>VZL18+VZM18</f>
        <v>54850667.799999997</v>
      </c>
      <c r="VZO18" s="452"/>
      <c r="VZP18" s="452">
        <v>62201294.850000001</v>
      </c>
      <c r="VZQ18" s="451">
        <f>60000000</f>
        <v>60000000</v>
      </c>
      <c r="VZR18" s="459"/>
      <c r="VZS18" s="452"/>
      <c r="VZT18" s="450">
        <v>0</v>
      </c>
      <c r="VZU18" s="460"/>
      <c r="VZV18" s="450">
        <f>VZP18+VZS18</f>
        <v>62201294.850000001</v>
      </c>
      <c r="VZW18" s="454">
        <f>+VZQ18+VZT18</f>
        <v>60000000</v>
      </c>
      <c r="VZX18" s="461"/>
      <c r="VZY18" s="450"/>
      <c r="VZZ18" s="594">
        <f>(VZV18-VZN18)/VZN18</f>
        <v>0.13401162364699606</v>
      </c>
      <c r="WAA18" s="436" t="s">
        <v>141</v>
      </c>
      <c r="WAB18" s="448">
        <v>54850667.799999997</v>
      </c>
      <c r="WAC18" s="449"/>
      <c r="WAD18" s="448">
        <f>WAB18+WAC18</f>
        <v>54850667.799999997</v>
      </c>
      <c r="WAE18" s="452"/>
      <c r="WAF18" s="452">
        <v>62201294.850000001</v>
      </c>
      <c r="WAG18" s="451">
        <f>60000000</f>
        <v>60000000</v>
      </c>
      <c r="WAH18" s="459"/>
      <c r="WAI18" s="452"/>
      <c r="WAJ18" s="450">
        <v>0</v>
      </c>
      <c r="WAK18" s="460"/>
      <c r="WAL18" s="450">
        <f>WAF18+WAI18</f>
        <v>62201294.850000001</v>
      </c>
      <c r="WAM18" s="454">
        <f>+WAG18+WAJ18</f>
        <v>60000000</v>
      </c>
      <c r="WAN18" s="461"/>
      <c r="WAO18" s="450"/>
      <c r="WAP18" s="594">
        <f>(WAL18-WAD18)/WAD18</f>
        <v>0.13401162364699606</v>
      </c>
      <c r="WAQ18" s="436" t="s">
        <v>141</v>
      </c>
      <c r="WAR18" s="448">
        <v>54850667.799999997</v>
      </c>
      <c r="WAS18" s="449"/>
      <c r="WAT18" s="448">
        <f>WAR18+WAS18</f>
        <v>54850667.799999997</v>
      </c>
      <c r="WAU18" s="452"/>
      <c r="WAV18" s="452">
        <v>62201294.850000001</v>
      </c>
      <c r="WAW18" s="451">
        <f>60000000</f>
        <v>60000000</v>
      </c>
      <c r="WAX18" s="459"/>
      <c r="WAY18" s="452"/>
      <c r="WAZ18" s="450">
        <v>0</v>
      </c>
      <c r="WBA18" s="460"/>
      <c r="WBB18" s="450">
        <f>WAV18+WAY18</f>
        <v>62201294.850000001</v>
      </c>
      <c r="WBC18" s="454">
        <f>+WAW18+WAZ18</f>
        <v>60000000</v>
      </c>
      <c r="WBD18" s="461"/>
      <c r="WBE18" s="450"/>
      <c r="WBF18" s="594">
        <f>(WBB18-WAT18)/WAT18</f>
        <v>0.13401162364699606</v>
      </c>
      <c r="WBG18" s="436" t="s">
        <v>141</v>
      </c>
      <c r="WBH18" s="448">
        <v>54850667.799999997</v>
      </c>
      <c r="WBI18" s="449"/>
      <c r="WBJ18" s="448">
        <f>WBH18+WBI18</f>
        <v>54850667.799999997</v>
      </c>
      <c r="WBK18" s="452"/>
      <c r="WBL18" s="452">
        <v>62201294.850000001</v>
      </c>
      <c r="WBM18" s="451">
        <f>60000000</f>
        <v>60000000</v>
      </c>
      <c r="WBN18" s="459"/>
      <c r="WBO18" s="452"/>
      <c r="WBP18" s="450">
        <v>0</v>
      </c>
      <c r="WBQ18" s="460"/>
      <c r="WBR18" s="450">
        <f>WBL18+WBO18</f>
        <v>62201294.850000001</v>
      </c>
      <c r="WBS18" s="454">
        <f>+WBM18+WBP18</f>
        <v>60000000</v>
      </c>
      <c r="WBT18" s="461"/>
      <c r="WBU18" s="450"/>
      <c r="WBV18" s="594">
        <f>(WBR18-WBJ18)/WBJ18</f>
        <v>0.13401162364699606</v>
      </c>
      <c r="WBW18" s="436" t="s">
        <v>141</v>
      </c>
      <c r="WBX18" s="448">
        <v>54850667.799999997</v>
      </c>
      <c r="WBY18" s="449"/>
      <c r="WBZ18" s="448">
        <f>WBX18+WBY18</f>
        <v>54850667.799999997</v>
      </c>
      <c r="WCA18" s="452"/>
      <c r="WCB18" s="452">
        <v>62201294.850000001</v>
      </c>
      <c r="WCC18" s="451">
        <f>60000000</f>
        <v>60000000</v>
      </c>
      <c r="WCD18" s="459"/>
      <c r="WCE18" s="452"/>
      <c r="WCF18" s="450">
        <v>0</v>
      </c>
      <c r="WCG18" s="460"/>
      <c r="WCH18" s="450">
        <f>WCB18+WCE18</f>
        <v>62201294.850000001</v>
      </c>
      <c r="WCI18" s="454">
        <f>+WCC18+WCF18</f>
        <v>60000000</v>
      </c>
      <c r="WCJ18" s="461"/>
      <c r="WCK18" s="450"/>
      <c r="WCL18" s="594">
        <f>(WCH18-WBZ18)/WBZ18</f>
        <v>0.13401162364699606</v>
      </c>
      <c r="WCM18" s="436" t="s">
        <v>141</v>
      </c>
      <c r="WCN18" s="448">
        <v>54850667.799999997</v>
      </c>
      <c r="WCO18" s="449"/>
      <c r="WCP18" s="448">
        <f>WCN18+WCO18</f>
        <v>54850667.799999997</v>
      </c>
      <c r="WCQ18" s="452"/>
      <c r="WCR18" s="452">
        <v>62201294.850000001</v>
      </c>
      <c r="WCS18" s="451">
        <f>60000000</f>
        <v>60000000</v>
      </c>
      <c r="WCT18" s="459"/>
      <c r="WCU18" s="452"/>
      <c r="WCV18" s="450">
        <v>0</v>
      </c>
      <c r="WCW18" s="460"/>
      <c r="WCX18" s="450">
        <f>WCR18+WCU18</f>
        <v>62201294.850000001</v>
      </c>
      <c r="WCY18" s="454">
        <f>+WCS18+WCV18</f>
        <v>60000000</v>
      </c>
      <c r="WCZ18" s="461"/>
      <c r="WDA18" s="450"/>
      <c r="WDB18" s="594">
        <f>(WCX18-WCP18)/WCP18</f>
        <v>0.13401162364699606</v>
      </c>
      <c r="WDC18" s="436" t="s">
        <v>141</v>
      </c>
      <c r="WDD18" s="448">
        <v>54850667.799999997</v>
      </c>
      <c r="WDE18" s="449"/>
      <c r="WDF18" s="448">
        <f>WDD18+WDE18</f>
        <v>54850667.799999997</v>
      </c>
      <c r="WDG18" s="452"/>
      <c r="WDH18" s="452">
        <v>62201294.850000001</v>
      </c>
      <c r="WDI18" s="451">
        <f>60000000</f>
        <v>60000000</v>
      </c>
      <c r="WDJ18" s="459"/>
      <c r="WDK18" s="452"/>
      <c r="WDL18" s="450">
        <v>0</v>
      </c>
      <c r="WDM18" s="460"/>
      <c r="WDN18" s="450">
        <f>WDH18+WDK18</f>
        <v>62201294.850000001</v>
      </c>
      <c r="WDO18" s="454">
        <f>+WDI18+WDL18</f>
        <v>60000000</v>
      </c>
      <c r="WDP18" s="461"/>
      <c r="WDQ18" s="450"/>
      <c r="WDR18" s="594">
        <f>(WDN18-WDF18)/WDF18</f>
        <v>0.13401162364699606</v>
      </c>
      <c r="WDS18" s="436" t="s">
        <v>141</v>
      </c>
      <c r="WDT18" s="448">
        <v>54850667.799999997</v>
      </c>
      <c r="WDU18" s="449"/>
      <c r="WDV18" s="448">
        <f>WDT18+WDU18</f>
        <v>54850667.799999997</v>
      </c>
      <c r="WDW18" s="452"/>
      <c r="WDX18" s="452">
        <v>62201294.850000001</v>
      </c>
      <c r="WDY18" s="451">
        <f>60000000</f>
        <v>60000000</v>
      </c>
      <c r="WDZ18" s="459"/>
      <c r="WEA18" s="452"/>
      <c r="WEB18" s="450">
        <v>0</v>
      </c>
      <c r="WEC18" s="460"/>
      <c r="WED18" s="450">
        <f>WDX18+WEA18</f>
        <v>62201294.850000001</v>
      </c>
      <c r="WEE18" s="454">
        <f>+WDY18+WEB18</f>
        <v>60000000</v>
      </c>
      <c r="WEF18" s="461"/>
      <c r="WEG18" s="450"/>
      <c r="WEH18" s="594">
        <f>(WED18-WDV18)/WDV18</f>
        <v>0.13401162364699606</v>
      </c>
      <c r="WEI18" s="436" t="s">
        <v>141</v>
      </c>
      <c r="WEJ18" s="448">
        <v>54850667.799999997</v>
      </c>
      <c r="WEK18" s="449"/>
      <c r="WEL18" s="448">
        <f>WEJ18+WEK18</f>
        <v>54850667.799999997</v>
      </c>
      <c r="WEM18" s="452"/>
      <c r="WEN18" s="452">
        <v>62201294.850000001</v>
      </c>
      <c r="WEO18" s="451">
        <f>60000000</f>
        <v>60000000</v>
      </c>
      <c r="WEP18" s="459"/>
      <c r="WEQ18" s="452"/>
      <c r="WER18" s="450">
        <v>0</v>
      </c>
      <c r="WES18" s="460"/>
      <c r="WET18" s="450">
        <f>WEN18+WEQ18</f>
        <v>62201294.850000001</v>
      </c>
      <c r="WEU18" s="454">
        <f>+WEO18+WER18</f>
        <v>60000000</v>
      </c>
      <c r="WEV18" s="461"/>
      <c r="WEW18" s="450"/>
      <c r="WEX18" s="594">
        <f>(WET18-WEL18)/WEL18</f>
        <v>0.13401162364699606</v>
      </c>
      <c r="WEY18" s="436" t="s">
        <v>141</v>
      </c>
      <c r="WEZ18" s="448">
        <v>54850667.799999997</v>
      </c>
      <c r="WFA18" s="449"/>
      <c r="WFB18" s="448">
        <f>WEZ18+WFA18</f>
        <v>54850667.799999997</v>
      </c>
      <c r="WFC18" s="452"/>
      <c r="WFD18" s="452">
        <v>62201294.850000001</v>
      </c>
      <c r="WFE18" s="451">
        <f>60000000</f>
        <v>60000000</v>
      </c>
      <c r="WFF18" s="459"/>
      <c r="WFG18" s="452"/>
      <c r="WFH18" s="450">
        <v>0</v>
      </c>
      <c r="WFI18" s="460"/>
      <c r="WFJ18" s="450">
        <f>WFD18+WFG18</f>
        <v>62201294.850000001</v>
      </c>
      <c r="WFK18" s="454">
        <f>+WFE18+WFH18</f>
        <v>60000000</v>
      </c>
      <c r="WFL18" s="461"/>
      <c r="WFM18" s="450"/>
      <c r="WFN18" s="594">
        <f>(WFJ18-WFB18)/WFB18</f>
        <v>0.13401162364699606</v>
      </c>
      <c r="WFO18" s="436" t="s">
        <v>141</v>
      </c>
      <c r="WFP18" s="448">
        <v>54850667.799999997</v>
      </c>
      <c r="WFQ18" s="449"/>
      <c r="WFR18" s="448">
        <f>WFP18+WFQ18</f>
        <v>54850667.799999997</v>
      </c>
      <c r="WFS18" s="452"/>
      <c r="WFT18" s="452">
        <v>62201294.850000001</v>
      </c>
      <c r="WFU18" s="451">
        <f>60000000</f>
        <v>60000000</v>
      </c>
      <c r="WFV18" s="459"/>
      <c r="WFW18" s="452"/>
      <c r="WFX18" s="450">
        <v>0</v>
      </c>
      <c r="WFY18" s="460"/>
      <c r="WFZ18" s="450">
        <f>WFT18+WFW18</f>
        <v>62201294.850000001</v>
      </c>
      <c r="WGA18" s="454">
        <f>+WFU18+WFX18</f>
        <v>60000000</v>
      </c>
      <c r="WGB18" s="461"/>
      <c r="WGC18" s="450"/>
      <c r="WGD18" s="594">
        <f>(WFZ18-WFR18)/WFR18</f>
        <v>0.13401162364699606</v>
      </c>
      <c r="WGE18" s="436" t="s">
        <v>141</v>
      </c>
      <c r="WGF18" s="448">
        <v>54850667.799999997</v>
      </c>
      <c r="WGG18" s="449"/>
      <c r="WGH18" s="448">
        <f>WGF18+WGG18</f>
        <v>54850667.799999997</v>
      </c>
      <c r="WGI18" s="452"/>
      <c r="WGJ18" s="452">
        <v>62201294.850000001</v>
      </c>
      <c r="WGK18" s="451">
        <f>60000000</f>
        <v>60000000</v>
      </c>
      <c r="WGL18" s="459"/>
      <c r="WGM18" s="452"/>
      <c r="WGN18" s="450">
        <v>0</v>
      </c>
      <c r="WGO18" s="460"/>
      <c r="WGP18" s="450">
        <f>WGJ18+WGM18</f>
        <v>62201294.850000001</v>
      </c>
      <c r="WGQ18" s="454">
        <f>+WGK18+WGN18</f>
        <v>60000000</v>
      </c>
      <c r="WGR18" s="461"/>
      <c r="WGS18" s="450"/>
      <c r="WGT18" s="594">
        <f>(WGP18-WGH18)/WGH18</f>
        <v>0.13401162364699606</v>
      </c>
      <c r="WGU18" s="436" t="s">
        <v>141</v>
      </c>
      <c r="WGV18" s="448">
        <v>54850667.799999997</v>
      </c>
      <c r="WGW18" s="449"/>
      <c r="WGX18" s="448">
        <f>WGV18+WGW18</f>
        <v>54850667.799999997</v>
      </c>
      <c r="WGY18" s="452"/>
      <c r="WGZ18" s="452">
        <v>62201294.850000001</v>
      </c>
      <c r="WHA18" s="451">
        <f>60000000</f>
        <v>60000000</v>
      </c>
      <c r="WHB18" s="459"/>
      <c r="WHC18" s="452"/>
      <c r="WHD18" s="450">
        <v>0</v>
      </c>
      <c r="WHE18" s="460"/>
      <c r="WHF18" s="450">
        <f>WGZ18+WHC18</f>
        <v>62201294.850000001</v>
      </c>
      <c r="WHG18" s="454">
        <f>+WHA18+WHD18</f>
        <v>60000000</v>
      </c>
      <c r="WHH18" s="461"/>
      <c r="WHI18" s="450"/>
      <c r="WHJ18" s="594">
        <f>(WHF18-WGX18)/WGX18</f>
        <v>0.13401162364699606</v>
      </c>
      <c r="WHK18" s="436" t="s">
        <v>141</v>
      </c>
      <c r="WHL18" s="448">
        <v>54850667.799999997</v>
      </c>
      <c r="WHM18" s="449"/>
      <c r="WHN18" s="448">
        <f>WHL18+WHM18</f>
        <v>54850667.799999997</v>
      </c>
      <c r="WHO18" s="452"/>
      <c r="WHP18" s="452">
        <v>62201294.850000001</v>
      </c>
      <c r="WHQ18" s="451">
        <f>60000000</f>
        <v>60000000</v>
      </c>
      <c r="WHR18" s="459"/>
      <c r="WHS18" s="452"/>
      <c r="WHT18" s="450">
        <v>0</v>
      </c>
      <c r="WHU18" s="460"/>
      <c r="WHV18" s="450">
        <f>WHP18+WHS18</f>
        <v>62201294.850000001</v>
      </c>
      <c r="WHW18" s="454">
        <f>+WHQ18+WHT18</f>
        <v>60000000</v>
      </c>
      <c r="WHX18" s="461"/>
      <c r="WHY18" s="450"/>
      <c r="WHZ18" s="594">
        <f>(WHV18-WHN18)/WHN18</f>
        <v>0.13401162364699606</v>
      </c>
      <c r="WIA18" s="436" t="s">
        <v>141</v>
      </c>
      <c r="WIB18" s="448">
        <v>54850667.799999997</v>
      </c>
      <c r="WIC18" s="449"/>
      <c r="WID18" s="448">
        <f>WIB18+WIC18</f>
        <v>54850667.799999997</v>
      </c>
      <c r="WIE18" s="452"/>
      <c r="WIF18" s="452">
        <v>62201294.850000001</v>
      </c>
      <c r="WIG18" s="451">
        <f>60000000</f>
        <v>60000000</v>
      </c>
      <c r="WIH18" s="459"/>
      <c r="WII18" s="452"/>
      <c r="WIJ18" s="450">
        <v>0</v>
      </c>
      <c r="WIK18" s="460"/>
      <c r="WIL18" s="450">
        <f>WIF18+WII18</f>
        <v>62201294.850000001</v>
      </c>
      <c r="WIM18" s="454">
        <f>+WIG18+WIJ18</f>
        <v>60000000</v>
      </c>
      <c r="WIN18" s="461"/>
      <c r="WIO18" s="450"/>
      <c r="WIP18" s="594">
        <f>(WIL18-WID18)/WID18</f>
        <v>0.13401162364699606</v>
      </c>
      <c r="WIQ18" s="436" t="s">
        <v>141</v>
      </c>
      <c r="WIR18" s="448">
        <v>54850667.799999997</v>
      </c>
      <c r="WIS18" s="449"/>
      <c r="WIT18" s="448">
        <f>WIR18+WIS18</f>
        <v>54850667.799999997</v>
      </c>
      <c r="WIU18" s="452"/>
      <c r="WIV18" s="452">
        <v>62201294.850000001</v>
      </c>
      <c r="WIW18" s="451">
        <f>60000000</f>
        <v>60000000</v>
      </c>
      <c r="WIX18" s="459"/>
      <c r="WIY18" s="452"/>
      <c r="WIZ18" s="450">
        <v>0</v>
      </c>
      <c r="WJA18" s="460"/>
      <c r="WJB18" s="450">
        <f>WIV18+WIY18</f>
        <v>62201294.850000001</v>
      </c>
      <c r="WJC18" s="454">
        <f>+WIW18+WIZ18</f>
        <v>60000000</v>
      </c>
      <c r="WJD18" s="461"/>
      <c r="WJE18" s="450"/>
      <c r="WJF18" s="594">
        <f>(WJB18-WIT18)/WIT18</f>
        <v>0.13401162364699606</v>
      </c>
      <c r="WJG18" s="436" t="s">
        <v>141</v>
      </c>
      <c r="WJH18" s="448">
        <v>54850667.799999997</v>
      </c>
      <c r="WJI18" s="449"/>
      <c r="WJJ18" s="448">
        <f>WJH18+WJI18</f>
        <v>54850667.799999997</v>
      </c>
      <c r="WJK18" s="452"/>
      <c r="WJL18" s="452">
        <v>62201294.850000001</v>
      </c>
      <c r="WJM18" s="451">
        <f>60000000</f>
        <v>60000000</v>
      </c>
      <c r="WJN18" s="459"/>
      <c r="WJO18" s="452"/>
      <c r="WJP18" s="450">
        <v>0</v>
      </c>
      <c r="WJQ18" s="460"/>
      <c r="WJR18" s="450">
        <f>WJL18+WJO18</f>
        <v>62201294.850000001</v>
      </c>
      <c r="WJS18" s="454">
        <f>+WJM18+WJP18</f>
        <v>60000000</v>
      </c>
      <c r="WJT18" s="461"/>
      <c r="WJU18" s="450"/>
      <c r="WJV18" s="594">
        <f>(WJR18-WJJ18)/WJJ18</f>
        <v>0.13401162364699606</v>
      </c>
      <c r="WJW18" s="436" t="s">
        <v>141</v>
      </c>
      <c r="WJX18" s="448">
        <v>54850667.799999997</v>
      </c>
      <c r="WJY18" s="449"/>
      <c r="WJZ18" s="448">
        <f>WJX18+WJY18</f>
        <v>54850667.799999997</v>
      </c>
      <c r="WKA18" s="452"/>
      <c r="WKB18" s="452">
        <v>62201294.850000001</v>
      </c>
      <c r="WKC18" s="451">
        <f>60000000</f>
        <v>60000000</v>
      </c>
      <c r="WKD18" s="459"/>
      <c r="WKE18" s="452"/>
      <c r="WKF18" s="450">
        <v>0</v>
      </c>
      <c r="WKG18" s="460"/>
      <c r="WKH18" s="450">
        <f>WKB18+WKE18</f>
        <v>62201294.850000001</v>
      </c>
      <c r="WKI18" s="454">
        <f>+WKC18+WKF18</f>
        <v>60000000</v>
      </c>
      <c r="WKJ18" s="461"/>
      <c r="WKK18" s="450"/>
      <c r="WKL18" s="594">
        <f>(WKH18-WJZ18)/WJZ18</f>
        <v>0.13401162364699606</v>
      </c>
      <c r="WKM18" s="436" t="s">
        <v>141</v>
      </c>
      <c r="WKN18" s="448">
        <v>54850667.799999997</v>
      </c>
      <c r="WKO18" s="449"/>
      <c r="WKP18" s="448">
        <f>WKN18+WKO18</f>
        <v>54850667.799999997</v>
      </c>
      <c r="WKQ18" s="452"/>
      <c r="WKR18" s="452">
        <v>62201294.850000001</v>
      </c>
      <c r="WKS18" s="451">
        <f>60000000</f>
        <v>60000000</v>
      </c>
      <c r="WKT18" s="459"/>
      <c r="WKU18" s="452"/>
      <c r="WKV18" s="450">
        <v>0</v>
      </c>
      <c r="WKW18" s="460"/>
      <c r="WKX18" s="450">
        <f>WKR18+WKU18</f>
        <v>62201294.850000001</v>
      </c>
      <c r="WKY18" s="454">
        <f>+WKS18+WKV18</f>
        <v>60000000</v>
      </c>
      <c r="WKZ18" s="461"/>
      <c r="WLA18" s="450"/>
      <c r="WLB18" s="594">
        <f>(WKX18-WKP18)/WKP18</f>
        <v>0.13401162364699606</v>
      </c>
      <c r="WLC18" s="436" t="s">
        <v>141</v>
      </c>
      <c r="WLD18" s="448">
        <v>54850667.799999997</v>
      </c>
      <c r="WLE18" s="449"/>
      <c r="WLF18" s="448">
        <f>WLD18+WLE18</f>
        <v>54850667.799999997</v>
      </c>
      <c r="WLG18" s="452"/>
      <c r="WLH18" s="452">
        <v>62201294.850000001</v>
      </c>
      <c r="WLI18" s="451">
        <f>60000000</f>
        <v>60000000</v>
      </c>
      <c r="WLJ18" s="459"/>
      <c r="WLK18" s="452"/>
      <c r="WLL18" s="450">
        <v>0</v>
      </c>
      <c r="WLM18" s="460"/>
      <c r="WLN18" s="450">
        <f>WLH18+WLK18</f>
        <v>62201294.850000001</v>
      </c>
      <c r="WLO18" s="454">
        <f>+WLI18+WLL18</f>
        <v>60000000</v>
      </c>
      <c r="WLP18" s="461"/>
      <c r="WLQ18" s="450"/>
      <c r="WLR18" s="594">
        <f>(WLN18-WLF18)/WLF18</f>
        <v>0.13401162364699606</v>
      </c>
      <c r="WLS18" s="436" t="s">
        <v>141</v>
      </c>
      <c r="WLT18" s="448">
        <v>54850667.799999997</v>
      </c>
      <c r="WLU18" s="449"/>
      <c r="WLV18" s="448">
        <f>WLT18+WLU18</f>
        <v>54850667.799999997</v>
      </c>
      <c r="WLW18" s="452"/>
      <c r="WLX18" s="452">
        <v>62201294.850000001</v>
      </c>
      <c r="WLY18" s="451">
        <f>60000000</f>
        <v>60000000</v>
      </c>
      <c r="WLZ18" s="459"/>
      <c r="WMA18" s="452"/>
      <c r="WMB18" s="450">
        <v>0</v>
      </c>
      <c r="WMC18" s="460"/>
      <c r="WMD18" s="450">
        <f>WLX18+WMA18</f>
        <v>62201294.850000001</v>
      </c>
      <c r="WME18" s="454">
        <f>+WLY18+WMB18</f>
        <v>60000000</v>
      </c>
      <c r="WMF18" s="461"/>
      <c r="WMG18" s="450"/>
      <c r="WMH18" s="594">
        <f>(WMD18-WLV18)/WLV18</f>
        <v>0.13401162364699606</v>
      </c>
      <c r="WMI18" s="436" t="s">
        <v>141</v>
      </c>
      <c r="WMJ18" s="448">
        <v>54850667.799999997</v>
      </c>
      <c r="WMK18" s="449"/>
      <c r="WML18" s="448">
        <f>WMJ18+WMK18</f>
        <v>54850667.799999997</v>
      </c>
      <c r="WMM18" s="452"/>
      <c r="WMN18" s="452">
        <v>62201294.850000001</v>
      </c>
      <c r="WMO18" s="451">
        <f>60000000</f>
        <v>60000000</v>
      </c>
      <c r="WMP18" s="459"/>
      <c r="WMQ18" s="452"/>
      <c r="WMR18" s="450">
        <v>0</v>
      </c>
      <c r="WMS18" s="460"/>
      <c r="WMT18" s="450">
        <f>WMN18+WMQ18</f>
        <v>62201294.850000001</v>
      </c>
      <c r="WMU18" s="454">
        <f>+WMO18+WMR18</f>
        <v>60000000</v>
      </c>
      <c r="WMV18" s="461"/>
      <c r="WMW18" s="450"/>
      <c r="WMX18" s="594">
        <f>(WMT18-WML18)/WML18</f>
        <v>0.13401162364699606</v>
      </c>
      <c r="WMY18" s="436" t="s">
        <v>141</v>
      </c>
      <c r="WMZ18" s="448">
        <v>54850667.799999997</v>
      </c>
      <c r="WNA18" s="449"/>
      <c r="WNB18" s="448">
        <f>WMZ18+WNA18</f>
        <v>54850667.799999997</v>
      </c>
      <c r="WNC18" s="452"/>
      <c r="WND18" s="452">
        <v>62201294.850000001</v>
      </c>
      <c r="WNE18" s="451">
        <f>60000000</f>
        <v>60000000</v>
      </c>
      <c r="WNF18" s="459"/>
      <c r="WNG18" s="452"/>
      <c r="WNH18" s="450">
        <v>0</v>
      </c>
      <c r="WNI18" s="460"/>
      <c r="WNJ18" s="450">
        <f>WND18+WNG18</f>
        <v>62201294.850000001</v>
      </c>
      <c r="WNK18" s="454">
        <f>+WNE18+WNH18</f>
        <v>60000000</v>
      </c>
      <c r="WNL18" s="461"/>
      <c r="WNM18" s="450"/>
      <c r="WNN18" s="594">
        <f>(WNJ18-WNB18)/WNB18</f>
        <v>0.13401162364699606</v>
      </c>
      <c r="WNO18" s="436" t="s">
        <v>141</v>
      </c>
      <c r="WNP18" s="448">
        <v>54850667.799999997</v>
      </c>
      <c r="WNQ18" s="449"/>
      <c r="WNR18" s="448">
        <f>WNP18+WNQ18</f>
        <v>54850667.799999997</v>
      </c>
      <c r="WNS18" s="452"/>
      <c r="WNT18" s="452">
        <v>62201294.850000001</v>
      </c>
      <c r="WNU18" s="451">
        <f>60000000</f>
        <v>60000000</v>
      </c>
      <c r="WNV18" s="459"/>
      <c r="WNW18" s="452"/>
      <c r="WNX18" s="450">
        <v>0</v>
      </c>
      <c r="WNY18" s="460"/>
      <c r="WNZ18" s="450">
        <f>WNT18+WNW18</f>
        <v>62201294.850000001</v>
      </c>
      <c r="WOA18" s="454">
        <f>+WNU18+WNX18</f>
        <v>60000000</v>
      </c>
      <c r="WOB18" s="461"/>
      <c r="WOC18" s="450"/>
      <c r="WOD18" s="594">
        <f>(WNZ18-WNR18)/WNR18</f>
        <v>0.13401162364699606</v>
      </c>
      <c r="WOE18" s="436" t="s">
        <v>141</v>
      </c>
      <c r="WOF18" s="448">
        <v>54850667.799999997</v>
      </c>
      <c r="WOG18" s="449"/>
      <c r="WOH18" s="448">
        <f>WOF18+WOG18</f>
        <v>54850667.799999997</v>
      </c>
      <c r="WOI18" s="452"/>
      <c r="WOJ18" s="452">
        <v>62201294.850000001</v>
      </c>
      <c r="WOK18" s="451">
        <f>60000000</f>
        <v>60000000</v>
      </c>
      <c r="WOL18" s="459"/>
      <c r="WOM18" s="452"/>
      <c r="WON18" s="450">
        <v>0</v>
      </c>
      <c r="WOO18" s="460"/>
      <c r="WOP18" s="450">
        <f>WOJ18+WOM18</f>
        <v>62201294.850000001</v>
      </c>
      <c r="WOQ18" s="454">
        <f>+WOK18+WON18</f>
        <v>60000000</v>
      </c>
      <c r="WOR18" s="461"/>
      <c r="WOS18" s="450"/>
      <c r="WOT18" s="594">
        <f>(WOP18-WOH18)/WOH18</f>
        <v>0.13401162364699606</v>
      </c>
      <c r="WOU18" s="436" t="s">
        <v>141</v>
      </c>
      <c r="WOV18" s="448">
        <v>54850667.799999997</v>
      </c>
      <c r="WOW18" s="449"/>
      <c r="WOX18" s="448">
        <f>WOV18+WOW18</f>
        <v>54850667.799999997</v>
      </c>
      <c r="WOY18" s="452"/>
      <c r="WOZ18" s="452">
        <v>62201294.850000001</v>
      </c>
      <c r="WPA18" s="451">
        <f>60000000</f>
        <v>60000000</v>
      </c>
      <c r="WPB18" s="459"/>
      <c r="WPC18" s="452"/>
      <c r="WPD18" s="450">
        <v>0</v>
      </c>
      <c r="WPE18" s="460"/>
      <c r="WPF18" s="450">
        <f>WOZ18+WPC18</f>
        <v>62201294.850000001</v>
      </c>
      <c r="WPG18" s="454">
        <f>+WPA18+WPD18</f>
        <v>60000000</v>
      </c>
      <c r="WPH18" s="461"/>
      <c r="WPI18" s="450"/>
      <c r="WPJ18" s="594">
        <f>(WPF18-WOX18)/WOX18</f>
        <v>0.13401162364699606</v>
      </c>
      <c r="WPK18" s="436" t="s">
        <v>141</v>
      </c>
      <c r="WPL18" s="448">
        <v>54850667.799999997</v>
      </c>
      <c r="WPM18" s="449"/>
      <c r="WPN18" s="448">
        <f>WPL18+WPM18</f>
        <v>54850667.799999997</v>
      </c>
      <c r="WPO18" s="452"/>
      <c r="WPP18" s="452">
        <v>62201294.850000001</v>
      </c>
      <c r="WPQ18" s="451">
        <f>60000000</f>
        <v>60000000</v>
      </c>
      <c r="WPR18" s="459"/>
      <c r="WPS18" s="452"/>
      <c r="WPT18" s="450">
        <v>0</v>
      </c>
      <c r="WPU18" s="460"/>
      <c r="WPV18" s="450">
        <f>WPP18+WPS18</f>
        <v>62201294.850000001</v>
      </c>
      <c r="WPW18" s="454">
        <f>+WPQ18+WPT18</f>
        <v>60000000</v>
      </c>
      <c r="WPX18" s="461"/>
      <c r="WPY18" s="450"/>
      <c r="WPZ18" s="594">
        <f>(WPV18-WPN18)/WPN18</f>
        <v>0.13401162364699606</v>
      </c>
      <c r="WQA18" s="436" t="s">
        <v>141</v>
      </c>
      <c r="WQB18" s="448">
        <v>54850667.799999997</v>
      </c>
      <c r="WQC18" s="449"/>
      <c r="WQD18" s="448">
        <f>WQB18+WQC18</f>
        <v>54850667.799999997</v>
      </c>
      <c r="WQE18" s="452"/>
      <c r="WQF18" s="452">
        <v>62201294.850000001</v>
      </c>
      <c r="WQG18" s="451">
        <f>60000000</f>
        <v>60000000</v>
      </c>
      <c r="WQH18" s="459"/>
      <c r="WQI18" s="452"/>
      <c r="WQJ18" s="450">
        <v>0</v>
      </c>
      <c r="WQK18" s="460"/>
      <c r="WQL18" s="450">
        <f>WQF18+WQI18</f>
        <v>62201294.850000001</v>
      </c>
      <c r="WQM18" s="454">
        <f>+WQG18+WQJ18</f>
        <v>60000000</v>
      </c>
      <c r="WQN18" s="461"/>
      <c r="WQO18" s="450"/>
      <c r="WQP18" s="594">
        <f>(WQL18-WQD18)/WQD18</f>
        <v>0.13401162364699606</v>
      </c>
      <c r="WQQ18" s="436" t="s">
        <v>141</v>
      </c>
      <c r="WQR18" s="448">
        <v>54850667.799999997</v>
      </c>
      <c r="WQS18" s="449"/>
      <c r="WQT18" s="448">
        <f>WQR18+WQS18</f>
        <v>54850667.799999997</v>
      </c>
      <c r="WQU18" s="452"/>
      <c r="WQV18" s="452">
        <v>62201294.850000001</v>
      </c>
      <c r="WQW18" s="451">
        <f>60000000</f>
        <v>60000000</v>
      </c>
      <c r="WQX18" s="459"/>
      <c r="WQY18" s="452"/>
      <c r="WQZ18" s="450">
        <v>0</v>
      </c>
      <c r="WRA18" s="460"/>
      <c r="WRB18" s="450">
        <f>WQV18+WQY18</f>
        <v>62201294.850000001</v>
      </c>
      <c r="WRC18" s="454">
        <f>+WQW18+WQZ18</f>
        <v>60000000</v>
      </c>
      <c r="WRD18" s="461"/>
      <c r="WRE18" s="450"/>
      <c r="WRF18" s="594">
        <f>(WRB18-WQT18)/WQT18</f>
        <v>0.13401162364699606</v>
      </c>
      <c r="WRG18" s="436" t="s">
        <v>141</v>
      </c>
      <c r="WRH18" s="448">
        <v>54850667.799999997</v>
      </c>
      <c r="WRI18" s="449"/>
      <c r="WRJ18" s="448">
        <f>WRH18+WRI18</f>
        <v>54850667.799999997</v>
      </c>
      <c r="WRK18" s="452"/>
      <c r="WRL18" s="452">
        <v>62201294.850000001</v>
      </c>
      <c r="WRM18" s="451">
        <f>60000000</f>
        <v>60000000</v>
      </c>
      <c r="WRN18" s="459"/>
      <c r="WRO18" s="452"/>
      <c r="WRP18" s="450">
        <v>0</v>
      </c>
      <c r="WRQ18" s="460"/>
      <c r="WRR18" s="450">
        <f>WRL18+WRO18</f>
        <v>62201294.850000001</v>
      </c>
      <c r="WRS18" s="454">
        <f>+WRM18+WRP18</f>
        <v>60000000</v>
      </c>
      <c r="WRT18" s="461"/>
      <c r="WRU18" s="450"/>
      <c r="WRV18" s="594">
        <f>(WRR18-WRJ18)/WRJ18</f>
        <v>0.13401162364699606</v>
      </c>
      <c r="WRW18" s="436" t="s">
        <v>141</v>
      </c>
      <c r="WRX18" s="448">
        <v>54850667.799999997</v>
      </c>
      <c r="WRY18" s="449"/>
      <c r="WRZ18" s="448">
        <f>WRX18+WRY18</f>
        <v>54850667.799999997</v>
      </c>
      <c r="WSA18" s="452"/>
      <c r="WSB18" s="452">
        <v>62201294.850000001</v>
      </c>
      <c r="WSC18" s="451">
        <f>60000000</f>
        <v>60000000</v>
      </c>
      <c r="WSD18" s="459"/>
      <c r="WSE18" s="452"/>
      <c r="WSF18" s="450">
        <v>0</v>
      </c>
      <c r="WSG18" s="460"/>
      <c r="WSH18" s="450">
        <f>WSB18+WSE18</f>
        <v>62201294.850000001</v>
      </c>
      <c r="WSI18" s="454">
        <f>+WSC18+WSF18</f>
        <v>60000000</v>
      </c>
      <c r="WSJ18" s="461"/>
      <c r="WSK18" s="450"/>
      <c r="WSL18" s="594">
        <f>(WSH18-WRZ18)/WRZ18</f>
        <v>0.13401162364699606</v>
      </c>
      <c r="WSM18" s="436" t="s">
        <v>141</v>
      </c>
      <c r="WSN18" s="448">
        <v>54850667.799999997</v>
      </c>
      <c r="WSO18" s="449"/>
      <c r="WSP18" s="448">
        <f>WSN18+WSO18</f>
        <v>54850667.799999997</v>
      </c>
      <c r="WSQ18" s="452"/>
      <c r="WSR18" s="452">
        <v>62201294.850000001</v>
      </c>
      <c r="WSS18" s="451">
        <f>60000000</f>
        <v>60000000</v>
      </c>
      <c r="WST18" s="459"/>
      <c r="WSU18" s="452"/>
      <c r="WSV18" s="450">
        <v>0</v>
      </c>
      <c r="WSW18" s="460"/>
      <c r="WSX18" s="450">
        <f>WSR18+WSU18</f>
        <v>62201294.850000001</v>
      </c>
      <c r="WSY18" s="454">
        <f>+WSS18+WSV18</f>
        <v>60000000</v>
      </c>
      <c r="WSZ18" s="461"/>
      <c r="WTA18" s="450"/>
      <c r="WTB18" s="594">
        <f>(WSX18-WSP18)/WSP18</f>
        <v>0.13401162364699606</v>
      </c>
    </row>
    <row r="19" spans="1:16070" ht="32.5" customHeight="1" thickBot="1" x14ac:dyDescent="0.45">
      <c r="A19" s="436" t="s">
        <v>141</v>
      </c>
      <c r="B19" s="805">
        <v>35186403.630000003</v>
      </c>
      <c r="C19" s="449"/>
      <c r="D19" s="448">
        <f>B19+C19</f>
        <v>35186403.630000003</v>
      </c>
      <c r="E19" s="452"/>
      <c r="F19" s="857">
        <v>38037629.009999998</v>
      </c>
      <c r="G19" s="451">
        <f>70000000*6/12</f>
        <v>35000000</v>
      </c>
      <c r="H19" s="621">
        <f>(F19-G19)/G19</f>
        <v>8.6789400285714233E-2</v>
      </c>
      <c r="I19" s="596"/>
      <c r="J19" s="450">
        <v>0</v>
      </c>
      <c r="K19" s="460"/>
      <c r="L19" s="450">
        <f>F19+I19</f>
        <v>38037629.009999998</v>
      </c>
      <c r="M19" s="454">
        <f>+G19+J19</f>
        <v>35000000</v>
      </c>
      <c r="N19" s="621">
        <f>(L19-M19)/M19</f>
        <v>8.6789400285714233E-2</v>
      </c>
      <c r="O19" s="450"/>
      <c r="P19" s="594">
        <f>(L19-D19)/D19</f>
        <v>8.1032020492399354E-2</v>
      </c>
    </row>
    <row r="20" spans="1:16070" ht="32.5" customHeight="1" thickBot="1" x14ac:dyDescent="0.45">
      <c r="A20" s="436" t="s">
        <v>141</v>
      </c>
      <c r="B20" s="448">
        <f>SUM(B18:B19)</f>
        <v>25186403.630000003</v>
      </c>
      <c r="C20" s="448">
        <f>SUM(C18:C19)</f>
        <v>0</v>
      </c>
      <c r="D20" s="448">
        <f>SUM(D18:D19)</f>
        <v>25186403.630000003</v>
      </c>
      <c r="E20" s="452"/>
      <c r="F20" s="448">
        <f>SUM(F18:F19)</f>
        <v>33037629.009999998</v>
      </c>
      <c r="G20" s="448">
        <f>SUM(G18:G19)</f>
        <v>30000000</v>
      </c>
      <c r="H20" s="621">
        <f>(F20-G20)/G20</f>
        <v>0.10125430033333327</v>
      </c>
      <c r="I20" s="595">
        <f>SUM(I18:I19)</f>
        <v>0</v>
      </c>
      <c r="J20" s="448">
        <f>SUM(J18:J19)</f>
        <v>0</v>
      </c>
      <c r="K20" s="448">
        <f>SUM(K18:K19)</f>
        <v>0</v>
      </c>
      <c r="L20" s="448">
        <f>SUM(L18:L19)</f>
        <v>33037629.009999998</v>
      </c>
      <c r="M20" s="448">
        <f>SUM(M18:M19)</f>
        <v>30000000</v>
      </c>
      <c r="N20" s="621">
        <f>(L20-M20)/M20</f>
        <v>0.10125430033333327</v>
      </c>
      <c r="O20" s="450"/>
      <c r="P20" s="594">
        <f>(L20-D20)/D20</f>
        <v>0.31172475020007429</v>
      </c>
    </row>
    <row r="21" spans="1:16070" ht="32.5" customHeight="1" x14ac:dyDescent="0.4">
      <c r="A21" s="462"/>
      <c r="B21" s="440"/>
      <c r="C21" s="438"/>
      <c r="D21" s="446"/>
      <c r="E21" s="440"/>
      <c r="F21" s="440"/>
      <c r="G21" s="441"/>
      <c r="H21" s="437"/>
      <c r="I21" s="440"/>
      <c r="J21" s="508"/>
      <c r="K21" s="437"/>
      <c r="L21" s="439"/>
      <c r="M21" s="443"/>
      <c r="N21" s="438"/>
      <c r="O21" s="438"/>
      <c r="P21" s="591"/>
    </row>
    <row r="22" spans="1:16070" ht="32.5" customHeight="1" x14ac:dyDescent="0.4">
      <c r="A22" s="462" t="s">
        <v>91</v>
      </c>
      <c r="B22" s="440">
        <v>-3756875</v>
      </c>
      <c r="C22" s="438">
        <v>-2092975</v>
      </c>
      <c r="D22" s="446">
        <f>+B22+C22</f>
        <v>-5849850</v>
      </c>
      <c r="E22" s="440"/>
      <c r="F22" s="440">
        <f>'EQUITIES-GEN '!AE32</f>
        <v>-2147374.9999999981</v>
      </c>
      <c r="G22" s="441"/>
      <c r="H22" s="442"/>
      <c r="I22" s="440">
        <f>'EQUITIES-LIFE '!AE32</f>
        <v>501405.00000000093</v>
      </c>
      <c r="J22" s="441"/>
      <c r="K22" s="437"/>
      <c r="L22" s="439">
        <f>F22+I22</f>
        <v>-1645969.9999999972</v>
      </c>
      <c r="M22" s="443"/>
      <c r="N22" s="438"/>
      <c r="O22" s="438"/>
      <c r="P22" s="591">
        <f>-(L22-D22)/D22</f>
        <v>0.71863039223227998</v>
      </c>
    </row>
    <row r="23" spans="1:16070" ht="32.5" customHeight="1" x14ac:dyDescent="0.4">
      <c r="A23" s="462" t="s">
        <v>92</v>
      </c>
      <c r="B23" s="440"/>
      <c r="C23" s="438"/>
      <c r="D23" s="446">
        <f>+B23+C23</f>
        <v>0</v>
      </c>
      <c r="E23" s="440"/>
      <c r="F23" s="440">
        <f>'EQUITIES-GEN '!S32</f>
        <v>-1616560</v>
      </c>
      <c r="G23" s="441"/>
      <c r="H23" s="442"/>
      <c r="I23" s="440">
        <f>'EQUITIES-LIFE '!S32</f>
        <v>-2057440</v>
      </c>
      <c r="J23" s="441"/>
      <c r="K23" s="437"/>
      <c r="L23" s="439">
        <f>F23+I23</f>
        <v>-3674000</v>
      </c>
      <c r="M23" s="443"/>
      <c r="N23" s="438"/>
      <c r="O23" s="438"/>
      <c r="P23" s="591" t="e">
        <f>-(L23-D23)/D23</f>
        <v>#DIV/0!</v>
      </c>
    </row>
    <row r="24" spans="1:16070" ht="32.5" customHeight="1" x14ac:dyDescent="0.4">
      <c r="A24" s="462" t="s">
        <v>93</v>
      </c>
      <c r="B24" s="440">
        <v>1102807.5</v>
      </c>
      <c r="C24" s="438">
        <v>528361.5</v>
      </c>
      <c r="D24" s="446">
        <f>+B24+C24</f>
        <v>1631169</v>
      </c>
      <c r="E24" s="440"/>
      <c r="F24" s="440">
        <f>+'EQUITIES-GEN '!AI32+'EQUITIES-GEN '!AJ32</f>
        <v>530218.75</v>
      </c>
      <c r="G24" s="441"/>
      <c r="H24" s="442"/>
      <c r="I24" s="440">
        <f>+'EQUITIES-LIFE '!AI32+'EQUITIES-LIFE '!AJ32</f>
        <v>288443.75</v>
      </c>
      <c r="J24" s="441"/>
      <c r="K24" s="437"/>
      <c r="L24" s="439">
        <f>F24+I24</f>
        <v>818662.5</v>
      </c>
      <c r="M24" s="443"/>
      <c r="N24" s="438"/>
      <c r="O24" s="438"/>
      <c r="P24" s="591">
        <f>(L24-D24)/D24</f>
        <v>-0.49811300974944961</v>
      </c>
    </row>
    <row r="25" spans="1:16070" ht="32.5" customHeight="1" thickBot="1" x14ac:dyDescent="0.45">
      <c r="A25" s="462"/>
      <c r="B25" s="440"/>
      <c r="C25" s="438"/>
      <c r="D25" s="446"/>
      <c r="E25" s="440"/>
      <c r="F25" s="438"/>
      <c r="G25" s="442"/>
      <c r="H25" s="442"/>
      <c r="I25" s="445"/>
      <c r="J25" s="507"/>
      <c r="K25" s="443"/>
      <c r="L25" s="439"/>
      <c r="M25" s="443"/>
      <c r="N25" s="438"/>
      <c r="O25" s="438"/>
      <c r="P25" s="501"/>
    </row>
    <row r="26" spans="1:16070" s="410" customFormat="1" ht="32.5" customHeight="1" thickBot="1" x14ac:dyDescent="0.45">
      <c r="A26" s="464" t="s">
        <v>95</v>
      </c>
      <c r="B26" s="456">
        <f>SUM(B22:B25)</f>
        <v>-2654067.5</v>
      </c>
      <c r="C26" s="449">
        <f>SUM(C22:C25)</f>
        <v>-1564613.5</v>
      </c>
      <c r="D26" s="448">
        <f>+B26+C26</f>
        <v>-4218681</v>
      </c>
      <c r="E26" s="456"/>
      <c r="F26" s="449">
        <f>SUM(F22:F25)</f>
        <v>-3233716.2499999981</v>
      </c>
      <c r="G26" s="448">
        <f>2000000*6/12</f>
        <v>1000000</v>
      </c>
      <c r="H26" s="453">
        <f>(F26-G26)/G26</f>
        <v>-4.2337162499999978</v>
      </c>
      <c r="I26" s="449">
        <f>SUM(I22:I25)</f>
        <v>-1267591.2499999991</v>
      </c>
      <c r="J26" s="457">
        <f>500000*6/12</f>
        <v>250000</v>
      </c>
      <c r="K26" s="453">
        <f>(I26-J26)/J26</f>
        <v>-6.0703649999999962</v>
      </c>
      <c r="L26" s="449">
        <f>SUM(L22:L25)</f>
        <v>-4501307.4999999972</v>
      </c>
      <c r="M26" s="449">
        <f>+G26+J26</f>
        <v>1250000</v>
      </c>
      <c r="N26" s="593">
        <f>-(L26-M26)/M26</f>
        <v>4.6010459999999975</v>
      </c>
      <c r="O26" s="502"/>
      <c r="P26" s="594">
        <f>-(L26-D26)/D26</f>
        <v>-6.6994043872953934E-2</v>
      </c>
    </row>
    <row r="27" spans="1:16070" s="410" customFormat="1" ht="32.5" customHeight="1" thickBot="1" x14ac:dyDescent="0.45">
      <c r="A27" s="464"/>
      <c r="B27" s="761"/>
      <c r="C27" s="439"/>
      <c r="D27" s="762"/>
      <c r="E27" s="446"/>
      <c r="F27" s="480"/>
      <c r="G27" s="446"/>
      <c r="H27" s="763"/>
      <c r="I27" s="465"/>
      <c r="J27" s="764"/>
      <c r="K27" s="763"/>
      <c r="L27" s="449"/>
      <c r="M27" s="470"/>
      <c r="N27" s="765"/>
      <c r="O27" s="502"/>
      <c r="P27" s="594"/>
    </row>
    <row r="28" spans="1:16070" s="410" customFormat="1" ht="32.5" customHeight="1" thickBot="1" x14ac:dyDescent="0.45">
      <c r="A28" s="462" t="s">
        <v>275</v>
      </c>
      <c r="B28" s="440">
        <v>6090000</v>
      </c>
      <c r="C28" s="439">
        <v>0</v>
      </c>
      <c r="D28" s="762">
        <f>C28+B28</f>
        <v>6090000</v>
      </c>
      <c r="E28" s="446"/>
      <c r="F28" s="480">
        <f>REITs!AE16</f>
        <v>6638335.8999999911</v>
      </c>
      <c r="G28" s="446">
        <f>5000000*6/12</f>
        <v>2500000</v>
      </c>
      <c r="H28" s="763"/>
      <c r="I28" s="465"/>
      <c r="J28" s="764"/>
      <c r="K28" s="763"/>
      <c r="L28" s="439">
        <f>I28+F28</f>
        <v>6638335.8999999911</v>
      </c>
      <c r="M28" s="470">
        <f>+G28+J28</f>
        <v>2500000</v>
      </c>
      <c r="N28" s="765"/>
      <c r="O28" s="502"/>
      <c r="P28" s="594">
        <f>-(L28-D28)/D28</f>
        <v>-9.003873563218244E-2</v>
      </c>
    </row>
    <row r="29" spans="1:16070" s="410" customFormat="1" ht="32.5" customHeight="1" thickBot="1" x14ac:dyDescent="0.45">
      <c r="A29" s="462" t="s">
        <v>274</v>
      </c>
      <c r="B29" s="761"/>
      <c r="C29" s="439"/>
      <c r="D29" s="762">
        <f>C29+B29</f>
        <v>0</v>
      </c>
      <c r="E29" s="446"/>
      <c r="F29" s="439"/>
      <c r="G29" s="446"/>
      <c r="H29" s="763"/>
      <c r="I29" s="465"/>
      <c r="J29" s="764"/>
      <c r="K29" s="763"/>
      <c r="L29" s="439">
        <f>I29+G29</f>
        <v>0</v>
      </c>
      <c r="M29" s="470"/>
      <c r="N29" s="765"/>
      <c r="O29" s="502"/>
      <c r="P29" s="766"/>
    </row>
    <row r="30" spans="1:16070" s="410" customFormat="1" ht="32.5" customHeight="1" x14ac:dyDescent="0.4">
      <c r="A30" s="462" t="s">
        <v>283</v>
      </c>
      <c r="B30" s="440">
        <v>2240000</v>
      </c>
      <c r="C30" s="439"/>
      <c r="D30" s="762">
        <f>C30+B30</f>
        <v>2240000</v>
      </c>
      <c r="E30" s="446"/>
      <c r="F30" s="439">
        <f>REITs!AI16+REITs!AJ16</f>
        <v>3004223.9499999997</v>
      </c>
      <c r="G30" s="446"/>
      <c r="H30" s="763"/>
      <c r="I30" s="439"/>
      <c r="J30" s="470"/>
      <c r="K30" s="763"/>
      <c r="L30" s="439">
        <f>I30+F30</f>
        <v>3004223.9499999997</v>
      </c>
      <c r="M30" s="470"/>
      <c r="N30" s="765"/>
      <c r="O30" s="502"/>
      <c r="P30" s="591"/>
    </row>
    <row r="31" spans="1:16070" s="776" customFormat="1" ht="32.5" customHeight="1" x14ac:dyDescent="0.4">
      <c r="A31" s="768" t="s">
        <v>273</v>
      </c>
      <c r="B31" s="769">
        <f>SUM(B28:B30)</f>
        <v>8330000</v>
      </c>
      <c r="C31" s="769">
        <f>SUM(C28:C30)</f>
        <v>0</v>
      </c>
      <c r="D31" s="769">
        <f>SUM(D28:D30)</f>
        <v>8330000</v>
      </c>
      <c r="E31" s="771"/>
      <c r="F31" s="770">
        <f>SUM(F28:F30)</f>
        <v>9642559.8499999903</v>
      </c>
      <c r="G31" s="770">
        <f t="shared" ref="G31:L31" si="3">SUM(G28:G30)</f>
        <v>2500000</v>
      </c>
      <c r="H31" s="770">
        <f t="shared" si="3"/>
        <v>0</v>
      </c>
      <c r="I31" s="770">
        <f t="shared" si="3"/>
        <v>0</v>
      </c>
      <c r="J31" s="770">
        <f t="shared" si="3"/>
        <v>0</v>
      </c>
      <c r="K31" s="770">
        <f t="shared" si="3"/>
        <v>0</v>
      </c>
      <c r="L31" s="770">
        <f t="shared" si="3"/>
        <v>9642559.8499999903</v>
      </c>
      <c r="M31" s="772">
        <f>+G31+J31</f>
        <v>2500000</v>
      </c>
      <c r="N31" s="773"/>
      <c r="O31" s="774"/>
      <c r="P31" s="775">
        <f>-(L31-D31)/D31</f>
        <v>-0.15757021008403246</v>
      </c>
    </row>
    <row r="32" spans="1:16070" ht="32.5" customHeight="1" thickBot="1" x14ac:dyDescent="0.45">
      <c r="A32" s="462"/>
      <c r="B32" s="440"/>
      <c r="C32" s="438"/>
      <c r="D32" s="439"/>
      <c r="E32" s="442"/>
      <c r="F32" s="445"/>
      <c r="G32" s="442"/>
      <c r="H32" s="442"/>
      <c r="I32" s="438"/>
      <c r="J32" s="443"/>
      <c r="K32" s="443"/>
      <c r="L32" s="439"/>
      <c r="M32" s="443"/>
      <c r="N32" s="438"/>
      <c r="O32" s="438"/>
      <c r="P32" s="767"/>
    </row>
    <row r="33" spans="1:16" s="410" customFormat="1" ht="32.5" customHeight="1" thickBot="1" x14ac:dyDescent="0.45">
      <c r="A33" s="468" t="s">
        <v>96</v>
      </c>
      <c r="B33" s="449">
        <f>+B26+B16+B20+B31</f>
        <v>315152292.70000005</v>
      </c>
      <c r="C33" s="449">
        <f>+C26+C16+C20+C31</f>
        <v>88836419.120000005</v>
      </c>
      <c r="D33" s="449">
        <f>+D26+D16+D20+D31</f>
        <v>403988711.81999999</v>
      </c>
      <c r="E33" s="448"/>
      <c r="F33" s="456">
        <f>+F26+F16+F20+F31</f>
        <v>351549867.54037476</v>
      </c>
      <c r="G33" s="456">
        <f>+G26+G16+G20+G31</f>
        <v>333500000</v>
      </c>
      <c r="H33" s="453">
        <f>(F33-G33)/G33</f>
        <v>5.4122541350449041E-2</v>
      </c>
      <c r="I33" s="456">
        <f>+I26+I16+I20+I31</f>
        <v>91900139.861875415</v>
      </c>
      <c r="J33" s="457">
        <f>+J26+J16+J20+J31</f>
        <v>92750000</v>
      </c>
      <c r="K33" s="458">
        <f>(I33-J33)/J33</f>
        <v>-9.1629125404267941E-3</v>
      </c>
      <c r="L33" s="456">
        <f>+L26+L16+L20+L31</f>
        <v>443450007.40225011</v>
      </c>
      <c r="M33" s="456">
        <f>+M26+M16+M20+M31</f>
        <v>426250000</v>
      </c>
      <c r="N33" s="593">
        <f>(L33-M33)/M33</f>
        <v>4.0351923524340437E-2</v>
      </c>
      <c r="O33" s="483"/>
      <c r="P33" s="594">
        <f>(L33-D33)/D33</f>
        <v>9.7679203471983084E-2</v>
      </c>
    </row>
    <row r="34" spans="1:16" ht="32.5" customHeight="1" thickBot="1" x14ac:dyDescent="0.45">
      <c r="A34" s="469"/>
      <c r="B34" s="440"/>
      <c r="C34" s="438"/>
      <c r="D34" s="470"/>
      <c r="E34" s="442"/>
      <c r="F34" s="466"/>
      <c r="G34" s="442"/>
      <c r="H34" s="471"/>
      <c r="I34" s="466"/>
      <c r="J34" s="482"/>
      <c r="K34" s="472"/>
      <c r="L34" s="465"/>
      <c r="M34" s="467"/>
      <c r="N34" s="473"/>
      <c r="O34" s="477"/>
      <c r="P34" s="463"/>
    </row>
    <row r="35" spans="1:16" ht="32.5" customHeight="1" x14ac:dyDescent="0.4">
      <c r="A35" s="474" t="s">
        <v>198</v>
      </c>
      <c r="B35" s="440"/>
      <c r="C35" s="438"/>
      <c r="D35" s="446">
        <f>+B35+C35</f>
        <v>0</v>
      </c>
      <c r="E35" s="442"/>
      <c r="F35" s="641"/>
      <c r="G35" s="442"/>
      <c r="H35" s="471"/>
      <c r="I35" s="438"/>
      <c r="J35" s="440"/>
      <c r="K35" s="472"/>
      <c r="L35" s="439">
        <f>F35+I35</f>
        <v>0</v>
      </c>
      <c r="M35" s="443"/>
      <c r="N35" s="475"/>
      <c r="O35" s="442"/>
      <c r="P35" s="476"/>
    </row>
    <row r="36" spans="1:16" ht="32.5" customHeight="1" thickBot="1" x14ac:dyDescent="0.45">
      <c r="A36" s="462"/>
      <c r="B36" s="440"/>
      <c r="C36" s="438"/>
      <c r="D36" s="470"/>
      <c r="E36" s="442"/>
      <c r="F36" s="445"/>
      <c r="G36" s="477"/>
      <c r="H36" s="478"/>
      <c r="I36" s="445"/>
      <c r="J36" s="507"/>
      <c r="K36" s="479"/>
      <c r="L36" s="480"/>
      <c r="M36" s="444"/>
      <c r="N36" s="481"/>
      <c r="O36" s="442"/>
      <c r="P36" s="463"/>
    </row>
    <row r="37" spans="1:16" s="410" customFormat="1" ht="37.5" customHeight="1" thickBot="1" x14ac:dyDescent="0.45">
      <c r="A37" s="504" t="s">
        <v>97</v>
      </c>
      <c r="B37" s="456">
        <f t="shared" ref="B37:G37" si="4">+B33+B35</f>
        <v>315152292.70000005</v>
      </c>
      <c r="C37" s="456">
        <f t="shared" si="4"/>
        <v>88836419.120000005</v>
      </c>
      <c r="D37" s="456">
        <f t="shared" si="4"/>
        <v>403988711.81999999</v>
      </c>
      <c r="E37" s="448">
        <f t="shared" si="4"/>
        <v>0</v>
      </c>
      <c r="F37" s="449">
        <f t="shared" si="4"/>
        <v>351549867.54037476</v>
      </c>
      <c r="G37" s="448">
        <f t="shared" si="4"/>
        <v>333500000</v>
      </c>
      <c r="H37" s="505">
        <f>(F37-G37)/G37</f>
        <v>5.4122541350449041E-2</v>
      </c>
      <c r="I37" s="449">
        <f>+I33+I35</f>
        <v>91900139.861875415</v>
      </c>
      <c r="J37" s="449">
        <f>+J33+J35</f>
        <v>92750000</v>
      </c>
      <c r="K37" s="458">
        <f>(I37-J37)/J37</f>
        <v>-9.1629125404267941E-3</v>
      </c>
      <c r="L37" s="449">
        <f>+L33+L35</f>
        <v>443450007.40225011</v>
      </c>
      <c r="M37" s="457">
        <f>+M33+M35</f>
        <v>426250000</v>
      </c>
      <c r="N37" s="505">
        <f>(L37-M37)/M37</f>
        <v>4.0351923524340437E-2</v>
      </c>
      <c r="O37" s="449"/>
      <c r="P37" s="505">
        <f>-(D37-L37)/D37</f>
        <v>9.7679203471983084E-2</v>
      </c>
    </row>
    <row r="38" spans="1:16" ht="28.5" hidden="1" customHeight="1" thickBot="1" x14ac:dyDescent="0.45">
      <c r="A38" s="462"/>
      <c r="B38" s="440"/>
      <c r="C38" s="438"/>
      <c r="D38" s="470"/>
      <c r="E38" s="442"/>
      <c r="F38" s="440"/>
      <c r="G38" s="442"/>
      <c r="H38" s="471"/>
      <c r="I38" s="440"/>
      <c r="J38" s="442"/>
      <c r="K38" s="472"/>
      <c r="L38" s="439">
        <f>+L34+L36</f>
        <v>0</v>
      </c>
      <c r="M38" s="443"/>
      <c r="N38" s="475"/>
      <c r="O38" s="442"/>
      <c r="P38" s="483"/>
    </row>
    <row r="39" spans="1:16" ht="32.5" hidden="1" customHeight="1" thickBot="1" x14ac:dyDescent="0.45">
      <c r="A39" s="474" t="s">
        <v>98</v>
      </c>
      <c r="B39" s="440"/>
      <c r="C39" s="438"/>
      <c r="D39" s="470">
        <f>+B39+C39</f>
        <v>0</v>
      </c>
      <c r="E39" s="442"/>
      <c r="F39" s="440"/>
      <c r="G39" s="442"/>
      <c r="H39" s="484"/>
      <c r="I39" s="440"/>
      <c r="J39" s="442"/>
      <c r="K39" s="485"/>
      <c r="L39" s="439">
        <f>F39+I39</f>
        <v>0</v>
      </c>
      <c r="M39" s="443">
        <f>+G39+J39</f>
        <v>0</v>
      </c>
      <c r="N39" s="483"/>
      <c r="O39" s="442"/>
      <c r="P39" s="461"/>
    </row>
    <row r="40" spans="1:16" ht="32.5" hidden="1" customHeight="1" x14ac:dyDescent="0.4">
      <c r="A40" s="462"/>
      <c r="B40" s="440"/>
      <c r="C40" s="438"/>
      <c r="D40" s="470"/>
      <c r="E40" s="442"/>
      <c r="F40" s="440"/>
      <c r="G40" s="442"/>
      <c r="H40" s="471"/>
      <c r="I40" s="440"/>
      <c r="J40" s="442"/>
      <c r="K40" s="472"/>
      <c r="L40" s="439">
        <f>+L36+L38</f>
        <v>0</v>
      </c>
      <c r="M40" s="443"/>
      <c r="N40" s="475"/>
      <c r="O40" s="442"/>
      <c r="P40" s="483"/>
    </row>
    <row r="41" spans="1:16" s="410" customFormat="1" ht="32.5" hidden="1" customHeight="1" thickBot="1" x14ac:dyDescent="0.45">
      <c r="A41" s="486" t="s">
        <v>25</v>
      </c>
      <c r="B41" s="487">
        <f>+B37+B39</f>
        <v>315152292.70000005</v>
      </c>
      <c r="C41" s="488">
        <f>C37+C39</f>
        <v>88836419.120000005</v>
      </c>
      <c r="D41" s="489">
        <f>D37+D39</f>
        <v>403988711.81999999</v>
      </c>
      <c r="E41" s="490"/>
      <c r="F41" s="487">
        <f>F37+F39</f>
        <v>351549867.54037476</v>
      </c>
      <c r="G41" s="490">
        <f t="shared" ref="G41:M41" si="5">G37+G39</f>
        <v>333500000</v>
      </c>
      <c r="H41" s="491">
        <f>(F41-G41)/G41</f>
        <v>5.4122541350449041E-2</v>
      </c>
      <c r="I41" s="487">
        <f t="shared" si="5"/>
        <v>91900139.861875415</v>
      </c>
      <c r="J41" s="490">
        <f t="shared" si="5"/>
        <v>92750000</v>
      </c>
      <c r="K41" s="492">
        <f t="shared" si="5"/>
        <v>-9.1629125404267941E-3</v>
      </c>
      <c r="L41" s="488">
        <f t="shared" si="5"/>
        <v>443450007.40225011</v>
      </c>
      <c r="M41" s="489">
        <f t="shared" si="5"/>
        <v>426250000</v>
      </c>
      <c r="N41" s="493">
        <f>(L41-M41)/M41</f>
        <v>4.0351923524340437E-2</v>
      </c>
      <c r="O41" s="490"/>
      <c r="P41" s="493">
        <f>-(D41-L41)/D41</f>
        <v>9.7679203471983084E-2</v>
      </c>
    </row>
    <row r="42" spans="1:16" ht="32.5" hidden="1" customHeight="1" x14ac:dyDescent="0.4">
      <c r="B42" s="494"/>
      <c r="C42" s="494"/>
      <c r="D42" s="495"/>
      <c r="E42" s="494"/>
      <c r="F42" s="494"/>
      <c r="G42" s="494"/>
      <c r="H42" s="494"/>
      <c r="I42" s="494"/>
      <c r="J42" s="494"/>
      <c r="K42" s="494"/>
      <c r="L42" s="495"/>
      <c r="M42" s="494"/>
      <c r="O42" s="494"/>
      <c r="P42" s="495"/>
    </row>
    <row r="43" spans="1:16" ht="32.5" customHeight="1" x14ac:dyDescent="0.4">
      <c r="G43" s="638"/>
      <c r="L43" s="799"/>
      <c r="M43" s="494"/>
    </row>
    <row r="44" spans="1:16" ht="32.5" customHeight="1" x14ac:dyDescent="0.4">
      <c r="B44" s="494"/>
      <c r="D44" s="495"/>
      <c r="G44" s="494"/>
      <c r="J44" s="642"/>
      <c r="K44" s="638"/>
      <c r="L44" s="642"/>
      <c r="M44" s="494"/>
      <c r="N44" s="638"/>
    </row>
    <row r="45" spans="1:16" ht="32.5" customHeight="1" thickBot="1" x14ac:dyDescent="0.45">
      <c r="K45" s="455"/>
      <c r="L45" s="739"/>
    </row>
    <row r="46" spans="1:16" ht="32.5" customHeight="1" x14ac:dyDescent="0.4">
      <c r="H46" s="639"/>
      <c r="I46" s="639"/>
    </row>
    <row r="47" spans="1:16" ht="32.5" customHeight="1" x14ac:dyDescent="0.4">
      <c r="H47" s="639"/>
      <c r="I47" s="639"/>
    </row>
    <row r="48" spans="1:16" ht="32.5" customHeight="1" x14ac:dyDescent="0.4">
      <c r="H48" s="639"/>
      <c r="I48" s="639"/>
      <c r="J48" s="639"/>
    </row>
    <row r="49" spans="4:16" ht="32.5" customHeight="1" x14ac:dyDescent="0.4">
      <c r="J49" s="638"/>
    </row>
    <row r="50" spans="4:16" ht="32.5" customHeight="1" x14ac:dyDescent="0.4">
      <c r="K50" s="415"/>
    </row>
    <row r="54" spans="4:16" ht="32.5" customHeight="1" thickBot="1" x14ac:dyDescent="0.45">
      <c r="K54" s="455"/>
    </row>
    <row r="55" spans="4:16" ht="32.5" customHeight="1" x14ac:dyDescent="0.35">
      <c r="D55" s="409"/>
      <c r="K55" s="411"/>
      <c r="L55" s="409"/>
      <c r="P55" s="409"/>
    </row>
  </sheetData>
  <mergeCells count="2">
    <mergeCell ref="F5:H5"/>
    <mergeCell ref="I5:K5"/>
  </mergeCells>
  <printOptions horizontalCentered="1" gridLines="1"/>
  <pageMargins left="0.51181102362204722" right="0.51181102362204722" top="0.82677165354330717" bottom="0.51181102362204722" header="0.51181102362204722" footer="0.51181102362204722"/>
  <pageSetup paperSize="9" scale="38" orientation="landscape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E545"/>
  <sheetViews>
    <sheetView tabSelected="1" view="pageBreakPreview" zoomScale="85" zoomScaleNormal="104" zoomScaleSheetLayoutView="85" workbookViewId="0">
      <pane xSplit="5" ySplit="7" topLeftCell="O383" activePane="bottomRight" state="frozen"/>
      <selection activeCell="I258" activeCellId="3" sqref="G251 I251 G258 I258"/>
      <selection pane="topRight" activeCell="I258" activeCellId="3" sqref="G251 I251 G258 I258"/>
      <selection pane="bottomLeft" activeCell="I258" activeCellId="3" sqref="G251 I251 G258 I258"/>
      <selection pane="bottomRight" activeCell="D7" sqref="D7"/>
    </sheetView>
  </sheetViews>
  <sheetFormatPr defaultColWidth="9.1796875" defaultRowHeight="23.5" customHeight="1" x14ac:dyDescent="0.25"/>
  <cols>
    <col min="1" max="1" width="48.1796875" style="30" customWidth="1"/>
    <col min="2" max="2" width="3.1796875" style="30" bestFit="1" customWidth="1"/>
    <col min="3" max="3" width="18.1796875" style="30" bestFit="1" customWidth="1"/>
    <col min="4" max="4" width="12" style="30" bestFit="1" customWidth="1"/>
    <col min="5" max="5" width="13.7265625" style="30" customWidth="1"/>
    <col min="6" max="6" width="12.1796875" style="99" hidden="1" customWidth="1"/>
    <col min="7" max="7" width="13.26953125" style="99" bestFit="1" customWidth="1"/>
    <col min="8" max="9" width="12.1796875" style="99" hidden="1" customWidth="1"/>
    <col min="10" max="10" width="13.1796875" style="99" bestFit="1" customWidth="1"/>
    <col min="11" max="11" width="15" style="99" bestFit="1" customWidth="1"/>
    <col min="12" max="12" width="17" style="30" customWidth="1"/>
    <col min="13" max="13" width="16.1796875" style="100" hidden="1" customWidth="1"/>
    <col min="14" max="14" width="17.1796875" style="30" customWidth="1"/>
    <col min="15" max="15" width="20.81640625" style="20" customWidth="1"/>
    <col min="16" max="16" width="18" style="99" customWidth="1"/>
    <col min="17" max="17" width="17.1796875" style="99" bestFit="1" customWidth="1"/>
    <col min="18" max="18" width="18.54296875" style="99" bestFit="1" customWidth="1"/>
    <col min="19" max="19" width="15.54296875" style="101" customWidth="1"/>
    <col min="20" max="20" width="26.1796875" style="30" bestFit="1" customWidth="1"/>
    <col min="21" max="21" width="19" style="83" bestFit="1" customWidth="1"/>
    <col min="22" max="22" width="20.1796875" style="84" bestFit="1" customWidth="1"/>
    <col min="23" max="23" width="16.1796875" style="13" bestFit="1" customWidth="1"/>
    <col min="24" max="24" width="15.1796875" style="29" bestFit="1" customWidth="1"/>
    <col min="25" max="25" width="28.1796875" style="29" customWidth="1"/>
    <col min="26" max="26" width="16.1796875" style="30" bestFit="1" customWidth="1"/>
    <col min="27" max="27" width="14.453125" style="30" bestFit="1" customWidth="1"/>
    <col min="28" max="28" width="9.1796875" style="30"/>
    <col min="29" max="29" width="14.453125" style="29" bestFit="1" customWidth="1"/>
    <col min="30" max="30" width="17" style="29" bestFit="1" customWidth="1"/>
    <col min="31" max="31" width="14.453125" style="30" bestFit="1" customWidth="1"/>
    <col min="32" max="16384" width="9.1796875" style="30"/>
  </cols>
  <sheetData>
    <row r="1" spans="1:31" s="6" customFormat="1" ht="23.5" customHeight="1" x14ac:dyDescent="0.25">
      <c r="A1" s="4" t="s">
        <v>16</v>
      </c>
      <c r="B1" s="5"/>
      <c r="C1" s="5"/>
      <c r="D1" s="5"/>
      <c r="E1" s="5"/>
      <c r="K1" s="7"/>
      <c r="L1" s="8"/>
      <c r="M1" s="9"/>
      <c r="N1" s="10"/>
      <c r="O1" s="11"/>
      <c r="P1" s="10"/>
      <c r="Q1" s="7"/>
      <c r="R1" s="7"/>
      <c r="S1" s="12"/>
      <c r="T1" s="570">
        <f>DATE!A1</f>
        <v>45107</v>
      </c>
      <c r="U1" s="576">
        <v>44926</v>
      </c>
      <c r="V1" s="611">
        <v>2023</v>
      </c>
      <c r="W1" s="13"/>
      <c r="X1" s="13"/>
      <c r="Y1" s="13"/>
      <c r="AC1" s="13"/>
      <c r="AD1" s="13"/>
    </row>
    <row r="2" spans="1:31" s="6" customFormat="1" ht="23.5" customHeight="1" x14ac:dyDescent="0.25">
      <c r="A2" s="14"/>
      <c r="B2" s="15"/>
      <c r="C2" s="15"/>
      <c r="D2" s="736"/>
      <c r="E2" s="15"/>
      <c r="G2" s="664"/>
      <c r="J2" s="583"/>
      <c r="K2" s="16"/>
      <c r="L2" s="17"/>
      <c r="M2" s="18"/>
      <c r="N2" s="19"/>
      <c r="O2" s="20"/>
      <c r="P2" s="19"/>
      <c r="Q2" s="21"/>
      <c r="R2" s="22"/>
      <c r="S2" s="12"/>
      <c r="T2" s="571" t="s">
        <v>184</v>
      </c>
      <c r="U2" s="577"/>
      <c r="V2" s="80"/>
      <c r="W2" s="13"/>
      <c r="X2" s="13"/>
      <c r="Y2" s="13"/>
      <c r="AC2" s="13"/>
      <c r="AD2" s="13"/>
    </row>
    <row r="3" spans="1:31" s="13" customFormat="1" ht="23.5" customHeight="1" x14ac:dyDescent="0.25">
      <c r="A3" s="23" t="s">
        <v>17</v>
      </c>
      <c r="B3" s="24"/>
      <c r="C3" s="24"/>
      <c r="D3" s="736"/>
      <c r="E3" s="24"/>
      <c r="F3" s="25"/>
      <c r="G3" s="26"/>
      <c r="H3" s="25"/>
      <c r="I3" s="25"/>
      <c r="J3" s="670"/>
      <c r="K3" s="25"/>
      <c r="L3" s="6"/>
      <c r="M3" s="9"/>
      <c r="N3" s="6"/>
      <c r="O3" s="20"/>
      <c r="P3" s="25"/>
      <c r="Q3" s="25"/>
      <c r="R3" s="31"/>
      <c r="S3" s="27"/>
      <c r="T3" s="6"/>
      <c r="U3" s="563"/>
      <c r="V3" s="90"/>
      <c r="X3" s="29"/>
      <c r="Y3" s="29"/>
      <c r="Z3" s="30"/>
      <c r="AA3" s="30"/>
      <c r="AB3" s="30"/>
      <c r="AC3" s="29"/>
      <c r="AD3" s="29"/>
      <c r="AE3" s="30"/>
    </row>
    <row r="4" spans="1:31" s="13" customFormat="1" ht="23.5" customHeight="1" x14ac:dyDescent="0.25">
      <c r="A4" s="23" t="str">
        <f>DATE!A3</f>
        <v>AT 30TH JUNE 2023</v>
      </c>
      <c r="B4" s="24"/>
      <c r="C4" s="24"/>
      <c r="D4" s="736"/>
      <c r="E4" s="24"/>
      <c r="F4" s="16"/>
      <c r="G4" s="16"/>
      <c r="H4" s="16"/>
      <c r="I4" s="16"/>
      <c r="J4" s="11"/>
      <c r="K4" s="25"/>
      <c r="L4" s="11"/>
      <c r="M4" s="9"/>
      <c r="N4" s="607"/>
      <c r="O4" s="20"/>
      <c r="P4" s="89"/>
      <c r="Q4" s="25"/>
      <c r="R4" s="31"/>
      <c r="S4" s="27"/>
      <c r="T4" s="6"/>
      <c r="U4" s="563"/>
      <c r="V4" s="90"/>
      <c r="X4" s="29"/>
      <c r="Y4" s="29"/>
      <c r="Z4" s="30"/>
      <c r="AA4" s="30"/>
      <c r="AB4" s="30"/>
      <c r="AC4" s="29"/>
      <c r="AD4" s="29"/>
      <c r="AE4" s="30"/>
    </row>
    <row r="5" spans="1:31" s="13" customFormat="1" ht="23.5" customHeight="1" x14ac:dyDescent="0.25">
      <c r="A5" s="23"/>
      <c r="B5" s="24"/>
      <c r="C5" s="24"/>
      <c r="D5" s="24"/>
      <c r="E5" s="24"/>
      <c r="F5" s="31"/>
      <c r="G5" s="31"/>
      <c r="H5" s="31"/>
      <c r="I5" s="31"/>
      <c r="J5" s="11"/>
      <c r="K5" s="25"/>
      <c r="L5" s="28"/>
      <c r="M5" s="9"/>
      <c r="N5" s="6"/>
      <c r="O5" s="20"/>
      <c r="P5" s="25"/>
      <c r="Q5" s="25"/>
      <c r="R5" s="89"/>
      <c r="S5" s="27"/>
      <c r="T5" s="6"/>
      <c r="U5" s="563"/>
      <c r="V5" s="90"/>
      <c r="X5" s="29"/>
      <c r="Y5" s="29"/>
      <c r="Z5" s="30"/>
      <c r="AA5" s="30"/>
      <c r="AB5" s="30"/>
      <c r="AC5" s="29"/>
      <c r="AD5" s="29"/>
      <c r="AE5" s="30"/>
    </row>
    <row r="6" spans="1:31" s="13" customFormat="1" ht="23.5" customHeight="1" x14ac:dyDescent="0.25">
      <c r="A6" s="32" t="s">
        <v>18</v>
      </c>
      <c r="B6" s="33"/>
      <c r="C6" s="33"/>
      <c r="D6" s="33" t="s">
        <v>19</v>
      </c>
      <c r="E6" s="34" t="s">
        <v>5</v>
      </c>
      <c r="F6" s="33" t="s">
        <v>20</v>
      </c>
      <c r="G6" s="33" t="s">
        <v>20</v>
      </c>
      <c r="H6" s="33"/>
      <c r="I6" s="33"/>
      <c r="J6" s="33" t="s">
        <v>21</v>
      </c>
      <c r="K6" s="34" t="s">
        <v>22</v>
      </c>
      <c r="L6" s="33" t="s">
        <v>23</v>
      </c>
      <c r="M6" s="35" t="s">
        <v>79</v>
      </c>
      <c r="N6" s="33" t="s">
        <v>24</v>
      </c>
      <c r="O6" s="33" t="s">
        <v>25</v>
      </c>
      <c r="P6" s="33" t="s">
        <v>26</v>
      </c>
      <c r="Q6" s="33" t="s">
        <v>27</v>
      </c>
      <c r="R6" s="33" t="s">
        <v>28</v>
      </c>
      <c r="S6" s="36" t="s">
        <v>29</v>
      </c>
      <c r="T6" s="33" t="s">
        <v>26</v>
      </c>
      <c r="U6" s="563"/>
      <c r="V6" s="90"/>
      <c r="X6" s="29"/>
      <c r="Y6" s="29"/>
      <c r="Z6" s="30"/>
      <c r="AA6" s="30"/>
      <c r="AB6" s="30"/>
      <c r="AC6" s="29"/>
      <c r="AD6" s="29"/>
      <c r="AE6" s="30"/>
    </row>
    <row r="7" spans="1:31" s="13" customFormat="1" ht="23.5" customHeight="1" x14ac:dyDescent="0.3">
      <c r="A7" s="37" t="s">
        <v>30</v>
      </c>
      <c r="B7" s="38"/>
      <c r="C7" s="38"/>
      <c r="D7" s="38" t="s">
        <v>31</v>
      </c>
      <c r="E7" s="39" t="s">
        <v>19</v>
      </c>
      <c r="F7" s="38" t="s">
        <v>33</v>
      </c>
      <c r="G7" s="38" t="s">
        <v>33</v>
      </c>
      <c r="H7" s="38"/>
      <c r="I7" s="38"/>
      <c r="J7" s="38" t="s">
        <v>19</v>
      </c>
      <c r="K7" s="38" t="s">
        <v>32</v>
      </c>
      <c r="L7" s="38" t="s">
        <v>34</v>
      </c>
      <c r="M7" s="40"/>
      <c r="N7" s="38" t="s">
        <v>31</v>
      </c>
      <c r="O7" s="38" t="s">
        <v>35</v>
      </c>
      <c r="P7" s="41" t="s">
        <v>36</v>
      </c>
      <c r="Q7" s="42">
        <v>1</v>
      </c>
      <c r="R7" s="41" t="s">
        <v>34</v>
      </c>
      <c r="S7" s="43" t="s">
        <v>37</v>
      </c>
      <c r="T7" s="38" t="s">
        <v>38</v>
      </c>
      <c r="U7" s="563"/>
      <c r="V7" s="90"/>
      <c r="X7" s="29"/>
      <c r="Y7" s="29"/>
      <c r="Z7" s="30"/>
      <c r="AA7" s="30"/>
      <c r="AB7" s="30"/>
      <c r="AC7" s="29"/>
      <c r="AD7" s="29"/>
      <c r="AE7" s="30"/>
    </row>
    <row r="8" spans="1:31" s="29" customFormat="1" ht="22.5" customHeight="1" x14ac:dyDescent="0.25">
      <c r="A8" s="44"/>
      <c r="B8" s="45"/>
      <c r="C8" s="45"/>
      <c r="D8" s="736"/>
      <c r="E8" s="736"/>
      <c r="F8" s="73"/>
      <c r="G8" s="73"/>
      <c r="H8" s="73"/>
      <c r="I8" s="73"/>
      <c r="J8" s="736"/>
      <c r="K8" s="736"/>
      <c r="L8" s="46"/>
      <c r="M8" s="18"/>
      <c r="N8" s="46"/>
      <c r="O8" s="20"/>
      <c r="P8" s="47"/>
      <c r="Q8" s="48"/>
      <c r="R8" s="22"/>
      <c r="S8" s="12"/>
      <c r="T8" s="75"/>
      <c r="U8" s="563"/>
      <c r="V8" s="13"/>
      <c r="W8" s="13"/>
      <c r="Z8" s="30"/>
      <c r="AA8" s="30"/>
      <c r="AB8" s="30"/>
      <c r="AE8" s="30"/>
    </row>
    <row r="9" spans="1:31" s="818" customFormat="1" ht="22.5" customHeight="1" x14ac:dyDescent="0.25">
      <c r="A9" s="741" t="s">
        <v>298</v>
      </c>
      <c r="B9" s="742" t="s">
        <v>175</v>
      </c>
      <c r="C9" s="742"/>
      <c r="D9" s="743">
        <v>44480</v>
      </c>
      <c r="E9" s="743">
        <v>44767</v>
      </c>
      <c r="F9" s="744">
        <v>3640</v>
      </c>
      <c r="G9" s="744">
        <f t="shared" ref="G9:G20" si="0">J9-E9</f>
        <v>4368</v>
      </c>
      <c r="H9" s="744">
        <f>[27]Sheet1!H9</f>
        <v>0</v>
      </c>
      <c r="I9" s="744">
        <f t="shared" ref="I9:I20" si="1">G9-H9</f>
        <v>4368</v>
      </c>
      <c r="J9" s="743">
        <f t="shared" ref="J9:J14" si="2">D9+4655</f>
        <v>49135</v>
      </c>
      <c r="K9" s="743">
        <f t="shared" ref="K9:K20" si="3">E9+182</f>
        <v>44949</v>
      </c>
      <c r="L9" s="745">
        <v>20000000</v>
      </c>
      <c r="M9" s="795"/>
      <c r="N9" s="745">
        <v>19886400</v>
      </c>
      <c r="O9" s="746">
        <f t="shared" ref="O9:O20" si="4">L9*P9*G9/364</f>
        <v>29616000</v>
      </c>
      <c r="P9" s="747">
        <v>0.1234</v>
      </c>
      <c r="Q9" s="800">
        <v>0.94707600000000003</v>
      </c>
      <c r="R9" s="748">
        <f t="shared" ref="R9:R20" si="5">+L9*Q9</f>
        <v>18941520</v>
      </c>
      <c r="S9" s="749">
        <v>0.12845000000000001</v>
      </c>
      <c r="T9" s="750">
        <v>1234000</v>
      </c>
      <c r="U9" s="751">
        <v>1084835.1648351648</v>
      </c>
      <c r="V9" s="752">
        <f t="shared" ref="V9:V20" si="6">+T9-U9</f>
        <v>149164.83516483521</v>
      </c>
      <c r="W9" s="752"/>
      <c r="X9" s="665"/>
      <c r="Y9" s="665"/>
      <c r="Z9" s="753"/>
      <c r="AA9" s="753"/>
      <c r="AB9" s="753"/>
      <c r="AC9" s="665"/>
      <c r="AD9" s="665"/>
      <c r="AE9" s="753"/>
    </row>
    <row r="10" spans="1:31" s="818" customFormat="1" ht="22.5" customHeight="1" x14ac:dyDescent="0.25">
      <c r="A10" s="741" t="s">
        <v>298</v>
      </c>
      <c r="B10" s="742" t="s">
        <v>175</v>
      </c>
      <c r="C10" s="742"/>
      <c r="D10" s="743">
        <v>44480</v>
      </c>
      <c r="E10" s="743">
        <v>44767</v>
      </c>
      <c r="F10" s="744">
        <v>3640</v>
      </c>
      <c r="G10" s="744">
        <f t="shared" si="0"/>
        <v>4368</v>
      </c>
      <c r="H10" s="744">
        <f>[27]Sheet1!H10</f>
        <v>0</v>
      </c>
      <c r="I10" s="744">
        <f t="shared" si="1"/>
        <v>4368</v>
      </c>
      <c r="J10" s="743">
        <f t="shared" si="2"/>
        <v>49135</v>
      </c>
      <c r="K10" s="743">
        <f t="shared" si="3"/>
        <v>44949</v>
      </c>
      <c r="L10" s="745">
        <v>40000000</v>
      </c>
      <c r="M10" s="795"/>
      <c r="N10" s="745">
        <v>40126400</v>
      </c>
      <c r="O10" s="746">
        <f t="shared" si="4"/>
        <v>59232000</v>
      </c>
      <c r="P10" s="747">
        <v>0.1234</v>
      </c>
      <c r="Q10" s="800">
        <v>0.94707600000000003</v>
      </c>
      <c r="R10" s="748">
        <f t="shared" si="5"/>
        <v>37883040</v>
      </c>
      <c r="S10" s="749">
        <v>0.127</v>
      </c>
      <c r="T10" s="750">
        <v>2468000</v>
      </c>
      <c r="U10" s="751">
        <v>2169670.3296703296</v>
      </c>
      <c r="V10" s="752">
        <f t="shared" si="6"/>
        <v>298329.67032967042</v>
      </c>
      <c r="W10" s="752"/>
      <c r="X10" s="665"/>
      <c r="Y10" s="665"/>
      <c r="Z10" s="753"/>
      <c r="AA10" s="753"/>
      <c r="AB10" s="753"/>
      <c r="AC10" s="665"/>
      <c r="AD10" s="665"/>
      <c r="AE10" s="753"/>
    </row>
    <row r="11" spans="1:31" s="665" customFormat="1" ht="22.5" customHeight="1" x14ac:dyDescent="0.25">
      <c r="A11" s="741" t="s">
        <v>298</v>
      </c>
      <c r="B11" s="742" t="s">
        <v>175</v>
      </c>
      <c r="C11" s="742"/>
      <c r="D11" s="743">
        <v>44480</v>
      </c>
      <c r="E11" s="743">
        <v>44767</v>
      </c>
      <c r="F11" s="744">
        <v>3640</v>
      </c>
      <c r="G11" s="744">
        <f t="shared" si="0"/>
        <v>4368</v>
      </c>
      <c r="H11" s="744">
        <f>[27]Sheet1!H11</f>
        <v>0</v>
      </c>
      <c r="I11" s="744">
        <f t="shared" si="1"/>
        <v>4368</v>
      </c>
      <c r="J11" s="743">
        <f t="shared" si="2"/>
        <v>49135</v>
      </c>
      <c r="K11" s="743">
        <f t="shared" si="3"/>
        <v>44949</v>
      </c>
      <c r="L11" s="745">
        <v>40000000</v>
      </c>
      <c r="M11" s="795"/>
      <c r="N11" s="745">
        <v>40004000</v>
      </c>
      <c r="O11" s="746">
        <f t="shared" si="4"/>
        <v>59232000</v>
      </c>
      <c r="P11" s="747">
        <v>0.1234</v>
      </c>
      <c r="Q11" s="800">
        <v>0.94707600000000003</v>
      </c>
      <c r="R11" s="748">
        <f t="shared" si="5"/>
        <v>37883040</v>
      </c>
      <c r="S11" s="749">
        <v>0.1275</v>
      </c>
      <c r="T11" s="750">
        <v>2468000</v>
      </c>
      <c r="U11" s="751">
        <v>2169670.3296703296</v>
      </c>
      <c r="V11" s="752">
        <f t="shared" si="6"/>
        <v>298329.67032967042</v>
      </c>
      <c r="W11" s="752"/>
      <c r="Z11" s="753"/>
      <c r="AA11" s="753"/>
      <c r="AB11" s="753"/>
      <c r="AE11" s="753"/>
    </row>
    <row r="12" spans="1:31" s="818" customFormat="1" ht="22.5" customHeight="1" x14ac:dyDescent="0.25">
      <c r="A12" s="741" t="s">
        <v>298</v>
      </c>
      <c r="B12" s="742" t="s">
        <v>175</v>
      </c>
      <c r="C12" s="742"/>
      <c r="D12" s="743">
        <v>44480</v>
      </c>
      <c r="E12" s="743">
        <v>44767</v>
      </c>
      <c r="F12" s="744">
        <v>3640</v>
      </c>
      <c r="G12" s="744">
        <f t="shared" si="0"/>
        <v>4368</v>
      </c>
      <c r="H12" s="744">
        <f>[27]Sheet1!H12</f>
        <v>0</v>
      </c>
      <c r="I12" s="744">
        <f t="shared" si="1"/>
        <v>4368</v>
      </c>
      <c r="J12" s="743">
        <f t="shared" si="2"/>
        <v>49135</v>
      </c>
      <c r="K12" s="743">
        <f t="shared" si="3"/>
        <v>44949</v>
      </c>
      <c r="L12" s="745">
        <v>40000000</v>
      </c>
      <c r="M12" s="795"/>
      <c r="N12" s="745">
        <v>39882000</v>
      </c>
      <c r="O12" s="746">
        <f t="shared" si="4"/>
        <v>59232000</v>
      </c>
      <c r="P12" s="747">
        <v>0.1234</v>
      </c>
      <c r="Q12" s="800">
        <v>0.94707600000000003</v>
      </c>
      <c r="R12" s="748">
        <f t="shared" si="5"/>
        <v>37883040</v>
      </c>
      <c r="S12" s="749">
        <v>0.128</v>
      </c>
      <c r="T12" s="750">
        <v>2468000</v>
      </c>
      <c r="U12" s="751">
        <v>2169670.3296703296</v>
      </c>
      <c r="V12" s="752">
        <f t="shared" si="6"/>
        <v>298329.67032967042</v>
      </c>
      <c r="W12" s="752"/>
      <c r="X12" s="665"/>
      <c r="Y12" s="665"/>
      <c r="Z12" s="753"/>
      <c r="AA12" s="753"/>
      <c r="AB12" s="753"/>
      <c r="AC12" s="665"/>
      <c r="AD12" s="665"/>
      <c r="AE12" s="753"/>
    </row>
    <row r="13" spans="1:31" s="665" customFormat="1" ht="22.5" customHeight="1" x14ac:dyDescent="0.25">
      <c r="A13" s="741" t="s">
        <v>298</v>
      </c>
      <c r="B13" s="742" t="s">
        <v>175</v>
      </c>
      <c r="C13" s="742"/>
      <c r="D13" s="743">
        <v>44480</v>
      </c>
      <c r="E13" s="743">
        <v>44767</v>
      </c>
      <c r="F13" s="744">
        <v>3640</v>
      </c>
      <c r="G13" s="744">
        <f t="shared" si="0"/>
        <v>4368</v>
      </c>
      <c r="H13" s="744">
        <f>[27]Sheet1!H13</f>
        <v>0</v>
      </c>
      <c r="I13" s="744">
        <f t="shared" si="1"/>
        <v>4368</v>
      </c>
      <c r="J13" s="743">
        <f t="shared" si="2"/>
        <v>49135</v>
      </c>
      <c r="K13" s="743">
        <f t="shared" si="3"/>
        <v>44949</v>
      </c>
      <c r="L13" s="745">
        <v>40000000</v>
      </c>
      <c r="M13" s="795"/>
      <c r="N13" s="745">
        <v>39760800</v>
      </c>
      <c r="O13" s="746">
        <f t="shared" si="4"/>
        <v>59232000</v>
      </c>
      <c r="P13" s="747">
        <v>0.1234</v>
      </c>
      <c r="Q13" s="800">
        <v>0.94707600000000003</v>
      </c>
      <c r="R13" s="748">
        <f t="shared" si="5"/>
        <v>37883040</v>
      </c>
      <c r="S13" s="749">
        <v>0.1285</v>
      </c>
      <c r="T13" s="750">
        <v>2468000</v>
      </c>
      <c r="U13" s="751">
        <v>2169670.3296703296</v>
      </c>
      <c r="V13" s="752">
        <f t="shared" si="6"/>
        <v>298329.67032967042</v>
      </c>
      <c r="W13" s="752"/>
      <c r="Z13" s="753"/>
      <c r="AA13" s="753"/>
      <c r="AB13" s="753"/>
      <c r="AE13" s="753"/>
    </row>
    <row r="14" spans="1:31" s="665" customFormat="1" ht="22.5" customHeight="1" x14ac:dyDescent="0.25">
      <c r="A14" s="741" t="s">
        <v>298</v>
      </c>
      <c r="B14" s="742" t="s">
        <v>175</v>
      </c>
      <c r="C14" s="742"/>
      <c r="D14" s="743">
        <v>44480</v>
      </c>
      <c r="E14" s="743">
        <v>44767</v>
      </c>
      <c r="F14" s="744">
        <v>3640</v>
      </c>
      <c r="G14" s="744">
        <f t="shared" si="0"/>
        <v>4368</v>
      </c>
      <c r="H14" s="744">
        <f>[27]Sheet1!H14</f>
        <v>0</v>
      </c>
      <c r="I14" s="744">
        <f t="shared" si="1"/>
        <v>4368</v>
      </c>
      <c r="J14" s="743">
        <f t="shared" si="2"/>
        <v>49135</v>
      </c>
      <c r="K14" s="743">
        <f t="shared" si="3"/>
        <v>44949</v>
      </c>
      <c r="L14" s="745">
        <v>20000000</v>
      </c>
      <c r="M14" s="795"/>
      <c r="N14" s="745">
        <v>19820000</v>
      </c>
      <c r="O14" s="746">
        <f t="shared" si="4"/>
        <v>29616000</v>
      </c>
      <c r="P14" s="747">
        <v>0.1234</v>
      </c>
      <c r="Q14" s="800">
        <v>0.94707600000000003</v>
      </c>
      <c r="R14" s="748">
        <f t="shared" si="5"/>
        <v>18941520</v>
      </c>
      <c r="S14" s="749">
        <v>0.129</v>
      </c>
      <c r="T14" s="750">
        <v>1234000</v>
      </c>
      <c r="U14" s="751">
        <v>1084835.1648351648</v>
      </c>
      <c r="V14" s="752">
        <f t="shared" si="6"/>
        <v>149164.83516483521</v>
      </c>
      <c r="W14" s="752"/>
      <c r="Z14" s="753"/>
      <c r="AA14" s="753"/>
      <c r="AB14" s="753"/>
      <c r="AE14" s="753"/>
    </row>
    <row r="15" spans="1:31" s="818" customFormat="1" ht="22.5" customHeight="1" x14ac:dyDescent="0.25">
      <c r="A15" s="741" t="s">
        <v>284</v>
      </c>
      <c r="B15" s="742" t="s">
        <v>175</v>
      </c>
      <c r="C15" s="742"/>
      <c r="D15" s="743">
        <v>44424</v>
      </c>
      <c r="E15" s="743">
        <v>44788</v>
      </c>
      <c r="F15" s="744">
        <v>1638</v>
      </c>
      <c r="G15" s="744">
        <f t="shared" si="0"/>
        <v>2366</v>
      </c>
      <c r="H15" s="744">
        <f>[27]Sheet1!H52</f>
        <v>0</v>
      </c>
      <c r="I15" s="744">
        <f t="shared" si="1"/>
        <v>2366</v>
      </c>
      <c r="J15" s="743">
        <f>D15+(2730)</f>
        <v>47154</v>
      </c>
      <c r="K15" s="743">
        <f t="shared" si="3"/>
        <v>44970</v>
      </c>
      <c r="L15" s="745">
        <v>20000000</v>
      </c>
      <c r="M15" s="795"/>
      <c r="N15" s="745">
        <v>19342000</v>
      </c>
      <c r="O15" s="746">
        <f t="shared" si="4"/>
        <v>14972100</v>
      </c>
      <c r="P15" s="747">
        <v>0.11516999999999999</v>
      </c>
      <c r="Q15" s="800">
        <v>0.93559899999999996</v>
      </c>
      <c r="R15" s="748">
        <f t="shared" si="5"/>
        <v>18711980</v>
      </c>
      <c r="S15" s="749">
        <v>0.12171999999999999</v>
      </c>
      <c r="T15" s="750">
        <v>1151700</v>
      </c>
      <c r="U15" s="751">
        <v>879595.05494505493</v>
      </c>
      <c r="V15" s="752">
        <f t="shared" si="6"/>
        <v>272104.94505494507</v>
      </c>
      <c r="W15" s="752"/>
      <c r="X15" s="665"/>
      <c r="Y15" s="665"/>
      <c r="Z15" s="753"/>
      <c r="AA15" s="753"/>
      <c r="AB15" s="753"/>
      <c r="AC15" s="665"/>
      <c r="AD15" s="665"/>
      <c r="AE15" s="753"/>
    </row>
    <row r="16" spans="1:31" s="818" customFormat="1" ht="22.5" customHeight="1" x14ac:dyDescent="0.25">
      <c r="A16" s="741" t="s">
        <v>284</v>
      </c>
      <c r="B16" s="742" t="s">
        <v>175</v>
      </c>
      <c r="C16" s="742"/>
      <c r="D16" s="743">
        <v>44424</v>
      </c>
      <c r="E16" s="743">
        <v>44788</v>
      </c>
      <c r="F16" s="744">
        <v>1638</v>
      </c>
      <c r="G16" s="744">
        <f t="shared" si="0"/>
        <v>2366</v>
      </c>
      <c r="H16" s="744">
        <f>[27]Sheet1!H53</f>
        <v>0</v>
      </c>
      <c r="I16" s="744">
        <f t="shared" si="1"/>
        <v>2366</v>
      </c>
      <c r="J16" s="743">
        <f>D16+(2730)</f>
        <v>47154</v>
      </c>
      <c r="K16" s="743">
        <f t="shared" si="3"/>
        <v>44970</v>
      </c>
      <c r="L16" s="745">
        <v>30000000</v>
      </c>
      <c r="M16" s="795"/>
      <c r="N16" s="745">
        <v>29119200</v>
      </c>
      <c r="O16" s="746">
        <f t="shared" si="4"/>
        <v>22458150</v>
      </c>
      <c r="P16" s="747">
        <v>0.11516999999999999</v>
      </c>
      <c r="Q16" s="800">
        <v>0.93559899999999996</v>
      </c>
      <c r="R16" s="748">
        <f t="shared" si="5"/>
        <v>28067970</v>
      </c>
      <c r="S16" s="749">
        <v>0.121</v>
      </c>
      <c r="T16" s="750">
        <v>1727550</v>
      </c>
      <c r="U16" s="751">
        <v>1319392.5824175824</v>
      </c>
      <c r="V16" s="752">
        <f t="shared" si="6"/>
        <v>408157.41758241761</v>
      </c>
      <c r="W16" s="752"/>
      <c r="X16" s="665"/>
      <c r="Y16" s="665"/>
      <c r="Z16" s="753"/>
      <c r="AA16" s="753"/>
      <c r="AB16" s="753"/>
      <c r="AC16" s="665"/>
      <c r="AD16" s="665"/>
      <c r="AE16" s="753"/>
    </row>
    <row r="17" spans="1:31" s="665" customFormat="1" ht="22.5" customHeight="1" x14ac:dyDescent="0.25">
      <c r="A17" s="741" t="s">
        <v>297</v>
      </c>
      <c r="B17" s="742" t="s">
        <v>175</v>
      </c>
      <c r="C17" s="742"/>
      <c r="D17" s="743">
        <v>44480</v>
      </c>
      <c r="E17" s="743">
        <v>44788</v>
      </c>
      <c r="F17" s="744">
        <v>3640</v>
      </c>
      <c r="G17" s="744">
        <f t="shared" si="0"/>
        <v>2002</v>
      </c>
      <c r="H17" s="744" t="e">
        <f>[27]Sheet1!H4</f>
        <v>#REF!</v>
      </c>
      <c r="I17" s="744" t="e">
        <f t="shared" si="1"/>
        <v>#REF!</v>
      </c>
      <c r="J17" s="743">
        <f>D17+2310</f>
        <v>46790</v>
      </c>
      <c r="K17" s="743">
        <f t="shared" si="3"/>
        <v>44970</v>
      </c>
      <c r="L17" s="745">
        <v>20000000</v>
      </c>
      <c r="M17" s="795"/>
      <c r="N17" s="745">
        <v>19786800</v>
      </c>
      <c r="O17" s="746">
        <f t="shared" si="4"/>
        <v>12375000</v>
      </c>
      <c r="P17" s="747">
        <v>0.1125</v>
      </c>
      <c r="Q17" s="800">
        <v>0.94220599999999999</v>
      </c>
      <c r="R17" s="748">
        <f t="shared" si="5"/>
        <v>18844120</v>
      </c>
      <c r="S17" s="749">
        <v>0.11882</v>
      </c>
      <c r="T17" s="750">
        <v>1125000</v>
      </c>
      <c r="U17" s="751">
        <v>859203.29670329671</v>
      </c>
      <c r="V17" s="752">
        <f t="shared" si="6"/>
        <v>265796.70329670329</v>
      </c>
      <c r="W17" s="752"/>
      <c r="Z17" s="753"/>
      <c r="AA17" s="753"/>
      <c r="AB17" s="753"/>
      <c r="AE17" s="753"/>
    </row>
    <row r="18" spans="1:31" s="818" customFormat="1" ht="22.5" customHeight="1" x14ac:dyDescent="0.25">
      <c r="A18" s="741" t="s">
        <v>297</v>
      </c>
      <c r="B18" s="742" t="s">
        <v>175</v>
      </c>
      <c r="C18" s="742"/>
      <c r="D18" s="743">
        <v>44480</v>
      </c>
      <c r="E18" s="743">
        <v>44788</v>
      </c>
      <c r="F18" s="744">
        <v>3640</v>
      </c>
      <c r="G18" s="744">
        <f t="shared" si="0"/>
        <v>2002</v>
      </c>
      <c r="H18" s="744" t="e">
        <f>[27]Sheet1!H5</f>
        <v>#REF!</v>
      </c>
      <c r="I18" s="744" t="e">
        <f t="shared" si="1"/>
        <v>#REF!</v>
      </c>
      <c r="J18" s="743">
        <f>D18+2310</f>
        <v>46790</v>
      </c>
      <c r="K18" s="743">
        <f t="shared" si="3"/>
        <v>44970</v>
      </c>
      <c r="L18" s="745">
        <v>20000000</v>
      </c>
      <c r="M18" s="795"/>
      <c r="N18" s="745">
        <v>19900600</v>
      </c>
      <c r="O18" s="746">
        <f t="shared" si="4"/>
        <v>12375000</v>
      </c>
      <c r="P18" s="747">
        <v>0.1125</v>
      </c>
      <c r="Q18" s="800">
        <v>0.94220599999999999</v>
      </c>
      <c r="R18" s="748">
        <f t="shared" si="5"/>
        <v>18844120</v>
      </c>
      <c r="S18" s="749">
        <v>0.11749999999999999</v>
      </c>
      <c r="T18" s="750">
        <v>1125000</v>
      </c>
      <c r="U18" s="751">
        <v>859203.29670329671</v>
      </c>
      <c r="V18" s="752">
        <f t="shared" si="6"/>
        <v>265796.70329670329</v>
      </c>
      <c r="W18" s="752"/>
      <c r="X18" s="665"/>
      <c r="Y18" s="665"/>
      <c r="Z18" s="753"/>
      <c r="AA18" s="753"/>
      <c r="AB18" s="753"/>
      <c r="AC18" s="665"/>
      <c r="AD18" s="665"/>
      <c r="AE18" s="753"/>
    </row>
    <row r="19" spans="1:31" s="665" customFormat="1" ht="22.5" customHeight="1" x14ac:dyDescent="0.25">
      <c r="A19" s="741" t="s">
        <v>297</v>
      </c>
      <c r="B19" s="742" t="s">
        <v>175</v>
      </c>
      <c r="C19" s="742"/>
      <c r="D19" s="743">
        <v>44480</v>
      </c>
      <c r="E19" s="743">
        <v>44788</v>
      </c>
      <c r="F19" s="744">
        <v>3640</v>
      </c>
      <c r="G19" s="744">
        <f t="shared" si="0"/>
        <v>2002</v>
      </c>
      <c r="H19" s="744" t="e">
        <f>[27]Sheet1!H6</f>
        <v>#REF!</v>
      </c>
      <c r="I19" s="744" t="e">
        <f t="shared" si="1"/>
        <v>#REF!</v>
      </c>
      <c r="J19" s="743">
        <f>D19+2310</f>
        <v>46790</v>
      </c>
      <c r="K19" s="743">
        <f t="shared" si="3"/>
        <v>44970</v>
      </c>
      <c r="L19" s="745">
        <v>20000000</v>
      </c>
      <c r="M19" s="795"/>
      <c r="N19" s="745">
        <v>19857400</v>
      </c>
      <c r="O19" s="746">
        <f t="shared" si="4"/>
        <v>12375000</v>
      </c>
      <c r="P19" s="747">
        <v>0.1125</v>
      </c>
      <c r="Q19" s="800">
        <v>0.94220599999999999</v>
      </c>
      <c r="R19" s="748">
        <f t="shared" si="5"/>
        <v>18844120</v>
      </c>
      <c r="S19" s="749">
        <v>0.11799999999999999</v>
      </c>
      <c r="T19" s="750">
        <v>1125000</v>
      </c>
      <c r="U19" s="751">
        <v>859203.29670329671</v>
      </c>
      <c r="V19" s="752">
        <f t="shared" si="6"/>
        <v>265796.70329670329</v>
      </c>
      <c r="W19" s="752"/>
      <c r="Z19" s="753"/>
      <c r="AA19" s="753"/>
      <c r="AB19" s="753"/>
      <c r="AE19" s="753"/>
    </row>
    <row r="20" spans="1:31" s="665" customFormat="1" ht="22.5" customHeight="1" x14ac:dyDescent="0.25">
      <c r="A20" s="741" t="s">
        <v>297</v>
      </c>
      <c r="B20" s="742" t="s">
        <v>175</v>
      </c>
      <c r="C20" s="742"/>
      <c r="D20" s="743">
        <v>44480</v>
      </c>
      <c r="E20" s="743">
        <v>44788</v>
      </c>
      <c r="F20" s="744">
        <v>3640</v>
      </c>
      <c r="G20" s="744">
        <f t="shared" si="0"/>
        <v>2002</v>
      </c>
      <c r="H20" s="744" t="e">
        <f>[27]Sheet1!H7</f>
        <v>#REF!</v>
      </c>
      <c r="I20" s="744" t="e">
        <f t="shared" si="1"/>
        <v>#REF!</v>
      </c>
      <c r="J20" s="743">
        <f>D20+2310</f>
        <v>46790</v>
      </c>
      <c r="K20" s="743">
        <f t="shared" si="3"/>
        <v>44970</v>
      </c>
      <c r="L20" s="745">
        <v>20000000</v>
      </c>
      <c r="M20" s="795"/>
      <c r="N20" s="745">
        <v>19814400</v>
      </c>
      <c r="O20" s="746">
        <f t="shared" si="4"/>
        <v>12375000</v>
      </c>
      <c r="P20" s="747">
        <v>0.1125</v>
      </c>
      <c r="Q20" s="800">
        <v>0.94220599999999999</v>
      </c>
      <c r="R20" s="748">
        <f t="shared" si="5"/>
        <v>18844120</v>
      </c>
      <c r="S20" s="749">
        <v>0.11849999999999999</v>
      </c>
      <c r="T20" s="750">
        <v>1125000</v>
      </c>
      <c r="U20" s="751">
        <v>859203.29670329671</v>
      </c>
      <c r="V20" s="752">
        <f t="shared" si="6"/>
        <v>265796.70329670329</v>
      </c>
      <c r="W20" s="752"/>
      <c r="Z20" s="753"/>
      <c r="AA20" s="753"/>
      <c r="AB20" s="753"/>
      <c r="AE20" s="753"/>
    </row>
    <row r="21" spans="1:31" s="818" customFormat="1" ht="22.5" customHeight="1" x14ac:dyDescent="0.25">
      <c r="A21" s="44" t="s">
        <v>197</v>
      </c>
      <c r="B21" s="45" t="s">
        <v>175</v>
      </c>
      <c r="C21" s="11"/>
      <c r="D21" s="736">
        <v>42611</v>
      </c>
      <c r="E21" s="736">
        <v>44795</v>
      </c>
      <c r="F21" s="73">
        <v>3276</v>
      </c>
      <c r="G21" s="73">
        <f t="shared" ref="G21:G50" si="7">J21-E21</f>
        <v>1456</v>
      </c>
      <c r="H21" s="73">
        <f>[27]Sheet1!H19</f>
        <v>0</v>
      </c>
      <c r="I21" s="73">
        <f t="shared" ref="I21:I50" si="8">G21-H21</f>
        <v>1456</v>
      </c>
      <c r="J21" s="736">
        <v>46251</v>
      </c>
      <c r="K21" s="736">
        <f t="shared" ref="K21:K50" si="9">E21+182</f>
        <v>44977</v>
      </c>
      <c r="L21" s="46">
        <v>20000000</v>
      </c>
      <c r="M21" s="18">
        <v>10000000</v>
      </c>
      <c r="N21" s="46">
        <v>20000000</v>
      </c>
      <c r="O21" s="20">
        <f t="shared" ref="O21:O50" si="10">L21*P21*G21/364</f>
        <v>12031200</v>
      </c>
      <c r="P21" s="47">
        <v>0.15039</v>
      </c>
      <c r="Q21" s="48">
        <v>1.0866579999999999</v>
      </c>
      <c r="R21" s="22">
        <f t="shared" ref="R21:R50" si="11">+L21*Q21</f>
        <v>21733159.999999996</v>
      </c>
      <c r="S21" s="12">
        <v>0.15039</v>
      </c>
      <c r="T21" s="75">
        <v>1503899.9999999998</v>
      </c>
      <c r="U21" s="563">
        <v>1090740.6593406592</v>
      </c>
      <c r="V21" s="13">
        <f t="shared" ref="V21:V50" si="12">+T21-U21</f>
        <v>413159.34065934061</v>
      </c>
      <c r="W21" s="13"/>
      <c r="X21" s="29"/>
      <c r="Y21" s="29"/>
      <c r="Z21" s="30"/>
      <c r="AA21" s="30"/>
      <c r="AB21" s="30"/>
      <c r="AC21" s="29"/>
      <c r="AD21" s="29"/>
      <c r="AE21" s="30"/>
    </row>
    <row r="22" spans="1:31" s="818" customFormat="1" ht="22.5" customHeight="1" x14ac:dyDescent="0.25">
      <c r="A22" s="44" t="s">
        <v>206</v>
      </c>
      <c r="B22" s="45" t="s">
        <v>175</v>
      </c>
      <c r="C22" s="11"/>
      <c r="D22" s="736">
        <v>42793</v>
      </c>
      <c r="E22" s="736">
        <v>44795</v>
      </c>
      <c r="F22" s="73">
        <v>4186</v>
      </c>
      <c r="G22" s="73">
        <f t="shared" si="7"/>
        <v>2366</v>
      </c>
      <c r="H22" s="73">
        <f>[27]Sheet1!H22</f>
        <v>0</v>
      </c>
      <c r="I22" s="73">
        <f t="shared" si="8"/>
        <v>2366</v>
      </c>
      <c r="J22" s="736">
        <f t="shared" ref="J22:J27" si="13">D22+364*12</f>
        <v>47161</v>
      </c>
      <c r="K22" s="736">
        <f t="shared" si="9"/>
        <v>44977</v>
      </c>
      <c r="L22" s="46">
        <f t="shared" ref="L22:L28" si="14">20000000*80%</f>
        <v>16000000</v>
      </c>
      <c r="M22" s="18"/>
      <c r="N22" s="46">
        <v>18970600</v>
      </c>
      <c r="O22" s="20">
        <f t="shared" si="10"/>
        <v>13000000</v>
      </c>
      <c r="P22" s="47">
        <v>0.125</v>
      </c>
      <c r="Q22" s="48">
        <v>1.0182519999999999</v>
      </c>
      <c r="R22" s="22">
        <f t="shared" si="11"/>
        <v>16292031.999999998</v>
      </c>
      <c r="S22" s="12">
        <v>0.13555</v>
      </c>
      <c r="T22" s="75">
        <v>1000000</v>
      </c>
      <c r="U22" s="563">
        <v>725274.72527472524</v>
      </c>
      <c r="V22" s="13">
        <f t="shared" si="12"/>
        <v>274725.27472527476</v>
      </c>
      <c r="W22" s="13"/>
      <c r="X22" s="29"/>
      <c r="Y22" s="29"/>
      <c r="Z22" s="30"/>
      <c r="AA22" s="30"/>
      <c r="AB22" s="30"/>
      <c r="AC22" s="29"/>
      <c r="AD22" s="29"/>
      <c r="AE22" s="30"/>
    </row>
    <row r="23" spans="1:31" s="665" customFormat="1" ht="22.5" customHeight="1" x14ac:dyDescent="0.25">
      <c r="A23" s="44" t="s">
        <v>206</v>
      </c>
      <c r="B23" s="45" t="s">
        <v>175</v>
      </c>
      <c r="C23" s="11"/>
      <c r="D23" s="736">
        <v>42793</v>
      </c>
      <c r="E23" s="736">
        <v>44795</v>
      </c>
      <c r="F23" s="73">
        <v>4186</v>
      </c>
      <c r="G23" s="73">
        <f t="shared" si="7"/>
        <v>2366</v>
      </c>
      <c r="H23" s="73">
        <f>[27]Sheet1!H23</f>
        <v>0</v>
      </c>
      <c r="I23" s="73">
        <f t="shared" si="8"/>
        <v>2366</v>
      </c>
      <c r="J23" s="736">
        <f t="shared" si="13"/>
        <v>47161</v>
      </c>
      <c r="K23" s="736">
        <f t="shared" si="9"/>
        <v>44977</v>
      </c>
      <c r="L23" s="46">
        <f t="shared" si="14"/>
        <v>16000000</v>
      </c>
      <c r="M23" s="18"/>
      <c r="N23" s="46">
        <v>19924600</v>
      </c>
      <c r="O23" s="20">
        <f t="shared" si="10"/>
        <v>13000000</v>
      </c>
      <c r="P23" s="47">
        <v>0.125</v>
      </c>
      <c r="Q23" s="48">
        <v>1.0182519999999999</v>
      </c>
      <c r="R23" s="22">
        <f t="shared" si="11"/>
        <v>16292031.999999998</v>
      </c>
      <c r="S23" s="12">
        <v>0.13214000000000001</v>
      </c>
      <c r="T23" s="75">
        <v>1000000</v>
      </c>
      <c r="U23" s="563">
        <v>725274.72527472524</v>
      </c>
      <c r="V23" s="13">
        <f t="shared" si="12"/>
        <v>274725.27472527476</v>
      </c>
      <c r="W23" s="13"/>
      <c r="X23" s="29"/>
      <c r="Y23" s="29"/>
      <c r="Z23" s="30"/>
      <c r="AA23" s="30"/>
      <c r="AB23" s="30"/>
      <c r="AC23" s="29"/>
      <c r="AD23" s="29"/>
      <c r="AE23" s="30"/>
    </row>
    <row r="24" spans="1:31" s="818" customFormat="1" ht="22.5" customHeight="1" x14ac:dyDescent="0.25">
      <c r="A24" s="44" t="s">
        <v>206</v>
      </c>
      <c r="B24" s="45" t="s">
        <v>175</v>
      </c>
      <c r="C24" s="11"/>
      <c r="D24" s="736">
        <v>42793</v>
      </c>
      <c r="E24" s="736">
        <v>44795</v>
      </c>
      <c r="F24" s="73">
        <v>4186</v>
      </c>
      <c r="G24" s="73">
        <f t="shared" si="7"/>
        <v>2366</v>
      </c>
      <c r="H24" s="73">
        <f>[27]Sheet1!H24</f>
        <v>0</v>
      </c>
      <c r="I24" s="73">
        <f t="shared" si="8"/>
        <v>2366</v>
      </c>
      <c r="J24" s="736">
        <f t="shared" si="13"/>
        <v>47161</v>
      </c>
      <c r="K24" s="736">
        <f t="shared" si="9"/>
        <v>44977</v>
      </c>
      <c r="L24" s="46">
        <f t="shared" si="14"/>
        <v>16000000</v>
      </c>
      <c r="M24" s="18"/>
      <c r="N24" s="46">
        <v>19089400</v>
      </c>
      <c r="O24" s="20">
        <f t="shared" si="10"/>
        <v>13000000</v>
      </c>
      <c r="P24" s="47">
        <v>0.125</v>
      </c>
      <c r="Q24" s="48">
        <v>1.0182519999999999</v>
      </c>
      <c r="R24" s="22">
        <f t="shared" si="11"/>
        <v>16292031.999999998</v>
      </c>
      <c r="S24" s="12">
        <v>0.13428999999999999</v>
      </c>
      <c r="T24" s="75">
        <v>1000000</v>
      </c>
      <c r="U24" s="563">
        <v>725274.72527472524</v>
      </c>
      <c r="V24" s="13">
        <f t="shared" si="12"/>
        <v>274725.27472527476</v>
      </c>
      <c r="W24" s="13"/>
      <c r="X24" s="29"/>
      <c r="Y24" s="29"/>
      <c r="Z24" s="30"/>
      <c r="AA24" s="30"/>
      <c r="AB24" s="30"/>
      <c r="AC24" s="29"/>
      <c r="AD24" s="29"/>
      <c r="AE24" s="30"/>
    </row>
    <row r="25" spans="1:31" s="665" customFormat="1" ht="22.5" customHeight="1" x14ac:dyDescent="0.25">
      <c r="A25" s="44" t="s">
        <v>206</v>
      </c>
      <c r="B25" s="45" t="s">
        <v>175</v>
      </c>
      <c r="C25" s="11"/>
      <c r="D25" s="736">
        <v>42793</v>
      </c>
      <c r="E25" s="736">
        <v>44795</v>
      </c>
      <c r="F25" s="73">
        <v>4186</v>
      </c>
      <c r="G25" s="73">
        <f t="shared" si="7"/>
        <v>2366</v>
      </c>
      <c r="H25" s="73">
        <f>[27]Sheet1!H25</f>
        <v>0</v>
      </c>
      <c r="I25" s="73">
        <f t="shared" si="8"/>
        <v>2366</v>
      </c>
      <c r="J25" s="736">
        <f t="shared" si="13"/>
        <v>47161</v>
      </c>
      <c r="K25" s="736">
        <f t="shared" si="9"/>
        <v>44977</v>
      </c>
      <c r="L25" s="46">
        <f t="shared" si="14"/>
        <v>16000000</v>
      </c>
      <c r="M25" s="18"/>
      <c r="N25" s="46">
        <v>19011000</v>
      </c>
      <c r="O25" s="20">
        <f t="shared" si="10"/>
        <v>13000000</v>
      </c>
      <c r="P25" s="47">
        <v>0.125</v>
      </c>
      <c r="Q25" s="48">
        <v>1.0182519999999999</v>
      </c>
      <c r="R25" s="22">
        <f t="shared" si="11"/>
        <v>16292031.999999998</v>
      </c>
      <c r="S25" s="12">
        <v>0.13511999999999999</v>
      </c>
      <c r="T25" s="75">
        <v>1000000</v>
      </c>
      <c r="U25" s="563">
        <v>725274.72527472524</v>
      </c>
      <c r="V25" s="13">
        <f t="shared" si="12"/>
        <v>274725.27472527476</v>
      </c>
      <c r="W25" s="13"/>
      <c r="X25" s="29"/>
      <c r="Y25" s="29"/>
      <c r="Z25" s="30"/>
      <c r="AA25" s="30"/>
      <c r="AB25" s="30"/>
      <c r="AC25" s="29"/>
      <c r="AD25" s="29"/>
      <c r="AE25" s="30"/>
    </row>
    <row r="26" spans="1:31" s="665" customFormat="1" ht="22.5" customHeight="1" x14ac:dyDescent="0.25">
      <c r="A26" s="44" t="s">
        <v>206</v>
      </c>
      <c r="B26" s="45" t="s">
        <v>175</v>
      </c>
      <c r="C26" s="11"/>
      <c r="D26" s="736">
        <v>42793</v>
      </c>
      <c r="E26" s="736">
        <v>44795</v>
      </c>
      <c r="F26" s="73">
        <v>4186</v>
      </c>
      <c r="G26" s="73">
        <f t="shared" si="7"/>
        <v>2366</v>
      </c>
      <c r="H26" s="73">
        <f>[27]Sheet1!H26</f>
        <v>0</v>
      </c>
      <c r="I26" s="73">
        <f t="shared" si="8"/>
        <v>2366</v>
      </c>
      <c r="J26" s="736">
        <f t="shared" si="13"/>
        <v>47161</v>
      </c>
      <c r="K26" s="736">
        <f t="shared" si="9"/>
        <v>44977</v>
      </c>
      <c r="L26" s="46">
        <f t="shared" si="14"/>
        <v>16000000</v>
      </c>
      <c r="M26" s="18"/>
      <c r="N26" s="46">
        <v>18976200</v>
      </c>
      <c r="O26" s="20">
        <f t="shared" si="10"/>
        <v>13000000</v>
      </c>
      <c r="P26" s="47">
        <v>0.125</v>
      </c>
      <c r="Q26" s="48">
        <v>1.0182519999999999</v>
      </c>
      <c r="R26" s="22">
        <f t="shared" si="11"/>
        <v>16292031.999999998</v>
      </c>
      <c r="S26" s="12">
        <v>0.13549</v>
      </c>
      <c r="T26" s="75">
        <v>1000000</v>
      </c>
      <c r="U26" s="563">
        <v>725274.72527472524</v>
      </c>
      <c r="V26" s="13">
        <f t="shared" si="12"/>
        <v>274725.27472527476</v>
      </c>
      <c r="W26" s="13"/>
      <c r="X26" s="29"/>
      <c r="Y26" s="29"/>
      <c r="Z26" s="30"/>
      <c r="AA26" s="30"/>
      <c r="AB26" s="30"/>
      <c r="AC26" s="29"/>
      <c r="AD26" s="29"/>
      <c r="AE26" s="30"/>
    </row>
    <row r="27" spans="1:31" s="29" customFormat="1" ht="22.5" customHeight="1" x14ac:dyDescent="0.25">
      <c r="A27" s="44" t="s">
        <v>206</v>
      </c>
      <c r="B27" s="45" t="s">
        <v>175</v>
      </c>
      <c r="C27" s="11"/>
      <c r="D27" s="736">
        <v>42793</v>
      </c>
      <c r="E27" s="736">
        <v>44795</v>
      </c>
      <c r="F27" s="73">
        <v>4186</v>
      </c>
      <c r="G27" s="73">
        <f t="shared" si="7"/>
        <v>2366</v>
      </c>
      <c r="H27" s="73">
        <f>[27]Sheet1!H27</f>
        <v>0</v>
      </c>
      <c r="I27" s="73">
        <f t="shared" si="8"/>
        <v>2366</v>
      </c>
      <c r="J27" s="736">
        <f t="shared" si="13"/>
        <v>47161</v>
      </c>
      <c r="K27" s="736">
        <f t="shared" si="9"/>
        <v>44977</v>
      </c>
      <c r="L27" s="46">
        <f t="shared" si="14"/>
        <v>16000000</v>
      </c>
      <c r="M27" s="18"/>
      <c r="N27" s="46">
        <v>18867000</v>
      </c>
      <c r="O27" s="20">
        <f t="shared" si="10"/>
        <v>13000000</v>
      </c>
      <c r="P27" s="47">
        <v>0.125</v>
      </c>
      <c r="Q27" s="48">
        <v>1.0182519999999999</v>
      </c>
      <c r="R27" s="22">
        <f t="shared" si="11"/>
        <v>16292031.999999998</v>
      </c>
      <c r="S27" s="12">
        <v>0.13666</v>
      </c>
      <c r="T27" s="75">
        <v>1000000</v>
      </c>
      <c r="U27" s="563">
        <v>725274.72527472524</v>
      </c>
      <c r="V27" s="13">
        <f t="shared" si="12"/>
        <v>274725.27472527476</v>
      </c>
      <c r="W27" s="13"/>
      <c r="Z27" s="30"/>
      <c r="AA27" s="30"/>
      <c r="AB27" s="30"/>
      <c r="AE27" s="30"/>
    </row>
    <row r="28" spans="1:31" s="29" customFormat="1" ht="22.5" customHeight="1" x14ac:dyDescent="0.25">
      <c r="A28" s="44" t="s">
        <v>206</v>
      </c>
      <c r="B28" s="45" t="s">
        <v>175</v>
      </c>
      <c r="C28" s="11"/>
      <c r="D28" s="736">
        <v>42800</v>
      </c>
      <c r="E28" s="736">
        <v>44795</v>
      </c>
      <c r="F28" s="73">
        <v>4178.72</v>
      </c>
      <c r="G28" s="73">
        <f t="shared" si="7"/>
        <v>2366</v>
      </c>
      <c r="H28" s="73">
        <f>[27]Sheet1!H28</f>
        <v>0</v>
      </c>
      <c r="I28" s="73">
        <f t="shared" si="8"/>
        <v>2366</v>
      </c>
      <c r="J28" s="736">
        <v>47161</v>
      </c>
      <c r="K28" s="736">
        <f t="shared" si="9"/>
        <v>44977</v>
      </c>
      <c r="L28" s="46">
        <f t="shared" si="14"/>
        <v>16000000</v>
      </c>
      <c r="M28" s="18"/>
      <c r="N28" s="46">
        <v>18958000</v>
      </c>
      <c r="O28" s="20">
        <f t="shared" si="10"/>
        <v>13000000</v>
      </c>
      <c r="P28" s="47">
        <v>0.125</v>
      </c>
      <c r="Q28" s="48">
        <v>1.0182519999999999</v>
      </c>
      <c r="R28" s="22">
        <f t="shared" si="11"/>
        <v>16292031.999999998</v>
      </c>
      <c r="S28" s="12">
        <v>0.13555</v>
      </c>
      <c r="T28" s="75">
        <v>1000000</v>
      </c>
      <c r="U28" s="563">
        <v>725274.72527472524</v>
      </c>
      <c r="V28" s="13">
        <f t="shared" si="12"/>
        <v>274725.27472527476</v>
      </c>
      <c r="W28" s="13"/>
      <c r="Z28" s="30"/>
      <c r="AA28" s="30"/>
      <c r="AB28" s="30"/>
      <c r="AE28" s="30"/>
    </row>
    <row r="29" spans="1:31" s="29" customFormat="1" ht="22.5" customHeight="1" x14ac:dyDescent="0.25">
      <c r="A29" s="44" t="s">
        <v>206</v>
      </c>
      <c r="B29" s="45" t="s">
        <v>175</v>
      </c>
      <c r="C29" s="11"/>
      <c r="D29" s="736">
        <v>42800</v>
      </c>
      <c r="E29" s="736">
        <v>44795</v>
      </c>
      <c r="F29" s="73">
        <v>4178.72</v>
      </c>
      <c r="G29" s="73">
        <f t="shared" si="7"/>
        <v>2366</v>
      </c>
      <c r="H29" s="73">
        <f>[27]Sheet1!H39</f>
        <v>0</v>
      </c>
      <c r="I29" s="73">
        <f t="shared" si="8"/>
        <v>2366</v>
      </c>
      <c r="J29" s="736">
        <v>47161</v>
      </c>
      <c r="K29" s="736">
        <f t="shared" si="9"/>
        <v>44977</v>
      </c>
      <c r="L29" s="46">
        <f>40000000*80%</f>
        <v>32000000</v>
      </c>
      <c r="M29" s="18"/>
      <c r="N29" s="46">
        <v>37916000</v>
      </c>
      <c r="O29" s="20">
        <f t="shared" si="10"/>
        <v>26000000</v>
      </c>
      <c r="P29" s="47">
        <v>0.125</v>
      </c>
      <c r="Q29" s="48">
        <v>1.0182519999999999</v>
      </c>
      <c r="R29" s="22">
        <f t="shared" si="11"/>
        <v>32584063.999999996</v>
      </c>
      <c r="S29" s="12">
        <v>0.13555</v>
      </c>
      <c r="T29" s="75">
        <v>2000000</v>
      </c>
      <c r="U29" s="563">
        <v>1450549.4505494505</v>
      </c>
      <c r="V29" s="13">
        <f t="shared" si="12"/>
        <v>549450.54945054953</v>
      </c>
      <c r="W29" s="13"/>
      <c r="Z29" s="30"/>
      <c r="AA29" s="30"/>
      <c r="AB29" s="30"/>
      <c r="AE29" s="30"/>
    </row>
    <row r="30" spans="1:31" s="29" customFormat="1" ht="22.5" customHeight="1" x14ac:dyDescent="0.25">
      <c r="A30" s="44" t="s">
        <v>206</v>
      </c>
      <c r="B30" s="45" t="s">
        <v>175</v>
      </c>
      <c r="C30" s="11"/>
      <c r="D30" s="736">
        <v>42800</v>
      </c>
      <c r="E30" s="736">
        <v>44795</v>
      </c>
      <c r="F30" s="73">
        <v>4178.72</v>
      </c>
      <c r="G30" s="73">
        <f t="shared" si="7"/>
        <v>2366</v>
      </c>
      <c r="H30" s="73">
        <f>[27]Sheet1!H40</f>
        <v>0</v>
      </c>
      <c r="I30" s="73">
        <f t="shared" si="8"/>
        <v>2366</v>
      </c>
      <c r="J30" s="736">
        <v>47161</v>
      </c>
      <c r="K30" s="736">
        <f t="shared" si="9"/>
        <v>44977</v>
      </c>
      <c r="L30" s="46">
        <f>40000000*80%</f>
        <v>32000000</v>
      </c>
      <c r="M30" s="18"/>
      <c r="N30" s="46">
        <v>37916000</v>
      </c>
      <c r="O30" s="20">
        <f t="shared" si="10"/>
        <v>26000000</v>
      </c>
      <c r="P30" s="47">
        <v>0.125</v>
      </c>
      <c r="Q30" s="48">
        <v>1.0182519999999999</v>
      </c>
      <c r="R30" s="22">
        <f t="shared" si="11"/>
        <v>32584063.999999996</v>
      </c>
      <c r="S30" s="12">
        <v>0.13555</v>
      </c>
      <c r="T30" s="75">
        <v>2000000</v>
      </c>
      <c r="U30" s="563">
        <v>1450549.4505494505</v>
      </c>
      <c r="V30" s="13">
        <f t="shared" si="12"/>
        <v>549450.54945054953</v>
      </c>
      <c r="W30" s="13"/>
      <c r="Z30" s="30"/>
      <c r="AA30" s="30"/>
      <c r="AB30" s="30"/>
      <c r="AE30" s="30"/>
    </row>
    <row r="31" spans="1:31" s="29" customFormat="1" ht="22.5" customHeight="1" x14ac:dyDescent="0.25">
      <c r="A31" s="44" t="s">
        <v>206</v>
      </c>
      <c r="B31" s="45" t="s">
        <v>175</v>
      </c>
      <c r="C31" s="11"/>
      <c r="D31" s="736">
        <v>42800</v>
      </c>
      <c r="E31" s="736">
        <v>44795</v>
      </c>
      <c r="F31" s="73">
        <v>4178.72</v>
      </c>
      <c r="G31" s="73">
        <f t="shared" si="7"/>
        <v>2366</v>
      </c>
      <c r="H31" s="73">
        <f>[27]Sheet1!H42</f>
        <v>0</v>
      </c>
      <c r="I31" s="73">
        <f t="shared" si="8"/>
        <v>2366</v>
      </c>
      <c r="J31" s="736">
        <v>47161</v>
      </c>
      <c r="K31" s="736">
        <f t="shared" si="9"/>
        <v>44977</v>
      </c>
      <c r="L31" s="46">
        <f>45000000*80%</f>
        <v>36000000</v>
      </c>
      <c r="M31" s="18"/>
      <c r="N31" s="46">
        <v>42655500</v>
      </c>
      <c r="O31" s="20">
        <f t="shared" si="10"/>
        <v>29250000</v>
      </c>
      <c r="P31" s="47">
        <v>0.125</v>
      </c>
      <c r="Q31" s="48">
        <v>1.0182519999999999</v>
      </c>
      <c r="R31" s="22">
        <f t="shared" si="11"/>
        <v>36657072</v>
      </c>
      <c r="S31" s="12">
        <v>0.13555</v>
      </c>
      <c r="T31" s="75">
        <v>2250000</v>
      </c>
      <c r="U31" s="563">
        <v>1631868.1318681319</v>
      </c>
      <c r="V31" s="13">
        <f t="shared" si="12"/>
        <v>618131.86813186808</v>
      </c>
      <c r="W31" s="13"/>
      <c r="Z31" s="30"/>
      <c r="AA31" s="30"/>
      <c r="AB31" s="30"/>
      <c r="AE31" s="30"/>
    </row>
    <row r="32" spans="1:31" s="29" customFormat="1" ht="22.5" customHeight="1" x14ac:dyDescent="0.25">
      <c r="A32" s="44" t="s">
        <v>206</v>
      </c>
      <c r="B32" s="45" t="s">
        <v>175</v>
      </c>
      <c r="C32" s="11"/>
      <c r="D32" s="736">
        <v>42800</v>
      </c>
      <c r="E32" s="736">
        <v>44795</v>
      </c>
      <c r="F32" s="73">
        <v>4178.72</v>
      </c>
      <c r="G32" s="73">
        <f t="shared" si="7"/>
        <v>2366</v>
      </c>
      <c r="H32" s="73">
        <f>[27]Sheet1!H43</f>
        <v>0</v>
      </c>
      <c r="I32" s="73">
        <f t="shared" si="8"/>
        <v>2366</v>
      </c>
      <c r="J32" s="736">
        <v>47161</v>
      </c>
      <c r="K32" s="736">
        <f t="shared" si="9"/>
        <v>44977</v>
      </c>
      <c r="L32" s="46">
        <f>46000000*80%</f>
        <v>36800000</v>
      </c>
      <c r="M32" s="18"/>
      <c r="N32" s="46">
        <v>43603400</v>
      </c>
      <c r="O32" s="20">
        <f t="shared" si="10"/>
        <v>29900000</v>
      </c>
      <c r="P32" s="47">
        <v>0.125</v>
      </c>
      <c r="Q32" s="48">
        <v>1.0182519999999999</v>
      </c>
      <c r="R32" s="22">
        <f t="shared" si="11"/>
        <v>37471673.599999994</v>
      </c>
      <c r="S32" s="12">
        <v>0.13555</v>
      </c>
      <c r="T32" s="75">
        <v>2300000</v>
      </c>
      <c r="U32" s="563">
        <v>1668131.8681318681</v>
      </c>
      <c r="V32" s="13">
        <f t="shared" si="12"/>
        <v>631868.13186813192</v>
      </c>
      <c r="W32" s="13"/>
      <c r="Z32" s="30"/>
      <c r="AA32" s="30"/>
      <c r="AB32" s="30"/>
      <c r="AE32" s="30"/>
    </row>
    <row r="33" spans="1:31" s="29" customFormat="1" ht="22.5" customHeight="1" x14ac:dyDescent="0.25">
      <c r="A33" s="44" t="s">
        <v>255</v>
      </c>
      <c r="B33" s="45" t="s">
        <v>175</v>
      </c>
      <c r="C33" s="11"/>
      <c r="D33" s="736">
        <v>44067</v>
      </c>
      <c r="E33" s="736">
        <v>44795</v>
      </c>
      <c r="F33" s="73">
        <v>4178.72</v>
      </c>
      <c r="G33" s="73">
        <f t="shared" si="7"/>
        <v>3276</v>
      </c>
      <c r="H33" s="73">
        <f>[27]Sheet1!H44</f>
        <v>0</v>
      </c>
      <c r="I33" s="73">
        <f t="shared" si="8"/>
        <v>3276</v>
      </c>
      <c r="J33" s="736">
        <v>48071</v>
      </c>
      <c r="K33" s="736">
        <f t="shared" si="9"/>
        <v>44977</v>
      </c>
      <c r="L33" s="46">
        <v>20000000</v>
      </c>
      <c r="M33" s="18"/>
      <c r="N33" s="46">
        <v>19578600</v>
      </c>
      <c r="O33" s="20">
        <f t="shared" si="10"/>
        <v>19620000</v>
      </c>
      <c r="P33" s="47">
        <v>0.109</v>
      </c>
      <c r="Q33" s="48">
        <v>0.92655500000000002</v>
      </c>
      <c r="R33" s="22">
        <f t="shared" si="11"/>
        <v>18531100</v>
      </c>
      <c r="S33" s="12">
        <v>0.11302</v>
      </c>
      <c r="T33" s="75">
        <v>1090000</v>
      </c>
      <c r="U33" s="563">
        <v>790549.45054945047</v>
      </c>
      <c r="V33" s="13">
        <f t="shared" si="12"/>
        <v>299450.54945054953</v>
      </c>
      <c r="W33" s="13"/>
      <c r="Z33" s="30"/>
      <c r="AA33" s="30"/>
      <c r="AB33" s="30"/>
      <c r="AE33" s="30"/>
    </row>
    <row r="34" spans="1:31" s="29" customFormat="1" ht="22.5" customHeight="1" x14ac:dyDescent="0.25">
      <c r="A34" s="44" t="s">
        <v>255</v>
      </c>
      <c r="B34" s="45" t="s">
        <v>175</v>
      </c>
      <c r="C34" s="11"/>
      <c r="D34" s="736">
        <v>44067</v>
      </c>
      <c r="E34" s="736">
        <v>44795</v>
      </c>
      <c r="F34" s="73">
        <v>4178.72</v>
      </c>
      <c r="G34" s="73">
        <f t="shared" si="7"/>
        <v>3276</v>
      </c>
      <c r="H34" s="73">
        <f>[27]Sheet1!H45</f>
        <v>0</v>
      </c>
      <c r="I34" s="73">
        <f t="shared" si="8"/>
        <v>3276</v>
      </c>
      <c r="J34" s="736">
        <v>48071</v>
      </c>
      <c r="K34" s="736">
        <f t="shared" si="9"/>
        <v>44977</v>
      </c>
      <c r="L34" s="46">
        <v>40000000</v>
      </c>
      <c r="M34" s="18"/>
      <c r="N34" s="46">
        <v>40106800</v>
      </c>
      <c r="O34" s="20">
        <f t="shared" si="10"/>
        <v>39240000</v>
      </c>
      <c r="P34" s="47">
        <v>0.109</v>
      </c>
      <c r="Q34" s="48">
        <v>0.92655500000000002</v>
      </c>
      <c r="R34" s="22">
        <f t="shared" si="11"/>
        <v>37062200</v>
      </c>
      <c r="S34" s="12">
        <v>0.1085</v>
      </c>
      <c r="T34" s="75">
        <v>2180000</v>
      </c>
      <c r="U34" s="563">
        <v>1581098.9010989009</v>
      </c>
      <c r="V34" s="13">
        <f t="shared" si="12"/>
        <v>598901.09890109906</v>
      </c>
      <c r="W34" s="13"/>
      <c r="Z34" s="30"/>
      <c r="AA34" s="30"/>
      <c r="AB34" s="30"/>
      <c r="AE34" s="30"/>
    </row>
    <row r="35" spans="1:31" s="29" customFormat="1" ht="22.5" customHeight="1" x14ac:dyDescent="0.25">
      <c r="A35" s="44" t="s">
        <v>255</v>
      </c>
      <c r="B35" s="45" t="s">
        <v>175</v>
      </c>
      <c r="C35" s="11"/>
      <c r="D35" s="736">
        <v>44067</v>
      </c>
      <c r="E35" s="736">
        <v>44795</v>
      </c>
      <c r="F35" s="73">
        <v>4178.72</v>
      </c>
      <c r="G35" s="73">
        <f t="shared" si="7"/>
        <v>3276</v>
      </c>
      <c r="H35" s="73">
        <f>[27]Sheet1!H46</f>
        <v>0</v>
      </c>
      <c r="I35" s="73">
        <f t="shared" si="8"/>
        <v>3276</v>
      </c>
      <c r="J35" s="736">
        <v>48071</v>
      </c>
      <c r="K35" s="736">
        <f t="shared" si="9"/>
        <v>44977</v>
      </c>
      <c r="L35" s="46">
        <v>40000000</v>
      </c>
      <c r="M35" s="18"/>
      <c r="N35" s="46">
        <v>40000000</v>
      </c>
      <c r="O35" s="20">
        <f t="shared" si="10"/>
        <v>39240000</v>
      </c>
      <c r="P35" s="47">
        <v>0.109</v>
      </c>
      <c r="Q35" s="48">
        <v>0.92655500000000002</v>
      </c>
      <c r="R35" s="22">
        <f t="shared" si="11"/>
        <v>37062200</v>
      </c>
      <c r="S35" s="12">
        <v>0.109</v>
      </c>
      <c r="T35" s="75">
        <v>2180000</v>
      </c>
      <c r="U35" s="563">
        <v>1581098.9010989009</v>
      </c>
      <c r="V35" s="13">
        <f t="shared" si="12"/>
        <v>598901.09890109906</v>
      </c>
      <c r="W35" s="13"/>
      <c r="Z35" s="30"/>
      <c r="AA35" s="30"/>
      <c r="AB35" s="30"/>
      <c r="AE35" s="30"/>
    </row>
    <row r="36" spans="1:31" s="29" customFormat="1" ht="22.5" customHeight="1" x14ac:dyDescent="0.25">
      <c r="A36" s="44" t="s">
        <v>255</v>
      </c>
      <c r="B36" s="45" t="s">
        <v>175</v>
      </c>
      <c r="C36" s="11"/>
      <c r="D36" s="736">
        <v>44067</v>
      </c>
      <c r="E36" s="736">
        <v>44795</v>
      </c>
      <c r="F36" s="73">
        <v>4178.72</v>
      </c>
      <c r="G36" s="73">
        <f t="shared" si="7"/>
        <v>3276</v>
      </c>
      <c r="H36" s="73">
        <f>[27]Sheet1!H47</f>
        <v>0</v>
      </c>
      <c r="I36" s="73">
        <f t="shared" si="8"/>
        <v>3276</v>
      </c>
      <c r="J36" s="736">
        <v>48071</v>
      </c>
      <c r="K36" s="736">
        <f t="shared" si="9"/>
        <v>44977</v>
      </c>
      <c r="L36" s="46">
        <v>40000000</v>
      </c>
      <c r="M36" s="18"/>
      <c r="N36" s="46">
        <v>39893600</v>
      </c>
      <c r="O36" s="20">
        <f t="shared" si="10"/>
        <v>39240000</v>
      </c>
      <c r="P36" s="47">
        <v>0.109</v>
      </c>
      <c r="Q36" s="48">
        <v>0.92655500000000002</v>
      </c>
      <c r="R36" s="22">
        <f t="shared" si="11"/>
        <v>37062200</v>
      </c>
      <c r="S36" s="12">
        <v>0.1095</v>
      </c>
      <c r="T36" s="75">
        <v>2180000</v>
      </c>
      <c r="U36" s="563">
        <v>1581098.9010989009</v>
      </c>
      <c r="V36" s="13">
        <f t="shared" si="12"/>
        <v>598901.09890109906</v>
      </c>
      <c r="W36" s="13"/>
      <c r="Z36" s="30"/>
      <c r="AA36" s="30"/>
      <c r="AB36" s="30"/>
      <c r="AE36" s="30"/>
    </row>
    <row r="37" spans="1:31" s="29" customFormat="1" ht="22.5" customHeight="1" x14ac:dyDescent="0.25">
      <c r="A37" s="44" t="s">
        <v>255</v>
      </c>
      <c r="B37" s="45" t="s">
        <v>175</v>
      </c>
      <c r="C37" s="11"/>
      <c r="D37" s="736">
        <v>44067</v>
      </c>
      <c r="E37" s="736">
        <v>44795</v>
      </c>
      <c r="F37" s="73">
        <v>4178.72</v>
      </c>
      <c r="G37" s="73">
        <f t="shared" si="7"/>
        <v>3276</v>
      </c>
      <c r="H37" s="73">
        <f>[27]Sheet1!H48</f>
        <v>0</v>
      </c>
      <c r="I37" s="73">
        <f t="shared" si="8"/>
        <v>3276</v>
      </c>
      <c r="J37" s="736">
        <v>48071</v>
      </c>
      <c r="K37" s="736">
        <f t="shared" si="9"/>
        <v>44977</v>
      </c>
      <c r="L37" s="46">
        <v>20000000</v>
      </c>
      <c r="M37" s="18"/>
      <c r="N37" s="46">
        <v>19894000</v>
      </c>
      <c r="O37" s="20">
        <f t="shared" si="10"/>
        <v>19620000</v>
      </c>
      <c r="P37" s="47">
        <v>0.109</v>
      </c>
      <c r="Q37" s="48">
        <v>0.92655500000000002</v>
      </c>
      <c r="R37" s="22">
        <f t="shared" si="11"/>
        <v>18531100</v>
      </c>
      <c r="S37" s="12">
        <v>0.11</v>
      </c>
      <c r="T37" s="75">
        <v>1090000</v>
      </c>
      <c r="U37" s="563">
        <v>790549.45054945047</v>
      </c>
      <c r="V37" s="13">
        <f t="shared" si="12"/>
        <v>299450.54945054953</v>
      </c>
      <c r="W37" s="13"/>
      <c r="Z37" s="30"/>
      <c r="AA37" s="30"/>
      <c r="AB37" s="30"/>
      <c r="AE37" s="30"/>
    </row>
    <row r="38" spans="1:31" s="29" customFormat="1" ht="22.5" customHeight="1" x14ac:dyDescent="0.25">
      <c r="A38" s="44" t="s">
        <v>255</v>
      </c>
      <c r="B38" s="45" t="s">
        <v>175</v>
      </c>
      <c r="C38" s="11"/>
      <c r="D38" s="736">
        <v>44067</v>
      </c>
      <c r="E38" s="736">
        <v>44795</v>
      </c>
      <c r="F38" s="73">
        <v>4178.72</v>
      </c>
      <c r="G38" s="73">
        <f t="shared" si="7"/>
        <v>3276</v>
      </c>
      <c r="H38" s="73">
        <f>[27]Sheet1!H49</f>
        <v>0</v>
      </c>
      <c r="I38" s="73">
        <f t="shared" si="8"/>
        <v>3276</v>
      </c>
      <c r="J38" s="736">
        <v>48071</v>
      </c>
      <c r="K38" s="736">
        <f t="shared" si="9"/>
        <v>44977</v>
      </c>
      <c r="L38" s="46">
        <v>20000000</v>
      </c>
      <c r="M38" s="18"/>
      <c r="N38" s="46">
        <v>19736400</v>
      </c>
      <c r="O38" s="20">
        <f t="shared" si="10"/>
        <v>19620000</v>
      </c>
      <c r="P38" s="47">
        <v>0.109</v>
      </c>
      <c r="Q38" s="48">
        <v>0.92655500000000002</v>
      </c>
      <c r="R38" s="22">
        <f t="shared" si="11"/>
        <v>18531100</v>
      </c>
      <c r="S38" s="12">
        <v>0.1115</v>
      </c>
      <c r="T38" s="75">
        <v>1090000</v>
      </c>
      <c r="U38" s="563">
        <v>790549.45054945047</v>
      </c>
      <c r="V38" s="13">
        <f t="shared" si="12"/>
        <v>299450.54945054953</v>
      </c>
      <c r="W38" s="13"/>
      <c r="Z38" s="30"/>
      <c r="AA38" s="30"/>
      <c r="AB38" s="30"/>
      <c r="AE38" s="30"/>
    </row>
    <row r="39" spans="1:31" s="29" customFormat="1" ht="22.5" customHeight="1" x14ac:dyDescent="0.25">
      <c r="A39" s="44" t="s">
        <v>255</v>
      </c>
      <c r="B39" s="45" t="s">
        <v>175</v>
      </c>
      <c r="C39" s="11"/>
      <c r="D39" s="736">
        <v>44067</v>
      </c>
      <c r="E39" s="736">
        <v>44795</v>
      </c>
      <c r="F39" s="73">
        <v>4178.72</v>
      </c>
      <c r="G39" s="73">
        <f t="shared" si="7"/>
        <v>3276</v>
      </c>
      <c r="H39" s="73">
        <f>[27]Sheet1!H50</f>
        <v>0</v>
      </c>
      <c r="I39" s="73">
        <f t="shared" si="8"/>
        <v>3276</v>
      </c>
      <c r="J39" s="736">
        <v>48071</v>
      </c>
      <c r="K39" s="736">
        <f t="shared" si="9"/>
        <v>44977</v>
      </c>
      <c r="L39" s="46">
        <v>20000000</v>
      </c>
      <c r="M39" s="18"/>
      <c r="N39" s="46">
        <v>19684400</v>
      </c>
      <c r="O39" s="20">
        <f t="shared" si="10"/>
        <v>19620000</v>
      </c>
      <c r="P39" s="47">
        <v>0.109</v>
      </c>
      <c r="Q39" s="48">
        <v>0.92655500000000002</v>
      </c>
      <c r="R39" s="22">
        <f t="shared" si="11"/>
        <v>18531100</v>
      </c>
      <c r="S39" s="12">
        <v>0.112</v>
      </c>
      <c r="T39" s="75">
        <v>1090000</v>
      </c>
      <c r="U39" s="563">
        <v>790549.45054945047</v>
      </c>
      <c r="V39" s="13">
        <f t="shared" si="12"/>
        <v>299450.54945054953</v>
      </c>
      <c r="W39" s="13"/>
      <c r="Z39" s="30"/>
      <c r="AA39" s="30"/>
      <c r="AB39" s="30"/>
      <c r="AE39" s="30"/>
    </row>
    <row r="40" spans="1:31" s="29" customFormat="1" ht="22.5" customHeight="1" x14ac:dyDescent="0.25">
      <c r="A40" s="44" t="s">
        <v>255</v>
      </c>
      <c r="B40" s="45" t="s">
        <v>175</v>
      </c>
      <c r="C40" s="11"/>
      <c r="D40" s="736">
        <v>44067</v>
      </c>
      <c r="E40" s="736">
        <v>44795</v>
      </c>
      <c r="F40" s="73">
        <v>4178.72</v>
      </c>
      <c r="G40" s="73">
        <f t="shared" si="7"/>
        <v>3276</v>
      </c>
      <c r="H40" s="73" t="e">
        <f>[27]Sheet1!H51</f>
        <v>#REF!</v>
      </c>
      <c r="I40" s="73" t="e">
        <f t="shared" si="8"/>
        <v>#REF!</v>
      </c>
      <c r="J40" s="736">
        <v>48071</v>
      </c>
      <c r="K40" s="736">
        <f t="shared" si="9"/>
        <v>44977</v>
      </c>
      <c r="L40" s="46">
        <v>20000000</v>
      </c>
      <c r="M40" s="18"/>
      <c r="N40" s="46">
        <v>19580800</v>
      </c>
      <c r="O40" s="20">
        <f t="shared" si="10"/>
        <v>19620000</v>
      </c>
      <c r="P40" s="47">
        <v>0.109</v>
      </c>
      <c r="Q40" s="48">
        <v>0.92655500000000002</v>
      </c>
      <c r="R40" s="22">
        <f t="shared" si="11"/>
        <v>18531100</v>
      </c>
      <c r="S40" s="12">
        <v>0.113</v>
      </c>
      <c r="T40" s="75">
        <v>1090000</v>
      </c>
      <c r="U40" s="563">
        <v>790549.45054945047</v>
      </c>
      <c r="V40" s="13">
        <f t="shared" si="12"/>
        <v>299450.54945054953</v>
      </c>
      <c r="W40" s="13"/>
      <c r="Z40" s="30"/>
      <c r="AA40" s="30"/>
      <c r="AB40" s="30"/>
      <c r="AE40" s="30"/>
    </row>
    <row r="41" spans="1:31" s="29" customFormat="1" ht="22.5" customHeight="1" x14ac:dyDescent="0.25">
      <c r="A41" s="44" t="s">
        <v>309</v>
      </c>
      <c r="B41" s="45" t="s">
        <v>175</v>
      </c>
      <c r="C41" s="45"/>
      <c r="D41" s="736">
        <v>44634</v>
      </c>
      <c r="E41" s="736">
        <v>44795</v>
      </c>
      <c r="F41" s="73">
        <v>1638</v>
      </c>
      <c r="G41" s="73">
        <f t="shared" si="7"/>
        <v>4550</v>
      </c>
      <c r="H41" s="73">
        <f>[27]Sheet1!H29</f>
        <v>0</v>
      </c>
      <c r="I41" s="73">
        <f t="shared" si="8"/>
        <v>4550</v>
      </c>
      <c r="J41" s="736">
        <f>D41+(4711)</f>
        <v>49345</v>
      </c>
      <c r="K41" s="736">
        <f t="shared" si="9"/>
        <v>44977</v>
      </c>
      <c r="L41" s="46">
        <v>20000000</v>
      </c>
      <c r="M41" s="18"/>
      <c r="N41" s="46">
        <v>18976200</v>
      </c>
      <c r="O41" s="20">
        <f t="shared" si="10"/>
        <v>31890000</v>
      </c>
      <c r="P41" s="47">
        <v>0.12756000000000001</v>
      </c>
      <c r="Q41" s="48">
        <v>0.959816</v>
      </c>
      <c r="R41" s="22">
        <f t="shared" si="11"/>
        <v>19196320</v>
      </c>
      <c r="S41" s="12">
        <v>0.13732</v>
      </c>
      <c r="T41" s="75">
        <v>1275600</v>
      </c>
      <c r="U41" s="563">
        <v>925160.43956043955</v>
      </c>
      <c r="V41" s="13">
        <f t="shared" si="12"/>
        <v>350439.56043956045</v>
      </c>
      <c r="W41" s="13"/>
      <c r="Z41" s="30"/>
      <c r="AA41" s="30"/>
      <c r="AB41" s="30"/>
      <c r="AE41" s="30"/>
    </row>
    <row r="42" spans="1:31" s="29" customFormat="1" ht="22.5" customHeight="1" x14ac:dyDescent="0.25">
      <c r="A42" s="44" t="s">
        <v>309</v>
      </c>
      <c r="B42" s="45" t="s">
        <v>175</v>
      </c>
      <c r="C42" s="45"/>
      <c r="D42" s="736">
        <v>44634</v>
      </c>
      <c r="E42" s="736">
        <v>44795</v>
      </c>
      <c r="F42" s="73">
        <v>1638</v>
      </c>
      <c r="G42" s="73">
        <f t="shared" si="7"/>
        <v>4550</v>
      </c>
      <c r="H42" s="73">
        <f>[27]Sheet1!H30</f>
        <v>0</v>
      </c>
      <c r="I42" s="73">
        <f t="shared" si="8"/>
        <v>4550</v>
      </c>
      <c r="J42" s="736">
        <f>D42+(4711)</f>
        <v>49345</v>
      </c>
      <c r="K42" s="736">
        <f t="shared" si="9"/>
        <v>44977</v>
      </c>
      <c r="L42" s="46">
        <v>40000000</v>
      </c>
      <c r="M42" s="18"/>
      <c r="N42" s="46">
        <v>38722400</v>
      </c>
      <c r="O42" s="20">
        <f t="shared" si="10"/>
        <v>63780000</v>
      </c>
      <c r="P42" s="47">
        <v>0.12756000000000001</v>
      </c>
      <c r="Q42" s="48">
        <v>0.959816</v>
      </c>
      <c r="R42" s="22">
        <f t="shared" si="11"/>
        <v>38392640</v>
      </c>
      <c r="S42" s="12">
        <v>0.13400000000000001</v>
      </c>
      <c r="T42" s="75">
        <v>2551200</v>
      </c>
      <c r="U42" s="563">
        <v>1850320.8791208791</v>
      </c>
      <c r="V42" s="13">
        <f t="shared" si="12"/>
        <v>700879.12087912089</v>
      </c>
      <c r="W42" s="13"/>
      <c r="Z42" s="30"/>
      <c r="AA42" s="30"/>
      <c r="AB42" s="30"/>
      <c r="AE42" s="30"/>
    </row>
    <row r="43" spans="1:31" s="29" customFormat="1" ht="22.5" customHeight="1" x14ac:dyDescent="0.25">
      <c r="A43" s="44" t="s">
        <v>309</v>
      </c>
      <c r="B43" s="45" t="s">
        <v>175</v>
      </c>
      <c r="C43" s="45"/>
      <c r="D43" s="736">
        <v>44634</v>
      </c>
      <c r="E43" s="736">
        <v>44795</v>
      </c>
      <c r="F43" s="73">
        <v>1638</v>
      </c>
      <c r="G43" s="73">
        <f t="shared" si="7"/>
        <v>4550</v>
      </c>
      <c r="H43" s="73">
        <f>[27]Sheet1!H31</f>
        <v>0</v>
      </c>
      <c r="I43" s="73">
        <f t="shared" si="8"/>
        <v>4550</v>
      </c>
      <c r="J43" s="736">
        <f>D43+(4711)</f>
        <v>49345</v>
      </c>
      <c r="K43" s="736">
        <f t="shared" si="9"/>
        <v>44977</v>
      </c>
      <c r="L43" s="46">
        <v>40000000</v>
      </c>
      <c r="M43" s="18"/>
      <c r="N43" s="46">
        <v>38604800</v>
      </c>
      <c r="O43" s="20">
        <f t="shared" si="10"/>
        <v>63780000</v>
      </c>
      <c r="P43" s="47">
        <v>0.12756000000000001</v>
      </c>
      <c r="Q43" s="48">
        <v>0.959816</v>
      </c>
      <c r="R43" s="22">
        <f t="shared" si="11"/>
        <v>38392640</v>
      </c>
      <c r="S43" s="12">
        <v>0.13450000000000001</v>
      </c>
      <c r="T43" s="75">
        <v>2551200</v>
      </c>
      <c r="U43" s="563">
        <v>1850320.8791208791</v>
      </c>
      <c r="V43" s="13">
        <f t="shared" si="12"/>
        <v>700879.12087912089</v>
      </c>
      <c r="W43" s="13"/>
      <c r="Z43" s="30"/>
      <c r="AA43" s="30"/>
      <c r="AB43" s="30"/>
      <c r="AE43" s="30"/>
    </row>
    <row r="44" spans="1:31" s="29" customFormat="1" ht="22.5" customHeight="1" x14ac:dyDescent="0.25">
      <c r="A44" s="44" t="s">
        <v>309</v>
      </c>
      <c r="B44" s="45" t="s">
        <v>175</v>
      </c>
      <c r="C44" s="45"/>
      <c r="D44" s="736">
        <v>44634</v>
      </c>
      <c r="E44" s="736">
        <v>44795</v>
      </c>
      <c r="F44" s="73">
        <v>1638</v>
      </c>
      <c r="G44" s="73">
        <f t="shared" si="7"/>
        <v>4550</v>
      </c>
      <c r="H44" s="73">
        <f>[27]Sheet1!H32</f>
        <v>0</v>
      </c>
      <c r="I44" s="73">
        <f t="shared" si="8"/>
        <v>4550</v>
      </c>
      <c r="J44" s="736">
        <f>D44+(4711)</f>
        <v>49345</v>
      </c>
      <c r="K44" s="736">
        <f t="shared" si="9"/>
        <v>44977</v>
      </c>
      <c r="L44" s="46">
        <v>40000000</v>
      </c>
      <c r="M44" s="18"/>
      <c r="N44" s="46">
        <v>38488000</v>
      </c>
      <c r="O44" s="20">
        <f t="shared" si="10"/>
        <v>63780000</v>
      </c>
      <c r="P44" s="47">
        <v>0.12756000000000001</v>
      </c>
      <c r="Q44" s="48">
        <v>0.959816</v>
      </c>
      <c r="R44" s="22">
        <f t="shared" si="11"/>
        <v>38392640</v>
      </c>
      <c r="S44" s="12">
        <v>0.13500000000000001</v>
      </c>
      <c r="T44" s="75">
        <v>2551200</v>
      </c>
      <c r="U44" s="563">
        <v>1850320.8791208791</v>
      </c>
      <c r="V44" s="13">
        <f t="shared" si="12"/>
        <v>700879.12087912089</v>
      </c>
      <c r="W44" s="13"/>
      <c r="Z44" s="30"/>
      <c r="AA44" s="30"/>
      <c r="AB44" s="30"/>
      <c r="AE44" s="30"/>
    </row>
    <row r="45" spans="1:31" s="818" customFormat="1" ht="22.5" customHeight="1" x14ac:dyDescent="0.25">
      <c r="A45" s="44" t="s">
        <v>124</v>
      </c>
      <c r="B45" s="45" t="s">
        <v>175</v>
      </c>
      <c r="C45" s="736">
        <v>39538</v>
      </c>
      <c r="D45" s="736">
        <v>40544</v>
      </c>
      <c r="E45" s="736">
        <v>44816</v>
      </c>
      <c r="F45" s="73">
        <v>2184</v>
      </c>
      <c r="G45" s="73">
        <f t="shared" si="7"/>
        <v>182</v>
      </c>
      <c r="H45" s="73">
        <f>[27]Sheet1!H49</f>
        <v>0</v>
      </c>
      <c r="I45" s="73">
        <f t="shared" si="8"/>
        <v>182</v>
      </c>
      <c r="J45" s="736">
        <v>44998</v>
      </c>
      <c r="K45" s="736">
        <f t="shared" si="9"/>
        <v>44998</v>
      </c>
      <c r="L45" s="46">
        <v>45000000</v>
      </c>
      <c r="M45" s="18"/>
      <c r="N45" s="46">
        <v>54068518</v>
      </c>
      <c r="O45" s="20">
        <f t="shared" si="10"/>
        <v>2812500</v>
      </c>
      <c r="P45" s="47">
        <v>0.125</v>
      </c>
      <c r="Q45" s="48">
        <v>1.026319</v>
      </c>
      <c r="R45" s="22">
        <f t="shared" si="11"/>
        <v>46184355</v>
      </c>
      <c r="S45" s="12">
        <v>0.13750000000000001</v>
      </c>
      <c r="T45" s="75">
        <v>2812500</v>
      </c>
      <c r="U45" s="563">
        <v>1715315.9340659343</v>
      </c>
      <c r="V45" s="13">
        <f t="shared" si="12"/>
        <v>1097184.0659340657</v>
      </c>
      <c r="W45" s="13"/>
      <c r="X45" s="29"/>
      <c r="Y45" s="29"/>
      <c r="Z45" s="30"/>
      <c r="AA45" s="30"/>
      <c r="AB45" s="30"/>
      <c r="AC45" s="29"/>
      <c r="AD45" s="29"/>
      <c r="AE45" s="29"/>
    </row>
    <row r="46" spans="1:31" s="818" customFormat="1" ht="22.5" customHeight="1" x14ac:dyDescent="0.25">
      <c r="A46" s="44" t="s">
        <v>195</v>
      </c>
      <c r="B46" s="45" t="s">
        <v>175</v>
      </c>
      <c r="C46" s="736"/>
      <c r="D46" s="736">
        <v>42541</v>
      </c>
      <c r="E46" s="736">
        <v>44816</v>
      </c>
      <c r="F46" s="73">
        <v>3822</v>
      </c>
      <c r="G46" s="73">
        <f t="shared" si="7"/>
        <v>1820</v>
      </c>
      <c r="H46" s="73" t="e">
        <f>[27]Sheet1!#REF!</f>
        <v>#REF!</v>
      </c>
      <c r="I46" s="73" t="e">
        <f t="shared" si="8"/>
        <v>#REF!</v>
      </c>
      <c r="J46" s="736">
        <v>46636</v>
      </c>
      <c r="K46" s="736">
        <f t="shared" si="9"/>
        <v>44998</v>
      </c>
      <c r="L46" s="46">
        <v>10000000</v>
      </c>
      <c r="M46" s="18"/>
      <c r="N46" s="46">
        <v>8474300</v>
      </c>
      <c r="O46" s="20">
        <f t="shared" si="10"/>
        <v>5500000</v>
      </c>
      <c r="P46" s="47">
        <v>0.11</v>
      </c>
      <c r="Q46" s="48">
        <v>0.92954899999999996</v>
      </c>
      <c r="R46" s="22">
        <f t="shared" si="11"/>
        <v>9295490</v>
      </c>
      <c r="S46" s="12">
        <v>0.1202</v>
      </c>
      <c r="T46" s="75">
        <v>550000</v>
      </c>
      <c r="U46" s="563">
        <v>335439.56043956045</v>
      </c>
      <c r="V46" s="13">
        <f t="shared" si="12"/>
        <v>214560.43956043955</v>
      </c>
      <c r="W46" s="13"/>
      <c r="X46" s="29"/>
      <c r="Y46" s="29"/>
      <c r="Z46" s="30"/>
      <c r="AA46" s="30"/>
      <c r="AB46" s="30"/>
      <c r="AC46" s="29"/>
      <c r="AD46" s="29"/>
      <c r="AE46" s="29"/>
    </row>
    <row r="47" spans="1:31" s="665" customFormat="1" ht="22.5" customHeight="1" x14ac:dyDescent="0.25">
      <c r="A47" s="44" t="s">
        <v>262</v>
      </c>
      <c r="B47" s="45" t="s">
        <v>175</v>
      </c>
      <c r="C47" s="736"/>
      <c r="D47" s="736">
        <v>44179</v>
      </c>
      <c r="E47" s="736">
        <v>44816</v>
      </c>
      <c r="F47" s="73">
        <v>5278</v>
      </c>
      <c r="G47" s="73">
        <f t="shared" si="7"/>
        <v>1820</v>
      </c>
      <c r="H47" s="73">
        <f>[27]Sheet1!H59</f>
        <v>0</v>
      </c>
      <c r="I47" s="73">
        <f t="shared" si="8"/>
        <v>1820</v>
      </c>
      <c r="J47" s="736">
        <f>D47+(2457)</f>
        <v>46636</v>
      </c>
      <c r="K47" s="736">
        <f t="shared" si="9"/>
        <v>44998</v>
      </c>
      <c r="L47" s="46">
        <v>20000000</v>
      </c>
      <c r="M47" s="18">
        <v>10000000</v>
      </c>
      <c r="N47" s="46">
        <v>20117000</v>
      </c>
      <c r="O47" s="20">
        <f t="shared" si="10"/>
        <v>11000000</v>
      </c>
      <c r="P47" s="47">
        <v>0.11</v>
      </c>
      <c r="Q47" s="48">
        <v>0.92954899999999996</v>
      </c>
      <c r="R47" s="22">
        <f t="shared" si="11"/>
        <v>18590980</v>
      </c>
      <c r="S47" s="12">
        <v>0.11461</v>
      </c>
      <c r="T47" s="75">
        <v>1100000</v>
      </c>
      <c r="U47" s="565">
        <v>670879.12087912089</v>
      </c>
      <c r="V47" s="50">
        <f t="shared" si="12"/>
        <v>429120.87912087911</v>
      </c>
      <c r="W47" s="50"/>
      <c r="X47" s="51"/>
      <c r="Y47" s="51"/>
      <c r="Z47" s="30"/>
      <c r="AA47" s="30"/>
      <c r="AB47" s="30"/>
      <c r="AC47" s="51"/>
      <c r="AD47" s="51"/>
      <c r="AE47" s="51"/>
    </row>
    <row r="48" spans="1:31" s="818" customFormat="1" ht="22.5" customHeight="1" x14ac:dyDescent="0.25">
      <c r="A48" s="44" t="s">
        <v>262</v>
      </c>
      <c r="B48" s="45" t="s">
        <v>175</v>
      </c>
      <c r="C48" s="736"/>
      <c r="D48" s="736">
        <v>44179</v>
      </c>
      <c r="E48" s="736">
        <v>44816</v>
      </c>
      <c r="F48" s="73">
        <v>5278</v>
      </c>
      <c r="G48" s="73">
        <f t="shared" si="7"/>
        <v>1820</v>
      </c>
      <c r="H48" s="73">
        <f>[27]Sheet1!H60</f>
        <v>0</v>
      </c>
      <c r="I48" s="73">
        <f t="shared" si="8"/>
        <v>1820</v>
      </c>
      <c r="J48" s="736">
        <f>D48+(2457)</f>
        <v>46636</v>
      </c>
      <c r="K48" s="736">
        <f t="shared" si="9"/>
        <v>44998</v>
      </c>
      <c r="L48" s="46">
        <v>40000000</v>
      </c>
      <c r="M48" s="18">
        <v>10000000</v>
      </c>
      <c r="N48" s="46">
        <v>40163200</v>
      </c>
      <c r="O48" s="20">
        <f t="shared" si="10"/>
        <v>22000000</v>
      </c>
      <c r="P48" s="47">
        <v>0.11</v>
      </c>
      <c r="Q48" s="48">
        <v>0.92954899999999996</v>
      </c>
      <c r="R48" s="22">
        <f t="shared" si="11"/>
        <v>37181960</v>
      </c>
      <c r="S48" s="12">
        <v>0.115</v>
      </c>
      <c r="T48" s="75">
        <v>2200000</v>
      </c>
      <c r="U48" s="565">
        <v>1341758.2417582418</v>
      </c>
      <c r="V48" s="50">
        <f t="shared" si="12"/>
        <v>858241.75824175822</v>
      </c>
      <c r="W48" s="50"/>
      <c r="X48" s="51"/>
      <c r="Y48" s="51"/>
      <c r="Z48" s="30"/>
      <c r="AA48" s="30"/>
      <c r="AB48" s="30"/>
      <c r="AC48" s="51"/>
      <c r="AD48" s="51"/>
      <c r="AE48" s="51"/>
    </row>
    <row r="49" spans="1:31" s="665" customFormat="1" ht="22.5" customHeight="1" x14ac:dyDescent="0.25">
      <c r="A49" s="44" t="s">
        <v>262</v>
      </c>
      <c r="B49" s="45" t="s">
        <v>175</v>
      </c>
      <c r="C49" s="736"/>
      <c r="D49" s="736">
        <v>44179</v>
      </c>
      <c r="E49" s="736">
        <v>44816</v>
      </c>
      <c r="F49" s="73">
        <v>5278</v>
      </c>
      <c r="G49" s="73">
        <f t="shared" si="7"/>
        <v>1820</v>
      </c>
      <c r="H49" s="73">
        <f>[27]Sheet1!H61</f>
        <v>0</v>
      </c>
      <c r="I49" s="73">
        <f t="shared" si="8"/>
        <v>1820</v>
      </c>
      <c r="J49" s="736">
        <f>D49+(2457)</f>
        <v>46636</v>
      </c>
      <c r="K49" s="736">
        <f t="shared" si="9"/>
        <v>44998</v>
      </c>
      <c r="L49" s="46">
        <v>40000000</v>
      </c>
      <c r="M49" s="18">
        <v>10000000</v>
      </c>
      <c r="N49" s="46">
        <v>39982000</v>
      </c>
      <c r="O49" s="20">
        <f t="shared" si="10"/>
        <v>22000000</v>
      </c>
      <c r="P49" s="47">
        <v>0.11</v>
      </c>
      <c r="Q49" s="48">
        <v>0.92954899999999996</v>
      </c>
      <c r="R49" s="22">
        <f t="shared" si="11"/>
        <v>37181960</v>
      </c>
      <c r="S49" s="12">
        <v>0.11600000000000001</v>
      </c>
      <c r="T49" s="75">
        <v>2200000</v>
      </c>
      <c r="U49" s="565">
        <v>1341758.2417582418</v>
      </c>
      <c r="V49" s="50">
        <f t="shared" si="12"/>
        <v>858241.75824175822</v>
      </c>
      <c r="W49" s="50"/>
      <c r="X49" s="51"/>
      <c r="Y49" s="51"/>
      <c r="Z49" s="30"/>
      <c r="AA49" s="30"/>
      <c r="AB49" s="30"/>
      <c r="AC49" s="51"/>
      <c r="AD49" s="51"/>
      <c r="AE49" s="51"/>
    </row>
    <row r="50" spans="1:31" s="665" customFormat="1" ht="22.5" customHeight="1" x14ac:dyDescent="0.25">
      <c r="A50" s="44" t="s">
        <v>262</v>
      </c>
      <c r="B50" s="45" t="s">
        <v>175</v>
      </c>
      <c r="C50" s="45"/>
      <c r="D50" s="736">
        <v>44193</v>
      </c>
      <c r="E50" s="736">
        <v>44816</v>
      </c>
      <c r="F50" s="73">
        <v>1638</v>
      </c>
      <c r="G50" s="73">
        <f t="shared" si="7"/>
        <v>1820</v>
      </c>
      <c r="H50" s="73">
        <f>[27]Sheet1!H35</f>
        <v>0</v>
      </c>
      <c r="I50" s="73">
        <f t="shared" si="8"/>
        <v>1820</v>
      </c>
      <c r="J50" s="736">
        <f>D50+(2443)</f>
        <v>46636</v>
      </c>
      <c r="K50" s="736">
        <f t="shared" si="9"/>
        <v>44998</v>
      </c>
      <c r="L50" s="46">
        <v>40000000</v>
      </c>
      <c r="M50" s="18"/>
      <c r="N50" s="46">
        <v>40406800</v>
      </c>
      <c r="O50" s="20">
        <f t="shared" si="10"/>
        <v>22000000</v>
      </c>
      <c r="P50" s="47">
        <v>0.11</v>
      </c>
      <c r="Q50" s="48">
        <v>0.92954899999999996</v>
      </c>
      <c r="R50" s="22">
        <f t="shared" si="11"/>
        <v>37181960</v>
      </c>
      <c r="S50" s="12">
        <v>0.11461</v>
      </c>
      <c r="T50" s="75">
        <v>2200000</v>
      </c>
      <c r="U50" s="563">
        <v>1341758.2417582418</v>
      </c>
      <c r="V50" s="13">
        <f t="shared" si="12"/>
        <v>858241.75824175822</v>
      </c>
      <c r="W50" s="13"/>
      <c r="X50" s="29"/>
      <c r="Y50" s="29"/>
      <c r="Z50" s="30"/>
      <c r="AA50" s="30"/>
      <c r="AB50" s="30"/>
      <c r="AC50" s="29"/>
      <c r="AD50" s="29"/>
      <c r="AE50" s="30"/>
    </row>
    <row r="51" spans="1:31" s="818" customFormat="1" ht="22.5" customHeight="1" x14ac:dyDescent="0.3">
      <c r="A51" s="54" t="s">
        <v>155</v>
      </c>
      <c r="B51" s="52" t="s">
        <v>175</v>
      </c>
      <c r="C51" s="52"/>
      <c r="D51" s="77">
        <v>42093</v>
      </c>
      <c r="E51" s="77">
        <v>44823</v>
      </c>
      <c r="F51" s="824">
        <v>3640</v>
      </c>
      <c r="G51" s="824">
        <f>J51-E51</f>
        <v>1638</v>
      </c>
      <c r="H51" s="824" t="e">
        <f>[27]Sheet1!#REF!</f>
        <v>#REF!</v>
      </c>
      <c r="I51" s="824" t="e">
        <f>G51-H51</f>
        <v>#REF!</v>
      </c>
      <c r="J51" s="77">
        <f>D51+364*12</f>
        <v>46461</v>
      </c>
      <c r="K51" s="77">
        <f>E51+182</f>
        <v>45005</v>
      </c>
      <c r="L51" s="57">
        <f>5000000-2000000</f>
        <v>3000000</v>
      </c>
      <c r="M51" s="53"/>
      <c r="N51" s="57">
        <v>4829100</v>
      </c>
      <c r="O51" s="625">
        <f>L51*P51*G51/364</f>
        <v>1485000</v>
      </c>
      <c r="P51" s="70">
        <v>0.11</v>
      </c>
      <c r="Q51" s="48">
        <v>0.97944900000000001</v>
      </c>
      <c r="R51" s="21">
        <f>+L51*Q51</f>
        <v>2938347</v>
      </c>
      <c r="S51" s="72">
        <v>0.1166</v>
      </c>
      <c r="T51" s="98">
        <v>165000</v>
      </c>
      <c r="U51" s="577">
        <v>94285.71428571429</v>
      </c>
      <c r="V51" s="80">
        <f>+T51-U51</f>
        <v>70714.28571428571</v>
      </c>
      <c r="W51" s="80"/>
      <c r="X51" s="81"/>
      <c r="Y51" s="81"/>
      <c r="Z51" s="82"/>
      <c r="AA51" s="82"/>
      <c r="AB51" s="82"/>
      <c r="AC51" s="81"/>
      <c r="AD51" s="81"/>
      <c r="AE51" s="82"/>
    </row>
    <row r="52" spans="1:31" s="665" customFormat="1" ht="22.5" customHeight="1" x14ac:dyDescent="0.25">
      <c r="A52" s="825" t="s">
        <v>164</v>
      </c>
      <c r="B52" s="826" t="s">
        <v>175</v>
      </c>
      <c r="C52" s="827"/>
      <c r="D52" s="827">
        <v>42093</v>
      </c>
      <c r="E52" s="827">
        <v>44823</v>
      </c>
      <c r="F52" s="828">
        <v>3640</v>
      </c>
      <c r="G52" s="828">
        <f>J52-E52</f>
        <v>1638</v>
      </c>
      <c r="H52" s="828" t="e">
        <f>[27]Sheet1!H15</f>
        <v>#REF!</v>
      </c>
      <c r="I52" s="828" t="e">
        <f>G52-H52</f>
        <v>#REF!</v>
      </c>
      <c r="J52" s="827">
        <f>D52+364*12</f>
        <v>46461</v>
      </c>
      <c r="K52" s="827">
        <f>E52+182</f>
        <v>45005</v>
      </c>
      <c r="L52" s="829">
        <v>15000000</v>
      </c>
      <c r="M52" s="630"/>
      <c r="N52" s="829">
        <v>14566500</v>
      </c>
      <c r="O52" s="830">
        <f>L52*P52*G52/364</f>
        <v>7425000</v>
      </c>
      <c r="P52" s="831">
        <v>0.11</v>
      </c>
      <c r="Q52" s="48">
        <v>0.97944900000000001</v>
      </c>
      <c r="R52" s="832">
        <f>+L52*Q52</f>
        <v>14691735</v>
      </c>
      <c r="S52" s="833">
        <v>0.11556</v>
      </c>
      <c r="T52" s="834">
        <v>824999.99999999988</v>
      </c>
      <c r="U52" s="835">
        <v>471428.57142857136</v>
      </c>
      <c r="V52" s="836">
        <f>+T52-U52</f>
        <v>353571.42857142852</v>
      </c>
      <c r="W52" s="836"/>
      <c r="X52" s="837"/>
      <c r="Y52" s="837"/>
      <c r="Z52" s="838"/>
      <c r="AA52" s="838"/>
      <c r="AB52" s="838"/>
      <c r="AC52" s="837"/>
      <c r="AD52" s="837"/>
      <c r="AE52" s="837"/>
    </row>
    <row r="53" spans="1:31" s="818" customFormat="1" ht="22.5" customHeight="1" x14ac:dyDescent="0.25">
      <c r="A53" s="825" t="s">
        <v>268</v>
      </c>
      <c r="B53" s="826" t="s">
        <v>175</v>
      </c>
      <c r="C53" s="826"/>
      <c r="D53" s="827">
        <v>42103</v>
      </c>
      <c r="E53" s="827">
        <v>44823</v>
      </c>
      <c r="F53" s="828">
        <v>3640</v>
      </c>
      <c r="G53" s="828">
        <f>J53-E53</f>
        <v>1638</v>
      </c>
      <c r="H53" s="828" t="e">
        <f>[27]Sheet1!#REF!</f>
        <v>#REF!</v>
      </c>
      <c r="I53" s="828" t="e">
        <f>G53-H53</f>
        <v>#REF!</v>
      </c>
      <c r="J53" s="827">
        <f>D53+(364*12)-10</f>
        <v>46461</v>
      </c>
      <c r="K53" s="827">
        <f>E53+182</f>
        <v>45005</v>
      </c>
      <c r="L53" s="829">
        <v>10000000</v>
      </c>
      <c r="M53" s="630"/>
      <c r="N53" s="829">
        <v>9753000</v>
      </c>
      <c r="O53" s="830">
        <f>L53*P53*G53/364</f>
        <v>4950000</v>
      </c>
      <c r="P53" s="831">
        <v>0.11</v>
      </c>
      <c r="Q53" s="48">
        <v>0.97944900000000001</v>
      </c>
      <c r="R53" s="832">
        <f>+L53*Q53</f>
        <v>9794490</v>
      </c>
      <c r="S53" s="833">
        <v>0.11556</v>
      </c>
      <c r="T53" s="834">
        <v>550000</v>
      </c>
      <c r="U53" s="835">
        <v>314285.71428571426</v>
      </c>
      <c r="V53" s="836">
        <f>+T53-U53</f>
        <v>235714.28571428574</v>
      </c>
      <c r="W53" s="836"/>
      <c r="X53" s="837"/>
      <c r="Y53" s="837"/>
      <c r="Z53" s="838"/>
      <c r="AA53" s="838"/>
      <c r="AB53" s="838"/>
      <c r="AC53" s="837"/>
      <c r="AD53" s="837"/>
      <c r="AE53" s="838"/>
    </row>
    <row r="54" spans="1:31" s="665" customFormat="1" ht="22.5" customHeight="1" x14ac:dyDescent="0.25">
      <c r="A54" s="825" t="s">
        <v>164</v>
      </c>
      <c r="B54" s="826" t="s">
        <v>175</v>
      </c>
      <c r="C54" s="826"/>
      <c r="D54" s="827">
        <v>42103</v>
      </c>
      <c r="E54" s="827">
        <v>44823</v>
      </c>
      <c r="F54" s="828">
        <v>3640</v>
      </c>
      <c r="G54" s="828">
        <f>J54-E54</f>
        <v>1638</v>
      </c>
      <c r="H54" s="828" t="e">
        <f>[27]Sheet1!#REF!</f>
        <v>#REF!</v>
      </c>
      <c r="I54" s="828" t="e">
        <f>G54-H54</f>
        <v>#REF!</v>
      </c>
      <c r="J54" s="827">
        <f>D54+(364*12)-10</f>
        <v>46461</v>
      </c>
      <c r="K54" s="827">
        <f>E54+182</f>
        <v>45005</v>
      </c>
      <c r="L54" s="829">
        <v>10000000</v>
      </c>
      <c r="M54" s="630"/>
      <c r="N54" s="829">
        <v>9753000</v>
      </c>
      <c r="O54" s="830">
        <f>L54*P54*G54/364</f>
        <v>4950000</v>
      </c>
      <c r="P54" s="831">
        <v>0.11</v>
      </c>
      <c r="Q54" s="48">
        <v>0.97944900000000001</v>
      </c>
      <c r="R54" s="832">
        <f>+L54*Q54</f>
        <v>9794490</v>
      </c>
      <c r="S54" s="833">
        <v>0.11556</v>
      </c>
      <c r="T54" s="834">
        <v>550000</v>
      </c>
      <c r="U54" s="835">
        <v>314285.71428571426</v>
      </c>
      <c r="V54" s="836">
        <f>+T54-U54</f>
        <v>235714.28571428574</v>
      </c>
      <c r="W54" s="836"/>
      <c r="X54" s="837"/>
      <c r="Y54" s="837"/>
      <c r="Z54" s="838"/>
      <c r="AA54" s="838"/>
      <c r="AB54" s="838"/>
      <c r="AC54" s="837"/>
      <c r="AD54" s="837"/>
      <c r="AE54" s="838"/>
    </row>
    <row r="55" spans="1:31" s="818" customFormat="1" ht="22.5" customHeight="1" x14ac:dyDescent="0.25">
      <c r="A55" s="741" t="s">
        <v>239</v>
      </c>
      <c r="B55" s="742" t="s">
        <v>175</v>
      </c>
      <c r="C55" s="742"/>
      <c r="D55" s="743">
        <v>43934</v>
      </c>
      <c r="E55" s="743">
        <v>44844</v>
      </c>
      <c r="F55" s="744">
        <v>3458</v>
      </c>
      <c r="G55" s="744">
        <f t="shared" ref="G55:G64" si="15">J55-E55</f>
        <v>2366</v>
      </c>
      <c r="H55" s="744" t="e">
        <f>[27]Sheet1!H21</f>
        <v>#REF!</v>
      </c>
      <c r="I55" s="744" t="e">
        <f t="shared" ref="I55:I64" si="16">G55-H55</f>
        <v>#REF!</v>
      </c>
      <c r="J55" s="743">
        <f>D55+364*9</f>
        <v>47210</v>
      </c>
      <c r="K55" s="743">
        <f t="shared" ref="K55:K64" si="17">E55+182</f>
        <v>45026</v>
      </c>
      <c r="L55" s="745">
        <v>10000000</v>
      </c>
      <c r="M55" s="840"/>
      <c r="N55" s="745">
        <v>9632100</v>
      </c>
      <c r="O55" s="746">
        <f t="shared" ref="O55:O64" si="18">L55*P55*G55/364</f>
        <v>7052500</v>
      </c>
      <c r="P55" s="747">
        <v>0.1085</v>
      </c>
      <c r="Q55" s="800">
        <v>0.94838500000000003</v>
      </c>
      <c r="R55" s="748">
        <f t="shared" ref="R55:R64" si="19">+L55*Q55</f>
        <v>9483850</v>
      </c>
      <c r="S55" s="749">
        <v>0.11650000000000001</v>
      </c>
      <c r="T55" s="750">
        <v>542500</v>
      </c>
      <c r="U55" s="751">
        <v>247403.84615384616</v>
      </c>
      <c r="V55" s="752">
        <f t="shared" ref="V55:V64" si="20">+T55-U55</f>
        <v>295096.15384615387</v>
      </c>
      <c r="W55" s="752"/>
      <c r="X55" s="665"/>
      <c r="Y55" s="665"/>
      <c r="Z55" s="753"/>
      <c r="AA55" s="753"/>
      <c r="AB55" s="753"/>
      <c r="AC55" s="665"/>
      <c r="AD55" s="665"/>
      <c r="AE55" s="753"/>
    </row>
    <row r="56" spans="1:31" s="665" customFormat="1" ht="22.5" customHeight="1" x14ac:dyDescent="0.25">
      <c r="A56" s="741" t="s">
        <v>239</v>
      </c>
      <c r="B56" s="742" t="s">
        <v>175</v>
      </c>
      <c r="C56" s="742"/>
      <c r="D56" s="743">
        <v>43934</v>
      </c>
      <c r="E56" s="743">
        <v>44844</v>
      </c>
      <c r="F56" s="744">
        <v>3458</v>
      </c>
      <c r="G56" s="744">
        <f t="shared" si="15"/>
        <v>2366</v>
      </c>
      <c r="H56" s="744">
        <f>[27]Sheet1!H22</f>
        <v>0</v>
      </c>
      <c r="I56" s="744">
        <f t="shared" si="16"/>
        <v>2366</v>
      </c>
      <c r="J56" s="743">
        <f>D56+364*9</f>
        <v>47210</v>
      </c>
      <c r="K56" s="743">
        <f t="shared" si="17"/>
        <v>45026</v>
      </c>
      <c r="L56" s="745">
        <v>10000000</v>
      </c>
      <c r="M56" s="840"/>
      <c r="N56" s="745">
        <v>9587500</v>
      </c>
      <c r="O56" s="746">
        <f t="shared" si="18"/>
        <v>7052500</v>
      </c>
      <c r="P56" s="747">
        <v>0.1085</v>
      </c>
      <c r="Q56" s="800">
        <v>0.94838500000000003</v>
      </c>
      <c r="R56" s="748">
        <f t="shared" si="19"/>
        <v>9483850</v>
      </c>
      <c r="S56" s="749">
        <v>0.11749999999999999</v>
      </c>
      <c r="T56" s="750">
        <v>542500</v>
      </c>
      <c r="U56" s="751">
        <v>247403.84615384616</v>
      </c>
      <c r="V56" s="752">
        <f t="shared" si="20"/>
        <v>295096.15384615387</v>
      </c>
      <c r="W56" s="752"/>
      <c r="Z56" s="753"/>
      <c r="AA56" s="753"/>
      <c r="AB56" s="753"/>
      <c r="AE56" s="753"/>
    </row>
    <row r="57" spans="1:31" s="818" customFormat="1" ht="22.5" customHeight="1" x14ac:dyDescent="0.25">
      <c r="A57" s="741" t="s">
        <v>239</v>
      </c>
      <c r="B57" s="742" t="s">
        <v>175</v>
      </c>
      <c r="C57" s="742"/>
      <c r="D57" s="743">
        <v>43934</v>
      </c>
      <c r="E57" s="743">
        <v>44844</v>
      </c>
      <c r="F57" s="744">
        <v>3458</v>
      </c>
      <c r="G57" s="744">
        <f t="shared" si="15"/>
        <v>2366</v>
      </c>
      <c r="H57" s="744">
        <f>[27]Sheet1!H23</f>
        <v>0</v>
      </c>
      <c r="I57" s="744">
        <f t="shared" si="16"/>
        <v>2366</v>
      </c>
      <c r="J57" s="743">
        <f>D57+364*9</f>
        <v>47210</v>
      </c>
      <c r="K57" s="743">
        <f t="shared" si="17"/>
        <v>45026</v>
      </c>
      <c r="L57" s="745">
        <v>10000000</v>
      </c>
      <c r="M57" s="840"/>
      <c r="N57" s="745">
        <v>9499000</v>
      </c>
      <c r="O57" s="746">
        <f t="shared" si="18"/>
        <v>7052500</v>
      </c>
      <c r="P57" s="747">
        <v>0.1085</v>
      </c>
      <c r="Q57" s="800">
        <v>0.94838500000000003</v>
      </c>
      <c r="R57" s="748">
        <f t="shared" si="19"/>
        <v>9483850</v>
      </c>
      <c r="S57" s="749">
        <v>0.1195</v>
      </c>
      <c r="T57" s="750">
        <v>542500</v>
      </c>
      <c r="U57" s="751">
        <v>247403.84615384616</v>
      </c>
      <c r="V57" s="752">
        <f t="shared" si="20"/>
        <v>295096.15384615387</v>
      </c>
      <c r="W57" s="752"/>
      <c r="X57" s="665"/>
      <c r="Y57" s="665"/>
      <c r="Z57" s="753"/>
      <c r="AA57" s="753"/>
      <c r="AB57" s="753"/>
      <c r="AC57" s="665"/>
      <c r="AD57" s="665"/>
      <c r="AE57" s="753"/>
    </row>
    <row r="58" spans="1:31" s="665" customFormat="1" ht="22.5" customHeight="1" x14ac:dyDescent="0.25">
      <c r="A58" s="44" t="s">
        <v>310</v>
      </c>
      <c r="B58" s="45" t="s">
        <v>175</v>
      </c>
      <c r="C58" s="45"/>
      <c r="D58" s="736">
        <v>44662</v>
      </c>
      <c r="E58" s="736">
        <v>44844</v>
      </c>
      <c r="F58" s="73">
        <v>1638</v>
      </c>
      <c r="G58" s="73">
        <f t="shared" si="15"/>
        <v>910</v>
      </c>
      <c r="H58" s="73">
        <f>[27]Sheet1!H38</f>
        <v>0</v>
      </c>
      <c r="I58" s="73">
        <f t="shared" si="16"/>
        <v>910</v>
      </c>
      <c r="J58" s="736">
        <f t="shared" ref="J58:J64" si="21">D58+(1092)</f>
        <v>45754</v>
      </c>
      <c r="K58" s="736">
        <f t="shared" si="17"/>
        <v>45026</v>
      </c>
      <c r="L58" s="46">
        <v>20000000</v>
      </c>
      <c r="M58" s="18"/>
      <c r="N58" s="46">
        <v>20000000</v>
      </c>
      <c r="O58" s="20">
        <f t="shared" si="18"/>
        <v>5883000</v>
      </c>
      <c r="P58" s="47">
        <v>0.11766</v>
      </c>
      <c r="Q58" s="48">
        <v>0.99312800000000001</v>
      </c>
      <c r="R58" s="22">
        <f t="shared" si="19"/>
        <v>19862560</v>
      </c>
      <c r="S58" s="12">
        <v>0.11766</v>
      </c>
      <c r="T58" s="75">
        <v>1176600</v>
      </c>
      <c r="U58" s="563">
        <v>536581.31868131866</v>
      </c>
      <c r="V58" s="13">
        <f t="shared" si="20"/>
        <v>640018.68131868134</v>
      </c>
      <c r="W58" s="13"/>
      <c r="X58" s="29"/>
      <c r="Y58" s="29"/>
      <c r="Z58" s="30"/>
      <c r="AA58" s="30"/>
      <c r="AB58" s="30"/>
      <c r="AC58" s="29"/>
      <c r="AD58" s="29"/>
      <c r="AE58" s="30"/>
    </row>
    <row r="59" spans="1:31" s="665" customFormat="1" ht="22.5" customHeight="1" x14ac:dyDescent="0.25">
      <c r="A59" s="44" t="s">
        <v>310</v>
      </c>
      <c r="B59" s="45" t="s">
        <v>175</v>
      </c>
      <c r="C59" s="45"/>
      <c r="D59" s="736">
        <v>44662</v>
      </c>
      <c r="E59" s="736">
        <v>44844</v>
      </c>
      <c r="F59" s="73">
        <v>1638</v>
      </c>
      <c r="G59" s="73">
        <f t="shared" si="15"/>
        <v>910</v>
      </c>
      <c r="H59" s="73">
        <f>[27]Sheet1!H39</f>
        <v>0</v>
      </c>
      <c r="I59" s="73">
        <f t="shared" si="16"/>
        <v>910</v>
      </c>
      <c r="J59" s="736">
        <f t="shared" si="21"/>
        <v>45754</v>
      </c>
      <c r="K59" s="736">
        <f t="shared" si="17"/>
        <v>45026</v>
      </c>
      <c r="L59" s="46">
        <v>40000000</v>
      </c>
      <c r="M59" s="18"/>
      <c r="N59" s="46">
        <v>40164400</v>
      </c>
      <c r="O59" s="20">
        <f t="shared" si="18"/>
        <v>11766000</v>
      </c>
      <c r="P59" s="47">
        <v>0.11766</v>
      </c>
      <c r="Q59" s="48">
        <v>0.99312800000000001</v>
      </c>
      <c r="R59" s="22">
        <f t="shared" si="19"/>
        <v>39725120</v>
      </c>
      <c r="S59" s="12">
        <v>0.11600000000000001</v>
      </c>
      <c r="T59" s="75">
        <v>2353200</v>
      </c>
      <c r="U59" s="563">
        <v>1073162.6373626373</v>
      </c>
      <c r="V59" s="13">
        <f t="shared" si="20"/>
        <v>1280037.3626373627</v>
      </c>
      <c r="W59" s="13"/>
      <c r="X59" s="29"/>
      <c r="Y59" s="29"/>
      <c r="Z59" s="30"/>
      <c r="AA59" s="30"/>
      <c r="AB59" s="30"/>
      <c r="AC59" s="29"/>
      <c r="AD59" s="29"/>
      <c r="AE59" s="30"/>
    </row>
    <row r="60" spans="1:31" s="29" customFormat="1" ht="22.5" customHeight="1" x14ac:dyDescent="0.25">
      <c r="A60" s="44" t="s">
        <v>310</v>
      </c>
      <c r="B60" s="45" t="s">
        <v>175</v>
      </c>
      <c r="C60" s="45"/>
      <c r="D60" s="736">
        <v>44662</v>
      </c>
      <c r="E60" s="736">
        <v>44844</v>
      </c>
      <c r="F60" s="73">
        <v>1638</v>
      </c>
      <c r="G60" s="73">
        <f t="shared" si="15"/>
        <v>910</v>
      </c>
      <c r="H60" s="73">
        <f>[27]Sheet1!H40</f>
        <v>0</v>
      </c>
      <c r="I60" s="73">
        <f t="shared" si="16"/>
        <v>910</v>
      </c>
      <c r="J60" s="736">
        <f t="shared" si="21"/>
        <v>45754</v>
      </c>
      <c r="K60" s="736">
        <f t="shared" si="17"/>
        <v>45026</v>
      </c>
      <c r="L60" s="46">
        <v>40000000</v>
      </c>
      <c r="M60" s="18"/>
      <c r="N60" s="46">
        <v>40114800</v>
      </c>
      <c r="O60" s="20">
        <f t="shared" si="18"/>
        <v>11766000</v>
      </c>
      <c r="P60" s="47">
        <v>0.11766</v>
      </c>
      <c r="Q60" s="48">
        <v>0.99312800000000001</v>
      </c>
      <c r="R60" s="22">
        <f t="shared" si="19"/>
        <v>39725120</v>
      </c>
      <c r="S60" s="12">
        <v>0.11650000000000001</v>
      </c>
      <c r="T60" s="75">
        <v>2353200</v>
      </c>
      <c r="U60" s="563">
        <v>1073162.6373626373</v>
      </c>
      <c r="V60" s="13">
        <f t="shared" si="20"/>
        <v>1280037.3626373627</v>
      </c>
      <c r="W60" s="13"/>
      <c r="Z60" s="30"/>
      <c r="AA60" s="30"/>
      <c r="AB60" s="30"/>
      <c r="AE60" s="30"/>
    </row>
    <row r="61" spans="1:31" s="29" customFormat="1" ht="22.5" customHeight="1" x14ac:dyDescent="0.25">
      <c r="A61" s="44" t="s">
        <v>310</v>
      </c>
      <c r="B61" s="45" t="s">
        <v>175</v>
      </c>
      <c r="C61" s="45"/>
      <c r="D61" s="736">
        <v>44662</v>
      </c>
      <c r="E61" s="736">
        <v>44844</v>
      </c>
      <c r="F61" s="73">
        <v>1638</v>
      </c>
      <c r="G61" s="73">
        <f t="shared" si="15"/>
        <v>910</v>
      </c>
      <c r="H61" s="73" t="e">
        <f>[27]Sheet1!H41</f>
        <v>#REF!</v>
      </c>
      <c r="I61" s="73" t="e">
        <f t="shared" si="16"/>
        <v>#REF!</v>
      </c>
      <c r="J61" s="736">
        <f t="shared" si="21"/>
        <v>45754</v>
      </c>
      <c r="K61" s="736">
        <f t="shared" si="17"/>
        <v>45026</v>
      </c>
      <c r="L61" s="46">
        <v>40000000</v>
      </c>
      <c r="M61" s="18"/>
      <c r="N61" s="46">
        <v>40065200</v>
      </c>
      <c r="O61" s="20">
        <f t="shared" si="18"/>
        <v>11766000</v>
      </c>
      <c r="P61" s="47">
        <v>0.11766</v>
      </c>
      <c r="Q61" s="48">
        <v>0.99312800000000001</v>
      </c>
      <c r="R61" s="22">
        <f t="shared" si="19"/>
        <v>39725120</v>
      </c>
      <c r="S61" s="12">
        <v>0.11700000000000001</v>
      </c>
      <c r="T61" s="75">
        <v>2353200</v>
      </c>
      <c r="U61" s="563">
        <v>1073162.6373626373</v>
      </c>
      <c r="V61" s="13">
        <f t="shared" si="20"/>
        <v>1280037.3626373627</v>
      </c>
      <c r="W61" s="13"/>
      <c r="Z61" s="30"/>
      <c r="AA61" s="30"/>
      <c r="AB61" s="30"/>
      <c r="AE61" s="30"/>
    </row>
    <row r="62" spans="1:31" s="29" customFormat="1" ht="22.5" customHeight="1" x14ac:dyDescent="0.25">
      <c r="A62" s="44" t="s">
        <v>310</v>
      </c>
      <c r="B62" s="45" t="s">
        <v>175</v>
      </c>
      <c r="C62" s="45"/>
      <c r="D62" s="736">
        <v>44662</v>
      </c>
      <c r="E62" s="736">
        <v>44844</v>
      </c>
      <c r="F62" s="73">
        <v>1638</v>
      </c>
      <c r="G62" s="73">
        <f t="shared" si="15"/>
        <v>910</v>
      </c>
      <c r="H62" s="73">
        <f>[27]Sheet1!H42</f>
        <v>0</v>
      </c>
      <c r="I62" s="73">
        <f t="shared" si="16"/>
        <v>910</v>
      </c>
      <c r="J62" s="736">
        <f t="shared" si="21"/>
        <v>45754</v>
      </c>
      <c r="K62" s="736">
        <f t="shared" si="17"/>
        <v>45026</v>
      </c>
      <c r="L62" s="46">
        <v>20000000</v>
      </c>
      <c r="M62" s="18"/>
      <c r="N62" s="46">
        <v>20007800</v>
      </c>
      <c r="O62" s="20">
        <f t="shared" si="18"/>
        <v>5883000</v>
      </c>
      <c r="P62" s="47">
        <v>0.11766</v>
      </c>
      <c r="Q62" s="48">
        <v>0.99312800000000001</v>
      </c>
      <c r="R62" s="22">
        <f t="shared" si="19"/>
        <v>19862560</v>
      </c>
      <c r="S62" s="12">
        <v>0.11749999999999999</v>
      </c>
      <c r="T62" s="75">
        <v>1176600</v>
      </c>
      <c r="U62" s="563">
        <v>536581.31868131866</v>
      </c>
      <c r="V62" s="13">
        <f t="shared" si="20"/>
        <v>640018.68131868134</v>
      </c>
      <c r="W62" s="13"/>
      <c r="Z62" s="30"/>
      <c r="AA62" s="30"/>
      <c r="AB62" s="30"/>
      <c r="AE62" s="30"/>
    </row>
    <row r="63" spans="1:31" s="29" customFormat="1" ht="22.5" customHeight="1" x14ac:dyDescent="0.25">
      <c r="A63" s="44" t="s">
        <v>310</v>
      </c>
      <c r="B63" s="45" t="s">
        <v>175</v>
      </c>
      <c r="C63" s="45"/>
      <c r="D63" s="736">
        <v>44662</v>
      </c>
      <c r="E63" s="736">
        <v>44844</v>
      </c>
      <c r="F63" s="73">
        <v>1638</v>
      </c>
      <c r="G63" s="73">
        <f t="shared" si="15"/>
        <v>910</v>
      </c>
      <c r="H63" s="73">
        <f>[27]Sheet1!H43</f>
        <v>0</v>
      </c>
      <c r="I63" s="73">
        <f t="shared" si="16"/>
        <v>910</v>
      </c>
      <c r="J63" s="736">
        <f t="shared" si="21"/>
        <v>45754</v>
      </c>
      <c r="K63" s="736">
        <f t="shared" si="17"/>
        <v>45026</v>
      </c>
      <c r="L63" s="46">
        <v>20000000</v>
      </c>
      <c r="M63" s="18"/>
      <c r="N63" s="46">
        <v>19983200</v>
      </c>
      <c r="O63" s="20">
        <f t="shared" si="18"/>
        <v>5883000</v>
      </c>
      <c r="P63" s="47">
        <v>0.11766</v>
      </c>
      <c r="Q63" s="48">
        <v>0.99312800000000001</v>
      </c>
      <c r="R63" s="22">
        <f t="shared" si="19"/>
        <v>19862560</v>
      </c>
      <c r="S63" s="12">
        <v>0.11799999999999999</v>
      </c>
      <c r="T63" s="75">
        <v>1176600</v>
      </c>
      <c r="U63" s="563">
        <v>536581.31868131866</v>
      </c>
      <c r="V63" s="13">
        <f t="shared" si="20"/>
        <v>640018.68131868134</v>
      </c>
      <c r="W63" s="13"/>
      <c r="Z63" s="30"/>
      <c r="AA63" s="30"/>
      <c r="AB63" s="30"/>
      <c r="AE63" s="30"/>
    </row>
    <row r="64" spans="1:31" s="29" customFormat="1" ht="22.5" customHeight="1" x14ac:dyDescent="0.25">
      <c r="A64" s="44" t="s">
        <v>310</v>
      </c>
      <c r="B64" s="45" t="s">
        <v>175</v>
      </c>
      <c r="C64" s="45"/>
      <c r="D64" s="736">
        <v>44662</v>
      </c>
      <c r="E64" s="736">
        <v>44844</v>
      </c>
      <c r="F64" s="73">
        <v>1638</v>
      </c>
      <c r="G64" s="73">
        <f t="shared" si="15"/>
        <v>910</v>
      </c>
      <c r="H64" s="73">
        <f>[27]Sheet1!H44</f>
        <v>0</v>
      </c>
      <c r="I64" s="73">
        <f t="shared" si="16"/>
        <v>910</v>
      </c>
      <c r="J64" s="736">
        <f t="shared" si="21"/>
        <v>45754</v>
      </c>
      <c r="K64" s="736">
        <f t="shared" si="17"/>
        <v>45026</v>
      </c>
      <c r="L64" s="46">
        <v>20000000</v>
      </c>
      <c r="M64" s="18"/>
      <c r="N64" s="46">
        <v>19958600</v>
      </c>
      <c r="O64" s="20">
        <f t="shared" si="18"/>
        <v>5883000</v>
      </c>
      <c r="P64" s="47">
        <v>0.11766</v>
      </c>
      <c r="Q64" s="48">
        <v>0.99312800000000001</v>
      </c>
      <c r="R64" s="22">
        <f t="shared" si="19"/>
        <v>19862560</v>
      </c>
      <c r="S64" s="12">
        <v>0.11849999999999999</v>
      </c>
      <c r="T64" s="75">
        <v>1176600</v>
      </c>
      <c r="U64" s="563">
        <v>536581.31868131866</v>
      </c>
      <c r="V64" s="13">
        <f t="shared" si="20"/>
        <v>640018.68131868134</v>
      </c>
      <c r="W64" s="13"/>
      <c r="Z64" s="30"/>
      <c r="AA64" s="30"/>
      <c r="AB64" s="30"/>
      <c r="AE64" s="30"/>
    </row>
    <row r="65" spans="1:31" s="818" customFormat="1" ht="22.5" customHeight="1" x14ac:dyDescent="0.3">
      <c r="A65" s="841" t="s">
        <v>152</v>
      </c>
      <c r="B65" s="842" t="s">
        <v>175</v>
      </c>
      <c r="C65" s="842"/>
      <c r="D65" s="629">
        <v>41939</v>
      </c>
      <c r="E65" s="629">
        <v>44851</v>
      </c>
      <c r="F65" s="843">
        <v>3458</v>
      </c>
      <c r="G65" s="843">
        <f t="shared" ref="G65:G98" si="22">J65-E65</f>
        <v>1456</v>
      </c>
      <c r="H65" s="843" t="e">
        <f>[27]Sheet1!#REF!</f>
        <v>#REF!</v>
      </c>
      <c r="I65" s="843" t="e">
        <f t="shared" ref="I65:I98" si="23">G65-H65</f>
        <v>#REF!</v>
      </c>
      <c r="J65" s="629">
        <f>D65+364*12</f>
        <v>46307</v>
      </c>
      <c r="K65" s="629">
        <f t="shared" ref="K65:K98" si="24">E65+182</f>
        <v>45033</v>
      </c>
      <c r="L65" s="844">
        <f>10000000-2550000-3111939</f>
        <v>4338061</v>
      </c>
      <c r="M65" s="630"/>
      <c r="N65" s="844">
        <v>9874200</v>
      </c>
      <c r="O65" s="845">
        <f t="shared" ref="O65:O98" si="25">L65*P65*G65/364</f>
        <v>1908746.84</v>
      </c>
      <c r="P65" s="846">
        <v>0.11</v>
      </c>
      <c r="Q65" s="847">
        <v>0.96110399999999996</v>
      </c>
      <c r="R65" s="848">
        <f t="shared" ref="R65:R98" si="26">+L65*Q65</f>
        <v>4169327.7793439999</v>
      </c>
      <c r="S65" s="849">
        <v>0.11260000000000001</v>
      </c>
      <c r="T65" s="850">
        <v>238593.35500000001</v>
      </c>
      <c r="U65" s="851">
        <v>99632.390000000014</v>
      </c>
      <c r="V65" s="852">
        <f t="shared" ref="V65:V98" si="27">+T65-U65</f>
        <v>138960.965</v>
      </c>
      <c r="W65" s="852"/>
      <c r="X65" s="624"/>
      <c r="Y65" s="624"/>
      <c r="Z65" s="853"/>
      <c r="AA65" s="853"/>
      <c r="AB65" s="853"/>
      <c r="AC65" s="624"/>
      <c r="AD65" s="624"/>
      <c r="AE65" s="853"/>
    </row>
    <row r="66" spans="1:31" s="665" customFormat="1" ht="22.5" customHeight="1" x14ac:dyDescent="0.3">
      <c r="A66" s="841" t="s">
        <v>162</v>
      </c>
      <c r="B66" s="842" t="s">
        <v>175</v>
      </c>
      <c r="C66" s="842"/>
      <c r="D66" s="629">
        <v>41939</v>
      </c>
      <c r="E66" s="629">
        <v>44851</v>
      </c>
      <c r="F66" s="843">
        <v>3458</v>
      </c>
      <c r="G66" s="843">
        <f t="shared" si="22"/>
        <v>1456</v>
      </c>
      <c r="H66" s="843" t="e">
        <f>[27]Sheet1!#REF!</f>
        <v>#REF!</v>
      </c>
      <c r="I66" s="843" t="e">
        <f t="shared" si="23"/>
        <v>#REF!</v>
      </c>
      <c r="J66" s="629">
        <f>D66+364*12</f>
        <v>46307</v>
      </c>
      <c r="K66" s="629">
        <f t="shared" si="24"/>
        <v>45033</v>
      </c>
      <c r="L66" s="844">
        <f>10000000</f>
        <v>10000000</v>
      </c>
      <c r="M66" s="854"/>
      <c r="N66" s="844">
        <v>9848300</v>
      </c>
      <c r="O66" s="845">
        <f t="shared" si="25"/>
        <v>4400000</v>
      </c>
      <c r="P66" s="846">
        <v>0.11</v>
      </c>
      <c r="Q66" s="847">
        <v>0.96110399999999996</v>
      </c>
      <c r="R66" s="848">
        <f t="shared" si="26"/>
        <v>9611040</v>
      </c>
      <c r="S66" s="849">
        <v>0.1129</v>
      </c>
      <c r="T66" s="850">
        <v>550000</v>
      </c>
      <c r="U66" s="851">
        <v>229670.32967032967</v>
      </c>
      <c r="V66" s="852">
        <f t="shared" si="27"/>
        <v>320329.67032967031</v>
      </c>
      <c r="W66" s="852"/>
      <c r="X66" s="624"/>
      <c r="Y66" s="624"/>
      <c r="Z66" s="853"/>
      <c r="AA66" s="853"/>
      <c r="AB66" s="853"/>
      <c r="AC66" s="624"/>
      <c r="AD66" s="624"/>
      <c r="AE66" s="853"/>
    </row>
    <row r="67" spans="1:31" s="818" customFormat="1" ht="22.5" customHeight="1" x14ac:dyDescent="0.3">
      <c r="A67" s="841" t="s">
        <v>152</v>
      </c>
      <c r="B67" s="842" t="s">
        <v>175</v>
      </c>
      <c r="C67" s="842"/>
      <c r="D67" s="629">
        <v>41939</v>
      </c>
      <c r="E67" s="629">
        <v>44851</v>
      </c>
      <c r="F67" s="843">
        <v>3458</v>
      </c>
      <c r="G67" s="843">
        <f t="shared" si="22"/>
        <v>1456</v>
      </c>
      <c r="H67" s="843" t="e">
        <f>[27]Sheet1!H3</f>
        <v>#REF!</v>
      </c>
      <c r="I67" s="843" t="e">
        <f t="shared" si="23"/>
        <v>#REF!</v>
      </c>
      <c r="J67" s="629">
        <f>D67+364*12</f>
        <v>46307</v>
      </c>
      <c r="K67" s="629">
        <f t="shared" si="24"/>
        <v>45033</v>
      </c>
      <c r="L67" s="844">
        <f>20000000-5050000-6244765</f>
        <v>8705235</v>
      </c>
      <c r="M67" s="630"/>
      <c r="N67" s="844">
        <v>19724400</v>
      </c>
      <c r="O67" s="845">
        <f t="shared" si="25"/>
        <v>3830303.4</v>
      </c>
      <c r="P67" s="846">
        <v>0.11</v>
      </c>
      <c r="Q67" s="847">
        <v>0.96110399999999996</v>
      </c>
      <c r="R67" s="848">
        <f t="shared" si="26"/>
        <v>8366636.1794400001</v>
      </c>
      <c r="S67" s="849">
        <v>0.11262999999999999</v>
      </c>
      <c r="T67" s="850">
        <v>478787.92499999993</v>
      </c>
      <c r="U67" s="851">
        <v>199933.41923076921</v>
      </c>
      <c r="V67" s="852">
        <f t="shared" si="27"/>
        <v>278854.50576923072</v>
      </c>
      <c r="W67" s="852"/>
      <c r="X67" s="624"/>
      <c r="Y67" s="624"/>
      <c r="Z67" s="853"/>
      <c r="AA67" s="853"/>
      <c r="AB67" s="853"/>
      <c r="AC67" s="624"/>
      <c r="AD67" s="624"/>
      <c r="AE67" s="853"/>
    </row>
    <row r="68" spans="1:31" s="665" customFormat="1" ht="22.5" customHeight="1" x14ac:dyDescent="0.25">
      <c r="A68" s="44" t="s">
        <v>199</v>
      </c>
      <c r="B68" s="45" t="s">
        <v>175</v>
      </c>
      <c r="C68" s="736"/>
      <c r="D68" s="736">
        <v>42667</v>
      </c>
      <c r="E68" s="736">
        <v>44851</v>
      </c>
      <c r="F68" s="73">
        <v>5278</v>
      </c>
      <c r="G68" s="73">
        <f t="shared" si="22"/>
        <v>3276</v>
      </c>
      <c r="H68" s="73" t="e">
        <f>[27]Sheet1!#REF!</f>
        <v>#REF!</v>
      </c>
      <c r="I68" s="73" t="e">
        <f t="shared" si="23"/>
        <v>#REF!</v>
      </c>
      <c r="J68" s="736">
        <f t="shared" ref="J68:J78" si="28">D68+364*15</f>
        <v>48127</v>
      </c>
      <c r="K68" s="736">
        <f t="shared" si="24"/>
        <v>45033</v>
      </c>
      <c r="L68" s="46">
        <f>10000000*0.75</f>
        <v>7500000</v>
      </c>
      <c r="M68" s="18">
        <v>10000000</v>
      </c>
      <c r="N68" s="46">
        <v>9502300</v>
      </c>
      <c r="O68" s="20">
        <f t="shared" si="25"/>
        <v>8100000</v>
      </c>
      <c r="P68" s="47">
        <v>0.12</v>
      </c>
      <c r="Q68" s="48">
        <v>0.95607200000000003</v>
      </c>
      <c r="R68" s="22">
        <f t="shared" si="26"/>
        <v>7170540</v>
      </c>
      <c r="S68" s="12">
        <v>0.12894</v>
      </c>
      <c r="T68" s="75">
        <v>450000</v>
      </c>
      <c r="U68" s="565">
        <v>187912.08791208791</v>
      </c>
      <c r="V68" s="50">
        <f t="shared" si="27"/>
        <v>262087.91208791209</v>
      </c>
      <c r="W68" s="50"/>
      <c r="X68" s="51"/>
      <c r="Y68" s="51"/>
      <c r="Z68" s="30"/>
      <c r="AA68" s="30"/>
      <c r="AB68" s="30"/>
      <c r="AC68" s="51"/>
      <c r="AD68" s="51"/>
      <c r="AE68" s="51"/>
    </row>
    <row r="69" spans="1:31" s="665" customFormat="1" ht="22.5" customHeight="1" x14ac:dyDescent="0.25">
      <c r="A69" s="44" t="s">
        <v>199</v>
      </c>
      <c r="B69" s="45" t="s">
        <v>175</v>
      </c>
      <c r="C69" s="736"/>
      <c r="D69" s="736">
        <v>42667</v>
      </c>
      <c r="E69" s="736">
        <v>44851</v>
      </c>
      <c r="F69" s="73">
        <v>5278</v>
      </c>
      <c r="G69" s="73">
        <f t="shared" si="22"/>
        <v>3276</v>
      </c>
      <c r="H69" s="73" t="e">
        <f>[27]Sheet1!H6</f>
        <v>#REF!</v>
      </c>
      <c r="I69" s="73" t="e">
        <f t="shared" si="23"/>
        <v>#REF!</v>
      </c>
      <c r="J69" s="736">
        <f t="shared" si="28"/>
        <v>48127</v>
      </c>
      <c r="K69" s="736">
        <f t="shared" si="24"/>
        <v>45033</v>
      </c>
      <c r="L69" s="46">
        <f>15000000*0.75</f>
        <v>11250000</v>
      </c>
      <c r="M69" s="18">
        <v>10000000</v>
      </c>
      <c r="N69" s="46">
        <v>13901400</v>
      </c>
      <c r="O69" s="20">
        <f t="shared" si="25"/>
        <v>12150000</v>
      </c>
      <c r="P69" s="47">
        <v>0.12</v>
      </c>
      <c r="Q69" s="48">
        <v>0.95607200000000003</v>
      </c>
      <c r="R69" s="22">
        <f t="shared" si="26"/>
        <v>10755810</v>
      </c>
      <c r="S69" s="12">
        <v>0.13250999999999999</v>
      </c>
      <c r="T69" s="75">
        <v>675000</v>
      </c>
      <c r="U69" s="565">
        <v>281868.13186813187</v>
      </c>
      <c r="V69" s="50">
        <f t="shared" si="27"/>
        <v>393131.86813186813</v>
      </c>
      <c r="W69" s="50"/>
      <c r="X69" s="51"/>
      <c r="Y69" s="51"/>
      <c r="Z69" s="30"/>
      <c r="AA69" s="30"/>
      <c r="AB69" s="30"/>
      <c r="AC69" s="51"/>
      <c r="AD69" s="51"/>
      <c r="AE69" s="51"/>
    </row>
    <row r="70" spans="1:31" s="29" customFormat="1" ht="22.5" customHeight="1" x14ac:dyDescent="0.25">
      <c r="A70" s="44" t="s">
        <v>199</v>
      </c>
      <c r="B70" s="45" t="s">
        <v>175</v>
      </c>
      <c r="C70" s="736"/>
      <c r="D70" s="736">
        <v>42667</v>
      </c>
      <c r="E70" s="736">
        <v>44851</v>
      </c>
      <c r="F70" s="73">
        <v>5278</v>
      </c>
      <c r="G70" s="73">
        <f t="shared" si="22"/>
        <v>3276</v>
      </c>
      <c r="H70" s="73" t="e">
        <f>[27]Sheet1!H17</f>
        <v>#REF!</v>
      </c>
      <c r="I70" s="73" t="e">
        <f t="shared" si="23"/>
        <v>#REF!</v>
      </c>
      <c r="J70" s="736">
        <f t="shared" si="28"/>
        <v>48127</v>
      </c>
      <c r="K70" s="736">
        <f t="shared" si="24"/>
        <v>45033</v>
      </c>
      <c r="L70" s="46">
        <f t="shared" ref="L70:L78" si="29">20000000*0.75</f>
        <v>15000000</v>
      </c>
      <c r="M70" s="18">
        <v>10000000</v>
      </c>
      <c r="N70" s="46">
        <v>19059400</v>
      </c>
      <c r="O70" s="20">
        <f t="shared" si="25"/>
        <v>16200000</v>
      </c>
      <c r="P70" s="47">
        <v>0.12</v>
      </c>
      <c r="Q70" s="48">
        <v>0.95607200000000003</v>
      </c>
      <c r="R70" s="22">
        <f t="shared" si="26"/>
        <v>14341080</v>
      </c>
      <c r="S70" s="12">
        <v>0.12842999999999999</v>
      </c>
      <c r="T70" s="75">
        <v>900000</v>
      </c>
      <c r="U70" s="565">
        <v>375824.17582417582</v>
      </c>
      <c r="V70" s="50">
        <f t="shared" si="27"/>
        <v>524175.82417582418</v>
      </c>
      <c r="W70" s="50"/>
      <c r="X70" s="51"/>
      <c r="Y70" s="51"/>
      <c r="Z70" s="30"/>
      <c r="AA70" s="30"/>
      <c r="AB70" s="30"/>
      <c r="AC70" s="51"/>
      <c r="AD70" s="51"/>
      <c r="AE70" s="51"/>
    </row>
    <row r="71" spans="1:31" s="29" customFormat="1" ht="22.5" customHeight="1" x14ac:dyDescent="0.25">
      <c r="A71" s="44" t="s">
        <v>199</v>
      </c>
      <c r="B71" s="45" t="s">
        <v>175</v>
      </c>
      <c r="C71" s="736"/>
      <c r="D71" s="736">
        <v>42667</v>
      </c>
      <c r="E71" s="736">
        <v>44851</v>
      </c>
      <c r="F71" s="73">
        <v>5278</v>
      </c>
      <c r="G71" s="73">
        <f t="shared" si="22"/>
        <v>3276</v>
      </c>
      <c r="H71" s="73" t="e">
        <f>[27]Sheet1!H18</f>
        <v>#REF!</v>
      </c>
      <c r="I71" s="73" t="e">
        <f t="shared" si="23"/>
        <v>#REF!</v>
      </c>
      <c r="J71" s="736">
        <f t="shared" si="28"/>
        <v>48127</v>
      </c>
      <c r="K71" s="736">
        <f t="shared" si="24"/>
        <v>45033</v>
      </c>
      <c r="L71" s="46">
        <f t="shared" si="29"/>
        <v>15000000</v>
      </c>
      <c r="M71" s="18">
        <v>10000000</v>
      </c>
      <c r="N71" s="46">
        <v>18983400</v>
      </c>
      <c r="O71" s="20">
        <f t="shared" si="25"/>
        <v>16200000</v>
      </c>
      <c r="P71" s="47">
        <v>0.12</v>
      </c>
      <c r="Q71" s="48">
        <v>0.95607200000000003</v>
      </c>
      <c r="R71" s="22">
        <f t="shared" si="26"/>
        <v>14341080</v>
      </c>
      <c r="S71" s="12">
        <v>0.12894</v>
      </c>
      <c r="T71" s="75">
        <v>900000</v>
      </c>
      <c r="U71" s="565">
        <v>375824.17582417582</v>
      </c>
      <c r="V71" s="50">
        <f t="shared" si="27"/>
        <v>524175.82417582418</v>
      </c>
      <c r="W71" s="50"/>
      <c r="X71" s="51"/>
      <c r="Y71" s="51"/>
      <c r="Z71" s="30"/>
      <c r="AA71" s="30"/>
      <c r="AB71" s="30"/>
      <c r="AC71" s="51"/>
      <c r="AD71" s="51"/>
      <c r="AE71" s="51"/>
    </row>
    <row r="72" spans="1:31" s="29" customFormat="1" ht="22.5" customHeight="1" x14ac:dyDescent="0.25">
      <c r="A72" s="44" t="s">
        <v>199</v>
      </c>
      <c r="B72" s="45" t="s">
        <v>175</v>
      </c>
      <c r="C72" s="736"/>
      <c r="D72" s="736">
        <v>42667</v>
      </c>
      <c r="E72" s="736">
        <v>44851</v>
      </c>
      <c r="F72" s="73">
        <v>5278</v>
      </c>
      <c r="G72" s="73">
        <f t="shared" si="22"/>
        <v>3276</v>
      </c>
      <c r="H72" s="73">
        <f>[27]Sheet1!H19</f>
        <v>0</v>
      </c>
      <c r="I72" s="73">
        <f t="shared" si="23"/>
        <v>3276</v>
      </c>
      <c r="J72" s="736">
        <f t="shared" si="28"/>
        <v>48127</v>
      </c>
      <c r="K72" s="736">
        <f t="shared" si="24"/>
        <v>45033</v>
      </c>
      <c r="L72" s="46">
        <f t="shared" si="29"/>
        <v>15000000</v>
      </c>
      <c r="M72" s="18">
        <v>10000000</v>
      </c>
      <c r="N72" s="46">
        <v>18741400</v>
      </c>
      <c r="O72" s="20">
        <f t="shared" si="25"/>
        <v>16200000</v>
      </c>
      <c r="P72" s="47">
        <v>0.12</v>
      </c>
      <c r="Q72" s="48">
        <v>0.95607200000000003</v>
      </c>
      <c r="R72" s="22">
        <f t="shared" si="26"/>
        <v>14341080</v>
      </c>
      <c r="S72" s="12">
        <v>0.12914</v>
      </c>
      <c r="T72" s="75">
        <v>900000</v>
      </c>
      <c r="U72" s="565">
        <v>375824.17582417582</v>
      </c>
      <c r="V72" s="50">
        <f t="shared" si="27"/>
        <v>524175.82417582418</v>
      </c>
      <c r="W72" s="50"/>
      <c r="X72" s="51"/>
      <c r="Y72" s="51"/>
      <c r="Z72" s="30"/>
      <c r="AA72" s="30"/>
      <c r="AB72" s="30"/>
      <c r="AC72" s="51"/>
      <c r="AD72" s="51"/>
      <c r="AE72" s="51"/>
    </row>
    <row r="73" spans="1:31" s="29" customFormat="1" ht="22.5" customHeight="1" x14ac:dyDescent="0.25">
      <c r="A73" s="44" t="s">
        <v>199</v>
      </c>
      <c r="B73" s="45" t="s">
        <v>175</v>
      </c>
      <c r="C73" s="736"/>
      <c r="D73" s="736">
        <v>42667</v>
      </c>
      <c r="E73" s="736">
        <v>44851</v>
      </c>
      <c r="F73" s="73">
        <v>5278</v>
      </c>
      <c r="G73" s="73">
        <f t="shared" si="22"/>
        <v>3276</v>
      </c>
      <c r="H73" s="73" t="e">
        <f>[27]Sheet1!H20</f>
        <v>#REF!</v>
      </c>
      <c r="I73" s="73" t="e">
        <f t="shared" si="23"/>
        <v>#REF!</v>
      </c>
      <c r="J73" s="736">
        <f t="shared" si="28"/>
        <v>48127</v>
      </c>
      <c r="K73" s="736">
        <f t="shared" si="24"/>
        <v>45033</v>
      </c>
      <c r="L73" s="46">
        <f t="shared" si="29"/>
        <v>15000000</v>
      </c>
      <c r="M73" s="18">
        <v>10000000</v>
      </c>
      <c r="N73" s="46">
        <v>18705800</v>
      </c>
      <c r="O73" s="20">
        <f t="shared" si="25"/>
        <v>16200000</v>
      </c>
      <c r="P73" s="47">
        <v>0.12</v>
      </c>
      <c r="Q73" s="48">
        <v>0.95607200000000003</v>
      </c>
      <c r="R73" s="22">
        <f t="shared" si="26"/>
        <v>14341080</v>
      </c>
      <c r="S73" s="12">
        <v>0.13142999999999999</v>
      </c>
      <c r="T73" s="75">
        <v>900000</v>
      </c>
      <c r="U73" s="565">
        <v>375824.17582417582</v>
      </c>
      <c r="V73" s="50">
        <f t="shared" si="27"/>
        <v>524175.82417582418</v>
      </c>
      <c r="W73" s="50"/>
      <c r="X73" s="51"/>
      <c r="Y73" s="51"/>
      <c r="Z73" s="30"/>
      <c r="AA73" s="30"/>
      <c r="AB73" s="30"/>
      <c r="AC73" s="51"/>
      <c r="AD73" s="51"/>
      <c r="AE73" s="51"/>
    </row>
    <row r="74" spans="1:31" s="29" customFormat="1" ht="22.5" customHeight="1" x14ac:dyDescent="0.25">
      <c r="A74" s="44" t="s">
        <v>199</v>
      </c>
      <c r="B74" s="45" t="s">
        <v>175</v>
      </c>
      <c r="C74" s="736"/>
      <c r="D74" s="736">
        <v>42667</v>
      </c>
      <c r="E74" s="736">
        <v>44851</v>
      </c>
      <c r="F74" s="73">
        <v>5278</v>
      </c>
      <c r="G74" s="73">
        <f t="shared" si="22"/>
        <v>3276</v>
      </c>
      <c r="H74" s="73" t="e">
        <f>[27]Sheet1!H21</f>
        <v>#REF!</v>
      </c>
      <c r="I74" s="73" t="e">
        <f t="shared" si="23"/>
        <v>#REF!</v>
      </c>
      <c r="J74" s="736">
        <f t="shared" si="28"/>
        <v>48127</v>
      </c>
      <c r="K74" s="736">
        <f t="shared" si="24"/>
        <v>45033</v>
      </c>
      <c r="L74" s="46">
        <f t="shared" si="29"/>
        <v>15000000</v>
      </c>
      <c r="M74" s="18">
        <v>10000000</v>
      </c>
      <c r="N74" s="46">
        <v>18629000</v>
      </c>
      <c r="O74" s="20">
        <f t="shared" si="25"/>
        <v>16200000</v>
      </c>
      <c r="P74" s="47">
        <v>0.12</v>
      </c>
      <c r="Q74" s="48">
        <v>0.95607200000000003</v>
      </c>
      <c r="R74" s="22">
        <f t="shared" si="26"/>
        <v>14341080</v>
      </c>
      <c r="S74" s="12">
        <v>0.13177</v>
      </c>
      <c r="T74" s="75">
        <v>900000</v>
      </c>
      <c r="U74" s="565">
        <v>375824.17582417582</v>
      </c>
      <c r="V74" s="50">
        <f t="shared" si="27"/>
        <v>524175.82417582418</v>
      </c>
      <c r="W74" s="50"/>
      <c r="X74" s="51"/>
      <c r="Y74" s="51"/>
      <c r="Z74" s="30"/>
      <c r="AA74" s="30"/>
      <c r="AB74" s="30"/>
      <c r="AC74" s="51"/>
      <c r="AD74" s="51"/>
      <c r="AE74" s="51"/>
    </row>
    <row r="75" spans="1:31" s="29" customFormat="1" ht="22.5" customHeight="1" x14ac:dyDescent="0.25">
      <c r="A75" s="44" t="s">
        <v>199</v>
      </c>
      <c r="B75" s="45" t="s">
        <v>175</v>
      </c>
      <c r="C75" s="736"/>
      <c r="D75" s="736">
        <v>42667</v>
      </c>
      <c r="E75" s="736">
        <v>44851</v>
      </c>
      <c r="F75" s="73">
        <v>5278</v>
      </c>
      <c r="G75" s="73">
        <f t="shared" si="22"/>
        <v>3276</v>
      </c>
      <c r="H75" s="73">
        <f>[27]Sheet1!H22</f>
        <v>0</v>
      </c>
      <c r="I75" s="73">
        <f t="shared" si="23"/>
        <v>3276</v>
      </c>
      <c r="J75" s="736">
        <f t="shared" si="28"/>
        <v>48127</v>
      </c>
      <c r="K75" s="736">
        <f t="shared" si="24"/>
        <v>45033</v>
      </c>
      <c r="L75" s="46">
        <f t="shared" si="29"/>
        <v>15000000</v>
      </c>
      <c r="M75" s="18">
        <v>10000000</v>
      </c>
      <c r="N75" s="46">
        <v>18525800</v>
      </c>
      <c r="O75" s="20">
        <f t="shared" si="25"/>
        <v>16200000</v>
      </c>
      <c r="P75" s="47">
        <v>0.12</v>
      </c>
      <c r="Q75" s="48">
        <v>0.95607200000000003</v>
      </c>
      <c r="R75" s="22">
        <f t="shared" si="26"/>
        <v>14341080</v>
      </c>
      <c r="S75" s="12">
        <v>0.13342000000000001</v>
      </c>
      <c r="T75" s="75">
        <v>900000</v>
      </c>
      <c r="U75" s="565">
        <v>375824.17582417582</v>
      </c>
      <c r="V75" s="50">
        <f t="shared" si="27"/>
        <v>524175.82417582418</v>
      </c>
      <c r="W75" s="50"/>
      <c r="X75" s="51"/>
      <c r="Y75" s="51"/>
      <c r="Z75" s="30"/>
      <c r="AA75" s="30"/>
      <c r="AB75" s="30"/>
      <c r="AC75" s="51"/>
      <c r="AD75" s="51"/>
      <c r="AE75" s="51"/>
    </row>
    <row r="76" spans="1:31" s="29" customFormat="1" ht="22.5" customHeight="1" x14ac:dyDescent="0.25">
      <c r="A76" s="44" t="s">
        <v>199</v>
      </c>
      <c r="B76" s="45" t="s">
        <v>175</v>
      </c>
      <c r="C76" s="736"/>
      <c r="D76" s="736">
        <v>42667</v>
      </c>
      <c r="E76" s="736">
        <v>44851</v>
      </c>
      <c r="F76" s="73">
        <v>5278</v>
      </c>
      <c r="G76" s="73">
        <f t="shared" si="22"/>
        <v>3276</v>
      </c>
      <c r="H76" s="73">
        <f>[27]Sheet1!H23</f>
        <v>0</v>
      </c>
      <c r="I76" s="73">
        <f t="shared" si="23"/>
        <v>3276</v>
      </c>
      <c r="J76" s="736">
        <f t="shared" si="28"/>
        <v>48127</v>
      </c>
      <c r="K76" s="736">
        <f t="shared" si="24"/>
        <v>45033</v>
      </c>
      <c r="L76" s="46">
        <f t="shared" si="29"/>
        <v>15000000</v>
      </c>
      <c r="M76" s="18">
        <v>10000000</v>
      </c>
      <c r="N76" s="46">
        <v>18450200</v>
      </c>
      <c r="O76" s="20">
        <f t="shared" si="25"/>
        <v>16200000</v>
      </c>
      <c r="P76" s="47">
        <v>0.12</v>
      </c>
      <c r="Q76" s="48">
        <v>0.95607200000000003</v>
      </c>
      <c r="R76" s="22">
        <f t="shared" si="26"/>
        <v>14341080</v>
      </c>
      <c r="S76" s="12" t="s">
        <v>201</v>
      </c>
      <c r="T76" s="75">
        <v>900000</v>
      </c>
      <c r="U76" s="565">
        <v>375824.17582417582</v>
      </c>
      <c r="V76" s="50">
        <f t="shared" si="27"/>
        <v>524175.82417582418</v>
      </c>
      <c r="W76" s="50"/>
      <c r="X76" s="51"/>
      <c r="Y76" s="51"/>
      <c r="Z76" s="30"/>
      <c r="AA76" s="30"/>
      <c r="AB76" s="30"/>
      <c r="AC76" s="51"/>
      <c r="AD76" s="51"/>
      <c r="AE76" s="51"/>
    </row>
    <row r="77" spans="1:31" s="29" customFormat="1" ht="22.5" customHeight="1" x14ac:dyDescent="0.25">
      <c r="A77" s="44" t="s">
        <v>199</v>
      </c>
      <c r="B77" s="45" t="s">
        <v>175</v>
      </c>
      <c r="C77" s="736"/>
      <c r="D77" s="736">
        <v>42667</v>
      </c>
      <c r="E77" s="736">
        <v>44851</v>
      </c>
      <c r="F77" s="73">
        <v>5278</v>
      </c>
      <c r="G77" s="73">
        <f t="shared" si="22"/>
        <v>3276</v>
      </c>
      <c r="H77" s="73">
        <f>[27]Sheet1!H24</f>
        <v>0</v>
      </c>
      <c r="I77" s="73">
        <f t="shared" si="23"/>
        <v>3276</v>
      </c>
      <c r="J77" s="736">
        <f t="shared" si="28"/>
        <v>48127</v>
      </c>
      <c r="K77" s="736">
        <f t="shared" si="24"/>
        <v>45033</v>
      </c>
      <c r="L77" s="46">
        <f t="shared" si="29"/>
        <v>15000000</v>
      </c>
      <c r="M77" s="18">
        <v>10000000</v>
      </c>
      <c r="N77" s="46">
        <v>18448000</v>
      </c>
      <c r="O77" s="20">
        <f t="shared" si="25"/>
        <v>16200000</v>
      </c>
      <c r="P77" s="47">
        <v>0.12</v>
      </c>
      <c r="Q77" s="48">
        <v>0.95607200000000003</v>
      </c>
      <c r="R77" s="22">
        <f t="shared" si="26"/>
        <v>14341080</v>
      </c>
      <c r="S77" s="12">
        <v>0.13425000000000001</v>
      </c>
      <c r="T77" s="75">
        <v>900000</v>
      </c>
      <c r="U77" s="565">
        <v>375824.17582417582</v>
      </c>
      <c r="V77" s="50">
        <f t="shared" si="27"/>
        <v>524175.82417582418</v>
      </c>
      <c r="W77" s="50"/>
      <c r="X77" s="51"/>
      <c r="Y77" s="51"/>
      <c r="Z77" s="30"/>
      <c r="AA77" s="30"/>
      <c r="AB77" s="30"/>
      <c r="AC77" s="51"/>
      <c r="AD77" s="51"/>
      <c r="AE77" s="51"/>
    </row>
    <row r="78" spans="1:31" s="29" customFormat="1" ht="22.5" customHeight="1" x14ac:dyDescent="0.25">
      <c r="A78" s="44" t="s">
        <v>199</v>
      </c>
      <c r="B78" s="45" t="s">
        <v>175</v>
      </c>
      <c r="C78" s="736"/>
      <c r="D78" s="736">
        <v>42667</v>
      </c>
      <c r="E78" s="736">
        <v>44851</v>
      </c>
      <c r="F78" s="73">
        <v>5278</v>
      </c>
      <c r="G78" s="73">
        <f t="shared" si="22"/>
        <v>3276</v>
      </c>
      <c r="H78" s="73">
        <f>[27]Sheet1!H25</f>
        <v>0</v>
      </c>
      <c r="I78" s="73">
        <f t="shared" si="23"/>
        <v>3276</v>
      </c>
      <c r="J78" s="736">
        <f t="shared" si="28"/>
        <v>48127</v>
      </c>
      <c r="K78" s="736">
        <f t="shared" si="24"/>
        <v>45033</v>
      </c>
      <c r="L78" s="46">
        <f t="shared" si="29"/>
        <v>15000000</v>
      </c>
      <c r="M78" s="18">
        <v>10000000</v>
      </c>
      <c r="N78" s="46">
        <v>18476200</v>
      </c>
      <c r="O78" s="20">
        <f t="shared" si="25"/>
        <v>16200000</v>
      </c>
      <c r="P78" s="47">
        <v>0.12</v>
      </c>
      <c r="Q78" s="48">
        <v>0.95607200000000003</v>
      </c>
      <c r="R78" s="22">
        <f t="shared" si="26"/>
        <v>14341080</v>
      </c>
      <c r="S78" s="12">
        <v>0.13427</v>
      </c>
      <c r="T78" s="75">
        <v>900000</v>
      </c>
      <c r="U78" s="565">
        <v>375824.17582417582</v>
      </c>
      <c r="V78" s="50">
        <f t="shared" si="27"/>
        <v>524175.82417582418</v>
      </c>
      <c r="W78" s="50"/>
      <c r="X78" s="51"/>
      <c r="Y78" s="51"/>
      <c r="Z78" s="30"/>
      <c r="AA78" s="30"/>
      <c r="AB78" s="30"/>
      <c r="AC78" s="51"/>
      <c r="AD78" s="51"/>
      <c r="AE78" s="51"/>
    </row>
    <row r="79" spans="1:31" s="29" customFormat="1" ht="22.5" customHeight="1" x14ac:dyDescent="0.25">
      <c r="A79" s="44" t="s">
        <v>261</v>
      </c>
      <c r="B79" s="45" t="s">
        <v>175</v>
      </c>
      <c r="C79" s="736"/>
      <c r="D79" s="736">
        <v>44158</v>
      </c>
      <c r="E79" s="736">
        <v>44851</v>
      </c>
      <c r="F79" s="73">
        <v>5278</v>
      </c>
      <c r="G79" s="73">
        <f t="shared" si="22"/>
        <v>2002</v>
      </c>
      <c r="H79" s="73">
        <f>[27]Sheet1!H36</f>
        <v>0</v>
      </c>
      <c r="I79" s="73">
        <f t="shared" si="23"/>
        <v>2002</v>
      </c>
      <c r="J79" s="736">
        <f t="shared" ref="J79:J87" si="30">D79+(2695)</f>
        <v>46853</v>
      </c>
      <c r="K79" s="736">
        <f t="shared" si="24"/>
        <v>45033</v>
      </c>
      <c r="L79" s="46">
        <v>20000000</v>
      </c>
      <c r="M79" s="18">
        <v>10000000</v>
      </c>
      <c r="N79" s="46">
        <v>20770000</v>
      </c>
      <c r="O79" s="20">
        <f t="shared" si="25"/>
        <v>13200000</v>
      </c>
      <c r="P79" s="47">
        <v>0.12</v>
      </c>
      <c r="Q79" s="48">
        <v>0.94972800000000002</v>
      </c>
      <c r="R79" s="22">
        <f t="shared" si="26"/>
        <v>18994560</v>
      </c>
      <c r="S79" s="12">
        <v>0.11445</v>
      </c>
      <c r="T79" s="75">
        <v>1200000</v>
      </c>
      <c r="U79" s="565">
        <v>501098.90109890111</v>
      </c>
      <c r="V79" s="50">
        <f t="shared" si="27"/>
        <v>698901.09890109883</v>
      </c>
      <c r="W79" s="50"/>
      <c r="X79" s="51"/>
      <c r="Y79" s="51"/>
      <c r="Z79" s="30"/>
      <c r="AA79" s="30"/>
      <c r="AB79" s="30"/>
      <c r="AC79" s="51"/>
      <c r="AD79" s="51"/>
      <c r="AE79" s="51"/>
    </row>
    <row r="80" spans="1:31" s="29" customFormat="1" ht="22.5" customHeight="1" x14ac:dyDescent="0.25">
      <c r="A80" s="44" t="s">
        <v>261</v>
      </c>
      <c r="B80" s="45" t="s">
        <v>175</v>
      </c>
      <c r="C80" s="736"/>
      <c r="D80" s="736">
        <v>44158</v>
      </c>
      <c r="E80" s="736">
        <v>44851</v>
      </c>
      <c r="F80" s="73">
        <v>5278</v>
      </c>
      <c r="G80" s="73">
        <f t="shared" si="22"/>
        <v>2002</v>
      </c>
      <c r="H80" s="73">
        <f>[27]Sheet1!H37</f>
        <v>0</v>
      </c>
      <c r="I80" s="73">
        <f t="shared" si="23"/>
        <v>2002</v>
      </c>
      <c r="J80" s="736">
        <f t="shared" si="30"/>
        <v>46853</v>
      </c>
      <c r="K80" s="736">
        <f t="shared" si="24"/>
        <v>45033</v>
      </c>
      <c r="L80" s="46">
        <v>40000000</v>
      </c>
      <c r="M80" s="18">
        <v>10000000</v>
      </c>
      <c r="N80" s="46">
        <v>42033600</v>
      </c>
      <c r="O80" s="20">
        <f t="shared" si="25"/>
        <v>26400000</v>
      </c>
      <c r="P80" s="47">
        <v>0.12</v>
      </c>
      <c r="Q80" s="48">
        <v>0.94972800000000002</v>
      </c>
      <c r="R80" s="22">
        <f t="shared" si="26"/>
        <v>37989120</v>
      </c>
      <c r="S80" s="12">
        <v>0.112</v>
      </c>
      <c r="T80" s="75">
        <v>2400000</v>
      </c>
      <c r="U80" s="565">
        <v>1002197.8021978022</v>
      </c>
      <c r="V80" s="50">
        <f t="shared" si="27"/>
        <v>1397802.1978021977</v>
      </c>
      <c r="W80" s="50"/>
      <c r="X80" s="51"/>
      <c r="Y80" s="51"/>
      <c r="Z80" s="30"/>
      <c r="AA80" s="30"/>
      <c r="AB80" s="30"/>
      <c r="AC80" s="51"/>
      <c r="AD80" s="51"/>
      <c r="AE80" s="51"/>
    </row>
    <row r="81" spans="1:31" s="29" customFormat="1" ht="22.5" customHeight="1" x14ac:dyDescent="0.25">
      <c r="A81" s="44" t="s">
        <v>261</v>
      </c>
      <c r="B81" s="45" t="s">
        <v>175</v>
      </c>
      <c r="C81" s="736"/>
      <c r="D81" s="736">
        <v>44158</v>
      </c>
      <c r="E81" s="736">
        <v>44851</v>
      </c>
      <c r="F81" s="73">
        <v>5278</v>
      </c>
      <c r="G81" s="73">
        <f t="shared" si="22"/>
        <v>2002</v>
      </c>
      <c r="H81" s="73">
        <f>[27]Sheet1!H38</f>
        <v>0</v>
      </c>
      <c r="I81" s="73">
        <f t="shared" si="23"/>
        <v>2002</v>
      </c>
      <c r="J81" s="736">
        <f t="shared" si="30"/>
        <v>46853</v>
      </c>
      <c r="K81" s="736">
        <f t="shared" si="24"/>
        <v>45033</v>
      </c>
      <c r="L81" s="46">
        <v>40000000</v>
      </c>
      <c r="M81" s="18">
        <v>10000000</v>
      </c>
      <c r="N81" s="46">
        <v>41932000</v>
      </c>
      <c r="O81" s="20">
        <f t="shared" si="25"/>
        <v>26400000</v>
      </c>
      <c r="P81" s="47">
        <v>0.12</v>
      </c>
      <c r="Q81" s="48">
        <v>0.94972800000000002</v>
      </c>
      <c r="R81" s="22">
        <f t="shared" si="26"/>
        <v>37989120</v>
      </c>
      <c r="S81" s="12">
        <v>0.1125</v>
      </c>
      <c r="T81" s="75">
        <v>2400000</v>
      </c>
      <c r="U81" s="565">
        <v>1002197.8021978022</v>
      </c>
      <c r="V81" s="50">
        <f t="shared" si="27"/>
        <v>1397802.1978021977</v>
      </c>
      <c r="W81" s="50"/>
      <c r="X81" s="51"/>
      <c r="Y81" s="51"/>
      <c r="Z81" s="30"/>
      <c r="AA81" s="30"/>
      <c r="AB81" s="30"/>
      <c r="AC81" s="51"/>
      <c r="AD81" s="51"/>
      <c r="AE81" s="51"/>
    </row>
    <row r="82" spans="1:31" s="29" customFormat="1" ht="22.5" customHeight="1" x14ac:dyDescent="0.25">
      <c r="A82" s="44" t="s">
        <v>261</v>
      </c>
      <c r="B82" s="45" t="s">
        <v>175</v>
      </c>
      <c r="C82" s="736"/>
      <c r="D82" s="736">
        <v>44158</v>
      </c>
      <c r="E82" s="736">
        <v>44851</v>
      </c>
      <c r="F82" s="73">
        <v>5278</v>
      </c>
      <c r="G82" s="73">
        <f t="shared" si="22"/>
        <v>2002</v>
      </c>
      <c r="H82" s="73">
        <f>[27]Sheet1!H39</f>
        <v>0</v>
      </c>
      <c r="I82" s="73">
        <f t="shared" si="23"/>
        <v>2002</v>
      </c>
      <c r="J82" s="736">
        <f t="shared" si="30"/>
        <v>46853</v>
      </c>
      <c r="K82" s="736">
        <f t="shared" si="24"/>
        <v>45033</v>
      </c>
      <c r="L82" s="46">
        <v>40000000</v>
      </c>
      <c r="M82" s="18">
        <v>10000000</v>
      </c>
      <c r="N82" s="46">
        <v>41831200</v>
      </c>
      <c r="O82" s="20">
        <f t="shared" si="25"/>
        <v>26400000</v>
      </c>
      <c r="P82" s="47">
        <v>0.12</v>
      </c>
      <c r="Q82" s="48">
        <v>0.94972800000000002</v>
      </c>
      <c r="R82" s="22">
        <f t="shared" si="26"/>
        <v>37989120</v>
      </c>
      <c r="S82" s="12">
        <v>0.113</v>
      </c>
      <c r="T82" s="75">
        <v>2400000</v>
      </c>
      <c r="U82" s="565">
        <v>1002197.8021978022</v>
      </c>
      <c r="V82" s="50">
        <f t="shared" si="27"/>
        <v>1397802.1978021977</v>
      </c>
      <c r="W82" s="50"/>
      <c r="X82" s="51"/>
      <c r="Y82" s="51"/>
      <c r="Z82" s="30"/>
      <c r="AA82" s="30"/>
      <c r="AB82" s="30"/>
      <c r="AC82" s="51"/>
      <c r="AD82" s="51"/>
      <c r="AE82" s="51"/>
    </row>
    <row r="83" spans="1:31" s="29" customFormat="1" ht="22.5" customHeight="1" x14ac:dyDescent="0.25">
      <c r="A83" s="44" t="s">
        <v>261</v>
      </c>
      <c r="B83" s="45" t="s">
        <v>175</v>
      </c>
      <c r="C83" s="736"/>
      <c r="D83" s="736">
        <v>44158</v>
      </c>
      <c r="E83" s="736">
        <v>44851</v>
      </c>
      <c r="F83" s="73">
        <v>5278</v>
      </c>
      <c r="G83" s="73">
        <f t="shared" si="22"/>
        <v>2002</v>
      </c>
      <c r="H83" s="73">
        <f>[27]Sheet1!H40</f>
        <v>0</v>
      </c>
      <c r="I83" s="73">
        <f t="shared" si="23"/>
        <v>2002</v>
      </c>
      <c r="J83" s="736">
        <f t="shared" si="30"/>
        <v>46853</v>
      </c>
      <c r="K83" s="736">
        <f t="shared" si="24"/>
        <v>45033</v>
      </c>
      <c r="L83" s="46">
        <v>20000000</v>
      </c>
      <c r="M83" s="18">
        <v>10000000</v>
      </c>
      <c r="N83" s="46">
        <v>20865200</v>
      </c>
      <c r="O83" s="20">
        <f t="shared" si="25"/>
        <v>13200000</v>
      </c>
      <c r="P83" s="47">
        <v>0.12</v>
      </c>
      <c r="Q83" s="48">
        <v>0.94972800000000002</v>
      </c>
      <c r="R83" s="22">
        <f t="shared" si="26"/>
        <v>18994560</v>
      </c>
      <c r="S83" s="12">
        <v>0.1135</v>
      </c>
      <c r="T83" s="75">
        <v>1200000</v>
      </c>
      <c r="U83" s="565">
        <v>501098.90109890111</v>
      </c>
      <c r="V83" s="50">
        <f t="shared" si="27"/>
        <v>698901.09890109883</v>
      </c>
      <c r="W83" s="50"/>
      <c r="X83" s="51"/>
      <c r="Y83" s="51"/>
      <c r="Z83" s="30"/>
      <c r="AA83" s="30"/>
      <c r="AB83" s="30"/>
      <c r="AC83" s="51"/>
      <c r="AD83" s="51"/>
      <c r="AE83" s="51"/>
    </row>
    <row r="84" spans="1:31" s="29" customFormat="1" ht="22.5" customHeight="1" x14ac:dyDescent="0.25">
      <c r="A84" s="44" t="s">
        <v>261</v>
      </c>
      <c r="B84" s="45" t="s">
        <v>175</v>
      </c>
      <c r="C84" s="736"/>
      <c r="D84" s="736">
        <v>44158</v>
      </c>
      <c r="E84" s="736">
        <v>44851</v>
      </c>
      <c r="F84" s="73">
        <v>5278</v>
      </c>
      <c r="G84" s="73">
        <f t="shared" si="22"/>
        <v>2002</v>
      </c>
      <c r="H84" s="73" t="e">
        <f>[27]Sheet1!H41</f>
        <v>#REF!</v>
      </c>
      <c r="I84" s="73" t="e">
        <f t="shared" si="23"/>
        <v>#REF!</v>
      </c>
      <c r="J84" s="736">
        <f t="shared" si="30"/>
        <v>46853</v>
      </c>
      <c r="K84" s="736">
        <f t="shared" si="24"/>
        <v>45033</v>
      </c>
      <c r="L84" s="46">
        <v>20000000</v>
      </c>
      <c r="M84" s="18">
        <v>10000000</v>
      </c>
      <c r="N84" s="46">
        <v>20815000</v>
      </c>
      <c r="O84" s="20">
        <f t="shared" si="25"/>
        <v>13200000</v>
      </c>
      <c r="P84" s="47">
        <v>0.12</v>
      </c>
      <c r="Q84" s="48">
        <v>0.94972800000000002</v>
      </c>
      <c r="R84" s="22">
        <f t="shared" si="26"/>
        <v>18994560</v>
      </c>
      <c r="S84" s="12">
        <v>0.114</v>
      </c>
      <c r="T84" s="75">
        <v>1200000</v>
      </c>
      <c r="U84" s="565">
        <v>501098.90109890111</v>
      </c>
      <c r="V84" s="50">
        <f t="shared" si="27"/>
        <v>698901.09890109883</v>
      </c>
      <c r="W84" s="50"/>
      <c r="X84" s="51"/>
      <c r="Y84" s="51"/>
      <c r="Z84" s="30"/>
      <c r="AA84" s="30"/>
      <c r="AB84" s="30"/>
      <c r="AC84" s="51"/>
      <c r="AD84" s="51"/>
      <c r="AE84" s="51"/>
    </row>
    <row r="85" spans="1:31" s="29" customFormat="1" ht="22.5" customHeight="1" x14ac:dyDescent="0.25">
      <c r="A85" s="44" t="s">
        <v>261</v>
      </c>
      <c r="B85" s="45" t="s">
        <v>175</v>
      </c>
      <c r="C85" s="736"/>
      <c r="D85" s="736">
        <v>44158</v>
      </c>
      <c r="E85" s="736">
        <v>44851</v>
      </c>
      <c r="F85" s="73">
        <v>5278</v>
      </c>
      <c r="G85" s="73">
        <f t="shared" si="22"/>
        <v>2002</v>
      </c>
      <c r="H85" s="73">
        <f>[27]Sheet1!H42</f>
        <v>0</v>
      </c>
      <c r="I85" s="73">
        <f t="shared" si="23"/>
        <v>2002</v>
      </c>
      <c r="J85" s="736">
        <f t="shared" si="30"/>
        <v>46853</v>
      </c>
      <c r="K85" s="736">
        <f t="shared" si="24"/>
        <v>45033</v>
      </c>
      <c r="L85" s="46">
        <v>20000000</v>
      </c>
      <c r="M85" s="18">
        <v>10000000</v>
      </c>
      <c r="N85" s="46">
        <v>20765000</v>
      </c>
      <c r="O85" s="20">
        <f t="shared" si="25"/>
        <v>13200000</v>
      </c>
      <c r="P85" s="47">
        <v>0.12</v>
      </c>
      <c r="Q85" s="48">
        <v>0.94972800000000002</v>
      </c>
      <c r="R85" s="22">
        <f t="shared" si="26"/>
        <v>18994560</v>
      </c>
      <c r="S85" s="12">
        <v>0.1145</v>
      </c>
      <c r="T85" s="75">
        <v>1200000</v>
      </c>
      <c r="U85" s="565">
        <v>501098.90109890111</v>
      </c>
      <c r="V85" s="50">
        <f t="shared" si="27"/>
        <v>698901.09890109883</v>
      </c>
      <c r="W85" s="50"/>
      <c r="X85" s="51"/>
      <c r="Y85" s="51"/>
      <c r="Z85" s="30"/>
      <c r="AA85" s="30"/>
      <c r="AB85" s="30"/>
      <c r="AC85" s="51"/>
      <c r="AD85" s="51"/>
      <c r="AE85" s="51"/>
    </row>
    <row r="86" spans="1:31" s="29" customFormat="1" ht="22.5" customHeight="1" x14ac:dyDescent="0.25">
      <c r="A86" s="44" t="s">
        <v>261</v>
      </c>
      <c r="B86" s="45" t="s">
        <v>175</v>
      </c>
      <c r="C86" s="736"/>
      <c r="D86" s="736">
        <v>44158</v>
      </c>
      <c r="E86" s="736">
        <v>44851</v>
      </c>
      <c r="F86" s="73">
        <v>5278</v>
      </c>
      <c r="G86" s="73">
        <f t="shared" si="22"/>
        <v>2002</v>
      </c>
      <c r="H86" s="73">
        <f>[27]Sheet1!H43</f>
        <v>0</v>
      </c>
      <c r="I86" s="73">
        <f t="shared" si="23"/>
        <v>2002</v>
      </c>
      <c r="J86" s="736">
        <f t="shared" si="30"/>
        <v>46853</v>
      </c>
      <c r="K86" s="736">
        <f t="shared" si="24"/>
        <v>45033</v>
      </c>
      <c r="L86" s="46">
        <v>20000000</v>
      </c>
      <c r="M86" s="18">
        <v>10000000</v>
      </c>
      <c r="N86" s="46">
        <v>20616000</v>
      </c>
      <c r="O86" s="20">
        <f t="shared" si="25"/>
        <v>13200000</v>
      </c>
      <c r="P86" s="47">
        <v>0.12</v>
      </c>
      <c r="Q86" s="48">
        <v>0.94972800000000002</v>
      </c>
      <c r="R86" s="22">
        <f t="shared" si="26"/>
        <v>18994560</v>
      </c>
      <c r="S86" s="12">
        <v>0.11600000000000001</v>
      </c>
      <c r="T86" s="75">
        <v>1200000</v>
      </c>
      <c r="U86" s="565">
        <v>501098.90109890111</v>
      </c>
      <c r="V86" s="50">
        <f t="shared" si="27"/>
        <v>698901.09890109883</v>
      </c>
      <c r="W86" s="50"/>
      <c r="X86" s="51"/>
      <c r="Y86" s="51"/>
      <c r="Z86" s="30"/>
      <c r="AA86" s="30"/>
      <c r="AB86" s="30"/>
      <c r="AC86" s="51"/>
      <c r="AD86" s="51"/>
      <c r="AE86" s="51"/>
    </row>
    <row r="87" spans="1:31" s="29" customFormat="1" ht="22.5" customHeight="1" x14ac:dyDescent="0.25">
      <c r="A87" s="44" t="s">
        <v>261</v>
      </c>
      <c r="B87" s="45" t="s">
        <v>175</v>
      </c>
      <c r="C87" s="736"/>
      <c r="D87" s="736">
        <v>44158</v>
      </c>
      <c r="E87" s="736">
        <v>44851</v>
      </c>
      <c r="F87" s="73">
        <v>5278</v>
      </c>
      <c r="G87" s="73">
        <f t="shared" si="22"/>
        <v>2002</v>
      </c>
      <c r="H87" s="73">
        <f>[27]Sheet1!H44</f>
        <v>0</v>
      </c>
      <c r="I87" s="73">
        <f t="shared" si="23"/>
        <v>2002</v>
      </c>
      <c r="J87" s="736">
        <f t="shared" si="30"/>
        <v>46853</v>
      </c>
      <c r="K87" s="736">
        <f t="shared" si="24"/>
        <v>45033</v>
      </c>
      <c r="L87" s="46">
        <v>20000000</v>
      </c>
      <c r="M87" s="18">
        <v>10000000</v>
      </c>
      <c r="N87" s="46">
        <v>20517400</v>
      </c>
      <c r="O87" s="20">
        <f t="shared" si="25"/>
        <v>13200000</v>
      </c>
      <c r="P87" s="47">
        <v>0.12</v>
      </c>
      <c r="Q87" s="48">
        <v>0.94972800000000002</v>
      </c>
      <c r="R87" s="22">
        <f t="shared" si="26"/>
        <v>18994560</v>
      </c>
      <c r="S87" s="12">
        <v>0.11700000000000001</v>
      </c>
      <c r="T87" s="75">
        <v>1200000</v>
      </c>
      <c r="U87" s="565">
        <v>501098.90109890111</v>
      </c>
      <c r="V87" s="50">
        <f t="shared" si="27"/>
        <v>698901.09890109883</v>
      </c>
      <c r="W87" s="50"/>
      <c r="X87" s="51"/>
      <c r="Y87" s="51"/>
      <c r="Z87" s="30"/>
      <c r="AA87" s="30"/>
      <c r="AB87" s="30"/>
      <c r="AC87" s="51"/>
      <c r="AD87" s="51"/>
      <c r="AE87" s="51"/>
    </row>
    <row r="88" spans="1:31" s="818" customFormat="1" ht="22.5" customHeight="1" x14ac:dyDescent="0.25">
      <c r="A88" s="44" t="s">
        <v>212</v>
      </c>
      <c r="B88" s="45" t="s">
        <v>175</v>
      </c>
      <c r="C88" s="736"/>
      <c r="D88" s="736">
        <v>43598</v>
      </c>
      <c r="E88" s="736">
        <v>44872</v>
      </c>
      <c r="F88" s="73">
        <v>5278</v>
      </c>
      <c r="G88" s="73">
        <f t="shared" si="22"/>
        <v>546</v>
      </c>
      <c r="H88" s="73">
        <f>[27]Sheet1!H31</f>
        <v>0</v>
      </c>
      <c r="I88" s="73">
        <f t="shared" si="23"/>
        <v>546</v>
      </c>
      <c r="J88" s="736">
        <f>D88+364*5</f>
        <v>45418</v>
      </c>
      <c r="K88" s="736">
        <f t="shared" si="24"/>
        <v>45054</v>
      </c>
      <c r="L88" s="46">
        <v>20000000</v>
      </c>
      <c r="M88" s="18">
        <v>10000000</v>
      </c>
      <c r="N88" s="46">
        <v>20000000</v>
      </c>
      <c r="O88" s="20">
        <f t="shared" si="25"/>
        <v>3261600</v>
      </c>
      <c r="P88" s="47">
        <v>0.10872</v>
      </c>
      <c r="Q88" s="48">
        <v>1.044564</v>
      </c>
      <c r="R88" s="22">
        <f t="shared" si="26"/>
        <v>20891280</v>
      </c>
      <c r="S88" s="12">
        <v>0.10872</v>
      </c>
      <c r="T88" s="75">
        <v>1087200</v>
      </c>
      <c r="U88" s="565">
        <v>328549.45054945053</v>
      </c>
      <c r="V88" s="50">
        <f t="shared" si="27"/>
        <v>758650.54945054953</v>
      </c>
      <c r="W88" s="50"/>
      <c r="X88" s="51"/>
      <c r="Y88" s="51"/>
      <c r="Z88" s="30"/>
      <c r="AA88" s="30"/>
      <c r="AB88" s="30"/>
      <c r="AC88" s="51"/>
      <c r="AD88" s="51"/>
      <c r="AE88" s="51"/>
    </row>
    <row r="89" spans="1:31" s="665" customFormat="1" ht="22.5" customHeight="1" x14ac:dyDescent="0.25">
      <c r="A89" s="44" t="s">
        <v>212</v>
      </c>
      <c r="B89" s="45" t="s">
        <v>175</v>
      </c>
      <c r="C89" s="736"/>
      <c r="D89" s="736">
        <v>43598</v>
      </c>
      <c r="E89" s="736">
        <v>44872</v>
      </c>
      <c r="F89" s="73">
        <v>5278</v>
      </c>
      <c r="G89" s="73">
        <f t="shared" si="22"/>
        <v>546</v>
      </c>
      <c r="H89" s="73">
        <f>[27]Sheet1!H32</f>
        <v>0</v>
      </c>
      <c r="I89" s="73">
        <f t="shared" si="23"/>
        <v>546</v>
      </c>
      <c r="J89" s="736">
        <f>D89+364*5</f>
        <v>45418</v>
      </c>
      <c r="K89" s="736">
        <f t="shared" si="24"/>
        <v>45054</v>
      </c>
      <c r="L89" s="46">
        <v>20000000</v>
      </c>
      <c r="M89" s="18">
        <v>10000000</v>
      </c>
      <c r="N89" s="46">
        <v>20054600</v>
      </c>
      <c r="O89" s="20">
        <f t="shared" si="25"/>
        <v>3261600</v>
      </c>
      <c r="P89" s="47">
        <v>0.10872</v>
      </c>
      <c r="Q89" s="48">
        <v>1.044564</v>
      </c>
      <c r="R89" s="22">
        <f t="shared" si="26"/>
        <v>20891280</v>
      </c>
      <c r="S89" s="12">
        <v>0.108</v>
      </c>
      <c r="T89" s="75">
        <v>1087200</v>
      </c>
      <c r="U89" s="565">
        <v>328549.45054945053</v>
      </c>
      <c r="V89" s="50">
        <f t="shared" si="27"/>
        <v>758650.54945054953</v>
      </c>
      <c r="W89" s="50"/>
      <c r="X89" s="51"/>
      <c r="Y89" s="51"/>
      <c r="Z89" s="30"/>
      <c r="AA89" s="30"/>
      <c r="AB89" s="30"/>
      <c r="AC89" s="51"/>
      <c r="AD89" s="51"/>
      <c r="AE89" s="51"/>
    </row>
    <row r="90" spans="1:31" s="818" customFormat="1" ht="22.5" customHeight="1" x14ac:dyDescent="0.25">
      <c r="A90" s="44" t="s">
        <v>212</v>
      </c>
      <c r="B90" s="45" t="s">
        <v>175</v>
      </c>
      <c r="C90" s="736"/>
      <c r="D90" s="736">
        <v>43598</v>
      </c>
      <c r="E90" s="736">
        <v>44872</v>
      </c>
      <c r="F90" s="73">
        <v>5278</v>
      </c>
      <c r="G90" s="73">
        <f t="shared" si="22"/>
        <v>546</v>
      </c>
      <c r="H90" s="73">
        <f>[27]Sheet1!H33</f>
        <v>0</v>
      </c>
      <c r="I90" s="73">
        <f t="shared" si="23"/>
        <v>546</v>
      </c>
      <c r="J90" s="736">
        <f>D90+364*5</f>
        <v>45418</v>
      </c>
      <c r="K90" s="736">
        <f t="shared" si="24"/>
        <v>45054</v>
      </c>
      <c r="L90" s="46">
        <v>20000000</v>
      </c>
      <c r="M90" s="18">
        <v>10000000</v>
      </c>
      <c r="N90" s="46">
        <v>20016600</v>
      </c>
      <c r="O90" s="20">
        <f t="shared" si="25"/>
        <v>3261600</v>
      </c>
      <c r="P90" s="47">
        <v>0.10872</v>
      </c>
      <c r="Q90" s="48">
        <v>1.044564</v>
      </c>
      <c r="R90" s="22">
        <f t="shared" si="26"/>
        <v>20891280</v>
      </c>
      <c r="S90" s="12">
        <v>0.1085</v>
      </c>
      <c r="T90" s="75">
        <v>1087200</v>
      </c>
      <c r="U90" s="565">
        <v>328549.45054945053</v>
      </c>
      <c r="V90" s="50">
        <f t="shared" si="27"/>
        <v>758650.54945054953</v>
      </c>
      <c r="W90" s="50"/>
      <c r="X90" s="51"/>
      <c r="Y90" s="51"/>
      <c r="Z90" s="30"/>
      <c r="AA90" s="30"/>
      <c r="AB90" s="30"/>
      <c r="AC90" s="51"/>
      <c r="AD90" s="51"/>
      <c r="AE90" s="51"/>
    </row>
    <row r="91" spans="1:31" s="665" customFormat="1" ht="22.5" customHeight="1" x14ac:dyDescent="0.25">
      <c r="A91" s="44" t="s">
        <v>212</v>
      </c>
      <c r="B91" s="45" t="s">
        <v>175</v>
      </c>
      <c r="C91" s="736"/>
      <c r="D91" s="736">
        <v>43598</v>
      </c>
      <c r="E91" s="736">
        <v>44872</v>
      </c>
      <c r="F91" s="73">
        <v>5278</v>
      </c>
      <c r="G91" s="73">
        <f t="shared" si="22"/>
        <v>546</v>
      </c>
      <c r="H91" s="73">
        <f>[27]Sheet1!H34</f>
        <v>0</v>
      </c>
      <c r="I91" s="73">
        <f t="shared" si="23"/>
        <v>546</v>
      </c>
      <c r="J91" s="736">
        <f>D91+364*5</f>
        <v>45418</v>
      </c>
      <c r="K91" s="736">
        <f t="shared" si="24"/>
        <v>45054</v>
      </c>
      <c r="L91" s="46">
        <v>20000000</v>
      </c>
      <c r="M91" s="18">
        <v>10000000</v>
      </c>
      <c r="N91" s="46">
        <v>19978800</v>
      </c>
      <c r="O91" s="20">
        <f t="shared" si="25"/>
        <v>3261600</v>
      </c>
      <c r="P91" s="47">
        <v>0.10872</v>
      </c>
      <c r="Q91" s="48">
        <v>1.044564</v>
      </c>
      <c r="R91" s="22">
        <f t="shared" si="26"/>
        <v>20891280</v>
      </c>
      <c r="S91" s="12">
        <v>0.109</v>
      </c>
      <c r="T91" s="75">
        <v>1087200</v>
      </c>
      <c r="U91" s="565">
        <v>328549.45054945053</v>
      </c>
      <c r="V91" s="50">
        <f t="shared" si="27"/>
        <v>758650.54945054953</v>
      </c>
      <c r="W91" s="50"/>
      <c r="X91" s="51"/>
      <c r="Y91" s="51"/>
      <c r="Z91" s="30"/>
      <c r="AA91" s="30"/>
      <c r="AB91" s="30"/>
      <c r="AC91" s="51"/>
      <c r="AD91" s="51"/>
      <c r="AE91" s="51"/>
    </row>
    <row r="92" spans="1:31" s="665" customFormat="1" ht="22.5" customHeight="1" x14ac:dyDescent="0.25">
      <c r="A92" s="44" t="s">
        <v>212</v>
      </c>
      <c r="B92" s="45" t="s">
        <v>175</v>
      </c>
      <c r="C92" s="736"/>
      <c r="D92" s="736">
        <v>43598</v>
      </c>
      <c r="E92" s="736">
        <v>44872</v>
      </c>
      <c r="F92" s="73">
        <v>5278</v>
      </c>
      <c r="G92" s="73">
        <f t="shared" si="22"/>
        <v>546</v>
      </c>
      <c r="H92" s="73">
        <f>[27]Sheet1!H35</f>
        <v>0</v>
      </c>
      <c r="I92" s="73">
        <f t="shared" si="23"/>
        <v>546</v>
      </c>
      <c r="J92" s="736">
        <f>D92+364*5</f>
        <v>45418</v>
      </c>
      <c r="K92" s="736">
        <f t="shared" si="24"/>
        <v>45054</v>
      </c>
      <c r="L92" s="46">
        <v>20000000</v>
      </c>
      <c r="M92" s="18">
        <v>10000000</v>
      </c>
      <c r="N92" s="46">
        <v>19941200</v>
      </c>
      <c r="O92" s="20">
        <f t="shared" si="25"/>
        <v>3261600</v>
      </c>
      <c r="P92" s="47">
        <v>0.10872</v>
      </c>
      <c r="Q92" s="48">
        <v>1.044564</v>
      </c>
      <c r="R92" s="22">
        <f t="shared" si="26"/>
        <v>20891280</v>
      </c>
      <c r="S92" s="12">
        <v>0.1095</v>
      </c>
      <c r="T92" s="75">
        <v>1087200</v>
      </c>
      <c r="U92" s="565">
        <v>328549.45054945053</v>
      </c>
      <c r="V92" s="50">
        <f t="shared" si="27"/>
        <v>758650.54945054953</v>
      </c>
      <c r="W92" s="50"/>
      <c r="X92" s="51"/>
      <c r="Y92" s="51"/>
      <c r="Z92" s="30"/>
      <c r="AA92" s="30"/>
      <c r="AB92" s="30"/>
      <c r="AC92" s="51"/>
      <c r="AD92" s="51"/>
      <c r="AE92" s="51"/>
    </row>
    <row r="93" spans="1:31" s="29" customFormat="1" ht="22.5" customHeight="1" x14ac:dyDescent="0.25">
      <c r="A93" s="44" t="s">
        <v>243</v>
      </c>
      <c r="B93" s="45" t="s">
        <v>175</v>
      </c>
      <c r="C93" s="45"/>
      <c r="D93" s="736">
        <v>43976</v>
      </c>
      <c r="E93" s="736">
        <v>44872</v>
      </c>
      <c r="F93" s="73">
        <v>2912</v>
      </c>
      <c r="G93" s="73">
        <f t="shared" si="22"/>
        <v>910</v>
      </c>
      <c r="H93" s="73" t="e">
        <f>[27]Sheet1!H1</f>
        <v>#REF!</v>
      </c>
      <c r="I93" s="73" t="e">
        <f t="shared" si="23"/>
        <v>#REF!</v>
      </c>
      <c r="J93" s="736">
        <f>D93+364*5-14</f>
        <v>45782</v>
      </c>
      <c r="K93" s="736">
        <f t="shared" si="24"/>
        <v>45054</v>
      </c>
      <c r="L93" s="46">
        <v>20000000</v>
      </c>
      <c r="M93" s="18"/>
      <c r="N93" s="46">
        <v>20027800</v>
      </c>
      <c r="O93" s="20">
        <f t="shared" si="25"/>
        <v>5833500</v>
      </c>
      <c r="P93" s="47">
        <v>0.11667</v>
      </c>
      <c r="Q93" s="48">
        <v>1.0389429999999999</v>
      </c>
      <c r="R93" s="22">
        <f t="shared" si="26"/>
        <v>20778860</v>
      </c>
      <c r="S93" s="12">
        <v>0.11748</v>
      </c>
      <c r="T93" s="75">
        <v>1166700</v>
      </c>
      <c r="U93" s="563">
        <v>352574.17582417582</v>
      </c>
      <c r="V93" s="13">
        <f t="shared" si="27"/>
        <v>814125.82417582418</v>
      </c>
      <c r="W93" s="13"/>
      <c r="Z93" s="30"/>
      <c r="AA93" s="30"/>
      <c r="AB93" s="30"/>
      <c r="AE93" s="30"/>
    </row>
    <row r="94" spans="1:31" s="29" customFormat="1" ht="22.5" customHeight="1" x14ac:dyDescent="0.25">
      <c r="A94" s="44" t="s">
        <v>243</v>
      </c>
      <c r="B94" s="45" t="s">
        <v>175</v>
      </c>
      <c r="C94" s="45"/>
      <c r="D94" s="736">
        <v>43976</v>
      </c>
      <c r="E94" s="736">
        <v>44872</v>
      </c>
      <c r="F94" s="73">
        <v>2912</v>
      </c>
      <c r="G94" s="73">
        <f t="shared" si="22"/>
        <v>910</v>
      </c>
      <c r="H94" s="73" t="e">
        <f>[27]Sheet1!H2</f>
        <v>#REF!</v>
      </c>
      <c r="I94" s="73" t="e">
        <f t="shared" si="23"/>
        <v>#REF!</v>
      </c>
      <c r="J94" s="736">
        <f>D94+364*5-14</f>
        <v>45782</v>
      </c>
      <c r="K94" s="736">
        <f t="shared" si="24"/>
        <v>45054</v>
      </c>
      <c r="L94" s="46">
        <v>20000000</v>
      </c>
      <c r="M94" s="18"/>
      <c r="N94" s="46">
        <v>20100000</v>
      </c>
      <c r="O94" s="20">
        <f t="shared" si="25"/>
        <v>5833500</v>
      </c>
      <c r="P94" s="47">
        <v>0.11667</v>
      </c>
      <c r="Q94" s="48">
        <v>1.0389429999999999</v>
      </c>
      <c r="R94" s="22">
        <f t="shared" si="26"/>
        <v>20778860</v>
      </c>
      <c r="S94" s="12">
        <v>0.11650000000000001</v>
      </c>
      <c r="T94" s="75">
        <v>1166700</v>
      </c>
      <c r="U94" s="563">
        <v>352574.17582417582</v>
      </c>
      <c r="V94" s="13">
        <f t="shared" si="27"/>
        <v>814125.82417582418</v>
      </c>
      <c r="W94" s="13"/>
      <c r="Z94" s="30"/>
      <c r="AA94" s="30"/>
      <c r="AB94" s="30"/>
      <c r="AE94" s="30"/>
    </row>
    <row r="95" spans="1:31" s="29" customFormat="1" ht="22.5" customHeight="1" x14ac:dyDescent="0.25">
      <c r="A95" s="44" t="s">
        <v>243</v>
      </c>
      <c r="B95" s="45" t="s">
        <v>175</v>
      </c>
      <c r="C95" s="45"/>
      <c r="D95" s="736">
        <v>43976</v>
      </c>
      <c r="E95" s="736">
        <v>44872</v>
      </c>
      <c r="F95" s="73">
        <v>2912</v>
      </c>
      <c r="G95" s="73">
        <f t="shared" si="22"/>
        <v>910</v>
      </c>
      <c r="H95" s="73" t="e">
        <f>[27]Sheet1!H3</f>
        <v>#REF!</v>
      </c>
      <c r="I95" s="73" t="e">
        <f t="shared" si="23"/>
        <v>#REF!</v>
      </c>
      <c r="J95" s="736">
        <f>D95+364*5-14</f>
        <v>45782</v>
      </c>
      <c r="K95" s="736">
        <f t="shared" si="24"/>
        <v>45054</v>
      </c>
      <c r="L95" s="46">
        <v>20000000</v>
      </c>
      <c r="M95" s="18"/>
      <c r="N95" s="46">
        <v>20063000</v>
      </c>
      <c r="O95" s="20">
        <f t="shared" si="25"/>
        <v>5833500</v>
      </c>
      <c r="P95" s="47">
        <v>0.11667</v>
      </c>
      <c r="Q95" s="48">
        <v>1.0389429999999999</v>
      </c>
      <c r="R95" s="22">
        <f t="shared" si="26"/>
        <v>20778860</v>
      </c>
      <c r="S95" s="12">
        <v>0.11700000000000001</v>
      </c>
      <c r="T95" s="75">
        <v>1166700</v>
      </c>
      <c r="U95" s="563">
        <v>352574.17582417582</v>
      </c>
      <c r="V95" s="13">
        <f t="shared" si="27"/>
        <v>814125.82417582418</v>
      </c>
      <c r="W95" s="13"/>
      <c r="Z95" s="30"/>
      <c r="AA95" s="30"/>
      <c r="AB95" s="30"/>
      <c r="AE95" s="30"/>
    </row>
    <row r="96" spans="1:31" s="29" customFormat="1" ht="22.5" customHeight="1" x14ac:dyDescent="0.25">
      <c r="A96" s="44" t="s">
        <v>243</v>
      </c>
      <c r="B96" s="45" t="s">
        <v>175</v>
      </c>
      <c r="C96" s="45"/>
      <c r="D96" s="736">
        <v>43976</v>
      </c>
      <c r="E96" s="736">
        <v>44872</v>
      </c>
      <c r="F96" s="73">
        <v>2912</v>
      </c>
      <c r="G96" s="73">
        <f t="shared" si="22"/>
        <v>910</v>
      </c>
      <c r="H96" s="73" t="e">
        <f>[27]Sheet1!H4</f>
        <v>#REF!</v>
      </c>
      <c r="I96" s="73" t="e">
        <f t="shared" si="23"/>
        <v>#REF!</v>
      </c>
      <c r="J96" s="736">
        <f>D96+364*5-14</f>
        <v>45782</v>
      </c>
      <c r="K96" s="736">
        <f t="shared" si="24"/>
        <v>45054</v>
      </c>
      <c r="L96" s="46">
        <v>20000000</v>
      </c>
      <c r="M96" s="18"/>
      <c r="N96" s="46">
        <v>20026200</v>
      </c>
      <c r="O96" s="20">
        <f t="shared" si="25"/>
        <v>5833500</v>
      </c>
      <c r="P96" s="47">
        <v>0.11667</v>
      </c>
      <c r="Q96" s="48">
        <v>1.0389429999999999</v>
      </c>
      <c r="R96" s="22">
        <f t="shared" si="26"/>
        <v>20778860</v>
      </c>
      <c r="S96" s="12">
        <v>0.11749999999999999</v>
      </c>
      <c r="T96" s="75">
        <v>1166700</v>
      </c>
      <c r="U96" s="563">
        <v>352574.17582417582</v>
      </c>
      <c r="V96" s="13">
        <f t="shared" si="27"/>
        <v>814125.82417582418</v>
      </c>
      <c r="W96" s="13"/>
      <c r="Z96" s="30"/>
      <c r="AA96" s="30"/>
      <c r="AB96" s="30"/>
      <c r="AE96" s="30"/>
    </row>
    <row r="97" spans="1:31" s="29" customFormat="1" ht="22.5" customHeight="1" x14ac:dyDescent="0.25">
      <c r="A97" s="44" t="s">
        <v>243</v>
      </c>
      <c r="B97" s="45" t="s">
        <v>175</v>
      </c>
      <c r="C97" s="45"/>
      <c r="D97" s="736">
        <v>43976</v>
      </c>
      <c r="E97" s="736">
        <v>44872</v>
      </c>
      <c r="F97" s="73">
        <v>2912</v>
      </c>
      <c r="G97" s="73">
        <f t="shared" si="22"/>
        <v>910</v>
      </c>
      <c r="H97" s="73" t="e">
        <f>[27]Sheet1!H5</f>
        <v>#REF!</v>
      </c>
      <c r="I97" s="73" t="e">
        <f t="shared" si="23"/>
        <v>#REF!</v>
      </c>
      <c r="J97" s="736">
        <f>D97+364*5-14</f>
        <v>45782</v>
      </c>
      <c r="K97" s="736">
        <f t="shared" si="24"/>
        <v>45054</v>
      </c>
      <c r="L97" s="46">
        <v>20000000</v>
      </c>
      <c r="M97" s="18"/>
      <c r="N97" s="46">
        <v>19997000</v>
      </c>
      <c r="O97" s="20">
        <f t="shared" si="25"/>
        <v>5833500</v>
      </c>
      <c r="P97" s="47">
        <v>0.11667</v>
      </c>
      <c r="Q97" s="48">
        <v>1.0389429999999999</v>
      </c>
      <c r="R97" s="22">
        <f t="shared" si="26"/>
        <v>20778860</v>
      </c>
      <c r="S97" s="12">
        <v>0.1179</v>
      </c>
      <c r="T97" s="75">
        <v>1166700</v>
      </c>
      <c r="U97" s="563">
        <v>352574.17582417582</v>
      </c>
      <c r="V97" s="13">
        <f t="shared" si="27"/>
        <v>814125.82417582418</v>
      </c>
      <c r="W97" s="13"/>
      <c r="Z97" s="30"/>
      <c r="AA97" s="30"/>
      <c r="AB97" s="30"/>
      <c r="AE97" s="30"/>
    </row>
    <row r="98" spans="1:31" s="29" customFormat="1" ht="22.5" customHeight="1" x14ac:dyDescent="0.25">
      <c r="A98" s="44" t="s">
        <v>246</v>
      </c>
      <c r="B98" s="45" t="s">
        <v>175</v>
      </c>
      <c r="C98" s="45"/>
      <c r="D98" s="736">
        <v>44039</v>
      </c>
      <c r="E98" s="736">
        <v>44872</v>
      </c>
      <c r="F98" s="73">
        <v>1274</v>
      </c>
      <c r="G98" s="73">
        <f t="shared" si="22"/>
        <v>910</v>
      </c>
      <c r="H98" s="73" t="e">
        <f>[27]Sheet1!#REF!</f>
        <v>#REF!</v>
      </c>
      <c r="I98" s="73" t="e">
        <f t="shared" si="23"/>
        <v>#REF!</v>
      </c>
      <c r="J98" s="736">
        <v>45782</v>
      </c>
      <c r="K98" s="736">
        <f t="shared" si="24"/>
        <v>45054</v>
      </c>
      <c r="L98" s="46">
        <v>20000000</v>
      </c>
      <c r="M98" s="18"/>
      <c r="N98" s="46">
        <v>21530600</v>
      </c>
      <c r="O98" s="20">
        <f t="shared" si="25"/>
        <v>5833500</v>
      </c>
      <c r="P98" s="47">
        <v>0.11667</v>
      </c>
      <c r="Q98" s="48">
        <v>1.0389429999999999</v>
      </c>
      <c r="R98" s="22">
        <f t="shared" si="26"/>
        <v>20778860</v>
      </c>
      <c r="S98" s="12">
        <v>0.1026</v>
      </c>
      <c r="T98" s="75">
        <v>1166700</v>
      </c>
      <c r="U98" s="563">
        <v>352574.17582417582</v>
      </c>
      <c r="V98" s="13">
        <f t="shared" si="27"/>
        <v>814125.82417582418</v>
      </c>
      <c r="W98" s="13"/>
      <c r="Z98" s="30"/>
      <c r="AA98" s="30"/>
      <c r="AB98" s="30"/>
      <c r="AE98" s="30"/>
    </row>
    <row r="99" spans="1:31" s="818" customFormat="1" ht="22.5" customHeight="1" x14ac:dyDescent="0.25">
      <c r="A99" s="44" t="s">
        <v>187</v>
      </c>
      <c r="B99" s="45" t="s">
        <v>175</v>
      </c>
      <c r="C99" s="45"/>
      <c r="D99" s="736">
        <v>42513</v>
      </c>
      <c r="E99" s="736">
        <v>44879</v>
      </c>
      <c r="F99" s="73">
        <v>2912</v>
      </c>
      <c r="G99" s="73">
        <f t="shared" ref="G99:G139" si="31">J99-E99</f>
        <v>910</v>
      </c>
      <c r="H99" s="73" t="e">
        <f>[27]Sheet1!#REF!</f>
        <v>#REF!</v>
      </c>
      <c r="I99" s="73" t="e">
        <f t="shared" ref="I99:I139" si="32">G99-H99</f>
        <v>#REF!</v>
      </c>
      <c r="J99" s="736">
        <f>D99+364*9</f>
        <v>45789</v>
      </c>
      <c r="K99" s="736">
        <f t="shared" ref="K99:K139" si="33">E99+182</f>
        <v>45061</v>
      </c>
      <c r="L99" s="46">
        <f>20000000-4550000</f>
        <v>15450000</v>
      </c>
      <c r="M99" s="18"/>
      <c r="N99" s="46">
        <v>20000000</v>
      </c>
      <c r="O99" s="20">
        <f t="shared" ref="O99:O139" si="34">L99*P99*G99/364</f>
        <v>4828125</v>
      </c>
      <c r="P99" s="47">
        <v>0.125</v>
      </c>
      <c r="Q99" s="48">
        <v>1.0623089999999999</v>
      </c>
      <c r="R99" s="22">
        <f t="shared" ref="R99:R139" si="35">+L99*Q99</f>
        <v>16412674.049999999</v>
      </c>
      <c r="S99" s="12">
        <v>0.13339000000000001</v>
      </c>
      <c r="T99" s="75">
        <v>965625</v>
      </c>
      <c r="U99" s="563">
        <v>254670.32967032967</v>
      </c>
      <c r="V99" s="13">
        <f t="shared" ref="V99:V139" si="36">+T99-U99</f>
        <v>710954.67032967031</v>
      </c>
      <c r="W99" s="13"/>
      <c r="X99" s="29"/>
      <c r="Y99" s="29"/>
      <c r="Z99" s="30"/>
      <c r="AA99" s="30"/>
      <c r="AB99" s="30"/>
      <c r="AC99" s="29"/>
      <c r="AD99" s="29"/>
      <c r="AE99" s="30"/>
    </row>
    <row r="100" spans="1:31" s="665" customFormat="1" ht="22.5" customHeight="1" x14ac:dyDescent="0.25">
      <c r="A100" s="44" t="s">
        <v>256</v>
      </c>
      <c r="B100" s="45" t="s">
        <v>175</v>
      </c>
      <c r="C100" s="45"/>
      <c r="D100" s="736">
        <v>44095</v>
      </c>
      <c r="E100" s="736">
        <v>44879</v>
      </c>
      <c r="F100" s="73">
        <v>1638</v>
      </c>
      <c r="G100" s="73">
        <f t="shared" si="31"/>
        <v>3094</v>
      </c>
      <c r="H100" s="73" t="e">
        <f>[27]Sheet1!#REF!</f>
        <v>#REF!</v>
      </c>
      <c r="I100" s="73" t="e">
        <f t="shared" si="32"/>
        <v>#REF!</v>
      </c>
      <c r="J100" s="736">
        <f>D100+(3878)</f>
        <v>47973</v>
      </c>
      <c r="K100" s="736">
        <f t="shared" si="33"/>
        <v>45061</v>
      </c>
      <c r="L100" s="46">
        <v>20000000</v>
      </c>
      <c r="M100" s="18"/>
      <c r="N100" s="46">
        <v>18455400</v>
      </c>
      <c r="O100" s="20">
        <f t="shared" si="34"/>
        <v>17000000</v>
      </c>
      <c r="P100" s="47">
        <v>0.1</v>
      </c>
      <c r="Q100" s="48">
        <v>0.86387800000000003</v>
      </c>
      <c r="R100" s="22">
        <f t="shared" si="35"/>
        <v>17277560</v>
      </c>
      <c r="S100" s="12">
        <v>0.11872000000000001</v>
      </c>
      <c r="T100" s="75">
        <v>1000000</v>
      </c>
      <c r="U100" s="563">
        <v>263736.26373626373</v>
      </c>
      <c r="V100" s="13">
        <f t="shared" si="36"/>
        <v>736263.73626373627</v>
      </c>
      <c r="W100" s="13"/>
      <c r="X100" s="29"/>
      <c r="Y100" s="29"/>
      <c r="Z100" s="30"/>
      <c r="AA100" s="30"/>
      <c r="AB100" s="30"/>
      <c r="AC100" s="29"/>
      <c r="AD100" s="29"/>
      <c r="AE100" s="30"/>
    </row>
    <row r="101" spans="1:31" s="818" customFormat="1" ht="22.5" customHeight="1" x14ac:dyDescent="0.25">
      <c r="A101" s="44" t="s">
        <v>256</v>
      </c>
      <c r="B101" s="45" t="s">
        <v>175</v>
      </c>
      <c r="C101" s="45"/>
      <c r="D101" s="736">
        <v>44095</v>
      </c>
      <c r="E101" s="736">
        <v>44879</v>
      </c>
      <c r="F101" s="73">
        <v>1638</v>
      </c>
      <c r="G101" s="73">
        <f t="shared" si="31"/>
        <v>3094</v>
      </c>
      <c r="H101" s="73" t="e">
        <f>[27]Sheet1!#REF!</f>
        <v>#REF!</v>
      </c>
      <c r="I101" s="73" t="e">
        <f t="shared" si="32"/>
        <v>#REF!</v>
      </c>
      <c r="J101" s="736">
        <f>D101+(3878)</f>
        <v>47973</v>
      </c>
      <c r="K101" s="736">
        <f t="shared" si="33"/>
        <v>45061</v>
      </c>
      <c r="L101" s="46">
        <v>40000000</v>
      </c>
      <c r="M101" s="18"/>
      <c r="N101" s="46">
        <v>37069600</v>
      </c>
      <c r="O101" s="20">
        <f t="shared" si="34"/>
        <v>34000000</v>
      </c>
      <c r="P101" s="47">
        <v>0.1</v>
      </c>
      <c r="Q101" s="48">
        <v>0.86387800000000003</v>
      </c>
      <c r="R101" s="22">
        <f t="shared" si="35"/>
        <v>34555120</v>
      </c>
      <c r="S101" s="12">
        <v>0.11799999999999999</v>
      </c>
      <c r="T101" s="75">
        <v>2000000</v>
      </c>
      <c r="U101" s="563">
        <v>527472.52747252746</v>
      </c>
      <c r="V101" s="13">
        <f t="shared" si="36"/>
        <v>1472527.4725274725</v>
      </c>
      <c r="W101" s="13"/>
      <c r="X101" s="29"/>
      <c r="Y101" s="29"/>
      <c r="Z101" s="30"/>
      <c r="AA101" s="30"/>
      <c r="AB101" s="30"/>
      <c r="AC101" s="29"/>
      <c r="AD101" s="29"/>
      <c r="AE101" s="30"/>
    </row>
    <row r="102" spans="1:31" s="665" customFormat="1" ht="22.5" customHeight="1" x14ac:dyDescent="0.25">
      <c r="A102" s="44" t="s">
        <v>256</v>
      </c>
      <c r="B102" s="45" t="s">
        <v>175</v>
      </c>
      <c r="C102" s="45"/>
      <c r="D102" s="736">
        <v>44095</v>
      </c>
      <c r="E102" s="736">
        <v>44879</v>
      </c>
      <c r="F102" s="73">
        <v>1638</v>
      </c>
      <c r="G102" s="73">
        <f t="shared" si="31"/>
        <v>3094</v>
      </c>
      <c r="H102" s="73" t="e">
        <f>[27]Sheet1!#REF!</f>
        <v>#REF!</v>
      </c>
      <c r="I102" s="73" t="e">
        <f t="shared" si="32"/>
        <v>#REF!</v>
      </c>
      <c r="J102" s="736">
        <f>D102+(3878)</f>
        <v>47973</v>
      </c>
      <c r="K102" s="736">
        <f t="shared" si="33"/>
        <v>45061</v>
      </c>
      <c r="L102" s="46">
        <v>40000000</v>
      </c>
      <c r="M102" s="18"/>
      <c r="N102" s="46">
        <v>36849600</v>
      </c>
      <c r="O102" s="20">
        <f t="shared" si="34"/>
        <v>34000000</v>
      </c>
      <c r="P102" s="47">
        <v>0.1</v>
      </c>
      <c r="Q102" s="48">
        <v>0.86387800000000003</v>
      </c>
      <c r="R102" s="22">
        <f t="shared" si="35"/>
        <v>34555120</v>
      </c>
      <c r="S102" s="12">
        <v>0.11899999999999999</v>
      </c>
      <c r="T102" s="75">
        <v>2000000</v>
      </c>
      <c r="U102" s="563">
        <v>527472.52747252746</v>
      </c>
      <c r="V102" s="13">
        <f t="shared" si="36"/>
        <v>1472527.4725274725</v>
      </c>
      <c r="W102" s="13"/>
      <c r="X102" s="29"/>
      <c r="Y102" s="29"/>
      <c r="Z102" s="30"/>
      <c r="AA102" s="30"/>
      <c r="AB102" s="30"/>
      <c r="AC102" s="29"/>
      <c r="AD102" s="29"/>
      <c r="AE102" s="30"/>
    </row>
    <row r="103" spans="1:31" s="665" customFormat="1" ht="22.5" customHeight="1" x14ac:dyDescent="0.25">
      <c r="A103" s="44" t="s">
        <v>256</v>
      </c>
      <c r="B103" s="45" t="s">
        <v>175</v>
      </c>
      <c r="C103" s="736"/>
      <c r="D103" s="736">
        <v>44123</v>
      </c>
      <c r="E103" s="736">
        <v>44879</v>
      </c>
      <c r="F103" s="73">
        <v>5278</v>
      </c>
      <c r="G103" s="73">
        <f t="shared" si="31"/>
        <v>3094</v>
      </c>
      <c r="H103" s="73" t="e">
        <f>[27]Sheet1!H8</f>
        <v>#REF!</v>
      </c>
      <c r="I103" s="73" t="e">
        <f t="shared" si="32"/>
        <v>#REF!</v>
      </c>
      <c r="J103" s="736">
        <f t="shared" ref="J103:J109" si="37">D103+(3850)</f>
        <v>47973</v>
      </c>
      <c r="K103" s="736">
        <f t="shared" si="33"/>
        <v>45061</v>
      </c>
      <c r="L103" s="46">
        <v>20000000</v>
      </c>
      <c r="M103" s="18">
        <v>10000000</v>
      </c>
      <c r="N103" s="46">
        <v>18491600</v>
      </c>
      <c r="O103" s="20">
        <f t="shared" si="34"/>
        <v>17000000</v>
      </c>
      <c r="P103" s="47">
        <v>0.1</v>
      </c>
      <c r="Q103" s="48">
        <v>0.86387800000000003</v>
      </c>
      <c r="R103" s="22">
        <f t="shared" si="35"/>
        <v>17277560</v>
      </c>
      <c r="S103" s="12">
        <v>0.11990000000000001</v>
      </c>
      <c r="T103" s="75">
        <v>1000000</v>
      </c>
      <c r="U103" s="565">
        <v>263736.26373626373</v>
      </c>
      <c r="V103" s="50">
        <f t="shared" si="36"/>
        <v>736263.73626373627</v>
      </c>
      <c r="W103" s="50"/>
      <c r="X103" s="51"/>
      <c r="Y103" s="51"/>
      <c r="Z103" s="30"/>
      <c r="AA103" s="30"/>
      <c r="AB103" s="30"/>
      <c r="AC103" s="51"/>
      <c r="AD103" s="51"/>
      <c r="AE103" s="51"/>
    </row>
    <row r="104" spans="1:31" s="29" customFormat="1" ht="22.5" customHeight="1" x14ac:dyDescent="0.25">
      <c r="A104" s="44" t="s">
        <v>256</v>
      </c>
      <c r="B104" s="45" t="s">
        <v>175</v>
      </c>
      <c r="C104" s="736"/>
      <c r="D104" s="736">
        <v>44123</v>
      </c>
      <c r="E104" s="736">
        <v>44879</v>
      </c>
      <c r="F104" s="73">
        <v>5278</v>
      </c>
      <c r="G104" s="73">
        <f t="shared" si="31"/>
        <v>3094</v>
      </c>
      <c r="H104" s="73">
        <f>[27]Sheet1!H9</f>
        <v>0</v>
      </c>
      <c r="I104" s="73">
        <f t="shared" si="32"/>
        <v>3094</v>
      </c>
      <c r="J104" s="736">
        <f t="shared" si="37"/>
        <v>47973</v>
      </c>
      <c r="K104" s="736">
        <f t="shared" si="33"/>
        <v>45061</v>
      </c>
      <c r="L104" s="46">
        <v>40000000</v>
      </c>
      <c r="M104" s="18">
        <v>10000000</v>
      </c>
      <c r="N104" s="46">
        <v>37398000</v>
      </c>
      <c r="O104" s="20">
        <f t="shared" si="34"/>
        <v>34000000</v>
      </c>
      <c r="P104" s="47">
        <v>0.1</v>
      </c>
      <c r="Q104" s="48">
        <v>0.86387800000000003</v>
      </c>
      <c r="R104" s="22">
        <f t="shared" si="35"/>
        <v>34555120</v>
      </c>
      <c r="S104" s="12">
        <v>0.11799999999999999</v>
      </c>
      <c r="T104" s="75">
        <v>2000000</v>
      </c>
      <c r="U104" s="565">
        <v>527472.52747252746</v>
      </c>
      <c r="V104" s="50">
        <f t="shared" si="36"/>
        <v>1472527.4725274725</v>
      </c>
      <c r="W104" s="50"/>
      <c r="X104" s="51"/>
      <c r="Y104" s="51"/>
      <c r="Z104" s="30"/>
      <c r="AA104" s="30"/>
      <c r="AB104" s="30"/>
      <c r="AC104" s="51"/>
      <c r="AD104" s="51"/>
      <c r="AE104" s="51"/>
    </row>
    <row r="105" spans="1:31" s="29" customFormat="1" ht="22.5" customHeight="1" x14ac:dyDescent="0.25">
      <c r="A105" s="44" t="s">
        <v>256</v>
      </c>
      <c r="B105" s="45" t="s">
        <v>175</v>
      </c>
      <c r="C105" s="736"/>
      <c r="D105" s="736">
        <v>44123</v>
      </c>
      <c r="E105" s="736">
        <v>44879</v>
      </c>
      <c r="F105" s="73">
        <v>5278</v>
      </c>
      <c r="G105" s="73">
        <f t="shared" si="31"/>
        <v>3094</v>
      </c>
      <c r="H105" s="73">
        <f>[27]Sheet1!H10</f>
        <v>0</v>
      </c>
      <c r="I105" s="73">
        <f t="shared" si="32"/>
        <v>3094</v>
      </c>
      <c r="J105" s="736">
        <f t="shared" si="37"/>
        <v>47973</v>
      </c>
      <c r="K105" s="736">
        <f t="shared" si="33"/>
        <v>45061</v>
      </c>
      <c r="L105" s="46">
        <v>40000000</v>
      </c>
      <c r="M105" s="18">
        <v>10000000</v>
      </c>
      <c r="N105" s="46">
        <v>37288000</v>
      </c>
      <c r="O105" s="20">
        <f t="shared" si="34"/>
        <v>34000000</v>
      </c>
      <c r="P105" s="47">
        <v>0.1</v>
      </c>
      <c r="Q105" s="48">
        <v>0.86387800000000003</v>
      </c>
      <c r="R105" s="22">
        <f t="shared" si="35"/>
        <v>34555120</v>
      </c>
      <c r="S105" s="12">
        <v>0.11849999999999999</v>
      </c>
      <c r="T105" s="75">
        <v>2000000</v>
      </c>
      <c r="U105" s="565">
        <v>527472.52747252746</v>
      </c>
      <c r="V105" s="50">
        <f t="shared" si="36"/>
        <v>1472527.4725274725</v>
      </c>
      <c r="W105" s="50"/>
      <c r="X105" s="51"/>
      <c r="Y105" s="51"/>
      <c r="Z105" s="30"/>
      <c r="AA105" s="30"/>
      <c r="AB105" s="30"/>
      <c r="AC105" s="51"/>
      <c r="AD105" s="51"/>
      <c r="AE105" s="51"/>
    </row>
    <row r="106" spans="1:31" s="29" customFormat="1" ht="22.5" customHeight="1" x14ac:dyDescent="0.25">
      <c r="A106" s="44" t="s">
        <v>256</v>
      </c>
      <c r="B106" s="45" t="s">
        <v>175</v>
      </c>
      <c r="C106" s="736"/>
      <c r="D106" s="736">
        <v>44123</v>
      </c>
      <c r="E106" s="736">
        <v>44879</v>
      </c>
      <c r="F106" s="73">
        <v>5278</v>
      </c>
      <c r="G106" s="73">
        <f t="shared" si="31"/>
        <v>3094</v>
      </c>
      <c r="H106" s="73">
        <f>[27]Sheet1!H11</f>
        <v>0</v>
      </c>
      <c r="I106" s="73">
        <f t="shared" si="32"/>
        <v>3094</v>
      </c>
      <c r="J106" s="736">
        <f t="shared" si="37"/>
        <v>47973</v>
      </c>
      <c r="K106" s="736">
        <f t="shared" si="33"/>
        <v>45061</v>
      </c>
      <c r="L106" s="46">
        <v>40000000</v>
      </c>
      <c r="M106" s="18">
        <v>10000000</v>
      </c>
      <c r="N106" s="46">
        <v>37178800</v>
      </c>
      <c r="O106" s="20">
        <f t="shared" si="34"/>
        <v>34000000</v>
      </c>
      <c r="P106" s="47">
        <v>0.1</v>
      </c>
      <c r="Q106" s="48">
        <v>0.86387800000000003</v>
      </c>
      <c r="R106" s="22">
        <f t="shared" si="35"/>
        <v>34555120</v>
      </c>
      <c r="S106" s="12">
        <v>0.11899999999999999</v>
      </c>
      <c r="T106" s="75">
        <v>2000000</v>
      </c>
      <c r="U106" s="565">
        <v>527472.52747252746</v>
      </c>
      <c r="V106" s="50">
        <f t="shared" si="36"/>
        <v>1472527.4725274725</v>
      </c>
      <c r="W106" s="50"/>
      <c r="X106" s="51"/>
      <c r="Y106" s="51"/>
      <c r="Z106" s="30"/>
      <c r="AA106" s="30"/>
      <c r="AB106" s="30"/>
      <c r="AC106" s="51"/>
      <c r="AD106" s="51"/>
      <c r="AE106" s="51"/>
    </row>
    <row r="107" spans="1:31" s="29" customFormat="1" ht="22.5" customHeight="1" x14ac:dyDescent="0.25">
      <c r="A107" s="44" t="s">
        <v>256</v>
      </c>
      <c r="B107" s="45" t="s">
        <v>175</v>
      </c>
      <c r="C107" s="736"/>
      <c r="D107" s="736">
        <v>44123</v>
      </c>
      <c r="E107" s="736">
        <v>44879</v>
      </c>
      <c r="F107" s="73">
        <v>5278</v>
      </c>
      <c r="G107" s="73">
        <f t="shared" si="31"/>
        <v>3094</v>
      </c>
      <c r="H107" s="73">
        <f>[27]Sheet1!H12</f>
        <v>0</v>
      </c>
      <c r="I107" s="73">
        <f t="shared" si="32"/>
        <v>3094</v>
      </c>
      <c r="J107" s="736">
        <f t="shared" si="37"/>
        <v>47973</v>
      </c>
      <c r="K107" s="736">
        <f t="shared" si="33"/>
        <v>45061</v>
      </c>
      <c r="L107" s="46">
        <v>40000000</v>
      </c>
      <c r="M107" s="18">
        <v>10000000</v>
      </c>
      <c r="N107" s="46">
        <v>37070000</v>
      </c>
      <c r="O107" s="20">
        <f t="shared" si="34"/>
        <v>34000000</v>
      </c>
      <c r="P107" s="47">
        <v>0.1</v>
      </c>
      <c r="Q107" s="48">
        <v>0.86387800000000003</v>
      </c>
      <c r="R107" s="22">
        <f t="shared" si="35"/>
        <v>34555120</v>
      </c>
      <c r="S107" s="12">
        <v>0.1195</v>
      </c>
      <c r="T107" s="75">
        <v>2000000</v>
      </c>
      <c r="U107" s="565">
        <v>527472.52747252746</v>
      </c>
      <c r="V107" s="50">
        <f t="shared" si="36"/>
        <v>1472527.4725274725</v>
      </c>
      <c r="W107" s="50"/>
      <c r="X107" s="51"/>
      <c r="Y107" s="51"/>
      <c r="Z107" s="30"/>
      <c r="AA107" s="30"/>
      <c r="AB107" s="30"/>
      <c r="AC107" s="51"/>
      <c r="AD107" s="51"/>
      <c r="AE107" s="51"/>
    </row>
    <row r="108" spans="1:31" s="29" customFormat="1" ht="22.5" customHeight="1" x14ac:dyDescent="0.25">
      <c r="A108" s="44" t="s">
        <v>256</v>
      </c>
      <c r="B108" s="45" t="s">
        <v>175</v>
      </c>
      <c r="C108" s="736"/>
      <c r="D108" s="736">
        <v>44123</v>
      </c>
      <c r="E108" s="736">
        <v>44879</v>
      </c>
      <c r="F108" s="73">
        <v>5278</v>
      </c>
      <c r="G108" s="73">
        <f t="shared" si="31"/>
        <v>3094</v>
      </c>
      <c r="H108" s="73">
        <f>[27]Sheet1!H13</f>
        <v>0</v>
      </c>
      <c r="I108" s="73">
        <f t="shared" si="32"/>
        <v>3094</v>
      </c>
      <c r="J108" s="736">
        <f t="shared" si="37"/>
        <v>47973</v>
      </c>
      <c r="K108" s="736">
        <f t="shared" si="33"/>
        <v>45061</v>
      </c>
      <c r="L108" s="46">
        <v>20000000</v>
      </c>
      <c r="M108" s="18">
        <v>10000000</v>
      </c>
      <c r="N108" s="46">
        <v>18480800</v>
      </c>
      <c r="O108" s="20">
        <f t="shared" si="34"/>
        <v>17000000</v>
      </c>
      <c r="P108" s="47">
        <v>0.1</v>
      </c>
      <c r="Q108" s="48">
        <v>0.86387800000000003</v>
      </c>
      <c r="R108" s="22">
        <f t="shared" si="35"/>
        <v>17277560</v>
      </c>
      <c r="S108" s="12">
        <v>0.12</v>
      </c>
      <c r="T108" s="75">
        <v>1000000</v>
      </c>
      <c r="U108" s="565">
        <v>263736.26373626373</v>
      </c>
      <c r="V108" s="50">
        <f t="shared" si="36"/>
        <v>736263.73626373627</v>
      </c>
      <c r="W108" s="50"/>
      <c r="X108" s="51"/>
      <c r="Y108" s="51"/>
      <c r="Z108" s="30"/>
      <c r="AA108" s="30"/>
      <c r="AB108" s="30"/>
      <c r="AC108" s="51"/>
      <c r="AD108" s="51"/>
      <c r="AE108" s="51"/>
    </row>
    <row r="109" spans="1:31" s="29" customFormat="1" ht="22.5" customHeight="1" x14ac:dyDescent="0.25">
      <c r="A109" s="44" t="s">
        <v>256</v>
      </c>
      <c r="B109" s="45" t="s">
        <v>175</v>
      </c>
      <c r="C109" s="736"/>
      <c r="D109" s="736">
        <v>44123</v>
      </c>
      <c r="E109" s="736">
        <v>44879</v>
      </c>
      <c r="F109" s="73">
        <v>5278</v>
      </c>
      <c r="G109" s="73">
        <f t="shared" si="31"/>
        <v>3094</v>
      </c>
      <c r="H109" s="73">
        <f>[27]Sheet1!H14</f>
        <v>0</v>
      </c>
      <c r="I109" s="73">
        <f t="shared" si="32"/>
        <v>3094</v>
      </c>
      <c r="J109" s="736">
        <f t="shared" si="37"/>
        <v>47973</v>
      </c>
      <c r="K109" s="736">
        <f t="shared" si="33"/>
        <v>45061</v>
      </c>
      <c r="L109" s="46">
        <v>20000000</v>
      </c>
      <c r="M109" s="18">
        <v>10000000</v>
      </c>
      <c r="N109" s="46">
        <v>18373200</v>
      </c>
      <c r="O109" s="20">
        <f t="shared" si="34"/>
        <v>17000000</v>
      </c>
      <c r="P109" s="47">
        <v>0.1</v>
      </c>
      <c r="Q109" s="48">
        <v>0.86387800000000003</v>
      </c>
      <c r="R109" s="22">
        <f t="shared" si="35"/>
        <v>17277560</v>
      </c>
      <c r="S109" s="12">
        <v>0.121</v>
      </c>
      <c r="T109" s="75">
        <v>1000000</v>
      </c>
      <c r="U109" s="565">
        <v>263736.26373626373</v>
      </c>
      <c r="V109" s="50">
        <f t="shared" si="36"/>
        <v>736263.73626373627</v>
      </c>
      <c r="W109" s="50"/>
      <c r="X109" s="51"/>
      <c r="Y109" s="51"/>
      <c r="Z109" s="30"/>
      <c r="AA109" s="30"/>
      <c r="AB109" s="30"/>
      <c r="AC109" s="51"/>
      <c r="AD109" s="51"/>
      <c r="AE109" s="51"/>
    </row>
    <row r="110" spans="1:31" s="29" customFormat="1" ht="22.5" customHeight="1" x14ac:dyDescent="0.25">
      <c r="A110" s="44" t="s">
        <v>299</v>
      </c>
      <c r="B110" s="45" t="s">
        <v>175</v>
      </c>
      <c r="C110" s="736"/>
      <c r="D110" s="736">
        <v>44515</v>
      </c>
      <c r="E110" s="736">
        <v>44879</v>
      </c>
      <c r="F110" s="73">
        <v>5278</v>
      </c>
      <c r="G110" s="73">
        <f t="shared" si="31"/>
        <v>1456</v>
      </c>
      <c r="H110" s="73" t="e">
        <f>[27]Sheet1!H15</f>
        <v>#REF!</v>
      </c>
      <c r="I110" s="73" t="e">
        <f t="shared" si="32"/>
        <v>#REF!</v>
      </c>
      <c r="J110" s="736">
        <f t="shared" ref="J110:J115" si="38">D110+(364*5)</f>
        <v>46335</v>
      </c>
      <c r="K110" s="736">
        <f t="shared" si="33"/>
        <v>45061</v>
      </c>
      <c r="L110" s="46">
        <v>20000000</v>
      </c>
      <c r="M110" s="18">
        <v>10000000</v>
      </c>
      <c r="N110" s="46">
        <v>20000000</v>
      </c>
      <c r="O110" s="20">
        <f t="shared" si="34"/>
        <v>9021600</v>
      </c>
      <c r="P110" s="47">
        <v>0.11277</v>
      </c>
      <c r="Q110" s="48">
        <v>0.99521800000000005</v>
      </c>
      <c r="R110" s="22">
        <f t="shared" si="35"/>
        <v>19904360</v>
      </c>
      <c r="S110" s="12">
        <v>0.11277</v>
      </c>
      <c r="T110" s="75">
        <v>1127700</v>
      </c>
      <c r="U110" s="565">
        <v>297415.38461538462</v>
      </c>
      <c r="V110" s="50">
        <f t="shared" si="36"/>
        <v>830284.61538461538</v>
      </c>
      <c r="W110" s="50"/>
      <c r="X110" s="51"/>
      <c r="Y110" s="51"/>
      <c r="Z110" s="30"/>
      <c r="AA110" s="30"/>
      <c r="AB110" s="30"/>
      <c r="AC110" s="51"/>
      <c r="AD110" s="51"/>
      <c r="AE110" s="51"/>
    </row>
    <row r="111" spans="1:31" s="29" customFormat="1" ht="22.5" customHeight="1" x14ac:dyDescent="0.25">
      <c r="A111" s="44" t="s">
        <v>299</v>
      </c>
      <c r="B111" s="45" t="s">
        <v>175</v>
      </c>
      <c r="C111" s="736"/>
      <c r="D111" s="736">
        <v>44515</v>
      </c>
      <c r="E111" s="736">
        <v>44879</v>
      </c>
      <c r="F111" s="73">
        <v>5278</v>
      </c>
      <c r="G111" s="73">
        <f t="shared" si="31"/>
        <v>1456</v>
      </c>
      <c r="H111" s="73" t="e">
        <f>[27]Sheet1!H16</f>
        <v>#REF!</v>
      </c>
      <c r="I111" s="73" t="e">
        <f t="shared" si="32"/>
        <v>#REF!</v>
      </c>
      <c r="J111" s="736">
        <f t="shared" si="38"/>
        <v>46335</v>
      </c>
      <c r="K111" s="736">
        <f t="shared" si="33"/>
        <v>45061</v>
      </c>
      <c r="L111" s="46">
        <v>70000000</v>
      </c>
      <c r="M111" s="18">
        <v>10000000</v>
      </c>
      <c r="N111" s="46">
        <v>70070700</v>
      </c>
      <c r="O111" s="20">
        <f t="shared" si="34"/>
        <v>31575600</v>
      </c>
      <c r="P111" s="47">
        <v>0.11277</v>
      </c>
      <c r="Q111" s="48">
        <v>0.99521800000000005</v>
      </c>
      <c r="R111" s="22">
        <f t="shared" si="35"/>
        <v>69665260</v>
      </c>
      <c r="S111" s="12">
        <v>0.1125</v>
      </c>
      <c r="T111" s="75">
        <v>3946950</v>
      </c>
      <c r="U111" s="565">
        <v>1040953.8461538461</v>
      </c>
      <c r="V111" s="50">
        <f t="shared" si="36"/>
        <v>2905996.153846154</v>
      </c>
      <c r="W111" s="50"/>
      <c r="X111" s="51"/>
      <c r="Y111" s="51"/>
      <c r="Z111" s="30"/>
      <c r="AA111" s="30"/>
      <c r="AB111" s="30"/>
      <c r="AC111" s="51"/>
      <c r="AD111" s="51"/>
      <c r="AE111" s="51"/>
    </row>
    <row r="112" spans="1:31" s="29" customFormat="1" ht="22.5" customHeight="1" x14ac:dyDescent="0.25">
      <c r="A112" s="44" t="s">
        <v>299</v>
      </c>
      <c r="B112" s="45" t="s">
        <v>175</v>
      </c>
      <c r="C112" s="736"/>
      <c r="D112" s="736">
        <v>44515</v>
      </c>
      <c r="E112" s="736">
        <v>44879</v>
      </c>
      <c r="F112" s="73">
        <v>5278</v>
      </c>
      <c r="G112" s="73">
        <f t="shared" si="31"/>
        <v>1456</v>
      </c>
      <c r="H112" s="73" t="e">
        <f>[27]Sheet1!H17</f>
        <v>#REF!</v>
      </c>
      <c r="I112" s="73" t="e">
        <f t="shared" si="32"/>
        <v>#REF!</v>
      </c>
      <c r="J112" s="736">
        <f t="shared" si="38"/>
        <v>46335</v>
      </c>
      <c r="K112" s="736">
        <f t="shared" si="33"/>
        <v>45061</v>
      </c>
      <c r="L112" s="46">
        <v>70000000</v>
      </c>
      <c r="M112" s="18">
        <v>10000000</v>
      </c>
      <c r="N112" s="46">
        <v>69939800</v>
      </c>
      <c r="O112" s="20">
        <f t="shared" si="34"/>
        <v>31575600</v>
      </c>
      <c r="P112" s="47">
        <v>0.11277</v>
      </c>
      <c r="Q112" s="48">
        <v>0.99521800000000005</v>
      </c>
      <c r="R112" s="22">
        <f t="shared" si="35"/>
        <v>69665260</v>
      </c>
      <c r="S112" s="12">
        <v>0.113</v>
      </c>
      <c r="T112" s="75">
        <v>3946950</v>
      </c>
      <c r="U112" s="565">
        <v>1040953.8461538461</v>
      </c>
      <c r="V112" s="50">
        <f t="shared" si="36"/>
        <v>2905996.153846154</v>
      </c>
      <c r="W112" s="50"/>
      <c r="X112" s="51"/>
      <c r="Y112" s="51"/>
      <c r="Z112" s="30"/>
      <c r="AA112" s="30"/>
      <c r="AB112" s="30"/>
      <c r="AC112" s="51"/>
      <c r="AD112" s="51"/>
      <c r="AE112" s="51"/>
    </row>
    <row r="113" spans="1:31" s="29" customFormat="1" ht="22.5" customHeight="1" x14ac:dyDescent="0.25">
      <c r="A113" s="44" t="s">
        <v>299</v>
      </c>
      <c r="B113" s="45" t="s">
        <v>175</v>
      </c>
      <c r="C113" s="736"/>
      <c r="D113" s="736">
        <v>44515</v>
      </c>
      <c r="E113" s="736">
        <v>44879</v>
      </c>
      <c r="F113" s="73">
        <v>5278</v>
      </c>
      <c r="G113" s="73">
        <f t="shared" si="31"/>
        <v>1456</v>
      </c>
      <c r="H113" s="73" t="e">
        <f>[27]Sheet1!H18</f>
        <v>#REF!</v>
      </c>
      <c r="I113" s="73" t="e">
        <f t="shared" si="32"/>
        <v>#REF!</v>
      </c>
      <c r="J113" s="736">
        <f t="shared" si="38"/>
        <v>46335</v>
      </c>
      <c r="K113" s="736">
        <f t="shared" si="33"/>
        <v>45061</v>
      </c>
      <c r="L113" s="46">
        <v>70000000</v>
      </c>
      <c r="M113" s="18">
        <v>10000000</v>
      </c>
      <c r="N113" s="46">
        <v>69808900</v>
      </c>
      <c r="O113" s="20">
        <f t="shared" si="34"/>
        <v>31575600</v>
      </c>
      <c r="P113" s="47">
        <v>0.11277</v>
      </c>
      <c r="Q113" s="48">
        <v>0.99521800000000005</v>
      </c>
      <c r="R113" s="22">
        <f t="shared" si="35"/>
        <v>69665260</v>
      </c>
      <c r="S113" s="12">
        <v>0.1135</v>
      </c>
      <c r="T113" s="75">
        <v>3946950</v>
      </c>
      <c r="U113" s="565">
        <v>1040953.8461538461</v>
      </c>
      <c r="V113" s="50">
        <f t="shared" si="36"/>
        <v>2905996.153846154</v>
      </c>
      <c r="W113" s="50"/>
      <c r="X113" s="51"/>
      <c r="Y113" s="51"/>
      <c r="Z113" s="30"/>
      <c r="AA113" s="30"/>
      <c r="AB113" s="30"/>
      <c r="AC113" s="51"/>
      <c r="AD113" s="51"/>
      <c r="AE113" s="51"/>
    </row>
    <row r="114" spans="1:31" s="29" customFormat="1" ht="22.5" customHeight="1" x14ac:dyDescent="0.25">
      <c r="A114" s="44" t="s">
        <v>299</v>
      </c>
      <c r="B114" s="45" t="s">
        <v>175</v>
      </c>
      <c r="C114" s="736"/>
      <c r="D114" s="736">
        <v>44515</v>
      </c>
      <c r="E114" s="736">
        <v>44879</v>
      </c>
      <c r="F114" s="73">
        <v>5278</v>
      </c>
      <c r="G114" s="73">
        <f t="shared" si="31"/>
        <v>1456</v>
      </c>
      <c r="H114" s="73">
        <f>[27]Sheet1!H19</f>
        <v>0</v>
      </c>
      <c r="I114" s="73">
        <f t="shared" si="32"/>
        <v>1456</v>
      </c>
      <c r="J114" s="736">
        <f t="shared" si="38"/>
        <v>46335</v>
      </c>
      <c r="K114" s="736">
        <f t="shared" si="33"/>
        <v>45061</v>
      </c>
      <c r="L114" s="46">
        <v>70000000</v>
      </c>
      <c r="M114" s="18">
        <v>10000000</v>
      </c>
      <c r="N114" s="46">
        <v>69678700</v>
      </c>
      <c r="O114" s="20">
        <f t="shared" si="34"/>
        <v>31575600</v>
      </c>
      <c r="P114" s="47">
        <v>0.11277</v>
      </c>
      <c r="Q114" s="48">
        <v>0.99521800000000005</v>
      </c>
      <c r="R114" s="22">
        <f t="shared" si="35"/>
        <v>69665260</v>
      </c>
      <c r="S114" s="12">
        <v>0.114</v>
      </c>
      <c r="T114" s="75">
        <v>3946950</v>
      </c>
      <c r="U114" s="565">
        <v>1040953.8461538461</v>
      </c>
      <c r="V114" s="50">
        <f t="shared" si="36"/>
        <v>2905996.153846154</v>
      </c>
      <c r="W114" s="50"/>
      <c r="X114" s="51"/>
      <c r="Y114" s="51"/>
      <c r="Z114" s="30"/>
      <c r="AA114" s="30"/>
      <c r="AB114" s="30"/>
      <c r="AC114" s="51"/>
      <c r="AD114" s="51"/>
      <c r="AE114" s="51"/>
    </row>
    <row r="115" spans="1:31" s="29" customFormat="1" ht="22.5" customHeight="1" x14ac:dyDescent="0.25">
      <c r="A115" s="44" t="s">
        <v>299</v>
      </c>
      <c r="B115" s="45" t="s">
        <v>175</v>
      </c>
      <c r="C115" s="736"/>
      <c r="D115" s="736">
        <v>44515</v>
      </c>
      <c r="E115" s="736">
        <v>44879</v>
      </c>
      <c r="F115" s="73">
        <v>5278</v>
      </c>
      <c r="G115" s="73">
        <f t="shared" si="31"/>
        <v>1456</v>
      </c>
      <c r="H115" s="73" t="e">
        <f>[27]Sheet1!H20</f>
        <v>#REF!</v>
      </c>
      <c r="I115" s="73" t="e">
        <f t="shared" si="32"/>
        <v>#REF!</v>
      </c>
      <c r="J115" s="736">
        <f t="shared" si="38"/>
        <v>46335</v>
      </c>
      <c r="K115" s="736">
        <f t="shared" si="33"/>
        <v>45061</v>
      </c>
      <c r="L115" s="46">
        <v>60000000</v>
      </c>
      <c r="M115" s="18">
        <v>10000000</v>
      </c>
      <c r="N115" s="46">
        <v>59613000</v>
      </c>
      <c r="O115" s="20">
        <f t="shared" si="34"/>
        <v>27064800</v>
      </c>
      <c r="P115" s="47">
        <v>0.11277</v>
      </c>
      <c r="Q115" s="48">
        <v>0.99521800000000005</v>
      </c>
      <c r="R115" s="22">
        <f t="shared" si="35"/>
        <v>59713080</v>
      </c>
      <c r="S115" s="12">
        <v>0.1145</v>
      </c>
      <c r="T115" s="75">
        <v>3383100</v>
      </c>
      <c r="U115" s="565">
        <v>892246.15384615387</v>
      </c>
      <c r="V115" s="50">
        <f t="shared" si="36"/>
        <v>2490853.846153846</v>
      </c>
      <c r="W115" s="50"/>
      <c r="X115" s="51"/>
      <c r="Y115" s="51"/>
      <c r="Z115" s="30"/>
      <c r="AA115" s="30"/>
      <c r="AB115" s="30"/>
      <c r="AC115" s="51"/>
      <c r="AD115" s="51"/>
      <c r="AE115" s="51"/>
    </row>
    <row r="116" spans="1:31" s="29" customFormat="1" ht="22.5" customHeight="1" x14ac:dyDescent="0.25">
      <c r="A116" s="44" t="s">
        <v>317</v>
      </c>
      <c r="B116" s="45" t="s">
        <v>175</v>
      </c>
      <c r="C116" s="45"/>
      <c r="D116" s="736">
        <v>44823</v>
      </c>
      <c r="E116" s="736">
        <v>44879</v>
      </c>
      <c r="F116" s="73">
        <v>1638</v>
      </c>
      <c r="G116" s="73">
        <f t="shared" si="31"/>
        <v>3458</v>
      </c>
      <c r="H116" s="73" t="e">
        <f>[27]Sheet1!#REF!</f>
        <v>#REF!</v>
      </c>
      <c r="I116" s="73" t="e">
        <f t="shared" si="32"/>
        <v>#REF!</v>
      </c>
      <c r="J116" s="736">
        <f>D116+(3514)</f>
        <v>48337</v>
      </c>
      <c r="K116" s="736">
        <f t="shared" si="33"/>
        <v>45061</v>
      </c>
      <c r="L116" s="46">
        <v>20000000</v>
      </c>
      <c r="M116" s="18"/>
      <c r="N116" s="46">
        <v>20445200</v>
      </c>
      <c r="O116" s="20">
        <f t="shared" si="34"/>
        <v>25631000</v>
      </c>
      <c r="P116" s="47">
        <v>0.13489999999999999</v>
      </c>
      <c r="Q116" s="48">
        <v>1.04915</v>
      </c>
      <c r="R116" s="22">
        <f t="shared" si="35"/>
        <v>20983000</v>
      </c>
      <c r="S116" s="12">
        <v>0.13949</v>
      </c>
      <c r="T116" s="75">
        <v>1349000</v>
      </c>
      <c r="U116" s="563">
        <v>355780.21978021978</v>
      </c>
      <c r="V116" s="13">
        <f t="shared" si="36"/>
        <v>993219.78021978028</v>
      </c>
      <c r="W116" s="13"/>
      <c r="Z116" s="30"/>
      <c r="AA116" s="30"/>
      <c r="AB116" s="30"/>
      <c r="AE116" s="30"/>
    </row>
    <row r="117" spans="1:31" s="29" customFormat="1" ht="22.5" customHeight="1" x14ac:dyDescent="0.25">
      <c r="A117" s="44" t="s">
        <v>317</v>
      </c>
      <c r="B117" s="45" t="s">
        <v>175</v>
      </c>
      <c r="C117" s="45"/>
      <c r="D117" s="736">
        <v>44823</v>
      </c>
      <c r="E117" s="736">
        <v>44879</v>
      </c>
      <c r="F117" s="73">
        <v>1638</v>
      </c>
      <c r="G117" s="73">
        <f t="shared" si="31"/>
        <v>3458</v>
      </c>
      <c r="H117" s="73" t="e">
        <f>[27]Sheet1!H1</f>
        <v>#REF!</v>
      </c>
      <c r="I117" s="73" t="e">
        <f t="shared" si="32"/>
        <v>#REF!</v>
      </c>
      <c r="J117" s="736">
        <f>D117+(3514)</f>
        <v>48337</v>
      </c>
      <c r="K117" s="736">
        <f t="shared" si="33"/>
        <v>45061</v>
      </c>
      <c r="L117" s="46">
        <v>20000000</v>
      </c>
      <c r="M117" s="18"/>
      <c r="N117" s="46">
        <v>20495600</v>
      </c>
      <c r="O117" s="20">
        <f t="shared" si="34"/>
        <v>25631000</v>
      </c>
      <c r="P117" s="47">
        <v>0.13489999999999999</v>
      </c>
      <c r="Q117" s="48">
        <v>1.04915</v>
      </c>
      <c r="R117" s="22">
        <f t="shared" si="35"/>
        <v>20983000</v>
      </c>
      <c r="S117" s="12">
        <v>0.13900000000000001</v>
      </c>
      <c r="T117" s="75">
        <v>1349000</v>
      </c>
      <c r="U117" s="563">
        <v>355780.21978021978</v>
      </c>
      <c r="V117" s="13">
        <f t="shared" si="36"/>
        <v>993219.78021978028</v>
      </c>
      <c r="W117" s="13"/>
      <c r="Z117" s="30"/>
      <c r="AA117" s="30"/>
      <c r="AB117" s="30"/>
      <c r="AE117" s="30"/>
    </row>
    <row r="118" spans="1:31" s="29" customFormat="1" ht="22.5" customHeight="1" x14ac:dyDescent="0.25">
      <c r="A118" s="44" t="s">
        <v>317</v>
      </c>
      <c r="B118" s="45" t="s">
        <v>175</v>
      </c>
      <c r="C118" s="45"/>
      <c r="D118" s="736">
        <v>44823</v>
      </c>
      <c r="E118" s="736">
        <v>44879</v>
      </c>
      <c r="F118" s="73">
        <v>1638</v>
      </c>
      <c r="G118" s="73">
        <f t="shared" si="31"/>
        <v>3458</v>
      </c>
      <c r="H118" s="73" t="e">
        <f>[27]Sheet1!H2</f>
        <v>#REF!</v>
      </c>
      <c r="I118" s="73" t="e">
        <f t="shared" si="32"/>
        <v>#REF!</v>
      </c>
      <c r="J118" s="736">
        <f>D118+(3514)</f>
        <v>48337</v>
      </c>
      <c r="K118" s="736">
        <f t="shared" si="33"/>
        <v>45061</v>
      </c>
      <c r="L118" s="46">
        <v>20000000</v>
      </c>
      <c r="M118" s="18"/>
      <c r="N118" s="46">
        <v>20444200</v>
      </c>
      <c r="O118" s="20">
        <f t="shared" si="34"/>
        <v>25631000</v>
      </c>
      <c r="P118" s="47">
        <v>0.13489999999999999</v>
      </c>
      <c r="Q118" s="48">
        <v>1.04915</v>
      </c>
      <c r="R118" s="22">
        <f t="shared" si="35"/>
        <v>20983000</v>
      </c>
      <c r="S118" s="12">
        <v>0.13950000000000001</v>
      </c>
      <c r="T118" s="75">
        <v>1349000</v>
      </c>
      <c r="U118" s="563">
        <v>355780.21978021978</v>
      </c>
      <c r="V118" s="13">
        <f t="shared" si="36"/>
        <v>993219.78021978028</v>
      </c>
      <c r="W118" s="13"/>
      <c r="Z118" s="30"/>
      <c r="AA118" s="30"/>
      <c r="AB118" s="30"/>
      <c r="AE118" s="30"/>
    </row>
    <row r="119" spans="1:31" s="29" customFormat="1" ht="22.5" customHeight="1" x14ac:dyDescent="0.25">
      <c r="A119" s="44" t="s">
        <v>320</v>
      </c>
      <c r="B119" s="45" t="s">
        <v>175</v>
      </c>
      <c r="C119" s="736"/>
      <c r="D119" s="736">
        <v>44879</v>
      </c>
      <c r="E119" s="736">
        <v>44879</v>
      </c>
      <c r="F119" s="73">
        <v>5278</v>
      </c>
      <c r="G119" s="73">
        <f t="shared" si="31"/>
        <v>5096</v>
      </c>
      <c r="H119" s="73">
        <f>[27]Sheet1!H24</f>
        <v>0</v>
      </c>
      <c r="I119" s="73">
        <f t="shared" si="32"/>
        <v>5096</v>
      </c>
      <c r="J119" s="736">
        <f t="shared" ref="J119:J125" si="39">D119+(364*14)</f>
        <v>49975</v>
      </c>
      <c r="K119" s="736">
        <f t="shared" si="33"/>
        <v>45061</v>
      </c>
      <c r="L119" s="46">
        <v>20000000</v>
      </c>
      <c r="M119" s="18">
        <v>10000000</v>
      </c>
      <c r="N119" s="46">
        <v>20260000</v>
      </c>
      <c r="O119" s="20">
        <f t="shared" si="34"/>
        <v>39026400</v>
      </c>
      <c r="P119" s="47">
        <v>0.13938</v>
      </c>
      <c r="Q119" s="48">
        <v>0.94972800000000002</v>
      </c>
      <c r="R119" s="22">
        <f t="shared" si="35"/>
        <v>18994560</v>
      </c>
      <c r="S119" s="12">
        <v>0.13700000000000001</v>
      </c>
      <c r="T119" s="75">
        <v>1393800</v>
      </c>
      <c r="U119" s="565">
        <v>367595.6043956044</v>
      </c>
      <c r="V119" s="50">
        <f t="shared" si="36"/>
        <v>1026204.3956043955</v>
      </c>
      <c r="W119" s="50"/>
      <c r="X119" s="51"/>
      <c r="Y119" s="51"/>
      <c r="Z119" s="30"/>
      <c r="AA119" s="30"/>
      <c r="AB119" s="30"/>
      <c r="AC119" s="51"/>
      <c r="AD119" s="51"/>
      <c r="AE119" s="51"/>
    </row>
    <row r="120" spans="1:31" s="29" customFormat="1" ht="22.5" customHeight="1" x14ac:dyDescent="0.25">
      <c r="A120" s="44" t="s">
        <v>320</v>
      </c>
      <c r="B120" s="45" t="s">
        <v>175</v>
      </c>
      <c r="C120" s="736"/>
      <c r="D120" s="736">
        <v>44879</v>
      </c>
      <c r="E120" s="736">
        <v>44879</v>
      </c>
      <c r="F120" s="73">
        <v>5278</v>
      </c>
      <c r="G120" s="73">
        <f t="shared" si="31"/>
        <v>5096</v>
      </c>
      <c r="H120" s="73">
        <f>[27]Sheet1!H25</f>
        <v>0</v>
      </c>
      <c r="I120" s="73">
        <f t="shared" si="32"/>
        <v>5096</v>
      </c>
      <c r="J120" s="736">
        <f t="shared" si="39"/>
        <v>49975</v>
      </c>
      <c r="K120" s="736">
        <f t="shared" si="33"/>
        <v>45061</v>
      </c>
      <c r="L120" s="46">
        <v>30000000</v>
      </c>
      <c r="M120" s="18">
        <v>10000000</v>
      </c>
      <c r="N120" s="46">
        <v>30307500</v>
      </c>
      <c r="O120" s="20">
        <f t="shared" si="34"/>
        <v>58539600</v>
      </c>
      <c r="P120" s="47">
        <v>0.13938</v>
      </c>
      <c r="Q120" s="48">
        <v>0.94972800000000002</v>
      </c>
      <c r="R120" s="22">
        <f t="shared" si="35"/>
        <v>28491840</v>
      </c>
      <c r="S120" s="12">
        <v>0.13750000000000001</v>
      </c>
      <c r="T120" s="75">
        <v>2090700</v>
      </c>
      <c r="U120" s="565">
        <v>551393.40659340657</v>
      </c>
      <c r="V120" s="50">
        <f t="shared" si="36"/>
        <v>1539306.5934065934</v>
      </c>
      <c r="W120" s="50"/>
      <c r="X120" s="51"/>
      <c r="Y120" s="51"/>
      <c r="Z120" s="30"/>
      <c r="AA120" s="30"/>
      <c r="AB120" s="30"/>
      <c r="AC120" s="51"/>
      <c r="AD120" s="51"/>
      <c r="AE120" s="51"/>
    </row>
    <row r="121" spans="1:31" s="29" customFormat="1" ht="22.5" customHeight="1" x14ac:dyDescent="0.25">
      <c r="A121" s="44" t="s">
        <v>320</v>
      </c>
      <c r="B121" s="45" t="s">
        <v>175</v>
      </c>
      <c r="C121" s="736"/>
      <c r="D121" s="736">
        <v>44879</v>
      </c>
      <c r="E121" s="736">
        <v>44879</v>
      </c>
      <c r="F121" s="73">
        <v>5278</v>
      </c>
      <c r="G121" s="73">
        <f t="shared" si="31"/>
        <v>5096</v>
      </c>
      <c r="H121" s="73">
        <f>[27]Sheet1!H26</f>
        <v>0</v>
      </c>
      <c r="I121" s="73">
        <f t="shared" si="32"/>
        <v>5096</v>
      </c>
      <c r="J121" s="736">
        <f t="shared" si="39"/>
        <v>49975</v>
      </c>
      <c r="K121" s="736">
        <f t="shared" si="33"/>
        <v>45061</v>
      </c>
      <c r="L121" s="46">
        <v>20000000</v>
      </c>
      <c r="M121" s="18">
        <v>10000000</v>
      </c>
      <c r="N121" s="46">
        <v>20150200</v>
      </c>
      <c r="O121" s="20">
        <f t="shared" si="34"/>
        <v>39026400</v>
      </c>
      <c r="P121" s="47">
        <v>0.13938</v>
      </c>
      <c r="Q121" s="48">
        <v>0.94972800000000002</v>
      </c>
      <c r="R121" s="22">
        <f t="shared" si="35"/>
        <v>18994560</v>
      </c>
      <c r="S121" s="12">
        <v>0.13800000000000001</v>
      </c>
      <c r="T121" s="75">
        <v>1393800</v>
      </c>
      <c r="U121" s="565">
        <v>367595.6043956044</v>
      </c>
      <c r="V121" s="50">
        <f t="shared" si="36"/>
        <v>1026204.3956043955</v>
      </c>
      <c r="W121" s="50"/>
      <c r="X121" s="51"/>
      <c r="Y121" s="51"/>
      <c r="Z121" s="30"/>
      <c r="AA121" s="30"/>
      <c r="AB121" s="30"/>
      <c r="AC121" s="51"/>
      <c r="AD121" s="51"/>
      <c r="AE121" s="51"/>
    </row>
    <row r="122" spans="1:31" s="29" customFormat="1" ht="22.5" customHeight="1" x14ac:dyDescent="0.25">
      <c r="A122" s="44" t="s">
        <v>320</v>
      </c>
      <c r="B122" s="45" t="s">
        <v>175</v>
      </c>
      <c r="C122" s="736"/>
      <c r="D122" s="736">
        <v>44879</v>
      </c>
      <c r="E122" s="736">
        <v>44879</v>
      </c>
      <c r="F122" s="73">
        <v>5278</v>
      </c>
      <c r="G122" s="73">
        <f t="shared" si="31"/>
        <v>5096</v>
      </c>
      <c r="H122" s="73">
        <f>[27]Sheet1!H27</f>
        <v>0</v>
      </c>
      <c r="I122" s="73">
        <f t="shared" si="32"/>
        <v>5096</v>
      </c>
      <c r="J122" s="736">
        <f t="shared" si="39"/>
        <v>49975</v>
      </c>
      <c r="K122" s="736">
        <f t="shared" si="33"/>
        <v>45061</v>
      </c>
      <c r="L122" s="46">
        <v>20000000</v>
      </c>
      <c r="M122" s="18">
        <v>10000000</v>
      </c>
      <c r="N122" s="46">
        <v>20095600</v>
      </c>
      <c r="O122" s="20">
        <f t="shared" si="34"/>
        <v>39026400</v>
      </c>
      <c r="P122" s="47">
        <v>0.13938</v>
      </c>
      <c r="Q122" s="48">
        <v>0.94972800000000002</v>
      </c>
      <c r="R122" s="22">
        <f t="shared" si="35"/>
        <v>18994560</v>
      </c>
      <c r="S122" s="12">
        <v>0.13850000000000001</v>
      </c>
      <c r="T122" s="75">
        <v>1393800</v>
      </c>
      <c r="U122" s="565">
        <v>367595.6043956044</v>
      </c>
      <c r="V122" s="50">
        <f t="shared" si="36"/>
        <v>1026204.3956043955</v>
      </c>
      <c r="W122" s="50"/>
      <c r="X122" s="51"/>
      <c r="Y122" s="51"/>
      <c r="Z122" s="30"/>
      <c r="AA122" s="30"/>
      <c r="AB122" s="30"/>
      <c r="AC122" s="51"/>
      <c r="AD122" s="51"/>
      <c r="AE122" s="51"/>
    </row>
    <row r="123" spans="1:31" s="29" customFormat="1" ht="22.5" customHeight="1" x14ac:dyDescent="0.25">
      <c r="A123" s="44" t="s">
        <v>320</v>
      </c>
      <c r="B123" s="45" t="s">
        <v>175</v>
      </c>
      <c r="C123" s="736"/>
      <c r="D123" s="736">
        <v>44879</v>
      </c>
      <c r="E123" s="736">
        <v>44879</v>
      </c>
      <c r="F123" s="73">
        <v>5278</v>
      </c>
      <c r="G123" s="73">
        <f t="shared" si="31"/>
        <v>5096</v>
      </c>
      <c r="H123" s="73">
        <f>[27]Sheet1!H28</f>
        <v>0</v>
      </c>
      <c r="I123" s="73">
        <f t="shared" si="32"/>
        <v>5096</v>
      </c>
      <c r="J123" s="736">
        <f t="shared" si="39"/>
        <v>49975</v>
      </c>
      <c r="K123" s="736">
        <f t="shared" si="33"/>
        <v>45061</v>
      </c>
      <c r="L123" s="46">
        <v>20000000</v>
      </c>
      <c r="M123" s="18">
        <v>10000000</v>
      </c>
      <c r="N123" s="46">
        <v>20041200</v>
      </c>
      <c r="O123" s="20">
        <f t="shared" si="34"/>
        <v>39026400</v>
      </c>
      <c r="P123" s="47">
        <v>0.13938</v>
      </c>
      <c r="Q123" s="48">
        <v>0.94972800000000002</v>
      </c>
      <c r="R123" s="22">
        <f t="shared" si="35"/>
        <v>18994560</v>
      </c>
      <c r="S123" s="12">
        <v>0.13900000000000001</v>
      </c>
      <c r="T123" s="75">
        <v>1393800</v>
      </c>
      <c r="U123" s="565">
        <v>367595.6043956044</v>
      </c>
      <c r="V123" s="50">
        <f t="shared" si="36"/>
        <v>1026204.3956043955</v>
      </c>
      <c r="W123" s="50"/>
      <c r="X123" s="51"/>
      <c r="Y123" s="51"/>
      <c r="Z123" s="30"/>
      <c r="AA123" s="30"/>
      <c r="AB123" s="30"/>
      <c r="AC123" s="51"/>
      <c r="AD123" s="51"/>
      <c r="AE123" s="51"/>
    </row>
    <row r="124" spans="1:31" s="29" customFormat="1" ht="22.5" customHeight="1" x14ac:dyDescent="0.25">
      <c r="A124" s="44" t="s">
        <v>320</v>
      </c>
      <c r="B124" s="45" t="s">
        <v>175</v>
      </c>
      <c r="C124" s="736"/>
      <c r="D124" s="736">
        <v>44879</v>
      </c>
      <c r="E124" s="736">
        <v>44879</v>
      </c>
      <c r="F124" s="73">
        <v>5278</v>
      </c>
      <c r="G124" s="73">
        <f t="shared" si="31"/>
        <v>5096</v>
      </c>
      <c r="H124" s="73">
        <f>[27]Sheet1!H29</f>
        <v>0</v>
      </c>
      <c r="I124" s="73">
        <f t="shared" si="32"/>
        <v>5096</v>
      </c>
      <c r="J124" s="736">
        <f t="shared" si="39"/>
        <v>49975</v>
      </c>
      <c r="K124" s="736">
        <f t="shared" si="33"/>
        <v>45061</v>
      </c>
      <c r="L124" s="46">
        <v>20000000</v>
      </c>
      <c r="M124" s="18">
        <v>10000000</v>
      </c>
      <c r="N124" s="46">
        <v>19987000</v>
      </c>
      <c r="O124" s="20">
        <f t="shared" si="34"/>
        <v>39026400</v>
      </c>
      <c r="P124" s="47">
        <v>0.13938</v>
      </c>
      <c r="Q124" s="48">
        <v>0.94972800000000002</v>
      </c>
      <c r="R124" s="22">
        <f t="shared" si="35"/>
        <v>18994560</v>
      </c>
      <c r="S124" s="12">
        <v>0.13950000000000001</v>
      </c>
      <c r="T124" s="75">
        <v>1393800</v>
      </c>
      <c r="U124" s="565">
        <v>367595.6043956044</v>
      </c>
      <c r="V124" s="50">
        <f t="shared" si="36"/>
        <v>1026204.3956043955</v>
      </c>
      <c r="W124" s="50"/>
      <c r="X124" s="51"/>
      <c r="Y124" s="51"/>
      <c r="Z124" s="30"/>
      <c r="AA124" s="30"/>
      <c r="AB124" s="30"/>
      <c r="AC124" s="51"/>
      <c r="AD124" s="51"/>
      <c r="AE124" s="51"/>
    </row>
    <row r="125" spans="1:31" s="29" customFormat="1" ht="22.5" customHeight="1" x14ac:dyDescent="0.25">
      <c r="A125" s="44" t="s">
        <v>320</v>
      </c>
      <c r="B125" s="45" t="s">
        <v>175</v>
      </c>
      <c r="C125" s="736"/>
      <c r="D125" s="736">
        <v>44879</v>
      </c>
      <c r="E125" s="736">
        <v>44879</v>
      </c>
      <c r="F125" s="73">
        <v>5278</v>
      </c>
      <c r="G125" s="73">
        <f t="shared" si="31"/>
        <v>5096</v>
      </c>
      <c r="H125" s="73">
        <f>[27]Sheet1!H30</f>
        <v>0</v>
      </c>
      <c r="I125" s="73">
        <f t="shared" si="32"/>
        <v>5096</v>
      </c>
      <c r="J125" s="736">
        <f t="shared" si="39"/>
        <v>49975</v>
      </c>
      <c r="K125" s="736">
        <f t="shared" si="33"/>
        <v>45061</v>
      </c>
      <c r="L125" s="46">
        <v>20000000</v>
      </c>
      <c r="M125" s="18">
        <v>10000000</v>
      </c>
      <c r="N125" s="46">
        <v>20000000</v>
      </c>
      <c r="O125" s="20">
        <f t="shared" si="34"/>
        <v>39026400</v>
      </c>
      <c r="P125" s="47">
        <v>0.13938</v>
      </c>
      <c r="Q125" s="48">
        <v>0.94972800000000002</v>
      </c>
      <c r="R125" s="22">
        <f t="shared" si="35"/>
        <v>18994560</v>
      </c>
      <c r="S125" s="12">
        <v>0.13938</v>
      </c>
      <c r="T125" s="75">
        <v>1393800</v>
      </c>
      <c r="U125" s="565">
        <v>367595.6043956044</v>
      </c>
      <c r="V125" s="50">
        <f t="shared" si="36"/>
        <v>1026204.3956043955</v>
      </c>
      <c r="W125" s="50"/>
      <c r="X125" s="51"/>
      <c r="Y125" s="51"/>
      <c r="Z125" s="30"/>
      <c r="AA125" s="30"/>
      <c r="AB125" s="30"/>
      <c r="AC125" s="51"/>
      <c r="AD125" s="51"/>
      <c r="AE125" s="51"/>
    </row>
    <row r="126" spans="1:31" s="818" customFormat="1" ht="22.5" customHeight="1" x14ac:dyDescent="0.25">
      <c r="A126" s="44" t="s">
        <v>282</v>
      </c>
      <c r="B126" s="45" t="s">
        <v>175</v>
      </c>
      <c r="C126" s="45"/>
      <c r="D126" s="736">
        <v>44396</v>
      </c>
      <c r="E126" s="736">
        <v>44886</v>
      </c>
      <c r="F126" s="73">
        <v>1638</v>
      </c>
      <c r="G126" s="73">
        <f t="shared" si="31"/>
        <v>3822</v>
      </c>
      <c r="H126" s="73" t="e">
        <f>[27]Sheet1!#REF!</f>
        <v>#REF!</v>
      </c>
      <c r="I126" s="73" t="e">
        <f t="shared" si="32"/>
        <v>#REF!</v>
      </c>
      <c r="J126" s="736">
        <f t="shared" ref="J126:J131" si="40">D126+(4312)</f>
        <v>48708</v>
      </c>
      <c r="K126" s="736">
        <f t="shared" si="33"/>
        <v>45068</v>
      </c>
      <c r="L126" s="46">
        <v>20000000</v>
      </c>
      <c r="M126" s="18"/>
      <c r="N126" s="46">
        <v>20433200</v>
      </c>
      <c r="O126" s="20">
        <f t="shared" si="34"/>
        <v>26565000</v>
      </c>
      <c r="P126" s="47">
        <v>0.1265</v>
      </c>
      <c r="Q126" s="48">
        <v>0.99346999999999996</v>
      </c>
      <c r="R126" s="22">
        <f t="shared" si="35"/>
        <v>19869400</v>
      </c>
      <c r="S126" s="12">
        <v>0.12606999999999999</v>
      </c>
      <c r="T126" s="75">
        <v>1265000</v>
      </c>
      <c r="U126" s="563">
        <v>284972.52747252746</v>
      </c>
      <c r="V126" s="13">
        <f t="shared" si="36"/>
        <v>980027.47252747254</v>
      </c>
      <c r="W126" s="13"/>
      <c r="X126" s="29"/>
      <c r="Y126" s="29"/>
      <c r="Z126" s="30"/>
      <c r="AA126" s="30"/>
      <c r="AB126" s="30"/>
      <c r="AC126" s="29"/>
      <c r="AD126" s="29"/>
      <c r="AE126" s="30"/>
    </row>
    <row r="127" spans="1:31" s="665" customFormat="1" ht="22.5" customHeight="1" x14ac:dyDescent="0.25">
      <c r="A127" s="44" t="s">
        <v>282</v>
      </c>
      <c r="B127" s="45" t="s">
        <v>175</v>
      </c>
      <c r="C127" s="45"/>
      <c r="D127" s="736">
        <v>44396</v>
      </c>
      <c r="E127" s="736">
        <v>44886</v>
      </c>
      <c r="F127" s="73">
        <v>1638</v>
      </c>
      <c r="G127" s="73">
        <f t="shared" si="31"/>
        <v>3822</v>
      </c>
      <c r="H127" s="73" t="e">
        <f>[27]Sheet1!#REF!</f>
        <v>#REF!</v>
      </c>
      <c r="I127" s="73" t="e">
        <f t="shared" si="32"/>
        <v>#REF!</v>
      </c>
      <c r="J127" s="736">
        <f t="shared" si="40"/>
        <v>48708</v>
      </c>
      <c r="K127" s="736">
        <f t="shared" si="33"/>
        <v>45068</v>
      </c>
      <c r="L127" s="46">
        <v>80000000</v>
      </c>
      <c r="M127" s="18"/>
      <c r="N127" s="46">
        <v>81572800</v>
      </c>
      <c r="O127" s="20">
        <f t="shared" si="34"/>
        <v>106260000</v>
      </c>
      <c r="P127" s="47">
        <v>0.1265</v>
      </c>
      <c r="Q127" s="48">
        <v>0.99346999999999996</v>
      </c>
      <c r="R127" s="22">
        <f t="shared" si="35"/>
        <v>79477600</v>
      </c>
      <c r="S127" s="12">
        <v>0.12640000000000001</v>
      </c>
      <c r="T127" s="75">
        <v>5060000</v>
      </c>
      <c r="U127" s="563">
        <v>1139890.1098901099</v>
      </c>
      <c r="V127" s="13">
        <f t="shared" si="36"/>
        <v>3920109.8901098901</v>
      </c>
      <c r="W127" s="13"/>
      <c r="X127" s="29"/>
      <c r="Y127" s="29"/>
      <c r="Z127" s="30"/>
      <c r="AA127" s="30"/>
      <c r="AB127" s="30"/>
      <c r="AC127" s="29"/>
      <c r="AD127" s="29"/>
      <c r="AE127" s="30"/>
    </row>
    <row r="128" spans="1:31" s="818" customFormat="1" ht="22.5" customHeight="1" x14ac:dyDescent="0.25">
      <c r="A128" s="44" t="s">
        <v>282</v>
      </c>
      <c r="B128" s="45" t="s">
        <v>175</v>
      </c>
      <c r="C128" s="45"/>
      <c r="D128" s="736">
        <v>44396</v>
      </c>
      <c r="E128" s="736">
        <v>44886</v>
      </c>
      <c r="F128" s="73">
        <v>1638</v>
      </c>
      <c r="G128" s="73">
        <f t="shared" si="31"/>
        <v>3822</v>
      </c>
      <c r="H128" s="73" t="e">
        <f>[27]Sheet1!#REF!</f>
        <v>#REF!</v>
      </c>
      <c r="I128" s="73" t="e">
        <f t="shared" si="32"/>
        <v>#REF!</v>
      </c>
      <c r="J128" s="736">
        <f t="shared" si="40"/>
        <v>48708</v>
      </c>
      <c r="K128" s="736">
        <f t="shared" si="33"/>
        <v>45068</v>
      </c>
      <c r="L128" s="46">
        <v>90000000</v>
      </c>
      <c r="M128" s="18"/>
      <c r="N128" s="46">
        <v>91714500</v>
      </c>
      <c r="O128" s="20">
        <f t="shared" si="34"/>
        <v>119542500</v>
      </c>
      <c r="P128" s="47">
        <v>0.1265</v>
      </c>
      <c r="Q128" s="48">
        <v>0.99346999999999996</v>
      </c>
      <c r="R128" s="22">
        <f t="shared" si="35"/>
        <v>89412300</v>
      </c>
      <c r="S128" s="12">
        <v>0.1265</v>
      </c>
      <c r="T128" s="75">
        <v>5692500</v>
      </c>
      <c r="U128" s="563">
        <v>1282376.3736263737</v>
      </c>
      <c r="V128" s="13">
        <f t="shared" si="36"/>
        <v>4410123.6263736263</v>
      </c>
      <c r="W128" s="13"/>
      <c r="X128" s="29"/>
      <c r="Y128" s="29"/>
      <c r="Z128" s="30"/>
      <c r="AA128" s="30"/>
      <c r="AB128" s="30"/>
      <c r="AC128" s="29"/>
      <c r="AD128" s="29"/>
      <c r="AE128" s="30"/>
    </row>
    <row r="129" spans="1:31" s="665" customFormat="1" ht="22.5" customHeight="1" x14ac:dyDescent="0.25">
      <c r="A129" s="44" t="s">
        <v>282</v>
      </c>
      <c r="B129" s="45" t="s">
        <v>175</v>
      </c>
      <c r="C129" s="45"/>
      <c r="D129" s="736">
        <v>44396</v>
      </c>
      <c r="E129" s="736">
        <v>44886</v>
      </c>
      <c r="F129" s="73">
        <v>1638</v>
      </c>
      <c r="G129" s="73">
        <f t="shared" si="31"/>
        <v>3822</v>
      </c>
      <c r="H129" s="73" t="e">
        <f>[27]Sheet1!#REF!</f>
        <v>#REF!</v>
      </c>
      <c r="I129" s="73" t="e">
        <f t="shared" si="32"/>
        <v>#REF!</v>
      </c>
      <c r="J129" s="736">
        <f t="shared" si="40"/>
        <v>48708</v>
      </c>
      <c r="K129" s="736">
        <f t="shared" si="33"/>
        <v>45068</v>
      </c>
      <c r="L129" s="46">
        <v>80000000</v>
      </c>
      <c r="M129" s="18"/>
      <c r="N129" s="46">
        <v>81427200</v>
      </c>
      <c r="O129" s="20">
        <f t="shared" si="34"/>
        <v>106260000</v>
      </c>
      <c r="P129" s="47">
        <v>0.1265</v>
      </c>
      <c r="Q129" s="48">
        <v>0.99346999999999996</v>
      </c>
      <c r="R129" s="22">
        <f t="shared" si="35"/>
        <v>79477600</v>
      </c>
      <c r="S129" s="12">
        <v>0.12670000000000001</v>
      </c>
      <c r="T129" s="75">
        <v>5060000</v>
      </c>
      <c r="U129" s="563">
        <v>1139890.1098901099</v>
      </c>
      <c r="V129" s="13">
        <f t="shared" si="36"/>
        <v>3920109.8901098901</v>
      </c>
      <c r="W129" s="13"/>
      <c r="X129" s="29"/>
      <c r="Y129" s="29"/>
      <c r="Z129" s="30"/>
      <c r="AA129" s="30"/>
      <c r="AB129" s="30"/>
      <c r="AC129" s="29"/>
      <c r="AD129" s="29"/>
      <c r="AE129" s="30"/>
    </row>
    <row r="130" spans="1:31" s="665" customFormat="1" ht="22.5" customHeight="1" x14ac:dyDescent="0.25">
      <c r="A130" s="44" t="s">
        <v>282</v>
      </c>
      <c r="B130" s="45" t="s">
        <v>175</v>
      </c>
      <c r="C130" s="45"/>
      <c r="D130" s="736">
        <v>44396</v>
      </c>
      <c r="E130" s="736">
        <v>44886</v>
      </c>
      <c r="F130" s="73">
        <v>1638</v>
      </c>
      <c r="G130" s="73">
        <f t="shared" si="31"/>
        <v>3822</v>
      </c>
      <c r="H130" s="73" t="e">
        <f>[27]Sheet1!#REF!</f>
        <v>#REF!</v>
      </c>
      <c r="I130" s="73" t="e">
        <f t="shared" si="32"/>
        <v>#REF!</v>
      </c>
      <c r="J130" s="736">
        <f t="shared" si="40"/>
        <v>48708</v>
      </c>
      <c r="K130" s="736">
        <f t="shared" si="33"/>
        <v>45068</v>
      </c>
      <c r="L130" s="46">
        <v>80000000</v>
      </c>
      <c r="M130" s="18"/>
      <c r="N130" s="46">
        <v>81330400</v>
      </c>
      <c r="O130" s="20">
        <f t="shared" si="34"/>
        <v>106260000</v>
      </c>
      <c r="P130" s="47">
        <v>0.1265</v>
      </c>
      <c r="Q130" s="48">
        <v>0.99346999999999996</v>
      </c>
      <c r="R130" s="22">
        <f t="shared" si="35"/>
        <v>79477600</v>
      </c>
      <c r="S130" s="12">
        <v>0.12690000000000001</v>
      </c>
      <c r="T130" s="75">
        <v>5060000</v>
      </c>
      <c r="U130" s="563">
        <v>1139890.1098901099</v>
      </c>
      <c r="V130" s="13">
        <f t="shared" si="36"/>
        <v>3920109.8901098901</v>
      </c>
      <c r="W130" s="13"/>
      <c r="X130" s="29"/>
      <c r="Y130" s="29"/>
      <c r="Z130" s="30"/>
      <c r="AA130" s="30"/>
      <c r="AB130" s="30"/>
      <c r="AC130" s="29"/>
      <c r="AD130" s="29"/>
      <c r="AE130" s="30"/>
    </row>
    <row r="131" spans="1:31" s="29" customFormat="1" ht="22.5" customHeight="1" x14ac:dyDescent="0.25">
      <c r="A131" s="44" t="s">
        <v>282</v>
      </c>
      <c r="B131" s="45" t="s">
        <v>175</v>
      </c>
      <c r="C131" s="45"/>
      <c r="D131" s="736">
        <v>44396</v>
      </c>
      <c r="E131" s="736">
        <v>44886</v>
      </c>
      <c r="F131" s="73">
        <v>1638</v>
      </c>
      <c r="G131" s="73">
        <f t="shared" si="31"/>
        <v>3822</v>
      </c>
      <c r="H131" s="73" t="e">
        <f>[27]Sheet1!#REF!</f>
        <v>#REF!</v>
      </c>
      <c r="I131" s="73" t="e">
        <f t="shared" si="32"/>
        <v>#REF!</v>
      </c>
      <c r="J131" s="736">
        <f t="shared" si="40"/>
        <v>48708</v>
      </c>
      <c r="K131" s="736">
        <f t="shared" si="33"/>
        <v>45068</v>
      </c>
      <c r="L131" s="46">
        <v>50000000</v>
      </c>
      <c r="M131" s="18"/>
      <c r="N131" s="46">
        <v>50801500</v>
      </c>
      <c r="O131" s="20">
        <f t="shared" si="34"/>
        <v>66412500</v>
      </c>
      <c r="P131" s="47">
        <v>0.1265</v>
      </c>
      <c r="Q131" s="48">
        <v>0.99346999999999996</v>
      </c>
      <c r="R131" s="22">
        <f t="shared" si="35"/>
        <v>49673500</v>
      </c>
      <c r="S131" s="12">
        <v>0.127</v>
      </c>
      <c r="T131" s="75">
        <v>3162499.9999999995</v>
      </c>
      <c r="U131" s="563">
        <v>712431.31868131866</v>
      </c>
      <c r="V131" s="13">
        <f t="shared" si="36"/>
        <v>2450068.6813186808</v>
      </c>
      <c r="W131" s="13"/>
      <c r="Z131" s="30"/>
      <c r="AA131" s="30"/>
      <c r="AB131" s="30"/>
      <c r="AE131" s="30"/>
    </row>
    <row r="132" spans="1:31" s="29" customFormat="1" ht="22.5" customHeight="1" x14ac:dyDescent="0.25">
      <c r="A132" s="44" t="s">
        <v>300</v>
      </c>
      <c r="B132" s="45" t="s">
        <v>175</v>
      </c>
      <c r="C132" s="45"/>
      <c r="D132" s="736">
        <v>44543</v>
      </c>
      <c r="E132" s="736">
        <v>44886</v>
      </c>
      <c r="F132" s="73">
        <v>1638</v>
      </c>
      <c r="G132" s="73">
        <f t="shared" si="31"/>
        <v>2548</v>
      </c>
      <c r="H132" s="73" t="e">
        <f>[27]Sheet1!#REF!</f>
        <v>#REF!</v>
      </c>
      <c r="I132" s="73" t="e">
        <f t="shared" si="32"/>
        <v>#REF!</v>
      </c>
      <c r="J132" s="736">
        <f>D132+(2891)</f>
        <v>47434</v>
      </c>
      <c r="K132" s="736">
        <f t="shared" si="33"/>
        <v>45068</v>
      </c>
      <c r="L132" s="46">
        <v>20000000</v>
      </c>
      <c r="M132" s="18"/>
      <c r="N132" s="46">
        <v>19781600</v>
      </c>
      <c r="O132" s="20">
        <f t="shared" si="34"/>
        <v>17192000</v>
      </c>
      <c r="P132" s="47">
        <v>0.12280000000000001</v>
      </c>
      <c r="Q132" s="48">
        <v>0.99654699999999996</v>
      </c>
      <c r="R132" s="22">
        <f t="shared" si="35"/>
        <v>19930940</v>
      </c>
      <c r="S132" s="12">
        <v>0.12642</v>
      </c>
      <c r="T132" s="75">
        <v>1228000</v>
      </c>
      <c r="U132" s="563">
        <v>276637.36263736262</v>
      </c>
      <c r="V132" s="13">
        <f t="shared" si="36"/>
        <v>951362.63736263732</v>
      </c>
      <c r="W132" s="13"/>
      <c r="Z132" s="30"/>
      <c r="AA132" s="30"/>
      <c r="AB132" s="30"/>
      <c r="AE132" s="30"/>
    </row>
    <row r="133" spans="1:31" s="29" customFormat="1" ht="22.5" customHeight="1" x14ac:dyDescent="0.25">
      <c r="A133" s="44" t="s">
        <v>300</v>
      </c>
      <c r="B133" s="45" t="s">
        <v>175</v>
      </c>
      <c r="C133" s="45"/>
      <c r="D133" s="736">
        <v>44543</v>
      </c>
      <c r="E133" s="736">
        <v>44886</v>
      </c>
      <c r="F133" s="73">
        <v>1638</v>
      </c>
      <c r="G133" s="73">
        <f t="shared" si="31"/>
        <v>2548</v>
      </c>
      <c r="H133" s="73" t="e">
        <f>[27]Sheet1!#REF!</f>
        <v>#REF!</v>
      </c>
      <c r="I133" s="73" t="e">
        <f t="shared" si="32"/>
        <v>#REF!</v>
      </c>
      <c r="J133" s="736">
        <f>D133+(2891)</f>
        <v>47434</v>
      </c>
      <c r="K133" s="736">
        <f t="shared" si="33"/>
        <v>45068</v>
      </c>
      <c r="L133" s="46">
        <v>20000000</v>
      </c>
      <c r="M133" s="18"/>
      <c r="N133" s="46">
        <v>20018800</v>
      </c>
      <c r="O133" s="20">
        <f t="shared" si="34"/>
        <v>17192000</v>
      </c>
      <c r="P133" s="47">
        <v>0.12280000000000001</v>
      </c>
      <c r="Q133" s="48">
        <v>0.99654699999999996</v>
      </c>
      <c r="R133" s="22">
        <f t="shared" si="35"/>
        <v>19930940</v>
      </c>
      <c r="S133" s="12">
        <v>0.124</v>
      </c>
      <c r="T133" s="75">
        <v>1228000</v>
      </c>
      <c r="U133" s="563">
        <v>276637.36263736262</v>
      </c>
      <c r="V133" s="13">
        <f t="shared" si="36"/>
        <v>951362.63736263732</v>
      </c>
      <c r="W133" s="13"/>
      <c r="Z133" s="30"/>
      <c r="AA133" s="30"/>
      <c r="AB133" s="30"/>
      <c r="AE133" s="30"/>
    </row>
    <row r="134" spans="1:31" s="29" customFormat="1" ht="22.5" customHeight="1" x14ac:dyDescent="0.25">
      <c r="A134" s="44" t="s">
        <v>300</v>
      </c>
      <c r="B134" s="45" t="s">
        <v>175</v>
      </c>
      <c r="C134" s="45"/>
      <c r="D134" s="736">
        <v>44543</v>
      </c>
      <c r="E134" s="736">
        <v>44886</v>
      </c>
      <c r="F134" s="73">
        <v>1638</v>
      </c>
      <c r="G134" s="73">
        <f t="shared" si="31"/>
        <v>2548</v>
      </c>
      <c r="H134" s="73" t="e">
        <f>[27]Sheet1!#REF!</f>
        <v>#REF!</v>
      </c>
      <c r="I134" s="73" t="e">
        <f t="shared" si="32"/>
        <v>#REF!</v>
      </c>
      <c r="J134" s="736">
        <f>D134+(2891)</f>
        <v>47434</v>
      </c>
      <c r="K134" s="736">
        <f t="shared" si="33"/>
        <v>45068</v>
      </c>
      <c r="L134" s="46">
        <v>10000000</v>
      </c>
      <c r="M134" s="18"/>
      <c r="N134" s="46">
        <v>9984700</v>
      </c>
      <c r="O134" s="20">
        <f t="shared" si="34"/>
        <v>8596000</v>
      </c>
      <c r="P134" s="47">
        <v>0.12280000000000001</v>
      </c>
      <c r="Q134" s="48">
        <v>0.99654699999999996</v>
      </c>
      <c r="R134" s="22">
        <f t="shared" si="35"/>
        <v>9965470</v>
      </c>
      <c r="S134" s="12">
        <v>0.1245</v>
      </c>
      <c r="T134" s="75">
        <v>614000</v>
      </c>
      <c r="U134" s="563">
        <v>138318.68131868131</v>
      </c>
      <c r="V134" s="13">
        <f t="shared" si="36"/>
        <v>475681.31868131866</v>
      </c>
      <c r="W134" s="13"/>
      <c r="Z134" s="30"/>
      <c r="AA134" s="30"/>
      <c r="AB134" s="30"/>
      <c r="AE134" s="30"/>
    </row>
    <row r="135" spans="1:31" s="29" customFormat="1" ht="22.5" customHeight="1" x14ac:dyDescent="0.25">
      <c r="A135" s="44" t="s">
        <v>300</v>
      </c>
      <c r="B135" s="45" t="s">
        <v>175</v>
      </c>
      <c r="C135" s="45"/>
      <c r="D135" s="736">
        <v>44543</v>
      </c>
      <c r="E135" s="736">
        <v>44886</v>
      </c>
      <c r="F135" s="73">
        <v>1638</v>
      </c>
      <c r="G135" s="73">
        <f t="shared" si="31"/>
        <v>2548</v>
      </c>
      <c r="H135" s="73" t="e">
        <f>[27]Sheet1!#REF!</f>
        <v>#REF!</v>
      </c>
      <c r="I135" s="73" t="e">
        <f t="shared" si="32"/>
        <v>#REF!</v>
      </c>
      <c r="J135" s="736">
        <f>D135+(2891)</f>
        <v>47434</v>
      </c>
      <c r="K135" s="736">
        <f t="shared" si="33"/>
        <v>45068</v>
      </c>
      <c r="L135" s="46">
        <v>10000000</v>
      </c>
      <c r="M135" s="18"/>
      <c r="N135" s="46">
        <v>9960100</v>
      </c>
      <c r="O135" s="20">
        <f t="shared" si="34"/>
        <v>8596000</v>
      </c>
      <c r="P135" s="47">
        <v>0.12280000000000001</v>
      </c>
      <c r="Q135" s="48">
        <v>0.99654699999999996</v>
      </c>
      <c r="R135" s="22">
        <f t="shared" si="35"/>
        <v>9965470</v>
      </c>
      <c r="S135" s="12">
        <v>0.125</v>
      </c>
      <c r="T135" s="75">
        <v>614000</v>
      </c>
      <c r="U135" s="563">
        <v>138318.68131868131</v>
      </c>
      <c r="V135" s="13">
        <f t="shared" si="36"/>
        <v>475681.31868131866</v>
      </c>
      <c r="W135" s="13"/>
      <c r="Z135" s="30"/>
      <c r="AA135" s="30"/>
      <c r="AB135" s="30"/>
      <c r="AE135" s="30"/>
    </row>
    <row r="136" spans="1:31" s="818" customFormat="1" ht="22.5" customHeight="1" x14ac:dyDescent="0.25">
      <c r="A136" s="44" t="s">
        <v>167</v>
      </c>
      <c r="B136" s="45" t="s">
        <v>175</v>
      </c>
      <c r="C136" s="45"/>
      <c r="D136" s="736">
        <v>42352</v>
      </c>
      <c r="E136" s="736">
        <v>44900</v>
      </c>
      <c r="F136" s="73">
        <v>2730</v>
      </c>
      <c r="G136" s="73">
        <f t="shared" si="31"/>
        <v>728</v>
      </c>
      <c r="H136" s="73" t="e">
        <f>[27]Sheet1!#REF!</f>
        <v>#REF!</v>
      </c>
      <c r="I136" s="73" t="e">
        <f t="shared" si="32"/>
        <v>#REF!</v>
      </c>
      <c r="J136" s="736">
        <f>D136+364*9</f>
        <v>45628</v>
      </c>
      <c r="K136" s="736">
        <f t="shared" si="33"/>
        <v>45082</v>
      </c>
      <c r="L136" s="46">
        <f>13100000-6450000</f>
        <v>6650000</v>
      </c>
      <c r="M136" s="18"/>
      <c r="N136" s="46">
        <v>16849000</v>
      </c>
      <c r="O136" s="20">
        <f t="shared" si="34"/>
        <v>1463000</v>
      </c>
      <c r="P136" s="47">
        <v>0.11</v>
      </c>
      <c r="Q136" s="48">
        <v>1.031603</v>
      </c>
      <c r="R136" s="22">
        <f t="shared" si="35"/>
        <v>6860159.9500000002</v>
      </c>
      <c r="S136" s="12">
        <v>0.14752999999999999</v>
      </c>
      <c r="T136" s="75">
        <v>365750</v>
      </c>
      <c r="U136" s="563">
        <v>54259.615384615383</v>
      </c>
      <c r="V136" s="13">
        <f t="shared" si="36"/>
        <v>311490.38461538462</v>
      </c>
      <c r="W136" s="13"/>
      <c r="X136" s="29"/>
      <c r="Y136" s="29"/>
      <c r="Z136" s="30"/>
      <c r="AA136" s="30"/>
      <c r="AB136" s="30"/>
      <c r="AC136" s="29"/>
      <c r="AD136" s="29"/>
      <c r="AE136" s="30"/>
    </row>
    <row r="137" spans="1:31" s="665" customFormat="1" ht="22.5" customHeight="1" x14ac:dyDescent="0.25">
      <c r="A137" s="44" t="s">
        <v>167</v>
      </c>
      <c r="B137" s="45" t="s">
        <v>175</v>
      </c>
      <c r="C137" s="45"/>
      <c r="D137" s="736">
        <v>42352</v>
      </c>
      <c r="E137" s="736">
        <v>44900</v>
      </c>
      <c r="F137" s="73">
        <v>2730</v>
      </c>
      <c r="G137" s="73">
        <f t="shared" si="31"/>
        <v>728</v>
      </c>
      <c r="H137" s="73" t="e">
        <f>[27]Sheet1!#REF!</f>
        <v>#REF!</v>
      </c>
      <c r="I137" s="73" t="e">
        <f t="shared" si="32"/>
        <v>#REF!</v>
      </c>
      <c r="J137" s="736">
        <f>D137+364*9</f>
        <v>45628</v>
      </c>
      <c r="K137" s="736">
        <f t="shared" si="33"/>
        <v>45082</v>
      </c>
      <c r="L137" s="46">
        <f>13100000-6450000</f>
        <v>6650000</v>
      </c>
      <c r="M137" s="18"/>
      <c r="N137" s="46">
        <v>17407600</v>
      </c>
      <c r="O137" s="20">
        <f t="shared" si="34"/>
        <v>1463000</v>
      </c>
      <c r="P137" s="47">
        <v>0.11</v>
      </c>
      <c r="Q137" s="48">
        <v>1.031603</v>
      </c>
      <c r="R137" s="22">
        <f t="shared" si="35"/>
        <v>6860159.9500000002</v>
      </c>
      <c r="S137" s="12">
        <v>0.14019999999999999</v>
      </c>
      <c r="T137" s="75">
        <v>365750</v>
      </c>
      <c r="U137" s="563">
        <v>54259.615384615383</v>
      </c>
      <c r="V137" s="13">
        <f t="shared" si="36"/>
        <v>311490.38461538462</v>
      </c>
      <c r="W137" s="13"/>
      <c r="X137" s="29"/>
      <c r="Y137" s="29"/>
      <c r="Z137" s="30"/>
      <c r="AA137" s="30"/>
      <c r="AB137" s="30"/>
      <c r="AC137" s="29"/>
      <c r="AD137" s="29"/>
      <c r="AE137" s="30"/>
    </row>
    <row r="138" spans="1:31" s="818" customFormat="1" ht="22.5" customHeight="1" x14ac:dyDescent="0.25">
      <c r="A138" s="44" t="s">
        <v>167</v>
      </c>
      <c r="B138" s="45" t="s">
        <v>175</v>
      </c>
      <c r="C138" s="45"/>
      <c r="D138" s="736">
        <v>42352</v>
      </c>
      <c r="E138" s="736">
        <v>44900</v>
      </c>
      <c r="F138" s="73">
        <v>2730</v>
      </c>
      <c r="G138" s="73">
        <f t="shared" si="31"/>
        <v>728</v>
      </c>
      <c r="H138" s="73" t="e">
        <f>[27]Sheet1!#REF!</f>
        <v>#REF!</v>
      </c>
      <c r="I138" s="73" t="e">
        <f t="shared" si="32"/>
        <v>#REF!</v>
      </c>
      <c r="J138" s="736">
        <f>D138+364*9</f>
        <v>45628</v>
      </c>
      <c r="K138" s="736">
        <f t="shared" si="33"/>
        <v>45082</v>
      </c>
      <c r="L138" s="46">
        <f>13100000-6450000</f>
        <v>6650000</v>
      </c>
      <c r="M138" s="18"/>
      <c r="N138" s="46">
        <v>17407600</v>
      </c>
      <c r="O138" s="20">
        <f t="shared" si="34"/>
        <v>1463000</v>
      </c>
      <c r="P138" s="47">
        <v>0.11</v>
      </c>
      <c r="Q138" s="48">
        <v>1.031603</v>
      </c>
      <c r="R138" s="22">
        <f t="shared" si="35"/>
        <v>6860159.9500000002</v>
      </c>
      <c r="S138" s="12">
        <v>0.14019999999999999</v>
      </c>
      <c r="T138" s="75">
        <v>365750</v>
      </c>
      <c r="U138" s="563">
        <v>54259.615384615383</v>
      </c>
      <c r="V138" s="13">
        <f t="shared" si="36"/>
        <v>311490.38461538462</v>
      </c>
      <c r="W138" s="13"/>
      <c r="X138" s="29"/>
      <c r="Y138" s="29"/>
      <c r="Z138" s="30"/>
      <c r="AA138" s="30"/>
      <c r="AB138" s="30"/>
      <c r="AC138" s="29"/>
      <c r="AD138" s="29"/>
      <c r="AE138" s="30"/>
    </row>
    <row r="139" spans="1:31" s="665" customFormat="1" ht="22.5" customHeight="1" x14ac:dyDescent="0.25">
      <c r="A139" s="44" t="s">
        <v>167</v>
      </c>
      <c r="B139" s="45" t="s">
        <v>175</v>
      </c>
      <c r="C139" s="45"/>
      <c r="D139" s="736">
        <v>42352</v>
      </c>
      <c r="E139" s="736">
        <v>44900</v>
      </c>
      <c r="F139" s="73">
        <v>2730</v>
      </c>
      <c r="G139" s="73">
        <f t="shared" si="31"/>
        <v>728</v>
      </c>
      <c r="H139" s="73" t="e">
        <f>[27]Sheet1!H17</f>
        <v>#REF!</v>
      </c>
      <c r="I139" s="73" t="e">
        <f t="shared" si="32"/>
        <v>#REF!</v>
      </c>
      <c r="J139" s="736">
        <f>D139+364*9</f>
        <v>45628</v>
      </c>
      <c r="K139" s="736">
        <f t="shared" si="33"/>
        <v>45082</v>
      </c>
      <c r="L139" s="46">
        <f>45850000-22450000</f>
        <v>23400000</v>
      </c>
      <c r="M139" s="18"/>
      <c r="N139" s="46">
        <v>59119900</v>
      </c>
      <c r="O139" s="20">
        <f t="shared" si="34"/>
        <v>5148000</v>
      </c>
      <c r="P139" s="47">
        <v>0.11</v>
      </c>
      <c r="Q139" s="48">
        <v>1.031603</v>
      </c>
      <c r="R139" s="22">
        <f t="shared" si="35"/>
        <v>24139510.199999999</v>
      </c>
      <c r="S139" s="12">
        <v>0.14752999999999999</v>
      </c>
      <c r="T139" s="75">
        <v>1287000</v>
      </c>
      <c r="U139" s="563">
        <v>190928.57142857142</v>
      </c>
      <c r="V139" s="13">
        <f t="shared" si="36"/>
        <v>1096071.4285714286</v>
      </c>
      <c r="W139" s="13"/>
      <c r="X139" s="29"/>
      <c r="Y139" s="29"/>
      <c r="Z139" s="30"/>
      <c r="AA139" s="30"/>
      <c r="AB139" s="30"/>
      <c r="AC139" s="29"/>
      <c r="AD139" s="29"/>
      <c r="AE139" s="30"/>
    </row>
    <row r="140" spans="1:31" s="818" customFormat="1" ht="22.5" customHeight="1" x14ac:dyDescent="0.25">
      <c r="A140" s="44" t="s">
        <v>125</v>
      </c>
      <c r="B140" s="45" t="s">
        <v>175</v>
      </c>
      <c r="C140" s="45">
        <v>40659</v>
      </c>
      <c r="D140" s="736">
        <v>40659</v>
      </c>
      <c r="E140" s="736">
        <v>44907</v>
      </c>
      <c r="F140" s="73">
        <v>3094</v>
      </c>
      <c r="G140" s="73">
        <f t="shared" ref="G140:G155" si="41">J140-E140</f>
        <v>1092</v>
      </c>
      <c r="H140" s="73" t="e">
        <f>[27]Sheet1!#REF!</f>
        <v>#REF!</v>
      </c>
      <c r="I140" s="73" t="e">
        <f t="shared" ref="I140:I155" si="42">G140-H140</f>
        <v>#REF!</v>
      </c>
      <c r="J140" s="736">
        <f>D140+364*15-120</f>
        <v>45999</v>
      </c>
      <c r="K140" s="736">
        <f t="shared" ref="K140:K155" si="43">E140+182</f>
        <v>45089</v>
      </c>
      <c r="L140" s="46">
        <v>10000000</v>
      </c>
      <c r="M140" s="18"/>
      <c r="N140" s="46">
        <v>7969200</v>
      </c>
      <c r="O140" s="20">
        <f t="shared" ref="O140:O155" si="44">L140*P140*G140/364</f>
        <v>2700000</v>
      </c>
      <c r="P140" s="47">
        <v>0.09</v>
      </c>
      <c r="Q140" s="48">
        <v>0.93560200000000004</v>
      </c>
      <c r="R140" s="22">
        <f t="shared" ref="R140:R155" si="45">+L140*Q140</f>
        <v>9356020</v>
      </c>
      <c r="S140" s="12">
        <v>0.1249</v>
      </c>
      <c r="T140" s="75">
        <v>450000</v>
      </c>
      <c r="U140" s="563">
        <v>49450.54945054945</v>
      </c>
      <c r="V140" s="13">
        <f t="shared" ref="V140:V155" si="46">+T140-U140</f>
        <v>400549.45054945053</v>
      </c>
      <c r="W140" s="13"/>
      <c r="X140" s="29"/>
      <c r="Y140" s="29"/>
      <c r="Z140" s="30"/>
      <c r="AA140" s="30"/>
      <c r="AB140" s="30"/>
      <c r="AC140" s="29"/>
      <c r="AD140" s="29"/>
      <c r="AE140" s="30"/>
    </row>
    <row r="141" spans="1:31" s="665" customFormat="1" ht="22.5" customHeight="1" x14ac:dyDescent="0.25">
      <c r="A141" s="44" t="s">
        <v>125</v>
      </c>
      <c r="B141" s="45" t="s">
        <v>175</v>
      </c>
      <c r="C141" s="45">
        <v>40659</v>
      </c>
      <c r="D141" s="736">
        <v>40659</v>
      </c>
      <c r="E141" s="736">
        <v>44907</v>
      </c>
      <c r="F141" s="73">
        <v>3094</v>
      </c>
      <c r="G141" s="73">
        <f t="shared" si="41"/>
        <v>1092</v>
      </c>
      <c r="H141" s="73" t="e">
        <f>[27]Sheet1!#REF!</f>
        <v>#REF!</v>
      </c>
      <c r="I141" s="73" t="e">
        <f t="shared" si="42"/>
        <v>#REF!</v>
      </c>
      <c r="J141" s="736">
        <f>D141+364*15-120</f>
        <v>45999</v>
      </c>
      <c r="K141" s="736">
        <f t="shared" si="43"/>
        <v>45089</v>
      </c>
      <c r="L141" s="46">
        <v>10000000</v>
      </c>
      <c r="M141" s="18"/>
      <c r="N141" s="46">
        <v>8107300</v>
      </c>
      <c r="O141" s="20">
        <f t="shared" si="44"/>
        <v>2700000</v>
      </c>
      <c r="P141" s="47">
        <v>0.09</v>
      </c>
      <c r="Q141" s="48">
        <v>0.93560200000000004</v>
      </c>
      <c r="R141" s="22">
        <f t="shared" si="45"/>
        <v>9356020</v>
      </c>
      <c r="S141" s="12">
        <v>0.12239999999999999</v>
      </c>
      <c r="T141" s="75">
        <v>450000</v>
      </c>
      <c r="U141" s="563">
        <v>49450.54945054945</v>
      </c>
      <c r="V141" s="13">
        <f t="shared" si="46"/>
        <v>400549.45054945053</v>
      </c>
      <c r="W141" s="13"/>
      <c r="X141" s="29"/>
      <c r="Y141" s="29"/>
      <c r="Z141" s="30"/>
      <c r="AA141" s="30"/>
      <c r="AB141" s="30"/>
      <c r="AC141" s="29"/>
      <c r="AD141" s="29"/>
      <c r="AE141" s="30"/>
    </row>
    <row r="142" spans="1:31" s="818" customFormat="1" ht="22.5" customHeight="1" x14ac:dyDescent="0.25">
      <c r="A142" s="44" t="s">
        <v>125</v>
      </c>
      <c r="B142" s="45" t="s">
        <v>175</v>
      </c>
      <c r="C142" s="45">
        <v>40659</v>
      </c>
      <c r="D142" s="736">
        <v>40659</v>
      </c>
      <c r="E142" s="736">
        <v>44907</v>
      </c>
      <c r="F142" s="73">
        <v>3094</v>
      </c>
      <c r="G142" s="73">
        <f t="shared" si="41"/>
        <v>1092</v>
      </c>
      <c r="H142" s="73" t="e">
        <f>[27]Sheet1!#REF!</f>
        <v>#REF!</v>
      </c>
      <c r="I142" s="73" t="e">
        <f t="shared" si="42"/>
        <v>#REF!</v>
      </c>
      <c r="J142" s="736">
        <f>D142+364*15-120</f>
        <v>45999</v>
      </c>
      <c r="K142" s="736">
        <f t="shared" si="43"/>
        <v>45089</v>
      </c>
      <c r="L142" s="46">
        <v>25000000</v>
      </c>
      <c r="M142" s="18"/>
      <c r="N142" s="46">
        <v>19923000</v>
      </c>
      <c r="O142" s="20">
        <f t="shared" si="44"/>
        <v>6750000</v>
      </c>
      <c r="P142" s="47">
        <v>0.09</v>
      </c>
      <c r="Q142" s="48">
        <v>0.93560200000000004</v>
      </c>
      <c r="R142" s="22">
        <f t="shared" si="45"/>
        <v>23390050</v>
      </c>
      <c r="S142" s="12">
        <v>0.1249</v>
      </c>
      <c r="T142" s="75">
        <v>1125000</v>
      </c>
      <c r="U142" s="563">
        <v>123626.37362637362</v>
      </c>
      <c r="V142" s="13">
        <f t="shared" si="46"/>
        <v>1001373.6263736264</v>
      </c>
      <c r="W142" s="13"/>
      <c r="X142" s="29"/>
      <c r="Y142" s="29"/>
      <c r="Z142" s="30"/>
      <c r="AA142" s="30"/>
      <c r="AB142" s="30"/>
      <c r="AC142" s="29"/>
      <c r="AD142" s="29"/>
      <c r="AE142" s="30"/>
    </row>
    <row r="143" spans="1:31" s="665" customFormat="1" ht="22.5" customHeight="1" x14ac:dyDescent="0.25">
      <c r="A143" s="44" t="s">
        <v>196</v>
      </c>
      <c r="B143" s="45" t="s">
        <v>175</v>
      </c>
      <c r="C143" s="45"/>
      <c r="D143" s="736">
        <v>42576</v>
      </c>
      <c r="E143" s="736">
        <v>44907</v>
      </c>
      <c r="F143" s="73">
        <v>3969.42</v>
      </c>
      <c r="G143" s="73">
        <f t="shared" si="41"/>
        <v>2002</v>
      </c>
      <c r="H143" s="73" t="e">
        <f>[27]Sheet1!#REF!</f>
        <v>#REF!</v>
      </c>
      <c r="I143" s="73" t="e">
        <f t="shared" si="42"/>
        <v>#REF!</v>
      </c>
      <c r="J143" s="736">
        <v>46909</v>
      </c>
      <c r="K143" s="736">
        <f t="shared" si="43"/>
        <v>45089</v>
      </c>
      <c r="L143" s="46">
        <v>10000000</v>
      </c>
      <c r="M143" s="18"/>
      <c r="N143" s="46">
        <v>9397500</v>
      </c>
      <c r="O143" s="20">
        <f t="shared" si="44"/>
        <v>7562500</v>
      </c>
      <c r="P143" s="47">
        <v>0.13750000000000001</v>
      </c>
      <c r="Q143" s="48">
        <v>1.041415</v>
      </c>
      <c r="R143" s="22">
        <f t="shared" si="45"/>
        <v>10414150</v>
      </c>
      <c r="S143" s="12">
        <v>0.14835999999999999</v>
      </c>
      <c r="T143" s="75">
        <v>687500</v>
      </c>
      <c r="U143" s="563">
        <v>75549.450549450543</v>
      </c>
      <c r="V143" s="13">
        <f t="shared" si="46"/>
        <v>611950.54945054941</v>
      </c>
      <c r="W143" s="13"/>
      <c r="X143" s="29"/>
      <c r="Y143" s="29"/>
      <c r="Z143" s="30"/>
      <c r="AA143" s="30"/>
      <c r="AB143" s="30"/>
      <c r="AC143" s="29"/>
      <c r="AD143" s="29"/>
      <c r="AE143" s="30"/>
    </row>
    <row r="144" spans="1:31" s="665" customFormat="1" ht="22.5" customHeight="1" x14ac:dyDescent="0.25">
      <c r="A144" s="44" t="s">
        <v>247</v>
      </c>
      <c r="B144" s="45" t="s">
        <v>175</v>
      </c>
      <c r="C144" s="45"/>
      <c r="D144" s="736">
        <v>44039</v>
      </c>
      <c r="E144" s="736">
        <v>44907</v>
      </c>
      <c r="F144" s="73">
        <v>1274</v>
      </c>
      <c r="G144" s="73">
        <f t="shared" si="41"/>
        <v>2184</v>
      </c>
      <c r="H144" s="73" t="e">
        <f>[27]Sheet1!#REF!</f>
        <v>#REF!</v>
      </c>
      <c r="I144" s="73" t="e">
        <f t="shared" si="42"/>
        <v>#REF!</v>
      </c>
      <c r="J144" s="736">
        <v>47091</v>
      </c>
      <c r="K144" s="736">
        <f t="shared" si="43"/>
        <v>45089</v>
      </c>
      <c r="L144" s="46">
        <v>20000000</v>
      </c>
      <c r="M144" s="18"/>
      <c r="N144" s="46">
        <v>21530600</v>
      </c>
      <c r="O144" s="20">
        <f t="shared" si="44"/>
        <v>15002400</v>
      </c>
      <c r="P144" s="47">
        <v>0.12501999999999999</v>
      </c>
      <c r="Q144" s="48">
        <v>0.984626</v>
      </c>
      <c r="R144" s="22">
        <f t="shared" si="45"/>
        <v>19692520</v>
      </c>
      <c r="S144" s="12">
        <v>0.11453000000000001</v>
      </c>
      <c r="T144" s="75">
        <v>1250200</v>
      </c>
      <c r="U144" s="563">
        <v>137384.61538461538</v>
      </c>
      <c r="V144" s="13">
        <f t="shared" si="46"/>
        <v>1112815.3846153845</v>
      </c>
      <c r="W144" s="13"/>
      <c r="X144" s="29"/>
      <c r="Y144" s="29"/>
      <c r="Z144" s="30"/>
      <c r="AA144" s="30"/>
      <c r="AB144" s="30"/>
      <c r="AC144" s="29"/>
      <c r="AD144" s="29"/>
      <c r="AE144" s="30"/>
    </row>
    <row r="145" spans="1:31" s="29" customFormat="1" ht="22.5" customHeight="1" x14ac:dyDescent="0.25">
      <c r="A145" s="44" t="s">
        <v>80</v>
      </c>
      <c r="B145" s="45" t="s">
        <v>175</v>
      </c>
      <c r="C145" s="45"/>
      <c r="D145" s="736">
        <v>44095</v>
      </c>
      <c r="E145" s="736">
        <v>44907</v>
      </c>
      <c r="F145" s="73">
        <v>1638</v>
      </c>
      <c r="G145" s="73">
        <f t="shared" si="41"/>
        <v>1092</v>
      </c>
      <c r="H145" s="73" t="e">
        <f>[27]Sheet1!#REF!</f>
        <v>#REF!</v>
      </c>
      <c r="I145" s="73" t="e">
        <f t="shared" si="42"/>
        <v>#REF!</v>
      </c>
      <c r="J145" s="736">
        <f>D145+(1904)</f>
        <v>45999</v>
      </c>
      <c r="K145" s="736">
        <f t="shared" si="43"/>
        <v>45089</v>
      </c>
      <c r="L145" s="46">
        <v>20000000</v>
      </c>
      <c r="M145" s="18"/>
      <c r="N145" s="46">
        <v>19447400</v>
      </c>
      <c r="O145" s="20">
        <f t="shared" si="44"/>
        <v>5400000</v>
      </c>
      <c r="P145" s="47">
        <v>0.09</v>
      </c>
      <c r="Q145" s="48">
        <v>0.93560200000000004</v>
      </c>
      <c r="R145" s="22">
        <f t="shared" si="45"/>
        <v>18712040</v>
      </c>
      <c r="S145" s="12">
        <v>0.10299999999999999</v>
      </c>
      <c r="T145" s="75">
        <v>900000</v>
      </c>
      <c r="U145" s="563">
        <v>98901.0989010989</v>
      </c>
      <c r="V145" s="13">
        <f t="shared" si="46"/>
        <v>801098.90109890106</v>
      </c>
      <c r="W145" s="13"/>
      <c r="Z145" s="30"/>
      <c r="AA145" s="30"/>
      <c r="AB145" s="30"/>
      <c r="AE145" s="30"/>
    </row>
    <row r="146" spans="1:31" s="29" customFormat="1" ht="22.5" customHeight="1" x14ac:dyDescent="0.25">
      <c r="A146" s="44" t="s">
        <v>80</v>
      </c>
      <c r="B146" s="45" t="s">
        <v>175</v>
      </c>
      <c r="C146" s="45"/>
      <c r="D146" s="736">
        <v>44095</v>
      </c>
      <c r="E146" s="736">
        <v>44907</v>
      </c>
      <c r="F146" s="73">
        <v>1638</v>
      </c>
      <c r="G146" s="73">
        <f t="shared" si="41"/>
        <v>1092</v>
      </c>
      <c r="H146" s="73" t="e">
        <f>[27]Sheet1!#REF!</f>
        <v>#REF!</v>
      </c>
      <c r="I146" s="73" t="e">
        <f t="shared" si="42"/>
        <v>#REF!</v>
      </c>
      <c r="J146" s="736">
        <f>D146+(1904)</f>
        <v>45999</v>
      </c>
      <c r="K146" s="736">
        <f t="shared" si="43"/>
        <v>45089</v>
      </c>
      <c r="L146" s="46">
        <v>20000000</v>
      </c>
      <c r="M146" s="18"/>
      <c r="N146" s="46">
        <v>19370800</v>
      </c>
      <c r="O146" s="20">
        <f t="shared" si="44"/>
        <v>5400000</v>
      </c>
      <c r="P146" s="47">
        <v>0.09</v>
      </c>
      <c r="Q146" s="48">
        <v>0.93560200000000004</v>
      </c>
      <c r="R146" s="22">
        <f t="shared" si="45"/>
        <v>18712040</v>
      </c>
      <c r="S146" s="12">
        <v>0.104</v>
      </c>
      <c r="T146" s="75">
        <v>900000</v>
      </c>
      <c r="U146" s="563">
        <v>98901.0989010989</v>
      </c>
      <c r="V146" s="13">
        <f t="shared" si="46"/>
        <v>801098.90109890106</v>
      </c>
      <c r="W146" s="13"/>
      <c r="Z146" s="30"/>
      <c r="AA146" s="30"/>
      <c r="AB146" s="30"/>
      <c r="AE146" s="30"/>
    </row>
    <row r="147" spans="1:31" s="29" customFormat="1" ht="22.5" customHeight="1" x14ac:dyDescent="0.25">
      <c r="A147" s="44" t="s">
        <v>80</v>
      </c>
      <c r="B147" s="45" t="s">
        <v>175</v>
      </c>
      <c r="C147" s="45"/>
      <c r="D147" s="736">
        <v>44095</v>
      </c>
      <c r="E147" s="736">
        <v>44907</v>
      </c>
      <c r="F147" s="73">
        <v>1638</v>
      </c>
      <c r="G147" s="73">
        <f t="shared" si="41"/>
        <v>1092</v>
      </c>
      <c r="H147" s="73" t="e">
        <f>[27]Sheet1!#REF!</f>
        <v>#REF!</v>
      </c>
      <c r="I147" s="73" t="e">
        <f t="shared" si="42"/>
        <v>#REF!</v>
      </c>
      <c r="J147" s="736">
        <f>D147+(1904)</f>
        <v>45999</v>
      </c>
      <c r="K147" s="736">
        <f t="shared" si="43"/>
        <v>45089</v>
      </c>
      <c r="L147" s="46">
        <v>20000000</v>
      </c>
      <c r="M147" s="18"/>
      <c r="N147" s="46">
        <v>19294600</v>
      </c>
      <c r="O147" s="20">
        <f t="shared" si="44"/>
        <v>5400000</v>
      </c>
      <c r="P147" s="47">
        <v>0.09</v>
      </c>
      <c r="Q147" s="48">
        <v>0.93560200000000004</v>
      </c>
      <c r="R147" s="22">
        <f t="shared" si="45"/>
        <v>18712040</v>
      </c>
      <c r="S147" s="12">
        <v>0.105</v>
      </c>
      <c r="T147" s="75">
        <v>900000</v>
      </c>
      <c r="U147" s="563">
        <v>98901.0989010989</v>
      </c>
      <c r="V147" s="13">
        <f t="shared" si="46"/>
        <v>801098.90109890106</v>
      </c>
      <c r="W147" s="13"/>
      <c r="Z147" s="30"/>
      <c r="AA147" s="30"/>
      <c r="AB147" s="30"/>
      <c r="AE147" s="30"/>
    </row>
    <row r="148" spans="1:31" s="29" customFormat="1" ht="22.5" customHeight="1" x14ac:dyDescent="0.25">
      <c r="A148" s="44" t="s">
        <v>313</v>
      </c>
      <c r="B148" s="45" t="s">
        <v>175</v>
      </c>
      <c r="C148" s="45"/>
      <c r="D148" s="736">
        <v>44725</v>
      </c>
      <c r="E148" s="736">
        <v>44907</v>
      </c>
      <c r="F148" s="73">
        <v>1638</v>
      </c>
      <c r="G148" s="73">
        <f t="shared" si="41"/>
        <v>6370</v>
      </c>
      <c r="H148" s="73" t="e">
        <f>[27]Sheet1!#REF!</f>
        <v>#REF!</v>
      </c>
      <c r="I148" s="73" t="e">
        <f t="shared" si="42"/>
        <v>#REF!</v>
      </c>
      <c r="J148" s="736">
        <f t="shared" ref="J148:J155" si="47">D148+(364*18)</f>
        <v>51277</v>
      </c>
      <c r="K148" s="736">
        <f t="shared" si="43"/>
        <v>45089</v>
      </c>
      <c r="L148" s="46">
        <v>20000000</v>
      </c>
      <c r="M148" s="18"/>
      <c r="N148" s="46">
        <v>20000000</v>
      </c>
      <c r="O148" s="20">
        <f t="shared" si="44"/>
        <v>48096999.999999993</v>
      </c>
      <c r="P148" s="47">
        <v>0.13741999999999999</v>
      </c>
      <c r="Q148" s="48">
        <v>1.045083</v>
      </c>
      <c r="R148" s="22">
        <f t="shared" si="45"/>
        <v>20901660</v>
      </c>
      <c r="S148" s="12">
        <v>0.13741999999999999</v>
      </c>
      <c r="T148" s="75">
        <v>1374199.9999999998</v>
      </c>
      <c r="U148" s="563">
        <v>151010.989010989</v>
      </c>
      <c r="V148" s="13">
        <f t="shared" si="46"/>
        <v>1223189.0109890108</v>
      </c>
      <c r="W148" s="13"/>
      <c r="Z148" s="30"/>
      <c r="AA148" s="30"/>
      <c r="AB148" s="30"/>
      <c r="AE148" s="30"/>
    </row>
    <row r="149" spans="1:31" s="29" customFormat="1" ht="22.5" customHeight="1" x14ac:dyDescent="0.25">
      <c r="A149" s="44" t="s">
        <v>313</v>
      </c>
      <c r="B149" s="45" t="s">
        <v>175</v>
      </c>
      <c r="C149" s="45"/>
      <c r="D149" s="736">
        <v>44725</v>
      </c>
      <c r="E149" s="736">
        <v>44907</v>
      </c>
      <c r="F149" s="73">
        <v>1638</v>
      </c>
      <c r="G149" s="73">
        <f t="shared" si="41"/>
        <v>6370</v>
      </c>
      <c r="H149" s="73" t="e">
        <f>[27]Sheet1!#REF!</f>
        <v>#REF!</v>
      </c>
      <c r="I149" s="73" t="e">
        <f t="shared" si="42"/>
        <v>#REF!</v>
      </c>
      <c r="J149" s="736">
        <f t="shared" si="47"/>
        <v>51277</v>
      </c>
      <c r="K149" s="736">
        <f t="shared" si="43"/>
        <v>45089</v>
      </c>
      <c r="L149" s="46">
        <v>20000000</v>
      </c>
      <c r="M149" s="18"/>
      <c r="N149" s="46">
        <v>20588800</v>
      </c>
      <c r="O149" s="20">
        <f t="shared" si="44"/>
        <v>48096999.999999993</v>
      </c>
      <c r="P149" s="47">
        <v>0.13741999999999999</v>
      </c>
      <c r="Q149" s="48">
        <v>1.045083</v>
      </c>
      <c r="R149" s="22">
        <f t="shared" si="45"/>
        <v>20901660</v>
      </c>
      <c r="S149" s="12">
        <v>0.13250000000000001</v>
      </c>
      <c r="T149" s="75">
        <v>1374199.9999999998</v>
      </c>
      <c r="U149" s="563">
        <v>151010.989010989</v>
      </c>
      <c r="V149" s="13">
        <f t="shared" si="46"/>
        <v>1223189.0109890108</v>
      </c>
      <c r="W149" s="13"/>
      <c r="Z149" s="30"/>
      <c r="AA149" s="30"/>
      <c r="AB149" s="30"/>
      <c r="AE149" s="30"/>
    </row>
    <row r="150" spans="1:31" s="29" customFormat="1" ht="22.5" customHeight="1" x14ac:dyDescent="0.25">
      <c r="A150" s="44" t="s">
        <v>313</v>
      </c>
      <c r="B150" s="45" t="s">
        <v>175</v>
      </c>
      <c r="C150" s="45"/>
      <c r="D150" s="736">
        <v>44725</v>
      </c>
      <c r="E150" s="736">
        <v>44907</v>
      </c>
      <c r="F150" s="73">
        <v>1638</v>
      </c>
      <c r="G150" s="73">
        <f t="shared" si="41"/>
        <v>6370</v>
      </c>
      <c r="H150" s="73" t="e">
        <f>[27]Sheet1!#REF!</f>
        <v>#REF!</v>
      </c>
      <c r="I150" s="73" t="e">
        <f t="shared" si="42"/>
        <v>#REF!</v>
      </c>
      <c r="J150" s="736">
        <f t="shared" si="47"/>
        <v>51277</v>
      </c>
      <c r="K150" s="736">
        <f t="shared" si="43"/>
        <v>45089</v>
      </c>
      <c r="L150" s="46">
        <v>20000000</v>
      </c>
      <c r="M150" s="18"/>
      <c r="N150" s="46">
        <v>20466800</v>
      </c>
      <c r="O150" s="20">
        <f t="shared" si="44"/>
        <v>48096999.999999993</v>
      </c>
      <c r="P150" s="47">
        <v>0.13741999999999999</v>
      </c>
      <c r="Q150" s="48">
        <v>1.045083</v>
      </c>
      <c r="R150" s="22">
        <f t="shared" si="45"/>
        <v>20901660</v>
      </c>
      <c r="S150" s="12">
        <v>0.13350000000000001</v>
      </c>
      <c r="T150" s="75">
        <v>1374199.9999999998</v>
      </c>
      <c r="U150" s="563">
        <v>151010.989010989</v>
      </c>
      <c r="V150" s="13">
        <f t="shared" si="46"/>
        <v>1223189.0109890108</v>
      </c>
      <c r="W150" s="13"/>
      <c r="Z150" s="30"/>
      <c r="AA150" s="30"/>
      <c r="AB150" s="30"/>
      <c r="AE150" s="30"/>
    </row>
    <row r="151" spans="1:31" s="29" customFormat="1" ht="22.5" customHeight="1" x14ac:dyDescent="0.25">
      <c r="A151" s="44" t="s">
        <v>313</v>
      </c>
      <c r="B151" s="45" t="s">
        <v>175</v>
      </c>
      <c r="C151" s="45"/>
      <c r="D151" s="736">
        <v>44725</v>
      </c>
      <c r="E151" s="736">
        <v>44907</v>
      </c>
      <c r="F151" s="73">
        <v>1638</v>
      </c>
      <c r="G151" s="73">
        <f t="shared" si="41"/>
        <v>6370</v>
      </c>
      <c r="H151" s="73" t="e">
        <f>[27]Sheet1!#REF!</f>
        <v>#REF!</v>
      </c>
      <c r="I151" s="73" t="e">
        <f t="shared" si="42"/>
        <v>#REF!</v>
      </c>
      <c r="J151" s="736">
        <f t="shared" si="47"/>
        <v>51277</v>
      </c>
      <c r="K151" s="736">
        <f t="shared" si="43"/>
        <v>45089</v>
      </c>
      <c r="L151" s="46">
        <v>20000000</v>
      </c>
      <c r="M151" s="18"/>
      <c r="N151" s="46">
        <v>20406400</v>
      </c>
      <c r="O151" s="20">
        <f t="shared" si="44"/>
        <v>48096999.999999993</v>
      </c>
      <c r="P151" s="47">
        <v>0.13741999999999999</v>
      </c>
      <c r="Q151" s="48">
        <v>1.045083</v>
      </c>
      <c r="R151" s="22">
        <f t="shared" si="45"/>
        <v>20901660</v>
      </c>
      <c r="S151" s="12">
        <v>0.13400000000000001</v>
      </c>
      <c r="T151" s="75">
        <v>1374199.9999999998</v>
      </c>
      <c r="U151" s="563">
        <v>151010.989010989</v>
      </c>
      <c r="V151" s="13">
        <f t="shared" si="46"/>
        <v>1223189.0109890108</v>
      </c>
      <c r="W151" s="13"/>
      <c r="Z151" s="30"/>
      <c r="AA151" s="30"/>
      <c r="AB151" s="30"/>
      <c r="AE151" s="30"/>
    </row>
    <row r="152" spans="1:31" s="29" customFormat="1" ht="22.5" customHeight="1" x14ac:dyDescent="0.25">
      <c r="A152" s="44" t="s">
        <v>313</v>
      </c>
      <c r="B152" s="45" t="s">
        <v>175</v>
      </c>
      <c r="C152" s="45"/>
      <c r="D152" s="736">
        <v>44725</v>
      </c>
      <c r="E152" s="736">
        <v>44907</v>
      </c>
      <c r="F152" s="73">
        <v>1638</v>
      </c>
      <c r="G152" s="73">
        <f t="shared" si="41"/>
        <v>6370</v>
      </c>
      <c r="H152" s="73" t="e">
        <f>[27]Sheet1!#REF!</f>
        <v>#REF!</v>
      </c>
      <c r="I152" s="73" t="e">
        <f t="shared" si="42"/>
        <v>#REF!</v>
      </c>
      <c r="J152" s="736">
        <f t="shared" si="47"/>
        <v>51277</v>
      </c>
      <c r="K152" s="736">
        <f t="shared" si="43"/>
        <v>45089</v>
      </c>
      <c r="L152" s="46">
        <v>20000000</v>
      </c>
      <c r="M152" s="18"/>
      <c r="N152" s="46">
        <v>20346000</v>
      </c>
      <c r="O152" s="20">
        <f t="shared" si="44"/>
        <v>48096999.999999993</v>
      </c>
      <c r="P152" s="47">
        <v>0.13741999999999999</v>
      </c>
      <c r="Q152" s="48">
        <v>1.045083</v>
      </c>
      <c r="R152" s="22">
        <f t="shared" si="45"/>
        <v>20901660</v>
      </c>
      <c r="S152" s="12">
        <v>0.13450000000000001</v>
      </c>
      <c r="T152" s="75">
        <v>1374199.9999999998</v>
      </c>
      <c r="U152" s="563">
        <v>151010.989010989</v>
      </c>
      <c r="V152" s="13">
        <f t="shared" si="46"/>
        <v>1223189.0109890108</v>
      </c>
      <c r="W152" s="13"/>
      <c r="Z152" s="30"/>
      <c r="AA152" s="30"/>
      <c r="AB152" s="30"/>
      <c r="AE152" s="30"/>
    </row>
    <row r="153" spans="1:31" s="29" customFormat="1" ht="22.5" customHeight="1" x14ac:dyDescent="0.25">
      <c r="A153" s="44" t="s">
        <v>313</v>
      </c>
      <c r="B153" s="45" t="s">
        <v>175</v>
      </c>
      <c r="C153" s="45"/>
      <c r="D153" s="736">
        <v>44725</v>
      </c>
      <c r="E153" s="736">
        <v>44907</v>
      </c>
      <c r="F153" s="73">
        <v>1638</v>
      </c>
      <c r="G153" s="73">
        <f t="shared" si="41"/>
        <v>6370</v>
      </c>
      <c r="H153" s="73" t="e">
        <f>[27]Sheet1!#REF!</f>
        <v>#REF!</v>
      </c>
      <c r="I153" s="73" t="e">
        <f t="shared" si="42"/>
        <v>#REF!</v>
      </c>
      <c r="J153" s="736">
        <f t="shared" si="47"/>
        <v>51277</v>
      </c>
      <c r="K153" s="736">
        <f t="shared" si="43"/>
        <v>45089</v>
      </c>
      <c r="L153" s="46">
        <v>20000000</v>
      </c>
      <c r="M153" s="18"/>
      <c r="N153" s="46">
        <v>20286200</v>
      </c>
      <c r="O153" s="20">
        <f t="shared" si="44"/>
        <v>48096999.999999993</v>
      </c>
      <c r="P153" s="47">
        <v>0.13741999999999999</v>
      </c>
      <c r="Q153" s="48">
        <v>1.045083</v>
      </c>
      <c r="R153" s="22">
        <f t="shared" si="45"/>
        <v>20901660</v>
      </c>
      <c r="S153" s="12">
        <v>0.13500000000000001</v>
      </c>
      <c r="T153" s="75">
        <v>1374199.9999999998</v>
      </c>
      <c r="U153" s="563">
        <v>151010.989010989</v>
      </c>
      <c r="V153" s="13">
        <f t="shared" si="46"/>
        <v>1223189.0109890108</v>
      </c>
      <c r="W153" s="13"/>
      <c r="Z153" s="30"/>
      <c r="AA153" s="30"/>
      <c r="AB153" s="30"/>
      <c r="AE153" s="30"/>
    </row>
    <row r="154" spans="1:31" s="29" customFormat="1" ht="22.5" customHeight="1" x14ac:dyDescent="0.25">
      <c r="A154" s="44" t="s">
        <v>313</v>
      </c>
      <c r="B154" s="45" t="s">
        <v>175</v>
      </c>
      <c r="C154" s="45"/>
      <c r="D154" s="736">
        <v>44725</v>
      </c>
      <c r="E154" s="736">
        <v>44907</v>
      </c>
      <c r="F154" s="73">
        <v>1638</v>
      </c>
      <c r="G154" s="73">
        <f t="shared" si="41"/>
        <v>6370</v>
      </c>
      <c r="H154" s="73" t="e">
        <f>[27]Sheet1!#REF!</f>
        <v>#REF!</v>
      </c>
      <c r="I154" s="73" t="e">
        <f t="shared" si="42"/>
        <v>#REF!</v>
      </c>
      <c r="J154" s="736">
        <f t="shared" si="47"/>
        <v>51277</v>
      </c>
      <c r="K154" s="736">
        <f t="shared" si="43"/>
        <v>45089</v>
      </c>
      <c r="L154" s="46">
        <v>20000000</v>
      </c>
      <c r="M154" s="18"/>
      <c r="N154" s="46">
        <v>20167000</v>
      </c>
      <c r="O154" s="20">
        <f t="shared" si="44"/>
        <v>48096999.999999993</v>
      </c>
      <c r="P154" s="47">
        <v>0.13741999999999999</v>
      </c>
      <c r="Q154" s="48">
        <v>1.045083</v>
      </c>
      <c r="R154" s="22">
        <f t="shared" si="45"/>
        <v>20901660</v>
      </c>
      <c r="S154" s="12">
        <v>0.13600000000000001</v>
      </c>
      <c r="T154" s="75">
        <v>1374199.9999999998</v>
      </c>
      <c r="U154" s="563">
        <v>151010.989010989</v>
      </c>
      <c r="V154" s="13">
        <f t="shared" si="46"/>
        <v>1223189.0109890108</v>
      </c>
      <c r="W154" s="13"/>
      <c r="Z154" s="30"/>
      <c r="AA154" s="30"/>
      <c r="AB154" s="30"/>
      <c r="AE154" s="30"/>
    </row>
    <row r="155" spans="1:31" s="29" customFormat="1" ht="22.5" customHeight="1" x14ac:dyDescent="0.25">
      <c r="A155" s="44" t="s">
        <v>313</v>
      </c>
      <c r="B155" s="45" t="s">
        <v>175</v>
      </c>
      <c r="C155" s="45"/>
      <c r="D155" s="736">
        <v>44725</v>
      </c>
      <c r="E155" s="736">
        <v>44907</v>
      </c>
      <c r="F155" s="73">
        <v>1638</v>
      </c>
      <c r="G155" s="73">
        <f t="shared" si="41"/>
        <v>6370</v>
      </c>
      <c r="H155" s="73" t="e">
        <f>[27]Sheet1!#REF!</f>
        <v>#REF!</v>
      </c>
      <c r="I155" s="73" t="e">
        <f t="shared" si="42"/>
        <v>#REF!</v>
      </c>
      <c r="J155" s="736">
        <f t="shared" si="47"/>
        <v>51277</v>
      </c>
      <c r="K155" s="736">
        <f t="shared" si="43"/>
        <v>45089</v>
      </c>
      <c r="L155" s="46">
        <v>20000000</v>
      </c>
      <c r="M155" s="18"/>
      <c r="N155" s="46">
        <v>20049200</v>
      </c>
      <c r="O155" s="20">
        <f t="shared" si="44"/>
        <v>48096999.999999993</v>
      </c>
      <c r="P155" s="47">
        <v>0.13741999999999999</v>
      </c>
      <c r="Q155" s="48">
        <v>1.045083</v>
      </c>
      <c r="R155" s="22">
        <f t="shared" si="45"/>
        <v>20901660</v>
      </c>
      <c r="S155" s="12">
        <v>0.13700000000000001</v>
      </c>
      <c r="T155" s="75">
        <v>1374199.9999999998</v>
      </c>
      <c r="U155" s="563">
        <v>151010.989010989</v>
      </c>
      <c r="V155" s="13">
        <f t="shared" si="46"/>
        <v>1223189.0109890108</v>
      </c>
      <c r="W155" s="13"/>
      <c r="Z155" s="30"/>
      <c r="AA155" s="30"/>
      <c r="AB155" s="30"/>
      <c r="AE155" s="30"/>
    </row>
    <row r="156" spans="1:31" s="29" customFormat="1" ht="22.5" customHeight="1" x14ac:dyDescent="0.25">
      <c r="A156" s="44"/>
      <c r="B156" s="45"/>
      <c r="C156" s="45"/>
      <c r="D156" s="736"/>
      <c r="E156" s="736"/>
      <c r="F156" s="73"/>
      <c r="G156" s="73"/>
      <c r="H156" s="73"/>
      <c r="I156" s="73"/>
      <c r="J156" s="736"/>
      <c r="K156" s="736"/>
      <c r="L156" s="46"/>
      <c r="M156" s="18"/>
      <c r="N156" s="46"/>
      <c r="O156" s="20"/>
      <c r="P156" s="47"/>
      <c r="Q156" s="48"/>
      <c r="R156" s="22"/>
      <c r="S156" s="12"/>
      <c r="T156" s="75"/>
      <c r="U156" s="563"/>
      <c r="V156" s="13"/>
      <c r="W156" s="13"/>
      <c r="Z156" s="30"/>
      <c r="AA156" s="30"/>
      <c r="AB156" s="30"/>
      <c r="AE156" s="30"/>
    </row>
    <row r="157" spans="1:31" s="29" customFormat="1" ht="22.5" customHeight="1" x14ac:dyDescent="0.25">
      <c r="A157" s="44"/>
      <c r="B157" s="45"/>
      <c r="C157" s="45"/>
      <c r="D157" s="736"/>
      <c r="E157" s="736"/>
      <c r="F157" s="73"/>
      <c r="G157" s="73"/>
      <c r="H157" s="73"/>
      <c r="I157" s="73"/>
      <c r="J157" s="736"/>
      <c r="K157" s="736"/>
      <c r="L157" s="46"/>
      <c r="M157" s="18"/>
      <c r="N157" s="46"/>
      <c r="O157" s="20"/>
      <c r="P157" s="47"/>
      <c r="Q157" s="48"/>
      <c r="R157" s="22"/>
      <c r="S157" s="12"/>
      <c r="T157" s="75"/>
      <c r="U157" s="563"/>
      <c r="V157" s="13"/>
      <c r="W157" s="13"/>
      <c r="Z157" s="30"/>
      <c r="AA157" s="30"/>
      <c r="AB157" s="30"/>
      <c r="AE157" s="30"/>
    </row>
    <row r="158" spans="1:31" s="29" customFormat="1" ht="23.5" customHeight="1" x14ac:dyDescent="0.25">
      <c r="A158" s="54" t="s">
        <v>186</v>
      </c>
      <c r="B158" s="52"/>
      <c r="C158" s="52"/>
      <c r="D158" s="52"/>
      <c r="E158" s="52"/>
      <c r="F158" s="16"/>
      <c r="G158" s="16"/>
      <c r="H158" s="16"/>
      <c r="I158" s="16"/>
      <c r="J158" s="49"/>
      <c r="K158" s="49"/>
      <c r="L158" s="55"/>
      <c r="M158" s="55"/>
      <c r="N158" s="55"/>
      <c r="O158" s="56"/>
      <c r="P158" s="55"/>
      <c r="Q158" s="55"/>
      <c r="R158" s="55"/>
      <c r="S158" s="55"/>
      <c r="T158" s="572">
        <f>SUM(T8:T157)</f>
        <v>222356206.28</v>
      </c>
      <c r="U158" s="572">
        <f>SUM(U8:U157)</f>
        <v>94702672.952087849</v>
      </c>
      <c r="V158" s="572">
        <f>SUM(V8:V157)</f>
        <v>127653533.32791224</v>
      </c>
      <c r="W158" s="13"/>
      <c r="Z158" s="30"/>
      <c r="AA158" s="30"/>
      <c r="AB158" s="30"/>
      <c r="AE158" s="30"/>
    </row>
    <row r="159" spans="1:31" s="29" customFormat="1" ht="22.5" customHeight="1" x14ac:dyDescent="0.25">
      <c r="A159" s="44"/>
      <c r="B159" s="45"/>
      <c r="C159" s="52"/>
      <c r="D159" s="736"/>
      <c r="E159" s="736"/>
      <c r="F159" s="73"/>
      <c r="G159" s="73"/>
      <c r="H159" s="73"/>
      <c r="I159" s="73"/>
      <c r="J159" s="736"/>
      <c r="K159" s="736"/>
      <c r="L159" s="46"/>
      <c r="M159" s="53"/>
      <c r="N159" s="46"/>
      <c r="O159" s="20"/>
      <c r="P159" s="47"/>
      <c r="Q159" s="48"/>
      <c r="R159" s="22"/>
      <c r="S159" s="12"/>
      <c r="T159" s="75"/>
      <c r="U159" s="563"/>
      <c r="V159" s="90"/>
      <c r="W159" s="13"/>
      <c r="Z159" s="30"/>
      <c r="AA159" s="30"/>
      <c r="AB159" s="30"/>
      <c r="AE159" s="30"/>
    </row>
    <row r="160" spans="1:31" s="29" customFormat="1" ht="23.25" customHeight="1" x14ac:dyDescent="0.25">
      <c r="A160" s="44" t="s">
        <v>298</v>
      </c>
      <c r="B160" s="45" t="s">
        <v>176</v>
      </c>
      <c r="C160" s="52"/>
      <c r="D160" s="736">
        <v>44480</v>
      </c>
      <c r="E160" s="736">
        <v>44767</v>
      </c>
      <c r="F160" s="73">
        <v>3969.42</v>
      </c>
      <c r="G160" s="73">
        <f t="shared" ref="G160:G167" si="48">J160-E160</f>
        <v>4655</v>
      </c>
      <c r="H160" s="73"/>
      <c r="I160" s="73"/>
      <c r="J160" s="736">
        <f>E160+4655</f>
        <v>49422</v>
      </c>
      <c r="K160" s="736">
        <f t="shared" ref="K160:K167" si="49">E160+182</f>
        <v>44949</v>
      </c>
      <c r="L160" s="46">
        <v>20000000</v>
      </c>
      <c r="M160" s="53"/>
      <c r="N160" s="46">
        <v>19886400</v>
      </c>
      <c r="O160" s="20">
        <f t="shared" ref="O160:O167" si="50">L160*P160*G160/364</f>
        <v>31561923.076923076</v>
      </c>
      <c r="P160" s="47">
        <v>0.1234</v>
      </c>
      <c r="Q160" s="800">
        <v>0.94707600000000003</v>
      </c>
      <c r="R160" s="22">
        <f t="shared" ref="R160:R167" si="51">+L160*Q160</f>
        <v>18941520</v>
      </c>
      <c r="S160" s="12">
        <v>0.12845000000000001</v>
      </c>
      <c r="T160" s="75">
        <v>1234000</v>
      </c>
      <c r="U160" s="563">
        <v>1084835.1648351648</v>
      </c>
      <c r="V160" s="90">
        <f t="shared" ref="V160:V167" si="52">+T160-U160</f>
        <v>149164.83516483521</v>
      </c>
      <c r="W160" s="13"/>
      <c r="Z160" s="30"/>
      <c r="AA160" s="30"/>
      <c r="AB160" s="30"/>
      <c r="AE160" s="30"/>
    </row>
    <row r="161" spans="1:31" s="29" customFormat="1" ht="23.25" customHeight="1" x14ac:dyDescent="0.25">
      <c r="A161" s="44" t="s">
        <v>298</v>
      </c>
      <c r="B161" s="45" t="s">
        <v>176</v>
      </c>
      <c r="C161" s="52"/>
      <c r="D161" s="736">
        <v>44480</v>
      </c>
      <c r="E161" s="736">
        <v>44767</v>
      </c>
      <c r="F161" s="73">
        <v>3969.42</v>
      </c>
      <c r="G161" s="73">
        <f t="shared" si="48"/>
        <v>4655</v>
      </c>
      <c r="H161" s="73"/>
      <c r="I161" s="73"/>
      <c r="J161" s="736">
        <f>E161+4655</f>
        <v>49422</v>
      </c>
      <c r="K161" s="736">
        <f t="shared" si="49"/>
        <v>44949</v>
      </c>
      <c r="L161" s="46">
        <v>40000000</v>
      </c>
      <c r="M161" s="53"/>
      <c r="N161" s="46">
        <v>40004000</v>
      </c>
      <c r="O161" s="20">
        <f t="shared" si="50"/>
        <v>63123846.153846152</v>
      </c>
      <c r="P161" s="47">
        <v>0.1234</v>
      </c>
      <c r="Q161" s="800">
        <v>0.94707600000000003</v>
      </c>
      <c r="R161" s="22">
        <f t="shared" si="51"/>
        <v>37883040</v>
      </c>
      <c r="S161" s="12">
        <v>0.1275</v>
      </c>
      <c r="T161" s="75">
        <v>2468000</v>
      </c>
      <c r="U161" s="563">
        <v>2169670.3296703296</v>
      </c>
      <c r="V161" s="90">
        <f t="shared" si="52"/>
        <v>298329.67032967042</v>
      </c>
      <c r="W161" s="13"/>
      <c r="Z161" s="30"/>
      <c r="AA161" s="30"/>
      <c r="AB161" s="30"/>
      <c r="AE161" s="30"/>
    </row>
    <row r="162" spans="1:31" s="29" customFormat="1" ht="21.5" customHeight="1" x14ac:dyDescent="0.25">
      <c r="A162" s="44" t="s">
        <v>298</v>
      </c>
      <c r="B162" s="45" t="s">
        <v>176</v>
      </c>
      <c r="C162" s="52"/>
      <c r="D162" s="736">
        <v>44480</v>
      </c>
      <c r="E162" s="736">
        <v>44767</v>
      </c>
      <c r="F162" s="73">
        <v>3969.42</v>
      </c>
      <c r="G162" s="73">
        <f t="shared" si="48"/>
        <v>4655</v>
      </c>
      <c r="H162" s="73"/>
      <c r="I162" s="73"/>
      <c r="J162" s="736">
        <f>E162+4655</f>
        <v>49422</v>
      </c>
      <c r="K162" s="736">
        <f t="shared" si="49"/>
        <v>44949</v>
      </c>
      <c r="L162" s="46">
        <v>40000000</v>
      </c>
      <c r="M162" s="53"/>
      <c r="N162" s="46">
        <v>39882000</v>
      </c>
      <c r="O162" s="20">
        <f t="shared" si="50"/>
        <v>63123846.153846152</v>
      </c>
      <c r="P162" s="47">
        <v>0.1234</v>
      </c>
      <c r="Q162" s="800">
        <v>0.94707600000000003</v>
      </c>
      <c r="R162" s="22">
        <f t="shared" si="51"/>
        <v>37883040</v>
      </c>
      <c r="S162" s="12">
        <v>0.128</v>
      </c>
      <c r="T162" s="75">
        <v>2468000</v>
      </c>
      <c r="U162" s="563">
        <v>2169670.3296703296</v>
      </c>
      <c r="V162" s="90">
        <f t="shared" si="52"/>
        <v>298329.67032967042</v>
      </c>
      <c r="W162" s="13"/>
      <c r="Z162" s="30"/>
      <c r="AA162" s="30"/>
      <c r="AB162" s="30"/>
      <c r="AE162" s="30"/>
    </row>
    <row r="163" spans="1:31" s="29" customFormat="1" ht="22.5" customHeight="1" x14ac:dyDescent="0.25">
      <c r="A163" s="44" t="s">
        <v>298</v>
      </c>
      <c r="B163" s="45" t="s">
        <v>176</v>
      </c>
      <c r="C163" s="52"/>
      <c r="D163" s="736">
        <v>44480</v>
      </c>
      <c r="E163" s="736">
        <v>44767</v>
      </c>
      <c r="F163" s="73">
        <v>3969.42</v>
      </c>
      <c r="G163" s="73">
        <f t="shared" si="48"/>
        <v>4655</v>
      </c>
      <c r="H163" s="73"/>
      <c r="I163" s="73"/>
      <c r="J163" s="736">
        <f>E163+4655</f>
        <v>49422</v>
      </c>
      <c r="K163" s="736">
        <f t="shared" si="49"/>
        <v>44949</v>
      </c>
      <c r="L163" s="46">
        <v>20000000</v>
      </c>
      <c r="M163" s="53"/>
      <c r="N163" s="46">
        <v>19880400</v>
      </c>
      <c r="O163" s="20">
        <f t="shared" si="50"/>
        <v>31561923.076923076</v>
      </c>
      <c r="P163" s="47">
        <v>0.1234</v>
      </c>
      <c r="Q163" s="800">
        <v>0.94707600000000003</v>
      </c>
      <c r="R163" s="22">
        <f t="shared" si="51"/>
        <v>18941520</v>
      </c>
      <c r="S163" s="12">
        <v>0.1285</v>
      </c>
      <c r="T163" s="75">
        <v>1234000</v>
      </c>
      <c r="U163" s="563">
        <v>1084835.1648351648</v>
      </c>
      <c r="V163" s="90">
        <f t="shared" si="52"/>
        <v>149164.83516483521</v>
      </c>
      <c r="W163" s="13"/>
      <c r="Z163" s="30"/>
      <c r="AA163" s="30"/>
      <c r="AB163" s="30"/>
      <c r="AE163" s="30"/>
    </row>
    <row r="164" spans="1:31" s="29" customFormat="1" ht="23.25" customHeight="1" x14ac:dyDescent="0.25">
      <c r="A164" s="44" t="s">
        <v>284</v>
      </c>
      <c r="B164" s="45" t="s">
        <v>176</v>
      </c>
      <c r="C164" s="52"/>
      <c r="D164" s="736">
        <v>44424</v>
      </c>
      <c r="E164" s="736">
        <v>44788</v>
      </c>
      <c r="F164" s="73">
        <v>3969.42</v>
      </c>
      <c r="G164" s="73">
        <f t="shared" si="48"/>
        <v>2366</v>
      </c>
      <c r="H164" s="73"/>
      <c r="I164" s="73"/>
      <c r="J164" s="736">
        <f>D164+2730</f>
        <v>47154</v>
      </c>
      <c r="K164" s="736">
        <f t="shared" si="49"/>
        <v>44970</v>
      </c>
      <c r="L164" s="46">
        <v>20000000</v>
      </c>
      <c r="M164" s="53"/>
      <c r="N164" s="46">
        <v>19342000</v>
      </c>
      <c r="O164" s="20">
        <f t="shared" si="50"/>
        <v>14972100</v>
      </c>
      <c r="P164" s="47">
        <v>0.11516999999999999</v>
      </c>
      <c r="Q164" s="800">
        <v>0.93559899999999996</v>
      </c>
      <c r="R164" s="22">
        <f t="shared" si="51"/>
        <v>18711980</v>
      </c>
      <c r="S164" s="12">
        <v>0.12171999999999999</v>
      </c>
      <c r="T164" s="75">
        <v>1151700</v>
      </c>
      <c r="U164" s="563">
        <v>879595.05494505493</v>
      </c>
      <c r="V164" s="90">
        <f t="shared" si="52"/>
        <v>272104.94505494507</v>
      </c>
      <c r="W164" s="13"/>
      <c r="Z164" s="30"/>
      <c r="AA164" s="30"/>
      <c r="AB164" s="30"/>
      <c r="AE164" s="30"/>
    </row>
    <row r="165" spans="1:31" s="29" customFormat="1" ht="23.25" customHeight="1" x14ac:dyDescent="0.25">
      <c r="A165" s="44" t="s">
        <v>297</v>
      </c>
      <c r="B165" s="45" t="s">
        <v>176</v>
      </c>
      <c r="C165" s="52"/>
      <c r="D165" s="736">
        <v>44480</v>
      </c>
      <c r="E165" s="736">
        <v>44788</v>
      </c>
      <c r="F165" s="73">
        <v>3969.42</v>
      </c>
      <c r="G165" s="73">
        <f t="shared" si="48"/>
        <v>2310</v>
      </c>
      <c r="H165" s="73"/>
      <c r="I165" s="73"/>
      <c r="J165" s="736">
        <f>E165+2310</f>
        <v>47098</v>
      </c>
      <c r="K165" s="736">
        <f t="shared" si="49"/>
        <v>44970</v>
      </c>
      <c r="L165" s="46">
        <v>20000000</v>
      </c>
      <c r="M165" s="53"/>
      <c r="N165" s="46">
        <v>19786800</v>
      </c>
      <c r="O165" s="20">
        <f t="shared" si="50"/>
        <v>14278846.153846154</v>
      </c>
      <c r="P165" s="47">
        <v>0.1125</v>
      </c>
      <c r="Q165" s="800">
        <v>0.94220599999999999</v>
      </c>
      <c r="R165" s="22">
        <f t="shared" si="51"/>
        <v>18844120</v>
      </c>
      <c r="S165" s="12">
        <v>0.11882</v>
      </c>
      <c r="T165" s="75">
        <v>1125000</v>
      </c>
      <c r="U165" s="563">
        <v>859203.29670329671</v>
      </c>
      <c r="V165" s="90">
        <f t="shared" si="52"/>
        <v>265796.70329670329</v>
      </c>
      <c r="W165" s="13"/>
      <c r="Z165" s="30"/>
      <c r="AA165" s="30"/>
      <c r="AB165" s="30"/>
      <c r="AE165" s="30"/>
    </row>
    <row r="166" spans="1:31" s="29" customFormat="1" ht="21.5" customHeight="1" x14ac:dyDescent="0.25">
      <c r="A166" s="44" t="s">
        <v>297</v>
      </c>
      <c r="B166" s="45" t="s">
        <v>176</v>
      </c>
      <c r="C166" s="52"/>
      <c r="D166" s="736">
        <v>44480</v>
      </c>
      <c r="E166" s="736">
        <v>44788</v>
      </c>
      <c r="F166" s="73">
        <v>3969.42</v>
      </c>
      <c r="G166" s="73">
        <f t="shared" si="48"/>
        <v>2310</v>
      </c>
      <c r="H166" s="73"/>
      <c r="I166" s="73"/>
      <c r="J166" s="736">
        <f>E166+2310</f>
        <v>47098</v>
      </c>
      <c r="K166" s="736">
        <f t="shared" si="49"/>
        <v>44970</v>
      </c>
      <c r="L166" s="46">
        <v>20000000</v>
      </c>
      <c r="M166" s="53"/>
      <c r="N166" s="46">
        <v>19944000</v>
      </c>
      <c r="O166" s="20">
        <f t="shared" si="50"/>
        <v>14278846.153846154</v>
      </c>
      <c r="P166" s="47">
        <v>0.1125</v>
      </c>
      <c r="Q166" s="800">
        <v>0.94220599999999999</v>
      </c>
      <c r="R166" s="22">
        <f t="shared" si="51"/>
        <v>18844120</v>
      </c>
      <c r="S166" s="12">
        <v>0.11700000000000001</v>
      </c>
      <c r="T166" s="75">
        <v>1125000</v>
      </c>
      <c r="U166" s="563">
        <v>859203.29670329671</v>
      </c>
      <c r="V166" s="90">
        <f t="shared" si="52"/>
        <v>265796.70329670329</v>
      </c>
      <c r="W166" s="13"/>
      <c r="Z166" s="30"/>
      <c r="AA166" s="30"/>
      <c r="AB166" s="30"/>
      <c r="AE166" s="30"/>
    </row>
    <row r="167" spans="1:31" s="29" customFormat="1" ht="22.5" customHeight="1" x14ac:dyDescent="0.25">
      <c r="A167" s="44" t="s">
        <v>297</v>
      </c>
      <c r="B167" s="45" t="s">
        <v>176</v>
      </c>
      <c r="C167" s="52"/>
      <c r="D167" s="736">
        <v>44480</v>
      </c>
      <c r="E167" s="736">
        <v>44788</v>
      </c>
      <c r="F167" s="73">
        <v>3969.42</v>
      </c>
      <c r="G167" s="73">
        <f t="shared" si="48"/>
        <v>2310</v>
      </c>
      <c r="H167" s="73"/>
      <c r="I167" s="73"/>
      <c r="J167" s="736">
        <f>E167+2310</f>
        <v>47098</v>
      </c>
      <c r="K167" s="736">
        <f t="shared" si="49"/>
        <v>44970</v>
      </c>
      <c r="L167" s="46">
        <v>20000000</v>
      </c>
      <c r="M167" s="53"/>
      <c r="N167" s="46">
        <v>19857400</v>
      </c>
      <c r="O167" s="20">
        <f t="shared" si="50"/>
        <v>14278846.153846154</v>
      </c>
      <c r="P167" s="47">
        <v>0.1125</v>
      </c>
      <c r="Q167" s="800">
        <v>0.94220599999999999</v>
      </c>
      <c r="R167" s="22">
        <f t="shared" si="51"/>
        <v>18844120</v>
      </c>
      <c r="S167" s="12">
        <v>0.11799999999999999</v>
      </c>
      <c r="T167" s="75">
        <v>1125000</v>
      </c>
      <c r="U167" s="563">
        <v>859203.29670329671</v>
      </c>
      <c r="V167" s="90">
        <f t="shared" si="52"/>
        <v>265796.70329670329</v>
      </c>
      <c r="W167" s="13"/>
      <c r="Z167" s="30"/>
      <c r="AA167" s="30"/>
      <c r="AB167" s="30"/>
      <c r="AE167" s="30"/>
    </row>
    <row r="168" spans="1:31" s="29" customFormat="1" ht="23.25" customHeight="1" x14ac:dyDescent="0.25">
      <c r="A168" s="44" t="s">
        <v>197</v>
      </c>
      <c r="B168" s="45" t="s">
        <v>176</v>
      </c>
      <c r="C168" s="52"/>
      <c r="D168" s="736">
        <v>42611</v>
      </c>
      <c r="E168" s="736">
        <v>44795</v>
      </c>
      <c r="F168" s="73">
        <v>3276</v>
      </c>
      <c r="G168" s="73">
        <f t="shared" ref="G168:G180" si="53">J168-E168</f>
        <v>1456</v>
      </c>
      <c r="H168" s="16"/>
      <c r="I168" s="16"/>
      <c r="J168" s="736">
        <f>D168+364*10</f>
        <v>46251</v>
      </c>
      <c r="K168" s="736">
        <f t="shared" ref="K168:K180" si="54">E168+182</f>
        <v>44977</v>
      </c>
      <c r="L168" s="46">
        <v>10000000</v>
      </c>
      <c r="M168" s="53">
        <v>10000000</v>
      </c>
      <c r="N168" s="46">
        <v>9893500</v>
      </c>
      <c r="O168" s="20">
        <f t="shared" ref="O168:O180" si="55">L168*P168*G168/364</f>
        <v>6015600</v>
      </c>
      <c r="P168" s="47">
        <v>0.15039</v>
      </c>
      <c r="Q168" s="48">
        <v>1.0866579999999999</v>
      </c>
      <c r="R168" s="22">
        <f t="shared" ref="R168:R180" si="56">+L168*Q168</f>
        <v>10866579.999999998</v>
      </c>
      <c r="S168" s="12">
        <v>0.1525</v>
      </c>
      <c r="T168" s="75">
        <v>751949.99999999988</v>
      </c>
      <c r="U168" s="563">
        <v>545370.32967032958</v>
      </c>
      <c r="V168" s="90">
        <f t="shared" ref="V168:V180" si="57">+T168-U168</f>
        <v>206579.67032967031</v>
      </c>
      <c r="W168" s="13"/>
      <c r="Z168" s="30"/>
      <c r="AA168" s="30"/>
      <c r="AB168" s="30"/>
      <c r="AE168" s="30"/>
    </row>
    <row r="169" spans="1:31" s="29" customFormat="1" ht="23.25" customHeight="1" x14ac:dyDescent="0.25">
      <c r="A169" s="44" t="s">
        <v>197</v>
      </c>
      <c r="B169" s="45" t="s">
        <v>176</v>
      </c>
      <c r="C169" s="52"/>
      <c r="D169" s="736">
        <v>42611</v>
      </c>
      <c r="E169" s="736">
        <v>44795</v>
      </c>
      <c r="F169" s="73">
        <v>3276</v>
      </c>
      <c r="G169" s="73">
        <f t="shared" si="53"/>
        <v>1456</v>
      </c>
      <c r="H169" s="16"/>
      <c r="I169" s="16"/>
      <c r="J169" s="736">
        <f>D169+364*10</f>
        <v>46251</v>
      </c>
      <c r="K169" s="736">
        <f t="shared" si="54"/>
        <v>44977</v>
      </c>
      <c r="L169" s="46">
        <v>20000000</v>
      </c>
      <c r="M169" s="53">
        <v>10000000</v>
      </c>
      <c r="N169" s="46">
        <v>20000000</v>
      </c>
      <c r="O169" s="20">
        <f t="shared" si="55"/>
        <v>12031200</v>
      </c>
      <c r="P169" s="47">
        <v>0.15039</v>
      </c>
      <c r="Q169" s="48">
        <v>1.0866579999999999</v>
      </c>
      <c r="R169" s="22">
        <f t="shared" si="56"/>
        <v>21733159.999999996</v>
      </c>
      <c r="S169" s="12">
        <v>0.15039</v>
      </c>
      <c r="T169" s="75">
        <v>1503899.9999999998</v>
      </c>
      <c r="U169" s="563">
        <v>1090740.6593406592</v>
      </c>
      <c r="V169" s="90">
        <f t="shared" si="57"/>
        <v>413159.34065934061</v>
      </c>
      <c r="W169" s="13"/>
      <c r="Z169" s="30"/>
      <c r="AA169" s="30"/>
      <c r="AB169" s="30"/>
      <c r="AE169" s="30"/>
    </row>
    <row r="170" spans="1:31" s="29" customFormat="1" ht="21.5" customHeight="1" x14ac:dyDescent="0.25">
      <c r="A170" s="44" t="s">
        <v>206</v>
      </c>
      <c r="B170" s="45" t="s">
        <v>176</v>
      </c>
      <c r="C170" s="45"/>
      <c r="D170" s="736">
        <v>42793</v>
      </c>
      <c r="E170" s="736">
        <v>44795</v>
      </c>
      <c r="F170" s="73">
        <v>4186</v>
      </c>
      <c r="G170" s="73">
        <f t="shared" si="53"/>
        <v>2366</v>
      </c>
      <c r="H170" s="16"/>
      <c r="I170" s="16"/>
      <c r="J170" s="736">
        <f>D170+364*12</f>
        <v>47161</v>
      </c>
      <c r="K170" s="736">
        <f t="shared" si="54"/>
        <v>44977</v>
      </c>
      <c r="L170" s="46">
        <f>20000000*80%</f>
        <v>16000000</v>
      </c>
      <c r="M170" s="53"/>
      <c r="N170" s="46">
        <v>18970600</v>
      </c>
      <c r="O170" s="20">
        <f t="shared" si="55"/>
        <v>13000000</v>
      </c>
      <c r="P170" s="47">
        <v>0.125</v>
      </c>
      <c r="Q170" s="48">
        <v>1.0182519999999999</v>
      </c>
      <c r="R170" s="22">
        <f t="shared" si="56"/>
        <v>16292031.999999998</v>
      </c>
      <c r="S170" s="12">
        <v>0.13555</v>
      </c>
      <c r="T170" s="75">
        <v>1000000</v>
      </c>
      <c r="U170" s="563">
        <v>725274.72527472524</v>
      </c>
      <c r="V170" s="90">
        <f t="shared" si="57"/>
        <v>274725.27472527476</v>
      </c>
      <c r="W170" s="13"/>
      <c r="Z170" s="30"/>
      <c r="AA170" s="30"/>
      <c r="AB170" s="30"/>
      <c r="AE170" s="30"/>
    </row>
    <row r="171" spans="1:31" s="29" customFormat="1" ht="22.5" customHeight="1" x14ac:dyDescent="0.25">
      <c r="A171" s="44" t="s">
        <v>206</v>
      </c>
      <c r="B171" s="45" t="s">
        <v>176</v>
      </c>
      <c r="C171" s="11"/>
      <c r="D171" s="736">
        <v>42800</v>
      </c>
      <c r="E171" s="736">
        <v>44795</v>
      </c>
      <c r="F171" s="73">
        <v>4178.72</v>
      </c>
      <c r="G171" s="73">
        <f t="shared" si="53"/>
        <v>2366.0475999999981</v>
      </c>
      <c r="H171" s="73"/>
      <c r="I171" s="73"/>
      <c r="J171" s="736">
        <f>D171+364*11.9809</f>
        <v>47161.047599999998</v>
      </c>
      <c r="K171" s="736">
        <f t="shared" si="54"/>
        <v>44977</v>
      </c>
      <c r="L171" s="46">
        <f>20000000*80%</f>
        <v>16000000</v>
      </c>
      <c r="M171" s="18"/>
      <c r="N171" s="46">
        <v>18958000</v>
      </c>
      <c r="O171" s="20">
        <f t="shared" si="55"/>
        <v>13000261.538461529</v>
      </c>
      <c r="P171" s="47">
        <v>0.125</v>
      </c>
      <c r="Q171" s="48">
        <v>1.0182519999999999</v>
      </c>
      <c r="R171" s="22">
        <f t="shared" si="56"/>
        <v>16292031.999999998</v>
      </c>
      <c r="S171" s="12">
        <v>0.13555</v>
      </c>
      <c r="T171" s="75">
        <v>1000000.0000000001</v>
      </c>
      <c r="U171" s="563">
        <v>725274.72527472535</v>
      </c>
      <c r="V171" s="90">
        <f t="shared" si="57"/>
        <v>274725.27472527476</v>
      </c>
      <c r="W171" s="13"/>
      <c r="Z171" s="30"/>
      <c r="AA171" s="30"/>
      <c r="AB171" s="30"/>
      <c r="AE171" s="30"/>
    </row>
    <row r="172" spans="1:31" s="29" customFormat="1" ht="22.5" customHeight="1" x14ac:dyDescent="0.25">
      <c r="A172" s="44" t="s">
        <v>255</v>
      </c>
      <c r="B172" s="45" t="s">
        <v>176</v>
      </c>
      <c r="C172" s="11"/>
      <c r="D172" s="736">
        <v>44067</v>
      </c>
      <c r="E172" s="736">
        <v>44795</v>
      </c>
      <c r="F172" s="73">
        <v>4178.72</v>
      </c>
      <c r="G172" s="73">
        <f t="shared" si="53"/>
        <v>3276</v>
      </c>
      <c r="H172" s="73"/>
      <c r="I172" s="73"/>
      <c r="J172" s="736">
        <f>D172+364*11</f>
        <v>48071</v>
      </c>
      <c r="K172" s="736">
        <f t="shared" si="54"/>
        <v>44977</v>
      </c>
      <c r="L172" s="46">
        <v>20000000</v>
      </c>
      <c r="M172" s="18"/>
      <c r="N172" s="46">
        <v>19578600</v>
      </c>
      <c r="O172" s="20">
        <f t="shared" si="55"/>
        <v>19620000</v>
      </c>
      <c r="P172" s="47">
        <v>0.109</v>
      </c>
      <c r="Q172" s="48">
        <v>0.92655500000000002</v>
      </c>
      <c r="R172" s="22">
        <f t="shared" si="56"/>
        <v>18531100</v>
      </c>
      <c r="S172" s="12">
        <v>0.11302</v>
      </c>
      <c r="T172" s="75">
        <v>1090000</v>
      </c>
      <c r="U172" s="563">
        <v>790549.45054945047</v>
      </c>
      <c r="V172" s="90">
        <f t="shared" si="57"/>
        <v>299450.54945054953</v>
      </c>
      <c r="W172" s="13"/>
      <c r="Z172" s="30"/>
      <c r="AA172" s="30"/>
      <c r="AB172" s="30"/>
      <c r="AE172" s="30"/>
    </row>
    <row r="173" spans="1:31" s="29" customFormat="1" ht="22.5" customHeight="1" x14ac:dyDescent="0.25">
      <c r="A173" s="44" t="s">
        <v>309</v>
      </c>
      <c r="B173" s="45" t="s">
        <v>176</v>
      </c>
      <c r="C173" s="52"/>
      <c r="D173" s="736">
        <v>44634</v>
      </c>
      <c r="E173" s="736">
        <v>44795</v>
      </c>
      <c r="F173" s="73">
        <v>3969.42</v>
      </c>
      <c r="G173" s="73">
        <f t="shared" si="53"/>
        <v>4550</v>
      </c>
      <c r="H173" s="73"/>
      <c r="I173" s="73"/>
      <c r="J173" s="736">
        <f>D173+(4711)</f>
        <v>49345</v>
      </c>
      <c r="K173" s="736">
        <f t="shared" si="54"/>
        <v>44977</v>
      </c>
      <c r="L173" s="46">
        <v>20000000</v>
      </c>
      <c r="M173" s="53"/>
      <c r="N173" s="46">
        <v>18976200</v>
      </c>
      <c r="O173" s="20">
        <f t="shared" si="55"/>
        <v>31890000</v>
      </c>
      <c r="P173" s="47">
        <v>0.12756000000000001</v>
      </c>
      <c r="Q173" s="48">
        <v>0.959816</v>
      </c>
      <c r="R173" s="22">
        <f t="shared" si="56"/>
        <v>19196320</v>
      </c>
      <c r="S173" s="12">
        <v>0.13732</v>
      </c>
      <c r="T173" s="75">
        <v>1275600</v>
      </c>
      <c r="U173" s="563">
        <v>925160.43956043955</v>
      </c>
      <c r="V173" s="90">
        <f t="shared" si="57"/>
        <v>350439.56043956045</v>
      </c>
      <c r="W173" s="13"/>
      <c r="Z173" s="30"/>
      <c r="AA173" s="30"/>
      <c r="AB173" s="30"/>
      <c r="AE173" s="30"/>
    </row>
    <row r="174" spans="1:31" s="29" customFormat="1" ht="22.5" customHeight="1" x14ac:dyDescent="0.25">
      <c r="A174" s="44" t="s">
        <v>309</v>
      </c>
      <c r="B174" s="45" t="s">
        <v>176</v>
      </c>
      <c r="C174" s="52"/>
      <c r="D174" s="736">
        <v>44634</v>
      </c>
      <c r="E174" s="736">
        <v>44795</v>
      </c>
      <c r="F174" s="73">
        <v>3969.42</v>
      </c>
      <c r="G174" s="73">
        <f t="shared" si="53"/>
        <v>4550</v>
      </c>
      <c r="H174" s="73"/>
      <c r="I174" s="73"/>
      <c r="J174" s="736">
        <f>D174+(4711)</f>
        <v>49345</v>
      </c>
      <c r="K174" s="736">
        <f t="shared" si="54"/>
        <v>44977</v>
      </c>
      <c r="L174" s="46">
        <v>20000000</v>
      </c>
      <c r="M174" s="53"/>
      <c r="N174" s="46">
        <v>19361200</v>
      </c>
      <c r="O174" s="20">
        <f t="shared" si="55"/>
        <v>31890000</v>
      </c>
      <c r="P174" s="47">
        <v>0.12756000000000001</v>
      </c>
      <c r="Q174" s="48">
        <v>0.959816</v>
      </c>
      <c r="R174" s="22">
        <f t="shared" si="56"/>
        <v>19196320</v>
      </c>
      <c r="S174" s="12">
        <v>0.13400000000000001</v>
      </c>
      <c r="T174" s="75">
        <v>1275600</v>
      </c>
      <c r="U174" s="563">
        <v>925160.43956043955</v>
      </c>
      <c r="V174" s="90">
        <f t="shared" si="57"/>
        <v>350439.56043956045</v>
      </c>
      <c r="W174" s="13"/>
      <c r="Z174" s="30"/>
      <c r="AA174" s="30"/>
      <c r="AB174" s="30"/>
      <c r="AE174" s="30"/>
    </row>
    <row r="175" spans="1:31" s="29" customFormat="1" ht="23.25" customHeight="1" x14ac:dyDescent="0.25">
      <c r="A175" s="44" t="s">
        <v>195</v>
      </c>
      <c r="B175" s="45" t="s">
        <v>176</v>
      </c>
      <c r="C175" s="736"/>
      <c r="D175" s="736">
        <v>42541</v>
      </c>
      <c r="E175" s="736">
        <v>44816</v>
      </c>
      <c r="F175" s="73">
        <v>3822</v>
      </c>
      <c r="G175" s="73">
        <f t="shared" si="53"/>
        <v>1820</v>
      </c>
      <c r="H175" s="16"/>
      <c r="I175" s="16"/>
      <c r="J175" s="736">
        <f>D175+364*11.25</f>
        <v>46636</v>
      </c>
      <c r="K175" s="736">
        <f t="shared" si="54"/>
        <v>44998</v>
      </c>
      <c r="L175" s="46">
        <v>10000000</v>
      </c>
      <c r="M175" s="18"/>
      <c r="N175" s="46">
        <v>8433900</v>
      </c>
      <c r="O175" s="20">
        <f t="shared" si="55"/>
        <v>5500000</v>
      </c>
      <c r="P175" s="47">
        <v>0.11</v>
      </c>
      <c r="Q175" s="48">
        <v>0.92954899999999996</v>
      </c>
      <c r="R175" s="22">
        <f t="shared" si="56"/>
        <v>9295490</v>
      </c>
      <c r="S175" s="12">
        <v>0.1202</v>
      </c>
      <c r="T175" s="75">
        <v>550000</v>
      </c>
      <c r="U175" s="565">
        <v>335439.56043956045</v>
      </c>
      <c r="V175" s="839">
        <f t="shared" si="57"/>
        <v>214560.43956043955</v>
      </c>
      <c r="W175" s="50"/>
      <c r="X175" s="51"/>
      <c r="Y175" s="51"/>
      <c r="Z175" s="30"/>
      <c r="AA175" s="30"/>
      <c r="AB175" s="30"/>
      <c r="AC175" s="51"/>
      <c r="AD175" s="51"/>
      <c r="AE175" s="51"/>
    </row>
    <row r="176" spans="1:31" s="29" customFormat="1" ht="23.25" customHeight="1" x14ac:dyDescent="0.25">
      <c r="A176" s="44" t="s">
        <v>262</v>
      </c>
      <c r="B176" s="45" t="s">
        <v>176</v>
      </c>
      <c r="C176" s="52"/>
      <c r="D176" s="736">
        <v>44193</v>
      </c>
      <c r="E176" s="736">
        <v>44816</v>
      </c>
      <c r="F176" s="73">
        <v>3969.42</v>
      </c>
      <c r="G176" s="73">
        <f t="shared" si="53"/>
        <v>1820</v>
      </c>
      <c r="H176" s="73"/>
      <c r="I176" s="73"/>
      <c r="J176" s="736">
        <v>46636</v>
      </c>
      <c r="K176" s="736">
        <f t="shared" si="54"/>
        <v>44998</v>
      </c>
      <c r="L176" s="46">
        <v>40000000</v>
      </c>
      <c r="M176" s="53"/>
      <c r="N176" s="46">
        <v>40406800</v>
      </c>
      <c r="O176" s="20">
        <f t="shared" si="55"/>
        <v>22000000</v>
      </c>
      <c r="P176" s="47">
        <v>0.11</v>
      </c>
      <c r="Q176" s="48">
        <v>0.92954899999999996</v>
      </c>
      <c r="R176" s="22">
        <f t="shared" si="56"/>
        <v>37181960</v>
      </c>
      <c r="S176" s="12">
        <v>0.11461</v>
      </c>
      <c r="T176" s="75">
        <v>2200000</v>
      </c>
      <c r="U176" s="563">
        <v>1341758.2417582418</v>
      </c>
      <c r="V176" s="90">
        <f t="shared" si="57"/>
        <v>858241.75824175822</v>
      </c>
      <c r="W176" s="13"/>
      <c r="Z176" s="30"/>
      <c r="AA176" s="30"/>
      <c r="AB176" s="30"/>
      <c r="AE176" s="30"/>
    </row>
    <row r="177" spans="1:31" s="29" customFormat="1" ht="23.25" customHeight="1" x14ac:dyDescent="0.25">
      <c r="A177" s="44" t="s">
        <v>240</v>
      </c>
      <c r="B177" s="45" t="s">
        <v>176</v>
      </c>
      <c r="C177" s="45"/>
      <c r="D177" s="736">
        <v>43934</v>
      </c>
      <c r="E177" s="629">
        <v>44844</v>
      </c>
      <c r="F177" s="73">
        <v>5278</v>
      </c>
      <c r="G177" s="73">
        <f t="shared" si="53"/>
        <v>2366</v>
      </c>
      <c r="H177" s="16"/>
      <c r="I177" s="16"/>
      <c r="J177" s="736">
        <f>D177+364*9</f>
        <v>47210</v>
      </c>
      <c r="K177" s="736">
        <f t="shared" si="54"/>
        <v>45026</v>
      </c>
      <c r="L177" s="46">
        <v>10000000</v>
      </c>
      <c r="M177" s="18">
        <v>10000000</v>
      </c>
      <c r="N177" s="46">
        <v>9663600</v>
      </c>
      <c r="O177" s="20">
        <f t="shared" si="55"/>
        <v>7052500</v>
      </c>
      <c r="P177" s="47">
        <v>0.1085</v>
      </c>
      <c r="Q177" s="800">
        <v>0.94838500000000003</v>
      </c>
      <c r="R177" s="22">
        <f t="shared" si="56"/>
        <v>9483850</v>
      </c>
      <c r="S177" s="12">
        <v>0.1158</v>
      </c>
      <c r="T177" s="75">
        <v>542500</v>
      </c>
      <c r="U177" s="563">
        <v>247403.84615384616</v>
      </c>
      <c r="V177" s="90">
        <f t="shared" si="57"/>
        <v>295096.15384615387</v>
      </c>
      <c r="W177" s="13"/>
      <c r="Z177" s="30"/>
      <c r="AA177" s="30"/>
      <c r="AB177" s="30"/>
      <c r="AE177" s="30"/>
    </row>
    <row r="178" spans="1:31" s="29" customFormat="1" ht="23.25" customHeight="1" x14ac:dyDescent="0.25">
      <c r="A178" s="44" t="s">
        <v>240</v>
      </c>
      <c r="B178" s="45" t="s">
        <v>176</v>
      </c>
      <c r="C178" s="45"/>
      <c r="D178" s="736">
        <v>43934</v>
      </c>
      <c r="E178" s="629">
        <v>44844</v>
      </c>
      <c r="F178" s="73">
        <v>5278</v>
      </c>
      <c r="G178" s="73">
        <f t="shared" si="53"/>
        <v>2366</v>
      </c>
      <c r="H178" s="16"/>
      <c r="I178" s="16"/>
      <c r="J178" s="736">
        <f>D178+364*9</f>
        <v>47210</v>
      </c>
      <c r="K178" s="736">
        <f t="shared" si="54"/>
        <v>45026</v>
      </c>
      <c r="L178" s="46">
        <v>10000000</v>
      </c>
      <c r="M178" s="18">
        <v>10000000</v>
      </c>
      <c r="N178" s="46">
        <v>9433400</v>
      </c>
      <c r="O178" s="20">
        <f t="shared" si="55"/>
        <v>7052500</v>
      </c>
      <c r="P178" s="47">
        <v>0.1085</v>
      </c>
      <c r="Q178" s="800">
        <v>0.94838500000000003</v>
      </c>
      <c r="R178" s="22">
        <f t="shared" si="56"/>
        <v>9483850</v>
      </c>
      <c r="S178" s="12">
        <v>0.121</v>
      </c>
      <c r="T178" s="75">
        <v>542500</v>
      </c>
      <c r="U178" s="563">
        <v>247403.84615384616</v>
      </c>
      <c r="V178" s="90">
        <f t="shared" si="57"/>
        <v>295096.15384615387</v>
      </c>
      <c r="W178" s="13"/>
      <c r="Z178" s="30"/>
      <c r="AA178" s="30"/>
      <c r="AB178" s="30"/>
      <c r="AE178" s="30"/>
    </row>
    <row r="179" spans="1:31" s="29" customFormat="1" ht="21.5" customHeight="1" x14ac:dyDescent="0.25">
      <c r="A179" s="44" t="s">
        <v>310</v>
      </c>
      <c r="B179" s="45" t="s">
        <v>176</v>
      </c>
      <c r="C179" s="52"/>
      <c r="D179" s="736">
        <v>44662</v>
      </c>
      <c r="E179" s="736">
        <v>44844</v>
      </c>
      <c r="F179" s="73">
        <v>3969.42</v>
      </c>
      <c r="G179" s="73">
        <f t="shared" si="53"/>
        <v>910</v>
      </c>
      <c r="H179" s="73"/>
      <c r="I179" s="73"/>
      <c r="J179" s="736">
        <f>D179+(1092)</f>
        <v>45754</v>
      </c>
      <c r="K179" s="736">
        <f t="shared" si="54"/>
        <v>45026</v>
      </c>
      <c r="L179" s="46">
        <v>20000000</v>
      </c>
      <c r="M179" s="53"/>
      <c r="N179" s="46">
        <v>20000000</v>
      </c>
      <c r="O179" s="20">
        <f t="shared" si="55"/>
        <v>5883000</v>
      </c>
      <c r="P179" s="47">
        <v>0.11766</v>
      </c>
      <c r="Q179" s="48">
        <v>0.99312800000000001</v>
      </c>
      <c r="R179" s="22">
        <f t="shared" si="56"/>
        <v>19862560</v>
      </c>
      <c r="S179" s="12">
        <v>0.11766</v>
      </c>
      <c r="T179" s="75">
        <v>1176600</v>
      </c>
      <c r="U179" s="563">
        <v>536581.31868131866</v>
      </c>
      <c r="V179" s="90">
        <f t="shared" si="57"/>
        <v>640018.68131868134</v>
      </c>
      <c r="W179" s="13"/>
      <c r="Z179" s="30"/>
      <c r="AA179" s="30"/>
      <c r="AB179" s="30"/>
      <c r="AE179" s="30"/>
    </row>
    <row r="180" spans="1:31" s="29" customFormat="1" ht="22.5" customHeight="1" x14ac:dyDescent="0.25">
      <c r="A180" s="44" t="s">
        <v>310</v>
      </c>
      <c r="B180" s="45" t="s">
        <v>176</v>
      </c>
      <c r="C180" s="52"/>
      <c r="D180" s="736">
        <v>44662</v>
      </c>
      <c r="E180" s="736">
        <v>44844</v>
      </c>
      <c r="F180" s="73">
        <v>3969.42</v>
      </c>
      <c r="G180" s="73">
        <f t="shared" si="53"/>
        <v>910</v>
      </c>
      <c r="H180" s="73"/>
      <c r="I180" s="73"/>
      <c r="J180" s="736">
        <f>D180+(1092)</f>
        <v>45754</v>
      </c>
      <c r="K180" s="736">
        <f t="shared" si="54"/>
        <v>45026</v>
      </c>
      <c r="L180" s="46">
        <v>30000000</v>
      </c>
      <c r="M180" s="53"/>
      <c r="N180" s="46">
        <v>30160500</v>
      </c>
      <c r="O180" s="20">
        <f t="shared" si="55"/>
        <v>8824500</v>
      </c>
      <c r="P180" s="47">
        <v>0.11766</v>
      </c>
      <c r="Q180" s="48">
        <v>0.99312800000000001</v>
      </c>
      <c r="R180" s="22">
        <f t="shared" si="56"/>
        <v>29793840</v>
      </c>
      <c r="S180" s="12">
        <v>0.11550000000000001</v>
      </c>
      <c r="T180" s="75">
        <v>1764900</v>
      </c>
      <c r="U180" s="563">
        <v>804871.97802197805</v>
      </c>
      <c r="V180" s="90">
        <f t="shared" si="57"/>
        <v>960028.02197802195</v>
      </c>
      <c r="W180" s="13"/>
      <c r="Z180" s="30"/>
      <c r="AA180" s="30"/>
      <c r="AB180" s="30"/>
      <c r="AE180" s="30"/>
    </row>
    <row r="181" spans="1:31" s="29" customFormat="1" ht="23.25" customHeight="1" x14ac:dyDescent="0.3">
      <c r="A181" s="841" t="s">
        <v>154</v>
      </c>
      <c r="B181" s="842" t="s">
        <v>176</v>
      </c>
      <c r="C181" s="842"/>
      <c r="D181" s="629">
        <v>42485</v>
      </c>
      <c r="E181" s="629">
        <v>44851</v>
      </c>
      <c r="F181" s="843">
        <v>3458</v>
      </c>
      <c r="G181" s="73">
        <f t="shared" ref="G181:G197" si="58">J181-E181</f>
        <v>2002</v>
      </c>
      <c r="H181" s="855"/>
      <c r="I181" s="855"/>
      <c r="J181" s="629">
        <f>D181+364*12</f>
        <v>46853</v>
      </c>
      <c r="K181" s="629">
        <f t="shared" ref="K181:K197" si="59">E181+182</f>
        <v>45033</v>
      </c>
      <c r="L181" s="844">
        <f>5000000-1250000-1566413</f>
        <v>2183587</v>
      </c>
      <c r="M181" s="630"/>
      <c r="N181" s="844">
        <v>4931100</v>
      </c>
      <c r="O181" s="845">
        <f t="shared" ref="O181:O197" si="60">L181*P181*G181/364</f>
        <v>1321070.135</v>
      </c>
      <c r="P181" s="846">
        <v>0.11</v>
      </c>
      <c r="Q181" s="847">
        <v>0.96110399999999996</v>
      </c>
      <c r="R181" s="848">
        <f t="shared" ref="R181:R197" si="61">+L181*Q181</f>
        <v>2098654.2000480001</v>
      </c>
      <c r="S181" s="849">
        <v>0.11262999999999999</v>
      </c>
      <c r="T181" s="850">
        <v>120097.28499999999</v>
      </c>
      <c r="U181" s="851">
        <v>50150.514615384614</v>
      </c>
      <c r="V181" s="856">
        <f t="shared" ref="V181:V197" si="62">+T181-U181</f>
        <v>69946.770384615374</v>
      </c>
      <c r="W181" s="852"/>
      <c r="X181" s="624"/>
      <c r="Y181" s="624"/>
      <c r="Z181" s="853"/>
      <c r="AA181" s="853"/>
      <c r="AB181" s="853"/>
      <c r="AC181" s="624"/>
      <c r="AD181" s="624"/>
      <c r="AE181" s="853"/>
    </row>
    <row r="182" spans="1:31" s="29" customFormat="1" ht="23.25" customHeight="1" x14ac:dyDescent="0.3">
      <c r="A182" s="841" t="s">
        <v>161</v>
      </c>
      <c r="B182" s="842" t="s">
        <v>176</v>
      </c>
      <c r="C182" s="842"/>
      <c r="D182" s="629">
        <v>42485</v>
      </c>
      <c r="E182" s="629">
        <v>44851</v>
      </c>
      <c r="F182" s="843">
        <v>3458</v>
      </c>
      <c r="G182" s="73">
        <f t="shared" si="58"/>
        <v>2002</v>
      </c>
      <c r="H182" s="855"/>
      <c r="I182" s="855"/>
      <c r="J182" s="629">
        <f>D182+364*12</f>
        <v>46853</v>
      </c>
      <c r="K182" s="629">
        <f t="shared" si="59"/>
        <v>45033</v>
      </c>
      <c r="L182" s="844">
        <f>10000000</f>
        <v>10000000</v>
      </c>
      <c r="M182" s="630"/>
      <c r="N182" s="844">
        <v>9862200</v>
      </c>
      <c r="O182" s="845">
        <f t="shared" si="60"/>
        <v>6050000</v>
      </c>
      <c r="P182" s="846">
        <v>0.11</v>
      </c>
      <c r="Q182" s="847">
        <v>0.96110399999999996</v>
      </c>
      <c r="R182" s="848">
        <f t="shared" si="61"/>
        <v>9611040</v>
      </c>
      <c r="S182" s="849">
        <v>0.11262999999999999</v>
      </c>
      <c r="T182" s="850">
        <v>550000</v>
      </c>
      <c r="U182" s="851">
        <v>229670.32967032967</v>
      </c>
      <c r="V182" s="856">
        <f t="shared" si="62"/>
        <v>320329.67032967031</v>
      </c>
      <c r="W182" s="852"/>
      <c r="X182" s="624"/>
      <c r="Y182" s="624"/>
      <c r="Z182" s="853"/>
      <c r="AA182" s="853"/>
      <c r="AB182" s="853"/>
      <c r="AC182" s="624"/>
      <c r="AD182" s="624"/>
      <c r="AE182" s="853"/>
    </row>
    <row r="183" spans="1:31" s="29" customFormat="1" ht="21.5" customHeight="1" x14ac:dyDescent="0.25">
      <c r="A183" s="44" t="s">
        <v>199</v>
      </c>
      <c r="B183" s="45" t="s">
        <v>176</v>
      </c>
      <c r="C183" s="45"/>
      <c r="D183" s="736">
        <v>42667</v>
      </c>
      <c r="E183" s="629">
        <v>44851</v>
      </c>
      <c r="F183" s="73">
        <v>5278</v>
      </c>
      <c r="G183" s="73">
        <f t="shared" si="58"/>
        <v>3276</v>
      </c>
      <c r="H183" s="16"/>
      <c r="I183" s="16"/>
      <c r="J183" s="736">
        <f t="shared" ref="J183:J190" si="63">D183+364*15</f>
        <v>48127</v>
      </c>
      <c r="K183" s="736">
        <f t="shared" si="59"/>
        <v>45033</v>
      </c>
      <c r="L183" s="46">
        <f>10000000*0.75</f>
        <v>7500000</v>
      </c>
      <c r="M183" s="18">
        <v>10000000</v>
      </c>
      <c r="N183" s="46">
        <v>9556000</v>
      </c>
      <c r="O183" s="20">
        <f t="shared" si="60"/>
        <v>8100000</v>
      </c>
      <c r="P183" s="47">
        <v>0.12</v>
      </c>
      <c r="Q183" s="48">
        <v>0.95607200000000003</v>
      </c>
      <c r="R183" s="22">
        <f t="shared" si="61"/>
        <v>7170540</v>
      </c>
      <c r="S183" s="12">
        <v>0.12794</v>
      </c>
      <c r="T183" s="75">
        <v>450000</v>
      </c>
      <c r="U183" s="563">
        <v>187912.08791208791</v>
      </c>
      <c r="V183" s="90">
        <f t="shared" si="62"/>
        <v>262087.91208791209</v>
      </c>
      <c r="W183" s="13"/>
      <c r="Z183" s="30"/>
      <c r="AA183" s="30"/>
      <c r="AB183" s="30"/>
      <c r="AE183" s="30"/>
    </row>
    <row r="184" spans="1:31" s="29" customFormat="1" ht="22.5" customHeight="1" x14ac:dyDescent="0.25">
      <c r="A184" s="44" t="s">
        <v>199</v>
      </c>
      <c r="B184" s="45" t="s">
        <v>176</v>
      </c>
      <c r="C184" s="45"/>
      <c r="D184" s="736">
        <v>42667</v>
      </c>
      <c r="E184" s="629">
        <v>44851</v>
      </c>
      <c r="F184" s="73">
        <v>5278</v>
      </c>
      <c r="G184" s="73">
        <f t="shared" si="58"/>
        <v>3276</v>
      </c>
      <c r="H184" s="16"/>
      <c r="I184" s="16"/>
      <c r="J184" s="736">
        <f t="shared" si="63"/>
        <v>48127</v>
      </c>
      <c r="K184" s="736">
        <f t="shared" si="59"/>
        <v>45033</v>
      </c>
      <c r="L184" s="46">
        <f t="shared" ref="L184:L190" si="64">20000000*0.75</f>
        <v>15000000</v>
      </c>
      <c r="M184" s="18">
        <v>10000000</v>
      </c>
      <c r="N184" s="46">
        <f>20000000-940600</f>
        <v>19059400</v>
      </c>
      <c r="O184" s="20">
        <f t="shared" si="60"/>
        <v>16200000</v>
      </c>
      <c r="P184" s="47">
        <v>0.12</v>
      </c>
      <c r="Q184" s="48">
        <v>0.95607200000000003</v>
      </c>
      <c r="R184" s="22">
        <f t="shared" si="61"/>
        <v>14341080</v>
      </c>
      <c r="S184" s="12">
        <v>0.12842999999999999</v>
      </c>
      <c r="T184" s="75">
        <v>900000</v>
      </c>
      <c r="U184" s="563">
        <v>375824.17582417582</v>
      </c>
      <c r="V184" s="90">
        <f t="shared" si="62"/>
        <v>524175.82417582418</v>
      </c>
      <c r="W184" s="13"/>
      <c r="Z184" s="30"/>
      <c r="AA184" s="30"/>
      <c r="AB184" s="30"/>
      <c r="AE184" s="30"/>
    </row>
    <row r="185" spans="1:31" s="29" customFormat="1" ht="22.5" customHeight="1" x14ac:dyDescent="0.25">
      <c r="A185" s="44" t="s">
        <v>199</v>
      </c>
      <c r="B185" s="45" t="s">
        <v>176</v>
      </c>
      <c r="C185" s="45"/>
      <c r="D185" s="736">
        <v>42667</v>
      </c>
      <c r="E185" s="629">
        <v>44851</v>
      </c>
      <c r="F185" s="73">
        <v>5278</v>
      </c>
      <c r="G185" s="73">
        <f t="shared" si="58"/>
        <v>3276</v>
      </c>
      <c r="H185" s="16"/>
      <c r="I185" s="16"/>
      <c r="J185" s="736">
        <f t="shared" si="63"/>
        <v>48127</v>
      </c>
      <c r="K185" s="736">
        <f t="shared" si="59"/>
        <v>45033</v>
      </c>
      <c r="L185" s="46">
        <f t="shared" si="64"/>
        <v>15000000</v>
      </c>
      <c r="M185" s="18">
        <v>10000000</v>
      </c>
      <c r="N185" s="46">
        <v>18983400</v>
      </c>
      <c r="O185" s="20">
        <f t="shared" si="60"/>
        <v>16200000</v>
      </c>
      <c r="P185" s="47">
        <v>0.12</v>
      </c>
      <c r="Q185" s="48">
        <v>0.95607200000000003</v>
      </c>
      <c r="R185" s="22">
        <f t="shared" si="61"/>
        <v>14341080</v>
      </c>
      <c r="S185" s="12">
        <v>0.12914</v>
      </c>
      <c r="T185" s="75">
        <v>900000</v>
      </c>
      <c r="U185" s="563">
        <v>375824.17582417582</v>
      </c>
      <c r="V185" s="90">
        <f t="shared" si="62"/>
        <v>524175.82417582418</v>
      </c>
      <c r="W185" s="13"/>
      <c r="Z185" s="30"/>
      <c r="AA185" s="30"/>
      <c r="AB185" s="30"/>
      <c r="AE185" s="30"/>
    </row>
    <row r="186" spans="1:31" s="29" customFormat="1" ht="22.5" customHeight="1" x14ac:dyDescent="0.25">
      <c r="A186" s="44" t="s">
        <v>199</v>
      </c>
      <c r="B186" s="45" t="s">
        <v>176</v>
      </c>
      <c r="C186" s="45"/>
      <c r="D186" s="736">
        <v>42667</v>
      </c>
      <c r="E186" s="629">
        <v>44851</v>
      </c>
      <c r="F186" s="73">
        <v>5278</v>
      </c>
      <c r="G186" s="73">
        <f t="shared" si="58"/>
        <v>3276</v>
      </c>
      <c r="H186" s="16"/>
      <c r="I186" s="16"/>
      <c r="J186" s="736">
        <f t="shared" si="63"/>
        <v>48127</v>
      </c>
      <c r="K186" s="736">
        <f t="shared" si="59"/>
        <v>45033</v>
      </c>
      <c r="L186" s="46">
        <f t="shared" si="64"/>
        <v>15000000</v>
      </c>
      <c r="M186" s="18">
        <v>10000000</v>
      </c>
      <c r="N186" s="46">
        <v>18705800</v>
      </c>
      <c r="O186" s="20">
        <f t="shared" si="60"/>
        <v>16200000</v>
      </c>
      <c r="P186" s="47">
        <v>0.12</v>
      </c>
      <c r="Q186" s="48">
        <v>0.95607200000000003</v>
      </c>
      <c r="R186" s="22">
        <f t="shared" si="61"/>
        <v>14341080</v>
      </c>
      <c r="S186" s="12">
        <v>0.13177</v>
      </c>
      <c r="T186" s="75">
        <v>900000</v>
      </c>
      <c r="U186" s="563">
        <v>375824.17582417582</v>
      </c>
      <c r="V186" s="90">
        <f t="shared" si="62"/>
        <v>524175.82417582418</v>
      </c>
      <c r="W186" s="13"/>
      <c r="Z186" s="30"/>
      <c r="AA186" s="30"/>
      <c r="AB186" s="30"/>
      <c r="AE186" s="30"/>
    </row>
    <row r="187" spans="1:31" s="29" customFormat="1" ht="22.5" customHeight="1" x14ac:dyDescent="0.25">
      <c r="A187" s="44" t="s">
        <v>199</v>
      </c>
      <c r="B187" s="45" t="s">
        <v>176</v>
      </c>
      <c r="C187" s="45"/>
      <c r="D187" s="736">
        <v>42667</v>
      </c>
      <c r="E187" s="629">
        <v>44851</v>
      </c>
      <c r="F187" s="73">
        <v>5278</v>
      </c>
      <c r="G187" s="73">
        <f t="shared" si="58"/>
        <v>3276</v>
      </c>
      <c r="H187" s="16"/>
      <c r="I187" s="16"/>
      <c r="J187" s="736">
        <f t="shared" si="63"/>
        <v>48127</v>
      </c>
      <c r="K187" s="736">
        <f t="shared" si="59"/>
        <v>45033</v>
      </c>
      <c r="L187" s="46">
        <f t="shared" si="64"/>
        <v>15000000</v>
      </c>
      <c r="M187" s="18">
        <v>10000000</v>
      </c>
      <c r="N187" s="46">
        <v>18637200</v>
      </c>
      <c r="O187" s="20">
        <f t="shared" si="60"/>
        <v>16200000</v>
      </c>
      <c r="P187" s="47">
        <v>0.12</v>
      </c>
      <c r="Q187" s="48">
        <v>0.95607200000000003</v>
      </c>
      <c r="R187" s="22">
        <f t="shared" si="61"/>
        <v>14341080</v>
      </c>
      <c r="S187" s="12">
        <v>0.13242999999999999</v>
      </c>
      <c r="T187" s="75">
        <v>900000</v>
      </c>
      <c r="U187" s="563">
        <v>375824.17582417582</v>
      </c>
      <c r="V187" s="90">
        <f t="shared" si="62"/>
        <v>524175.82417582418</v>
      </c>
      <c r="W187" s="13"/>
      <c r="Z187" s="30"/>
      <c r="AA187" s="30"/>
      <c r="AB187" s="30"/>
      <c r="AE187" s="30"/>
    </row>
    <row r="188" spans="1:31" s="29" customFormat="1" ht="22.5" customHeight="1" x14ac:dyDescent="0.25">
      <c r="A188" s="44" t="s">
        <v>199</v>
      </c>
      <c r="B188" s="45" t="s">
        <v>176</v>
      </c>
      <c r="C188" s="45"/>
      <c r="D188" s="736">
        <v>42667</v>
      </c>
      <c r="E188" s="629">
        <v>44851</v>
      </c>
      <c r="F188" s="73">
        <v>5278</v>
      </c>
      <c r="G188" s="73">
        <f t="shared" si="58"/>
        <v>3276</v>
      </c>
      <c r="H188" s="16"/>
      <c r="I188" s="16"/>
      <c r="J188" s="736">
        <f t="shared" si="63"/>
        <v>48127</v>
      </c>
      <c r="K188" s="736">
        <f t="shared" si="59"/>
        <v>45033</v>
      </c>
      <c r="L188" s="46">
        <f t="shared" si="64"/>
        <v>15000000</v>
      </c>
      <c r="M188" s="18">
        <v>10000000</v>
      </c>
      <c r="N188" s="46">
        <v>18522800</v>
      </c>
      <c r="O188" s="20">
        <f t="shared" si="60"/>
        <v>16200000</v>
      </c>
      <c r="P188" s="47">
        <v>0.12</v>
      </c>
      <c r="Q188" s="48">
        <v>0.95607200000000003</v>
      </c>
      <c r="R188" s="22">
        <f t="shared" si="61"/>
        <v>14341080</v>
      </c>
      <c r="S188" s="12">
        <v>0.13353999999999999</v>
      </c>
      <c r="T188" s="75">
        <v>900000</v>
      </c>
      <c r="U188" s="563">
        <v>375824.17582417582</v>
      </c>
      <c r="V188" s="90">
        <f t="shared" si="62"/>
        <v>524175.82417582418</v>
      </c>
      <c r="W188" s="13"/>
      <c r="Z188" s="30"/>
      <c r="AA188" s="30"/>
      <c r="AB188" s="30"/>
      <c r="AE188" s="30"/>
    </row>
    <row r="189" spans="1:31" s="29" customFormat="1" ht="22.5" customHeight="1" x14ac:dyDescent="0.25">
      <c r="A189" s="44" t="s">
        <v>199</v>
      </c>
      <c r="B189" s="45" t="s">
        <v>176</v>
      </c>
      <c r="C189" s="45"/>
      <c r="D189" s="736">
        <v>42667</v>
      </c>
      <c r="E189" s="629">
        <v>44851</v>
      </c>
      <c r="F189" s="73">
        <v>5278</v>
      </c>
      <c r="G189" s="73">
        <f t="shared" si="58"/>
        <v>3276</v>
      </c>
      <c r="H189" s="16"/>
      <c r="I189" s="16"/>
      <c r="J189" s="736">
        <f t="shared" si="63"/>
        <v>48127</v>
      </c>
      <c r="K189" s="736">
        <f t="shared" si="59"/>
        <v>45033</v>
      </c>
      <c r="L189" s="46">
        <f t="shared" si="64"/>
        <v>15000000</v>
      </c>
      <c r="M189" s="18">
        <v>10000000</v>
      </c>
      <c r="N189" s="46">
        <v>18476600</v>
      </c>
      <c r="O189" s="20">
        <f t="shared" si="60"/>
        <v>16200000</v>
      </c>
      <c r="P189" s="47">
        <v>0.12</v>
      </c>
      <c r="Q189" s="48">
        <v>0.95607200000000003</v>
      </c>
      <c r="R189" s="22">
        <f t="shared" si="61"/>
        <v>14341080</v>
      </c>
      <c r="S189" s="12">
        <v>0.13399</v>
      </c>
      <c r="T189" s="75">
        <v>900000</v>
      </c>
      <c r="U189" s="563">
        <v>375824.17582417582</v>
      </c>
      <c r="V189" s="90">
        <f t="shared" si="62"/>
        <v>524175.82417582418</v>
      </c>
      <c r="W189" s="13"/>
      <c r="Z189" s="30"/>
      <c r="AA189" s="30"/>
      <c r="AB189" s="30"/>
      <c r="AE189" s="30"/>
    </row>
    <row r="190" spans="1:31" s="29" customFormat="1" ht="22.5" customHeight="1" x14ac:dyDescent="0.25">
      <c r="A190" s="44" t="s">
        <v>199</v>
      </c>
      <c r="B190" s="45" t="s">
        <v>176</v>
      </c>
      <c r="C190" s="45"/>
      <c r="D190" s="736">
        <v>42667</v>
      </c>
      <c r="E190" s="629">
        <v>44851</v>
      </c>
      <c r="F190" s="73">
        <v>5278</v>
      </c>
      <c r="G190" s="73">
        <f t="shared" si="58"/>
        <v>3276</v>
      </c>
      <c r="H190" s="16"/>
      <c r="I190" s="16"/>
      <c r="J190" s="736">
        <f t="shared" si="63"/>
        <v>48127</v>
      </c>
      <c r="K190" s="736">
        <f t="shared" si="59"/>
        <v>45033</v>
      </c>
      <c r="L190" s="46">
        <f t="shared" si="64"/>
        <v>15000000</v>
      </c>
      <c r="M190" s="18">
        <v>10000000</v>
      </c>
      <c r="N190" s="46">
        <v>18476600</v>
      </c>
      <c r="O190" s="20">
        <f t="shared" si="60"/>
        <v>16200000</v>
      </c>
      <c r="P190" s="47">
        <v>0.12</v>
      </c>
      <c r="Q190" s="48">
        <v>0.95607200000000003</v>
      </c>
      <c r="R190" s="22">
        <f t="shared" si="61"/>
        <v>14341080</v>
      </c>
      <c r="S190" s="12">
        <v>0.13177</v>
      </c>
      <c r="T190" s="75">
        <v>900000</v>
      </c>
      <c r="U190" s="563">
        <v>375824.17582417582</v>
      </c>
      <c r="V190" s="90">
        <f t="shared" si="62"/>
        <v>524175.82417582418</v>
      </c>
      <c r="W190" s="13"/>
      <c r="Z190" s="30"/>
      <c r="AA190" s="30"/>
      <c r="AB190" s="30"/>
      <c r="AE190" s="30"/>
    </row>
    <row r="191" spans="1:31" s="29" customFormat="1" ht="23.25" customHeight="1" x14ac:dyDescent="0.25">
      <c r="A191" s="44" t="s">
        <v>212</v>
      </c>
      <c r="B191" s="45" t="s">
        <v>176</v>
      </c>
      <c r="C191" s="45"/>
      <c r="D191" s="736">
        <v>43598</v>
      </c>
      <c r="E191" s="736">
        <v>44872</v>
      </c>
      <c r="F191" s="73">
        <v>5278</v>
      </c>
      <c r="G191" s="73">
        <f t="shared" si="58"/>
        <v>546</v>
      </c>
      <c r="H191" s="16"/>
      <c r="I191" s="16"/>
      <c r="J191" s="736">
        <f>D191+364*5</f>
        <v>45418</v>
      </c>
      <c r="K191" s="736">
        <f t="shared" si="59"/>
        <v>45054</v>
      </c>
      <c r="L191" s="46">
        <v>20000000</v>
      </c>
      <c r="M191" s="18">
        <v>10000000</v>
      </c>
      <c r="N191" s="46">
        <v>20000000</v>
      </c>
      <c r="O191" s="20">
        <f t="shared" si="60"/>
        <v>3261600</v>
      </c>
      <c r="P191" s="47">
        <v>0.10872</v>
      </c>
      <c r="Q191" s="48">
        <v>1.044564</v>
      </c>
      <c r="R191" s="22">
        <f t="shared" si="61"/>
        <v>20891280</v>
      </c>
      <c r="S191" s="12">
        <v>0.10872</v>
      </c>
      <c r="T191" s="75">
        <v>1087200</v>
      </c>
      <c r="U191" s="563">
        <v>328549.45054945053</v>
      </c>
      <c r="V191" s="90">
        <f t="shared" si="62"/>
        <v>758650.54945054953</v>
      </c>
      <c r="W191" s="13"/>
      <c r="Z191" s="30"/>
      <c r="AA191" s="30"/>
      <c r="AB191" s="30"/>
      <c r="AE191" s="30"/>
    </row>
    <row r="192" spans="1:31" s="29" customFormat="1" ht="23.25" customHeight="1" x14ac:dyDescent="0.25">
      <c r="A192" s="44" t="s">
        <v>243</v>
      </c>
      <c r="B192" s="45" t="s">
        <v>176</v>
      </c>
      <c r="C192" s="45"/>
      <c r="D192" s="736">
        <v>43976</v>
      </c>
      <c r="E192" s="736">
        <v>44872</v>
      </c>
      <c r="F192" s="73">
        <v>2912</v>
      </c>
      <c r="G192" s="73">
        <f t="shared" si="58"/>
        <v>910</v>
      </c>
      <c r="H192" s="16"/>
      <c r="I192" s="16"/>
      <c r="J192" s="736">
        <f>D192+364*5-14</f>
        <v>45782</v>
      </c>
      <c r="K192" s="736">
        <f t="shared" si="59"/>
        <v>45054</v>
      </c>
      <c r="L192" s="46">
        <v>20000000</v>
      </c>
      <c r="M192" s="18"/>
      <c r="N192" s="46">
        <v>20027800</v>
      </c>
      <c r="O192" s="20">
        <f t="shared" si="60"/>
        <v>5833500</v>
      </c>
      <c r="P192" s="47">
        <v>0.11667</v>
      </c>
      <c r="Q192" s="48">
        <v>1.0389429999999999</v>
      </c>
      <c r="R192" s="22">
        <f t="shared" si="61"/>
        <v>20778860</v>
      </c>
      <c r="S192" s="12">
        <v>0.11748</v>
      </c>
      <c r="T192" s="75">
        <v>1166700</v>
      </c>
      <c r="U192" s="563">
        <v>352574.17582417582</v>
      </c>
      <c r="V192" s="90">
        <f t="shared" si="62"/>
        <v>814125.82417582418</v>
      </c>
      <c r="W192" s="13"/>
      <c r="Z192" s="30"/>
      <c r="AA192" s="30"/>
      <c r="AB192" s="30"/>
      <c r="AE192" s="30"/>
    </row>
    <row r="193" spans="1:31" s="29" customFormat="1" ht="21.5" customHeight="1" x14ac:dyDescent="0.25">
      <c r="A193" s="44" t="s">
        <v>243</v>
      </c>
      <c r="B193" s="45" t="s">
        <v>176</v>
      </c>
      <c r="C193" s="45"/>
      <c r="D193" s="736">
        <v>43976</v>
      </c>
      <c r="E193" s="736">
        <v>44872</v>
      </c>
      <c r="F193" s="73">
        <v>2912</v>
      </c>
      <c r="G193" s="73">
        <f t="shared" si="58"/>
        <v>910</v>
      </c>
      <c r="H193" s="16"/>
      <c r="I193" s="16"/>
      <c r="J193" s="736">
        <f>D193+364*5-14</f>
        <v>45782</v>
      </c>
      <c r="K193" s="736">
        <f t="shared" si="59"/>
        <v>45054</v>
      </c>
      <c r="L193" s="46">
        <v>20000000</v>
      </c>
      <c r="M193" s="18"/>
      <c r="N193" s="46">
        <v>20077800</v>
      </c>
      <c r="O193" s="20">
        <f t="shared" si="60"/>
        <v>5833500</v>
      </c>
      <c r="P193" s="47">
        <v>0.11667</v>
      </c>
      <c r="Q193" s="48">
        <v>1.0389429999999999</v>
      </c>
      <c r="R193" s="22">
        <f t="shared" si="61"/>
        <v>20778860</v>
      </c>
      <c r="S193" s="12">
        <v>0.1168</v>
      </c>
      <c r="T193" s="75">
        <v>1166700</v>
      </c>
      <c r="U193" s="563">
        <v>352574.17582417582</v>
      </c>
      <c r="V193" s="90">
        <f t="shared" si="62"/>
        <v>814125.82417582418</v>
      </c>
      <c r="W193" s="13"/>
      <c r="Z193" s="30"/>
      <c r="AA193" s="30"/>
      <c r="AB193" s="30"/>
      <c r="AE193" s="30"/>
    </row>
    <row r="194" spans="1:31" s="29" customFormat="1" ht="22.5" customHeight="1" x14ac:dyDescent="0.25">
      <c r="A194" s="44" t="s">
        <v>243</v>
      </c>
      <c r="B194" s="45" t="s">
        <v>176</v>
      </c>
      <c r="C194" s="45"/>
      <c r="D194" s="736">
        <v>43976</v>
      </c>
      <c r="E194" s="736">
        <v>44872</v>
      </c>
      <c r="F194" s="73">
        <v>2912</v>
      </c>
      <c r="G194" s="73">
        <f t="shared" si="58"/>
        <v>910</v>
      </c>
      <c r="H194" s="16"/>
      <c r="I194" s="16"/>
      <c r="J194" s="736">
        <f>D194+364*5-14</f>
        <v>45782</v>
      </c>
      <c r="K194" s="736">
        <f t="shared" si="59"/>
        <v>45054</v>
      </c>
      <c r="L194" s="46">
        <v>20000000</v>
      </c>
      <c r="M194" s="18"/>
      <c r="N194" s="46">
        <v>20063000</v>
      </c>
      <c r="O194" s="20">
        <f t="shared" si="60"/>
        <v>5833500</v>
      </c>
      <c r="P194" s="47">
        <v>0.11667</v>
      </c>
      <c r="Q194" s="48">
        <v>1.0389429999999999</v>
      </c>
      <c r="R194" s="22">
        <f t="shared" si="61"/>
        <v>20778860</v>
      </c>
      <c r="S194" s="12">
        <v>0.11700000000000001</v>
      </c>
      <c r="T194" s="75">
        <v>1166700</v>
      </c>
      <c r="U194" s="563">
        <v>352574.17582417582</v>
      </c>
      <c r="V194" s="90">
        <f t="shared" si="62"/>
        <v>814125.82417582418</v>
      </c>
      <c r="W194" s="13"/>
      <c r="Z194" s="30"/>
      <c r="AA194" s="30"/>
      <c r="AB194" s="30"/>
      <c r="AE194" s="30"/>
    </row>
    <row r="195" spans="1:31" s="29" customFormat="1" ht="22.5" customHeight="1" x14ac:dyDescent="0.25">
      <c r="A195" s="44" t="s">
        <v>243</v>
      </c>
      <c r="B195" s="45" t="s">
        <v>176</v>
      </c>
      <c r="C195" s="45"/>
      <c r="D195" s="736">
        <v>43976</v>
      </c>
      <c r="E195" s="736">
        <v>44872</v>
      </c>
      <c r="F195" s="73">
        <v>2912</v>
      </c>
      <c r="G195" s="73">
        <f t="shared" si="58"/>
        <v>910</v>
      </c>
      <c r="H195" s="16"/>
      <c r="I195" s="16"/>
      <c r="J195" s="736">
        <f>D195+364*5-14</f>
        <v>45782</v>
      </c>
      <c r="K195" s="736">
        <f t="shared" si="59"/>
        <v>45054</v>
      </c>
      <c r="L195" s="46">
        <v>20000000</v>
      </c>
      <c r="M195" s="18"/>
      <c r="N195" s="46">
        <v>20026200</v>
      </c>
      <c r="O195" s="20">
        <f t="shared" si="60"/>
        <v>5833500</v>
      </c>
      <c r="P195" s="47">
        <v>0.11667</v>
      </c>
      <c r="Q195" s="48">
        <v>1.0389429999999999</v>
      </c>
      <c r="R195" s="22">
        <f t="shared" si="61"/>
        <v>20778860</v>
      </c>
      <c r="S195" s="12">
        <v>0.11749999999999999</v>
      </c>
      <c r="T195" s="75">
        <v>1166700</v>
      </c>
      <c r="U195" s="563">
        <v>352574.17582417582</v>
      </c>
      <c r="V195" s="90">
        <f t="shared" si="62"/>
        <v>814125.82417582418</v>
      </c>
      <c r="W195" s="13"/>
      <c r="Z195" s="30"/>
      <c r="AA195" s="30"/>
      <c r="AB195" s="30"/>
      <c r="AE195" s="30"/>
    </row>
    <row r="196" spans="1:31" s="29" customFormat="1" ht="22.5" customHeight="1" x14ac:dyDescent="0.25">
      <c r="A196" s="44" t="s">
        <v>243</v>
      </c>
      <c r="B196" s="45" t="s">
        <v>176</v>
      </c>
      <c r="C196" s="45"/>
      <c r="D196" s="736">
        <v>43976</v>
      </c>
      <c r="E196" s="736">
        <v>44872</v>
      </c>
      <c r="F196" s="73">
        <v>2912</v>
      </c>
      <c r="G196" s="73">
        <f t="shared" si="58"/>
        <v>910</v>
      </c>
      <c r="H196" s="16"/>
      <c r="I196" s="16"/>
      <c r="J196" s="736">
        <f>D196+364*5-14</f>
        <v>45782</v>
      </c>
      <c r="K196" s="736">
        <f t="shared" si="59"/>
        <v>45054</v>
      </c>
      <c r="L196" s="46">
        <v>20000000</v>
      </c>
      <c r="M196" s="18"/>
      <c r="N196" s="46">
        <v>20048400</v>
      </c>
      <c r="O196" s="20">
        <f t="shared" si="60"/>
        <v>5833500</v>
      </c>
      <c r="P196" s="47">
        <v>0.11667</v>
      </c>
      <c r="Q196" s="48">
        <v>1.0389429999999999</v>
      </c>
      <c r="R196" s="22">
        <f t="shared" si="61"/>
        <v>20778860</v>
      </c>
      <c r="S196" s="12">
        <v>0.1172</v>
      </c>
      <c r="T196" s="75">
        <v>1166700</v>
      </c>
      <c r="U196" s="563">
        <v>352574.17582417582</v>
      </c>
      <c r="V196" s="90">
        <f t="shared" si="62"/>
        <v>814125.82417582418</v>
      </c>
      <c r="W196" s="13"/>
      <c r="Z196" s="30"/>
      <c r="AA196" s="30"/>
      <c r="AB196" s="30"/>
      <c r="AE196" s="30"/>
    </row>
    <row r="197" spans="1:31" s="29" customFormat="1" ht="22.5" customHeight="1" x14ac:dyDescent="0.25">
      <c r="A197" s="44" t="s">
        <v>243</v>
      </c>
      <c r="B197" s="45" t="s">
        <v>176</v>
      </c>
      <c r="C197" s="52"/>
      <c r="D197" s="736">
        <v>44039</v>
      </c>
      <c r="E197" s="736">
        <v>44872</v>
      </c>
      <c r="F197" s="73">
        <v>3969.42</v>
      </c>
      <c r="G197" s="73">
        <f t="shared" si="58"/>
        <v>910</v>
      </c>
      <c r="H197" s="73"/>
      <c r="I197" s="73"/>
      <c r="J197" s="736">
        <f>D197+364*5-77</f>
        <v>45782</v>
      </c>
      <c r="K197" s="736">
        <f t="shared" si="59"/>
        <v>45054</v>
      </c>
      <c r="L197" s="46">
        <v>20000000</v>
      </c>
      <c r="M197" s="53"/>
      <c r="N197" s="46">
        <v>21530600</v>
      </c>
      <c r="O197" s="20">
        <f t="shared" si="60"/>
        <v>5833500</v>
      </c>
      <c r="P197" s="47">
        <v>0.11667</v>
      </c>
      <c r="Q197" s="48">
        <v>1.0389429999999999</v>
      </c>
      <c r="R197" s="22">
        <f t="shared" si="61"/>
        <v>20778860</v>
      </c>
      <c r="S197" s="12">
        <v>0.1026</v>
      </c>
      <c r="T197" s="75">
        <v>1166700</v>
      </c>
      <c r="U197" s="563">
        <v>352574.17582417582</v>
      </c>
      <c r="V197" s="90">
        <f t="shared" si="62"/>
        <v>814125.82417582418</v>
      </c>
      <c r="W197" s="13"/>
      <c r="Z197" s="30"/>
      <c r="AA197" s="30"/>
      <c r="AB197" s="30"/>
      <c r="AE197" s="30"/>
    </row>
    <row r="198" spans="1:31" s="29" customFormat="1" ht="23.25" customHeight="1" x14ac:dyDescent="0.25">
      <c r="A198" s="44" t="s">
        <v>187</v>
      </c>
      <c r="B198" s="45" t="s">
        <v>176</v>
      </c>
      <c r="C198" s="45"/>
      <c r="D198" s="736">
        <v>42513</v>
      </c>
      <c r="E198" s="736">
        <v>44879</v>
      </c>
      <c r="F198" s="73">
        <v>2912</v>
      </c>
      <c r="G198" s="73">
        <f t="shared" ref="G198:G214" si="65">J198-E198</f>
        <v>910</v>
      </c>
      <c r="H198" s="16"/>
      <c r="I198" s="16"/>
      <c r="J198" s="736">
        <f>D198+364*9</f>
        <v>45789</v>
      </c>
      <c r="K198" s="736">
        <f t="shared" ref="K198:K214" si="66">E198+182</f>
        <v>45061</v>
      </c>
      <c r="L198" s="46">
        <f>20000000-4550000</f>
        <v>15450000</v>
      </c>
      <c r="M198" s="18"/>
      <c r="N198" s="46">
        <v>20000000</v>
      </c>
      <c r="O198" s="20">
        <f t="shared" ref="O198:O214" si="67">L198*P198*G198/364</f>
        <v>4828125</v>
      </c>
      <c r="P198" s="47">
        <v>0.125</v>
      </c>
      <c r="Q198" s="48">
        <v>1.0623089999999999</v>
      </c>
      <c r="R198" s="22">
        <f t="shared" ref="R198:R214" si="68">+L198*Q198</f>
        <v>16412674.049999999</v>
      </c>
      <c r="S198" s="12">
        <v>0.125</v>
      </c>
      <c r="T198" s="75">
        <v>965625</v>
      </c>
      <c r="U198" s="563">
        <v>254670.32967032967</v>
      </c>
      <c r="V198" s="90">
        <f t="shared" ref="V198:V214" si="69">+T198-U198</f>
        <v>710954.67032967031</v>
      </c>
      <c r="W198" s="13"/>
      <c r="Z198" s="30"/>
      <c r="AA198" s="30"/>
      <c r="AB198" s="30"/>
      <c r="AE198" s="30"/>
    </row>
    <row r="199" spans="1:31" s="29" customFormat="1" ht="23.25" customHeight="1" x14ac:dyDescent="0.25">
      <c r="A199" s="44" t="s">
        <v>256</v>
      </c>
      <c r="B199" s="45" t="s">
        <v>176</v>
      </c>
      <c r="C199" s="52"/>
      <c r="D199" s="736">
        <v>44095</v>
      </c>
      <c r="E199" s="736">
        <v>44879</v>
      </c>
      <c r="F199" s="73">
        <v>1638</v>
      </c>
      <c r="G199" s="73">
        <f t="shared" si="65"/>
        <v>3094</v>
      </c>
      <c r="H199" s="73"/>
      <c r="I199" s="73"/>
      <c r="J199" s="736">
        <f>D199+(3878)</f>
        <v>47973</v>
      </c>
      <c r="K199" s="736">
        <f t="shared" si="66"/>
        <v>45061</v>
      </c>
      <c r="L199" s="46">
        <v>20000000</v>
      </c>
      <c r="M199" s="53"/>
      <c r="N199" s="46">
        <v>18455400</v>
      </c>
      <c r="O199" s="20">
        <f t="shared" si="67"/>
        <v>17000000</v>
      </c>
      <c r="P199" s="47">
        <v>0.1</v>
      </c>
      <c r="Q199" s="48">
        <v>0.86387800000000003</v>
      </c>
      <c r="R199" s="22">
        <f t="shared" si="68"/>
        <v>17277560</v>
      </c>
      <c r="S199" s="12">
        <v>0.11872000000000001</v>
      </c>
      <c r="T199" s="75">
        <v>1000000</v>
      </c>
      <c r="U199" s="563">
        <v>263736.26373626373</v>
      </c>
      <c r="V199" s="90">
        <f t="shared" si="69"/>
        <v>736263.73626373627</v>
      </c>
      <c r="W199" s="13"/>
      <c r="Z199" s="30"/>
      <c r="AA199" s="30"/>
      <c r="AB199" s="30"/>
      <c r="AE199" s="30"/>
    </row>
    <row r="200" spans="1:31" s="29" customFormat="1" ht="21.5" customHeight="1" x14ac:dyDescent="0.25">
      <c r="A200" s="44" t="s">
        <v>256</v>
      </c>
      <c r="B200" s="45" t="s">
        <v>176</v>
      </c>
      <c r="C200" s="52"/>
      <c r="D200" s="736">
        <v>44095</v>
      </c>
      <c r="E200" s="736">
        <v>44879</v>
      </c>
      <c r="F200" s="73">
        <v>1638</v>
      </c>
      <c r="G200" s="73">
        <f t="shared" si="65"/>
        <v>3094</v>
      </c>
      <c r="H200" s="73"/>
      <c r="I200" s="73"/>
      <c r="J200" s="736">
        <f>D200+(3878)</f>
        <v>47973</v>
      </c>
      <c r="K200" s="736">
        <f t="shared" si="66"/>
        <v>45061</v>
      </c>
      <c r="L200" s="46">
        <v>10000000</v>
      </c>
      <c r="M200" s="53"/>
      <c r="N200" s="46">
        <v>9239800</v>
      </c>
      <c r="O200" s="20">
        <f t="shared" si="67"/>
        <v>8500000</v>
      </c>
      <c r="P200" s="47">
        <v>0.1</v>
      </c>
      <c r="Q200" s="48">
        <v>0.86387800000000003</v>
      </c>
      <c r="R200" s="22">
        <f t="shared" si="68"/>
        <v>8638780</v>
      </c>
      <c r="S200" s="12">
        <v>0.11849999999999999</v>
      </c>
      <c r="T200" s="75">
        <v>500000</v>
      </c>
      <c r="U200" s="563">
        <v>131868.13186813187</v>
      </c>
      <c r="V200" s="90">
        <f t="shared" si="69"/>
        <v>368131.86813186813</v>
      </c>
      <c r="W200" s="13"/>
      <c r="Z200" s="30"/>
      <c r="AA200" s="30"/>
      <c r="AB200" s="30"/>
      <c r="AE200" s="30"/>
    </row>
    <row r="201" spans="1:31" s="29" customFormat="1" ht="22.5" customHeight="1" x14ac:dyDescent="0.25">
      <c r="A201" s="44" t="s">
        <v>299</v>
      </c>
      <c r="B201" s="45" t="s">
        <v>176</v>
      </c>
      <c r="C201" s="52"/>
      <c r="D201" s="736">
        <v>44515</v>
      </c>
      <c r="E201" s="736">
        <v>44879</v>
      </c>
      <c r="F201" s="73">
        <v>1638</v>
      </c>
      <c r="G201" s="73">
        <f t="shared" si="65"/>
        <v>1456</v>
      </c>
      <c r="H201" s="73"/>
      <c r="I201" s="73"/>
      <c r="J201" s="736">
        <f>D201+(364*5)</f>
        <v>46335</v>
      </c>
      <c r="K201" s="736">
        <f t="shared" si="66"/>
        <v>45061</v>
      </c>
      <c r="L201" s="46">
        <v>20000000</v>
      </c>
      <c r="M201" s="53"/>
      <c r="N201" s="46">
        <v>20000000</v>
      </c>
      <c r="O201" s="20">
        <f t="shared" si="67"/>
        <v>9021600</v>
      </c>
      <c r="P201" s="47">
        <v>0.11277</v>
      </c>
      <c r="Q201" s="48">
        <v>0.99521800000000005</v>
      </c>
      <c r="R201" s="22">
        <f t="shared" si="68"/>
        <v>19904360</v>
      </c>
      <c r="S201" s="12">
        <v>0.11277</v>
      </c>
      <c r="T201" s="75">
        <v>1127700</v>
      </c>
      <c r="U201" s="563">
        <v>297415.38461538462</v>
      </c>
      <c r="V201" s="90">
        <f t="shared" si="69"/>
        <v>830284.61538461538</v>
      </c>
      <c r="W201" s="13"/>
      <c r="Z201" s="30"/>
      <c r="AA201" s="30"/>
      <c r="AB201" s="30"/>
      <c r="AE201" s="30"/>
    </row>
    <row r="202" spans="1:31" s="29" customFormat="1" ht="22.5" customHeight="1" x14ac:dyDescent="0.25">
      <c r="A202" s="44" t="s">
        <v>299</v>
      </c>
      <c r="B202" s="45" t="s">
        <v>176</v>
      </c>
      <c r="C202" s="52"/>
      <c r="D202" s="736">
        <v>44515</v>
      </c>
      <c r="E202" s="736">
        <v>44879</v>
      </c>
      <c r="F202" s="73">
        <v>1638</v>
      </c>
      <c r="G202" s="73">
        <f t="shared" si="65"/>
        <v>1456</v>
      </c>
      <c r="H202" s="73"/>
      <c r="I202" s="73"/>
      <c r="J202" s="736">
        <f>D202+(364*5)</f>
        <v>46335</v>
      </c>
      <c r="K202" s="736">
        <f t="shared" si="66"/>
        <v>45061</v>
      </c>
      <c r="L202" s="46">
        <v>40000000</v>
      </c>
      <c r="M202" s="53"/>
      <c r="N202" s="46">
        <v>40040400</v>
      </c>
      <c r="O202" s="20">
        <f t="shared" si="67"/>
        <v>18043200</v>
      </c>
      <c r="P202" s="47">
        <v>0.11277</v>
      </c>
      <c r="Q202" s="48">
        <v>0.99521800000000005</v>
      </c>
      <c r="R202" s="22">
        <f t="shared" si="68"/>
        <v>39808720</v>
      </c>
      <c r="S202" s="12">
        <v>0.1125</v>
      </c>
      <c r="T202" s="75">
        <v>2255400</v>
      </c>
      <c r="U202" s="563">
        <v>594830.76923076925</v>
      </c>
      <c r="V202" s="90">
        <f t="shared" si="69"/>
        <v>1660569.2307692308</v>
      </c>
      <c r="W202" s="13"/>
      <c r="Z202" s="30"/>
      <c r="AA202" s="30"/>
      <c r="AB202" s="30"/>
      <c r="AE202" s="30"/>
    </row>
    <row r="203" spans="1:31" s="29" customFormat="1" ht="22.5" customHeight="1" x14ac:dyDescent="0.25">
      <c r="A203" s="44" t="s">
        <v>299</v>
      </c>
      <c r="B203" s="45" t="s">
        <v>176</v>
      </c>
      <c r="C203" s="52"/>
      <c r="D203" s="736">
        <v>44515</v>
      </c>
      <c r="E203" s="736">
        <v>44879</v>
      </c>
      <c r="F203" s="73">
        <v>1638</v>
      </c>
      <c r="G203" s="73">
        <f t="shared" si="65"/>
        <v>1456</v>
      </c>
      <c r="H203" s="73"/>
      <c r="I203" s="73"/>
      <c r="J203" s="736">
        <f>D203+(364*5)</f>
        <v>46335</v>
      </c>
      <c r="K203" s="736">
        <f t="shared" si="66"/>
        <v>45061</v>
      </c>
      <c r="L203" s="46">
        <v>40000000</v>
      </c>
      <c r="M203" s="53"/>
      <c r="N203" s="46">
        <v>39965600</v>
      </c>
      <c r="O203" s="20">
        <f t="shared" si="67"/>
        <v>18043200</v>
      </c>
      <c r="P203" s="47">
        <v>0.11277</v>
      </c>
      <c r="Q203" s="48">
        <v>0.99521800000000005</v>
      </c>
      <c r="R203" s="22">
        <f t="shared" si="68"/>
        <v>39808720</v>
      </c>
      <c r="S203" s="12">
        <v>0.113</v>
      </c>
      <c r="T203" s="75">
        <v>2255400</v>
      </c>
      <c r="U203" s="563">
        <v>594830.76923076925</v>
      </c>
      <c r="V203" s="90">
        <f t="shared" si="69"/>
        <v>1660569.2307692308</v>
      </c>
      <c r="W203" s="13"/>
      <c r="Z203" s="30"/>
      <c r="AA203" s="30"/>
      <c r="AB203" s="30"/>
      <c r="AE203" s="30"/>
    </row>
    <row r="204" spans="1:31" s="29" customFormat="1" ht="22.5" customHeight="1" x14ac:dyDescent="0.25">
      <c r="A204" s="44" t="s">
        <v>299</v>
      </c>
      <c r="B204" s="45" t="s">
        <v>176</v>
      </c>
      <c r="C204" s="52"/>
      <c r="D204" s="736">
        <v>44515</v>
      </c>
      <c r="E204" s="736">
        <v>44879</v>
      </c>
      <c r="F204" s="73">
        <v>1638</v>
      </c>
      <c r="G204" s="73">
        <f t="shared" si="65"/>
        <v>1456</v>
      </c>
      <c r="H204" s="73"/>
      <c r="I204" s="73"/>
      <c r="J204" s="736">
        <f>D204+(364*5)</f>
        <v>46335</v>
      </c>
      <c r="K204" s="736">
        <f t="shared" si="66"/>
        <v>45061</v>
      </c>
      <c r="L204" s="46">
        <v>40000000</v>
      </c>
      <c r="M204" s="53"/>
      <c r="N204" s="46">
        <v>39890800</v>
      </c>
      <c r="O204" s="20">
        <f t="shared" si="67"/>
        <v>18043200</v>
      </c>
      <c r="P204" s="47">
        <v>0.11277</v>
      </c>
      <c r="Q204" s="48">
        <v>0.99521800000000005</v>
      </c>
      <c r="R204" s="22">
        <f t="shared" si="68"/>
        <v>39808720</v>
      </c>
      <c r="S204" s="12">
        <v>0.1135</v>
      </c>
      <c r="T204" s="75">
        <v>2255400</v>
      </c>
      <c r="U204" s="563">
        <v>594830.76923076925</v>
      </c>
      <c r="V204" s="90">
        <f t="shared" si="69"/>
        <v>1660569.2307692308</v>
      </c>
      <c r="W204" s="13"/>
      <c r="Z204" s="30"/>
      <c r="AA204" s="30"/>
      <c r="AB204" s="30"/>
      <c r="AE204" s="30"/>
    </row>
    <row r="205" spans="1:31" s="29" customFormat="1" ht="22.5" customHeight="1" x14ac:dyDescent="0.25">
      <c r="A205" s="44" t="s">
        <v>299</v>
      </c>
      <c r="B205" s="45" t="s">
        <v>176</v>
      </c>
      <c r="C205" s="52"/>
      <c r="D205" s="736">
        <v>44515</v>
      </c>
      <c r="E205" s="736">
        <v>44879</v>
      </c>
      <c r="F205" s="73">
        <v>1638</v>
      </c>
      <c r="G205" s="73">
        <f t="shared" si="65"/>
        <v>1456</v>
      </c>
      <c r="H205" s="73"/>
      <c r="I205" s="73"/>
      <c r="J205" s="736">
        <f>D205+(364*5)</f>
        <v>46335</v>
      </c>
      <c r="K205" s="736">
        <f t="shared" si="66"/>
        <v>45061</v>
      </c>
      <c r="L205" s="46">
        <v>40000000</v>
      </c>
      <c r="M205" s="53"/>
      <c r="N205" s="46">
        <v>39816400</v>
      </c>
      <c r="O205" s="20">
        <f t="shared" si="67"/>
        <v>18043200</v>
      </c>
      <c r="P205" s="47">
        <v>0.11277</v>
      </c>
      <c r="Q205" s="48">
        <v>0.99521800000000005</v>
      </c>
      <c r="R205" s="22">
        <f t="shared" si="68"/>
        <v>39808720</v>
      </c>
      <c r="S205" s="12">
        <v>0.114</v>
      </c>
      <c r="T205" s="75">
        <v>2255400</v>
      </c>
      <c r="U205" s="563">
        <v>594830.76923076925</v>
      </c>
      <c r="V205" s="90">
        <f t="shared" si="69"/>
        <v>1660569.2307692308</v>
      </c>
      <c r="W205" s="13"/>
      <c r="Z205" s="30"/>
      <c r="AA205" s="30"/>
      <c r="AB205" s="30"/>
      <c r="AE205" s="30"/>
    </row>
    <row r="206" spans="1:31" s="29" customFormat="1" ht="22.5" customHeight="1" x14ac:dyDescent="0.25">
      <c r="A206" s="44" t="s">
        <v>320</v>
      </c>
      <c r="B206" s="45" t="s">
        <v>176</v>
      </c>
      <c r="C206" s="45"/>
      <c r="D206" s="736">
        <v>44879</v>
      </c>
      <c r="E206" s="736">
        <v>44879</v>
      </c>
      <c r="F206" s="73">
        <v>5278</v>
      </c>
      <c r="G206" s="73">
        <f t="shared" si="65"/>
        <v>5096</v>
      </c>
      <c r="H206" s="16"/>
      <c r="I206" s="16"/>
      <c r="J206" s="736">
        <f>D206+(364*14)</f>
        <v>49975</v>
      </c>
      <c r="K206" s="736">
        <f t="shared" si="66"/>
        <v>45061</v>
      </c>
      <c r="L206" s="46">
        <v>20000000</v>
      </c>
      <c r="M206" s="18">
        <v>10000000</v>
      </c>
      <c r="N206" s="46">
        <v>20205000</v>
      </c>
      <c r="O206" s="20">
        <f t="shared" si="67"/>
        <v>39026400</v>
      </c>
      <c r="P206" s="47">
        <v>0.13938</v>
      </c>
      <c r="Q206" s="48">
        <v>0.95607200000000003</v>
      </c>
      <c r="R206" s="22">
        <f t="shared" si="68"/>
        <v>19121440</v>
      </c>
      <c r="S206" s="12">
        <v>0.13750000000000001</v>
      </c>
      <c r="T206" s="75">
        <v>1393800</v>
      </c>
      <c r="U206" s="563">
        <v>367595.6043956044</v>
      </c>
      <c r="V206" s="90">
        <f t="shared" si="69"/>
        <v>1026204.3956043955</v>
      </c>
      <c r="W206" s="13"/>
      <c r="Z206" s="30"/>
      <c r="AA206" s="30"/>
      <c r="AB206" s="30"/>
      <c r="AE206" s="30"/>
    </row>
    <row r="207" spans="1:31" s="29" customFormat="1" ht="22.5" customHeight="1" x14ac:dyDescent="0.25">
      <c r="A207" s="44" t="s">
        <v>320</v>
      </c>
      <c r="B207" s="45" t="s">
        <v>176</v>
      </c>
      <c r="C207" s="45"/>
      <c r="D207" s="736">
        <v>44879</v>
      </c>
      <c r="E207" s="736">
        <v>44879</v>
      </c>
      <c r="F207" s="73">
        <v>5278</v>
      </c>
      <c r="G207" s="73">
        <f t="shared" si="65"/>
        <v>5096</v>
      </c>
      <c r="H207" s="16"/>
      <c r="I207" s="16"/>
      <c r="J207" s="736">
        <f>D207+(364*14)</f>
        <v>49975</v>
      </c>
      <c r="K207" s="736">
        <f t="shared" si="66"/>
        <v>45061</v>
      </c>
      <c r="L207" s="46">
        <v>20000000</v>
      </c>
      <c r="M207" s="18">
        <v>10000000</v>
      </c>
      <c r="N207" s="46">
        <v>20150200</v>
      </c>
      <c r="O207" s="20">
        <f t="shared" si="67"/>
        <v>39026400</v>
      </c>
      <c r="P207" s="47">
        <v>0.13938</v>
      </c>
      <c r="Q207" s="48">
        <v>0.95607200000000003</v>
      </c>
      <c r="R207" s="22">
        <f t="shared" si="68"/>
        <v>19121440</v>
      </c>
      <c r="S207" s="12">
        <v>0.13800000000000001</v>
      </c>
      <c r="T207" s="75">
        <v>1393800</v>
      </c>
      <c r="U207" s="563">
        <v>367595.6043956044</v>
      </c>
      <c r="V207" s="90">
        <f t="shared" si="69"/>
        <v>1026204.3956043955</v>
      </c>
      <c r="W207" s="13"/>
      <c r="Z207" s="30"/>
      <c r="AA207" s="30"/>
      <c r="AB207" s="30"/>
      <c r="AE207" s="30"/>
    </row>
    <row r="208" spans="1:31" s="29" customFormat="1" ht="22.5" customHeight="1" x14ac:dyDescent="0.25">
      <c r="A208" s="44" t="s">
        <v>320</v>
      </c>
      <c r="B208" s="45" t="s">
        <v>176</v>
      </c>
      <c r="C208" s="45"/>
      <c r="D208" s="736">
        <v>44879</v>
      </c>
      <c r="E208" s="736">
        <v>44879</v>
      </c>
      <c r="F208" s="73">
        <v>5278</v>
      </c>
      <c r="G208" s="73">
        <f t="shared" si="65"/>
        <v>5096</v>
      </c>
      <c r="H208" s="16"/>
      <c r="I208" s="16"/>
      <c r="J208" s="736">
        <f>D208+(364*14)</f>
        <v>49975</v>
      </c>
      <c r="K208" s="736">
        <f t="shared" si="66"/>
        <v>45061</v>
      </c>
      <c r="L208" s="46">
        <v>15000000</v>
      </c>
      <c r="M208" s="18">
        <v>10000000</v>
      </c>
      <c r="N208" s="46">
        <v>15071700</v>
      </c>
      <c r="O208" s="20">
        <f t="shared" si="67"/>
        <v>29269800</v>
      </c>
      <c r="P208" s="47">
        <v>0.13938</v>
      </c>
      <c r="Q208" s="48">
        <v>0.95607200000000003</v>
      </c>
      <c r="R208" s="22">
        <f t="shared" si="68"/>
        <v>14341080</v>
      </c>
      <c r="S208" s="12">
        <v>0.13850000000000001</v>
      </c>
      <c r="T208" s="75">
        <v>1045350</v>
      </c>
      <c r="U208" s="563">
        <v>275696.70329670329</v>
      </c>
      <c r="V208" s="90">
        <f t="shared" si="69"/>
        <v>769653.29670329671</v>
      </c>
      <c r="W208" s="13"/>
      <c r="Z208" s="30"/>
      <c r="AA208" s="30"/>
      <c r="AB208" s="30"/>
      <c r="AE208" s="30"/>
    </row>
    <row r="209" spans="1:31" s="29" customFormat="1" ht="22.5" customHeight="1" x14ac:dyDescent="0.25">
      <c r="A209" s="44" t="s">
        <v>320</v>
      </c>
      <c r="B209" s="45" t="s">
        <v>176</v>
      </c>
      <c r="C209" s="45"/>
      <c r="D209" s="736">
        <v>44879</v>
      </c>
      <c r="E209" s="736">
        <v>44879</v>
      </c>
      <c r="F209" s="73">
        <v>5278</v>
      </c>
      <c r="G209" s="73">
        <f t="shared" si="65"/>
        <v>5096</v>
      </c>
      <c r="H209" s="16"/>
      <c r="I209" s="16"/>
      <c r="J209" s="736">
        <f>D209+(364*14)</f>
        <v>49975</v>
      </c>
      <c r="K209" s="736">
        <f t="shared" si="66"/>
        <v>45061</v>
      </c>
      <c r="L209" s="46">
        <v>20000000</v>
      </c>
      <c r="M209" s="18">
        <v>10000000</v>
      </c>
      <c r="N209" s="46">
        <v>20000000</v>
      </c>
      <c r="O209" s="20">
        <f t="shared" si="67"/>
        <v>39026400</v>
      </c>
      <c r="P209" s="47">
        <v>0.13938</v>
      </c>
      <c r="Q209" s="48">
        <v>0.95607200000000003</v>
      </c>
      <c r="R209" s="22">
        <f t="shared" si="68"/>
        <v>19121440</v>
      </c>
      <c r="S209" s="12">
        <v>0.13938</v>
      </c>
      <c r="T209" s="75">
        <v>1393800</v>
      </c>
      <c r="U209" s="563">
        <v>367595.6043956044</v>
      </c>
      <c r="V209" s="90">
        <f t="shared" si="69"/>
        <v>1026204.3956043955</v>
      </c>
      <c r="W209" s="13"/>
      <c r="Z209" s="30"/>
      <c r="AA209" s="30"/>
      <c r="AB209" s="30"/>
      <c r="AE209" s="30"/>
    </row>
    <row r="210" spans="1:31" s="29" customFormat="1" ht="23.25" customHeight="1" x14ac:dyDescent="0.25">
      <c r="A210" s="44" t="s">
        <v>282</v>
      </c>
      <c r="B210" s="45" t="s">
        <v>176</v>
      </c>
      <c r="C210" s="52"/>
      <c r="D210" s="736">
        <v>44396</v>
      </c>
      <c r="E210" s="736">
        <v>44886</v>
      </c>
      <c r="F210" s="73">
        <v>3969.42</v>
      </c>
      <c r="G210" s="73">
        <f t="shared" si="65"/>
        <v>3822</v>
      </c>
      <c r="H210" s="73"/>
      <c r="I210" s="73"/>
      <c r="J210" s="736">
        <f>D210+4312</f>
        <v>48708</v>
      </c>
      <c r="K210" s="736">
        <f t="shared" si="66"/>
        <v>45068</v>
      </c>
      <c r="L210" s="46">
        <v>30000000</v>
      </c>
      <c r="M210" s="53"/>
      <c r="N210" s="46">
        <v>30571500</v>
      </c>
      <c r="O210" s="20">
        <f t="shared" si="67"/>
        <v>39847500</v>
      </c>
      <c r="P210" s="47">
        <v>0.1265</v>
      </c>
      <c r="Q210" s="48">
        <v>0.99346999999999996</v>
      </c>
      <c r="R210" s="22">
        <f t="shared" si="68"/>
        <v>29804100</v>
      </c>
      <c r="S210" s="12">
        <v>0.1265</v>
      </c>
      <c r="T210" s="75">
        <v>1897500.0000000002</v>
      </c>
      <c r="U210" s="563">
        <v>427458.79120879126</v>
      </c>
      <c r="V210" s="90">
        <f t="shared" si="69"/>
        <v>1470041.2087912089</v>
      </c>
      <c r="W210" s="13"/>
      <c r="Z210" s="30"/>
      <c r="AA210" s="30"/>
      <c r="AB210" s="30"/>
      <c r="AE210" s="30"/>
    </row>
    <row r="211" spans="1:31" s="29" customFormat="1" ht="23.25" customHeight="1" x14ac:dyDescent="0.25">
      <c r="A211" s="44" t="s">
        <v>300</v>
      </c>
      <c r="B211" s="45" t="s">
        <v>176</v>
      </c>
      <c r="C211" s="52"/>
      <c r="D211" s="736">
        <v>44543</v>
      </c>
      <c r="E211" s="736">
        <v>44886</v>
      </c>
      <c r="F211" s="73">
        <v>3969.42</v>
      </c>
      <c r="G211" s="73">
        <f t="shared" si="65"/>
        <v>2548</v>
      </c>
      <c r="H211" s="73"/>
      <c r="I211" s="73"/>
      <c r="J211" s="736">
        <f>D211+2891</f>
        <v>47434</v>
      </c>
      <c r="K211" s="736">
        <f t="shared" si="66"/>
        <v>45068</v>
      </c>
      <c r="L211" s="46">
        <v>20000000</v>
      </c>
      <c r="M211" s="53"/>
      <c r="N211" s="46">
        <v>19781600</v>
      </c>
      <c r="O211" s="20">
        <f t="shared" si="67"/>
        <v>17192000</v>
      </c>
      <c r="P211" s="47">
        <v>0.12280000000000001</v>
      </c>
      <c r="Q211" s="48">
        <v>0.99654699999999996</v>
      </c>
      <c r="R211" s="22">
        <f t="shared" si="68"/>
        <v>19930940</v>
      </c>
      <c r="S211" s="12">
        <v>0.12642</v>
      </c>
      <c r="T211" s="75">
        <v>1228000</v>
      </c>
      <c r="U211" s="563">
        <v>276637.36263736262</v>
      </c>
      <c r="V211" s="90">
        <f t="shared" si="69"/>
        <v>951362.63736263732</v>
      </c>
      <c r="W211" s="13"/>
      <c r="Z211" s="30"/>
      <c r="AA211" s="30"/>
      <c r="AB211" s="30"/>
      <c r="AE211" s="30"/>
    </row>
    <row r="212" spans="1:31" s="29" customFormat="1" ht="23.25" customHeight="1" x14ac:dyDescent="0.25">
      <c r="A212" s="44" t="s">
        <v>167</v>
      </c>
      <c r="B212" s="45" t="s">
        <v>176</v>
      </c>
      <c r="C212" s="736"/>
      <c r="D212" s="736">
        <v>42352</v>
      </c>
      <c r="E212" s="736">
        <v>44900</v>
      </c>
      <c r="F212" s="73">
        <v>2730</v>
      </c>
      <c r="G212" s="73">
        <f t="shared" si="65"/>
        <v>728</v>
      </c>
      <c r="H212" s="16"/>
      <c r="I212" s="16"/>
      <c r="J212" s="736">
        <f>D212+364*9</f>
        <v>45628</v>
      </c>
      <c r="K212" s="736">
        <f t="shared" si="66"/>
        <v>45082</v>
      </c>
      <c r="L212" s="46">
        <f>13100000-6450000</f>
        <v>6650000</v>
      </c>
      <c r="M212" s="18"/>
      <c r="N212" s="46">
        <v>16849000</v>
      </c>
      <c r="O212" s="20">
        <f t="shared" si="67"/>
        <v>1463000</v>
      </c>
      <c r="P212" s="47">
        <v>0.11</v>
      </c>
      <c r="Q212" s="48">
        <v>1.031603</v>
      </c>
      <c r="R212" s="22">
        <f t="shared" si="68"/>
        <v>6860159.9500000002</v>
      </c>
      <c r="S212" s="12">
        <v>0.14752999999999999</v>
      </c>
      <c r="T212" s="75">
        <v>365750</v>
      </c>
      <c r="U212" s="565">
        <v>54259.615384615383</v>
      </c>
      <c r="V212" s="839">
        <f t="shared" si="69"/>
        <v>311490.38461538462</v>
      </c>
      <c r="W212" s="50"/>
      <c r="X212" s="51"/>
      <c r="Y212" s="51"/>
      <c r="Z212" s="30"/>
      <c r="AA212" s="30"/>
      <c r="AB212" s="30"/>
      <c r="AC212" s="51"/>
      <c r="AD212" s="51"/>
      <c r="AE212" s="51"/>
    </row>
    <row r="213" spans="1:31" s="29" customFormat="1" ht="23.25" customHeight="1" x14ac:dyDescent="0.25">
      <c r="A213" s="44" t="s">
        <v>167</v>
      </c>
      <c r="B213" s="45" t="s">
        <v>176</v>
      </c>
      <c r="C213" s="736"/>
      <c r="D213" s="736">
        <v>42352</v>
      </c>
      <c r="E213" s="736">
        <v>44900</v>
      </c>
      <c r="F213" s="73">
        <v>2730</v>
      </c>
      <c r="G213" s="73">
        <f t="shared" si="65"/>
        <v>728</v>
      </c>
      <c r="H213" s="16"/>
      <c r="I213" s="16"/>
      <c r="J213" s="736">
        <f>D213+364*9</f>
        <v>45628</v>
      </c>
      <c r="K213" s="736">
        <f t="shared" si="66"/>
        <v>45082</v>
      </c>
      <c r="L213" s="46">
        <f>13100000-6450000</f>
        <v>6650000</v>
      </c>
      <c r="M213" s="18"/>
      <c r="N213" s="46">
        <v>17949000</v>
      </c>
      <c r="O213" s="20">
        <f t="shared" si="67"/>
        <v>1463000</v>
      </c>
      <c r="P213" s="47">
        <v>0.11</v>
      </c>
      <c r="Q213" s="48">
        <v>1.031603</v>
      </c>
      <c r="R213" s="22">
        <f t="shared" si="68"/>
        <v>6860159.9500000002</v>
      </c>
      <c r="S213" s="12">
        <v>0.13239999999999999</v>
      </c>
      <c r="T213" s="75">
        <v>365750</v>
      </c>
      <c r="U213" s="565">
        <v>54259.615384615383</v>
      </c>
      <c r="V213" s="839">
        <f t="shared" si="69"/>
        <v>311490.38461538462</v>
      </c>
      <c r="W213" s="50"/>
      <c r="X213" s="51"/>
      <c r="Y213" s="51"/>
      <c r="Z213" s="30"/>
      <c r="AA213" s="30"/>
      <c r="AB213" s="30"/>
      <c r="AC213" s="51"/>
      <c r="AD213" s="51"/>
      <c r="AE213" s="51"/>
    </row>
    <row r="214" spans="1:31" s="29" customFormat="1" ht="21.5" customHeight="1" x14ac:dyDescent="0.25">
      <c r="A214" s="44" t="s">
        <v>167</v>
      </c>
      <c r="B214" s="45" t="s">
        <v>176</v>
      </c>
      <c r="C214" s="736"/>
      <c r="D214" s="736">
        <v>42352</v>
      </c>
      <c r="E214" s="736">
        <v>44900</v>
      </c>
      <c r="F214" s="73">
        <v>2730</v>
      </c>
      <c r="G214" s="73">
        <f t="shared" si="65"/>
        <v>728</v>
      </c>
      <c r="H214" s="16"/>
      <c r="I214" s="16"/>
      <c r="J214" s="736">
        <f>D214+364*9</f>
        <v>45628</v>
      </c>
      <c r="K214" s="736">
        <f t="shared" si="66"/>
        <v>45082</v>
      </c>
      <c r="L214" s="46">
        <f>19650000-9600000</f>
        <v>10050000</v>
      </c>
      <c r="M214" s="18"/>
      <c r="N214" s="46">
        <v>25337100</v>
      </c>
      <c r="O214" s="20">
        <f t="shared" si="67"/>
        <v>2211000</v>
      </c>
      <c r="P214" s="47">
        <v>0.11</v>
      </c>
      <c r="Q214" s="48">
        <v>1.031603</v>
      </c>
      <c r="R214" s="22">
        <f t="shared" si="68"/>
        <v>10367610.15</v>
      </c>
      <c r="S214" s="12">
        <v>0.14752999999999999</v>
      </c>
      <c r="T214" s="75">
        <v>552750</v>
      </c>
      <c r="U214" s="565">
        <v>82001.373626373635</v>
      </c>
      <c r="V214" s="839">
        <f t="shared" si="69"/>
        <v>470748.62637362635</v>
      </c>
      <c r="W214" s="50"/>
      <c r="X214" s="51"/>
      <c r="Y214" s="51"/>
      <c r="Z214" s="30"/>
      <c r="AA214" s="30"/>
      <c r="AB214" s="30"/>
      <c r="AC214" s="51"/>
      <c r="AD214" s="51"/>
      <c r="AE214" s="51"/>
    </row>
    <row r="215" spans="1:31" s="29" customFormat="1" ht="23.25" customHeight="1" x14ac:dyDescent="0.25">
      <c r="A215" s="44" t="s">
        <v>125</v>
      </c>
      <c r="B215" s="45" t="s">
        <v>176</v>
      </c>
      <c r="C215" s="736"/>
      <c r="D215" s="736">
        <v>40539</v>
      </c>
      <c r="E215" s="736">
        <v>44907</v>
      </c>
      <c r="F215" s="73">
        <v>3276</v>
      </c>
      <c r="G215" s="73">
        <f t="shared" ref="G215:G223" si="70">J215-E215</f>
        <v>1092</v>
      </c>
      <c r="H215" s="16"/>
      <c r="I215" s="16"/>
      <c r="J215" s="736">
        <f>D215+364*15</f>
        <v>45999</v>
      </c>
      <c r="K215" s="736">
        <f t="shared" ref="K215:K223" si="71">E215+182</f>
        <v>45089</v>
      </c>
      <c r="L215" s="46">
        <v>10000000</v>
      </c>
      <c r="M215" s="18"/>
      <c r="N215" s="46">
        <v>8238500</v>
      </c>
      <c r="O215" s="20">
        <f t="shared" ref="O215:O223" si="72">L215*P215*G215/364</f>
        <v>2700000</v>
      </c>
      <c r="P215" s="47">
        <v>0.09</v>
      </c>
      <c r="Q215" s="48">
        <v>0.93560200000000004</v>
      </c>
      <c r="R215" s="22">
        <f t="shared" ref="R215:R223" si="73">+L215*Q215</f>
        <v>9356020</v>
      </c>
      <c r="S215" s="12">
        <v>0.1149</v>
      </c>
      <c r="T215" s="75">
        <v>450000</v>
      </c>
      <c r="U215" s="565">
        <v>49450.54945054945</v>
      </c>
      <c r="V215" s="839">
        <f t="shared" ref="V215:V223" si="74">+T215-U215</f>
        <v>400549.45054945053</v>
      </c>
      <c r="W215" s="50"/>
      <c r="X215" s="51"/>
      <c r="Y215" s="51"/>
      <c r="Z215" s="30"/>
      <c r="AA215" s="30"/>
      <c r="AB215" s="30"/>
      <c r="AC215" s="51"/>
      <c r="AD215" s="51"/>
      <c r="AE215" s="51"/>
    </row>
    <row r="216" spans="1:31" s="29" customFormat="1" ht="23.25" customHeight="1" x14ac:dyDescent="0.25">
      <c r="A216" s="44" t="s">
        <v>125</v>
      </c>
      <c r="B216" s="45" t="s">
        <v>176</v>
      </c>
      <c r="C216" s="736"/>
      <c r="D216" s="736">
        <v>40539</v>
      </c>
      <c r="E216" s="736">
        <v>44907</v>
      </c>
      <c r="F216" s="73">
        <v>3276</v>
      </c>
      <c r="G216" s="73">
        <f t="shared" si="70"/>
        <v>1092</v>
      </c>
      <c r="H216" s="16"/>
      <c r="I216" s="16"/>
      <c r="J216" s="736">
        <f>D216+364*15</f>
        <v>45999</v>
      </c>
      <c r="K216" s="736">
        <f t="shared" si="71"/>
        <v>45089</v>
      </c>
      <c r="L216" s="46">
        <v>10000000</v>
      </c>
      <c r="M216" s="18">
        <v>10000000</v>
      </c>
      <c r="N216" s="46">
        <v>7946800</v>
      </c>
      <c r="O216" s="20">
        <f t="shared" si="72"/>
        <v>2700000</v>
      </c>
      <c r="P216" s="47">
        <v>0.09</v>
      </c>
      <c r="Q216" s="48">
        <v>0.93560200000000004</v>
      </c>
      <c r="R216" s="22">
        <f t="shared" si="73"/>
        <v>9356020</v>
      </c>
      <c r="S216" s="12">
        <v>0.1198</v>
      </c>
      <c r="T216" s="75">
        <v>450000</v>
      </c>
      <c r="U216" s="565">
        <v>49450.54945054945</v>
      </c>
      <c r="V216" s="839">
        <f t="shared" si="74"/>
        <v>400549.45054945053</v>
      </c>
      <c r="W216" s="50"/>
      <c r="X216" s="51"/>
      <c r="Y216" s="51"/>
      <c r="Z216" s="30"/>
      <c r="AA216" s="30"/>
      <c r="AB216" s="30"/>
      <c r="AC216" s="51"/>
      <c r="AD216" s="51"/>
      <c r="AE216" s="51"/>
    </row>
    <row r="217" spans="1:31" s="29" customFormat="1" ht="21.5" customHeight="1" x14ac:dyDescent="0.25">
      <c r="A217" s="44" t="s">
        <v>125</v>
      </c>
      <c r="B217" s="45" t="s">
        <v>176</v>
      </c>
      <c r="C217" s="736"/>
      <c r="D217" s="736">
        <v>40630</v>
      </c>
      <c r="E217" s="736">
        <v>44907</v>
      </c>
      <c r="F217" s="73">
        <v>3276</v>
      </c>
      <c r="G217" s="73">
        <f t="shared" si="70"/>
        <v>1092</v>
      </c>
      <c r="H217" s="16"/>
      <c r="I217" s="16"/>
      <c r="J217" s="736">
        <f>D217+364*15-91</f>
        <v>45999</v>
      </c>
      <c r="K217" s="736">
        <f t="shared" si="71"/>
        <v>45089</v>
      </c>
      <c r="L217" s="46">
        <v>20000000</v>
      </c>
      <c r="M217" s="18"/>
      <c r="N217" s="46">
        <f>16477000+1218499</f>
        <v>17695499</v>
      </c>
      <c r="O217" s="20">
        <f t="shared" si="72"/>
        <v>5400000</v>
      </c>
      <c r="P217" s="47">
        <v>0.09</v>
      </c>
      <c r="Q217" s="48">
        <v>0.93560200000000004</v>
      </c>
      <c r="R217" s="22">
        <f t="shared" si="73"/>
        <v>18712040</v>
      </c>
      <c r="S217" s="12">
        <v>0.1149</v>
      </c>
      <c r="T217" s="75">
        <v>900000</v>
      </c>
      <c r="U217" s="565">
        <v>98901.0989010989</v>
      </c>
      <c r="V217" s="839">
        <f t="shared" si="74"/>
        <v>801098.90109890106</v>
      </c>
      <c r="W217" s="50"/>
      <c r="X217" s="51"/>
      <c r="Y217" s="51"/>
      <c r="Z217" s="30"/>
      <c r="AA217" s="30"/>
      <c r="AB217" s="30"/>
      <c r="AC217" s="51"/>
      <c r="AD217" s="51"/>
      <c r="AE217" s="51"/>
    </row>
    <row r="218" spans="1:31" s="29" customFormat="1" ht="22.5" customHeight="1" x14ac:dyDescent="0.25">
      <c r="A218" s="44" t="s">
        <v>125</v>
      </c>
      <c r="B218" s="45" t="s">
        <v>176</v>
      </c>
      <c r="C218" s="736"/>
      <c r="D218" s="736">
        <v>40630</v>
      </c>
      <c r="E218" s="736">
        <v>44907</v>
      </c>
      <c r="F218" s="73">
        <v>3276</v>
      </c>
      <c r="G218" s="73">
        <f t="shared" si="70"/>
        <v>1092</v>
      </c>
      <c r="H218" s="16"/>
      <c r="I218" s="16"/>
      <c r="J218" s="736">
        <f>D218+364*15-91</f>
        <v>45999</v>
      </c>
      <c r="K218" s="736">
        <f t="shared" si="71"/>
        <v>45089</v>
      </c>
      <c r="L218" s="46">
        <v>20000000</v>
      </c>
      <c r="M218" s="18"/>
      <c r="N218" s="46">
        <f>15893600+1801472</f>
        <v>17695072</v>
      </c>
      <c r="O218" s="20">
        <f t="shared" si="72"/>
        <v>5400000</v>
      </c>
      <c r="P218" s="47">
        <v>0.09</v>
      </c>
      <c r="Q218" s="48">
        <v>0.93560200000000004</v>
      </c>
      <c r="R218" s="22">
        <f t="shared" si="73"/>
        <v>18712040</v>
      </c>
      <c r="S218" s="12">
        <v>0.1198</v>
      </c>
      <c r="T218" s="75">
        <v>900000</v>
      </c>
      <c r="U218" s="565">
        <v>98901.0989010989</v>
      </c>
      <c r="V218" s="839">
        <f t="shared" si="74"/>
        <v>801098.90109890106</v>
      </c>
      <c r="W218" s="50"/>
      <c r="X218" s="51"/>
      <c r="Y218" s="51"/>
      <c r="Z218" s="30"/>
      <c r="AA218" s="30"/>
      <c r="AB218" s="30"/>
      <c r="AC218" s="51"/>
      <c r="AD218" s="51"/>
      <c r="AE218" s="51"/>
    </row>
    <row r="219" spans="1:31" s="29" customFormat="1" ht="22.5" customHeight="1" x14ac:dyDescent="0.25">
      <c r="A219" s="44" t="s">
        <v>80</v>
      </c>
      <c r="B219" s="45" t="s">
        <v>176</v>
      </c>
      <c r="C219" s="736"/>
      <c r="D219" s="736">
        <v>40659</v>
      </c>
      <c r="E219" s="736">
        <v>44907</v>
      </c>
      <c r="F219" s="73">
        <v>3094</v>
      </c>
      <c r="G219" s="73">
        <f t="shared" si="70"/>
        <v>1092</v>
      </c>
      <c r="H219" s="16"/>
      <c r="I219" s="16"/>
      <c r="J219" s="736">
        <f>D219+364*15-120</f>
        <v>45999</v>
      </c>
      <c r="K219" s="736">
        <f t="shared" si="71"/>
        <v>45089</v>
      </c>
      <c r="L219" s="46">
        <v>40000000</v>
      </c>
      <c r="M219" s="18">
        <v>20000000</v>
      </c>
      <c r="N219" s="46">
        <v>31876800</v>
      </c>
      <c r="O219" s="20">
        <f t="shared" si="72"/>
        <v>10800000</v>
      </c>
      <c r="P219" s="47">
        <v>0.09</v>
      </c>
      <c r="Q219" s="48">
        <v>0.93560200000000004</v>
      </c>
      <c r="R219" s="22">
        <f t="shared" si="73"/>
        <v>37424080</v>
      </c>
      <c r="S219" s="12">
        <v>0.1249</v>
      </c>
      <c r="T219" s="75">
        <v>1800000</v>
      </c>
      <c r="U219" s="565">
        <v>197802.1978021978</v>
      </c>
      <c r="V219" s="839">
        <f t="shared" si="74"/>
        <v>1602197.8021978021</v>
      </c>
      <c r="W219" s="50"/>
      <c r="X219" s="51"/>
      <c r="Y219" s="51"/>
      <c r="Z219" s="30"/>
      <c r="AA219" s="30"/>
      <c r="AB219" s="30"/>
      <c r="AC219" s="51"/>
      <c r="AD219" s="51"/>
      <c r="AE219" s="51"/>
    </row>
    <row r="220" spans="1:31" s="29" customFormat="1" ht="22.5" customHeight="1" x14ac:dyDescent="0.25">
      <c r="A220" s="44" t="s">
        <v>196</v>
      </c>
      <c r="B220" s="45" t="s">
        <v>176</v>
      </c>
      <c r="C220" s="52"/>
      <c r="D220" s="736">
        <v>42576</v>
      </c>
      <c r="E220" s="736">
        <v>44907</v>
      </c>
      <c r="F220" s="73">
        <v>3969.42</v>
      </c>
      <c r="G220" s="73">
        <f t="shared" si="70"/>
        <v>2002.4199999999983</v>
      </c>
      <c r="H220" s="73"/>
      <c r="I220" s="73"/>
      <c r="J220" s="736">
        <f>D220+364*11.905</f>
        <v>46909.42</v>
      </c>
      <c r="K220" s="736">
        <f t="shared" si="71"/>
        <v>45089</v>
      </c>
      <c r="L220" s="46">
        <v>10000000</v>
      </c>
      <c r="M220" s="53"/>
      <c r="N220" s="46">
        <v>9397500</v>
      </c>
      <c r="O220" s="20">
        <f t="shared" si="72"/>
        <v>7564086.5384615315</v>
      </c>
      <c r="P220" s="47">
        <v>0.13750000000000001</v>
      </c>
      <c r="Q220" s="48">
        <v>1.041415</v>
      </c>
      <c r="R220" s="22">
        <f t="shared" si="73"/>
        <v>10414150</v>
      </c>
      <c r="S220" s="12">
        <v>0.14835999999999999</v>
      </c>
      <c r="T220" s="75">
        <v>687500</v>
      </c>
      <c r="U220" s="563">
        <v>75549.450549450543</v>
      </c>
      <c r="V220" s="90">
        <f t="shared" si="74"/>
        <v>611950.54945054941</v>
      </c>
      <c r="W220" s="13"/>
      <c r="Z220" s="30"/>
      <c r="AA220" s="30"/>
      <c r="AB220" s="30"/>
      <c r="AE220" s="30"/>
    </row>
    <row r="221" spans="1:31" s="29" customFormat="1" ht="22.5" customHeight="1" x14ac:dyDescent="0.25">
      <c r="A221" s="44" t="s">
        <v>313</v>
      </c>
      <c r="B221" s="45" t="s">
        <v>176</v>
      </c>
      <c r="C221" s="52"/>
      <c r="D221" s="736">
        <v>44725</v>
      </c>
      <c r="E221" s="736">
        <v>44907</v>
      </c>
      <c r="F221" s="73">
        <v>3969.42</v>
      </c>
      <c r="G221" s="73">
        <f t="shared" si="70"/>
        <v>6370</v>
      </c>
      <c r="H221" s="73"/>
      <c r="I221" s="73"/>
      <c r="J221" s="736">
        <f>D221+(364*18)</f>
        <v>51277</v>
      </c>
      <c r="K221" s="736">
        <f t="shared" si="71"/>
        <v>45089</v>
      </c>
      <c r="L221" s="46">
        <v>20000000</v>
      </c>
      <c r="M221" s="53"/>
      <c r="N221" s="46">
        <v>20000000</v>
      </c>
      <c r="O221" s="20">
        <f t="shared" si="72"/>
        <v>48096999.999999993</v>
      </c>
      <c r="P221" s="47">
        <v>0.13741999999999999</v>
      </c>
      <c r="Q221" s="48">
        <v>1.045083</v>
      </c>
      <c r="R221" s="22">
        <f t="shared" si="73"/>
        <v>20901660</v>
      </c>
      <c r="S221" s="12">
        <v>0.13741999999999999</v>
      </c>
      <c r="T221" s="75">
        <v>1374199.9999999998</v>
      </c>
      <c r="U221" s="563">
        <v>151010.989010989</v>
      </c>
      <c r="V221" s="90">
        <f t="shared" si="74"/>
        <v>1223189.0109890108</v>
      </c>
      <c r="W221" s="13"/>
      <c r="Z221" s="30"/>
      <c r="AA221" s="30"/>
      <c r="AB221" s="30"/>
      <c r="AE221" s="30"/>
    </row>
    <row r="222" spans="1:31" s="29" customFormat="1" ht="22.5" customHeight="1" x14ac:dyDescent="0.25">
      <c r="A222" s="44" t="s">
        <v>313</v>
      </c>
      <c r="B222" s="45" t="s">
        <v>176</v>
      </c>
      <c r="C222" s="52"/>
      <c r="D222" s="736">
        <v>44725</v>
      </c>
      <c r="E222" s="736">
        <v>44907</v>
      </c>
      <c r="F222" s="73">
        <v>3969.42</v>
      </c>
      <c r="G222" s="73">
        <f t="shared" si="70"/>
        <v>6370</v>
      </c>
      <c r="H222" s="73"/>
      <c r="I222" s="73"/>
      <c r="J222" s="736">
        <f>D222+(364*18)</f>
        <v>51277</v>
      </c>
      <c r="K222" s="736">
        <f t="shared" si="71"/>
        <v>45089</v>
      </c>
      <c r="L222" s="46">
        <v>20000000</v>
      </c>
      <c r="M222" s="53"/>
      <c r="N222" s="46">
        <v>20650200</v>
      </c>
      <c r="O222" s="20">
        <f t="shared" si="72"/>
        <v>48096999.999999993</v>
      </c>
      <c r="P222" s="47">
        <v>0.13741999999999999</v>
      </c>
      <c r="Q222" s="48">
        <v>1.045083</v>
      </c>
      <c r="R222" s="22">
        <f t="shared" si="73"/>
        <v>20901660</v>
      </c>
      <c r="S222" s="12">
        <v>0.13200000000000001</v>
      </c>
      <c r="T222" s="75">
        <v>1374199.9999999998</v>
      </c>
      <c r="U222" s="563">
        <v>151010.989010989</v>
      </c>
      <c r="V222" s="90">
        <f t="shared" si="74"/>
        <v>1223189.0109890108</v>
      </c>
      <c r="W222" s="13"/>
      <c r="Z222" s="30"/>
      <c r="AA222" s="30"/>
      <c r="AB222" s="30"/>
      <c r="AE222" s="30"/>
    </row>
    <row r="223" spans="1:31" s="29" customFormat="1" ht="22.5" customHeight="1" x14ac:dyDescent="0.25">
      <c r="A223" s="44" t="s">
        <v>313</v>
      </c>
      <c r="B223" s="45" t="s">
        <v>176</v>
      </c>
      <c r="C223" s="52"/>
      <c r="D223" s="736">
        <v>44725</v>
      </c>
      <c r="E223" s="736">
        <v>44907</v>
      </c>
      <c r="F223" s="73">
        <v>3969.42</v>
      </c>
      <c r="G223" s="73">
        <f t="shared" si="70"/>
        <v>6370</v>
      </c>
      <c r="H223" s="73"/>
      <c r="I223" s="73"/>
      <c r="J223" s="736">
        <f>D223+(364*18)</f>
        <v>51277</v>
      </c>
      <c r="K223" s="736">
        <f t="shared" si="71"/>
        <v>45089</v>
      </c>
      <c r="L223" s="46">
        <v>20000000</v>
      </c>
      <c r="M223" s="53"/>
      <c r="N223" s="46">
        <v>20527600</v>
      </c>
      <c r="O223" s="20">
        <f t="shared" si="72"/>
        <v>48096999.999999993</v>
      </c>
      <c r="P223" s="47">
        <v>0.13741999999999999</v>
      </c>
      <c r="Q223" s="48">
        <v>1.045083</v>
      </c>
      <c r="R223" s="22">
        <f t="shared" si="73"/>
        <v>20901660</v>
      </c>
      <c r="S223" s="12">
        <v>0.13300000000000001</v>
      </c>
      <c r="T223" s="75">
        <v>1374199.9999999998</v>
      </c>
      <c r="U223" s="563">
        <v>151010.989010989</v>
      </c>
      <c r="V223" s="90">
        <f t="shared" si="74"/>
        <v>1223189.0109890108</v>
      </c>
      <c r="W223" s="13"/>
      <c r="Z223" s="30"/>
      <c r="AA223" s="30"/>
      <c r="AB223" s="30"/>
      <c r="AE223" s="30"/>
    </row>
    <row r="224" spans="1:31" s="29" customFormat="1" ht="22.5" customHeight="1" x14ac:dyDescent="0.25">
      <c r="A224" s="44"/>
      <c r="B224" s="45"/>
      <c r="C224" s="52"/>
      <c r="D224" s="736"/>
      <c r="E224" s="736"/>
      <c r="F224" s="73"/>
      <c r="G224" s="73"/>
      <c r="H224" s="73"/>
      <c r="I224" s="73"/>
      <c r="J224" s="736"/>
      <c r="K224" s="736"/>
      <c r="L224" s="46"/>
      <c r="M224" s="53"/>
      <c r="N224" s="46"/>
      <c r="O224" s="20"/>
      <c r="P224" s="47"/>
      <c r="Q224" s="48"/>
      <c r="R224" s="22"/>
      <c r="S224" s="12"/>
      <c r="T224" s="75"/>
      <c r="U224" s="563"/>
      <c r="V224" s="13"/>
      <c r="W224" s="13"/>
      <c r="Z224" s="30"/>
      <c r="AA224" s="30"/>
      <c r="AB224" s="30"/>
      <c r="AE224" s="30"/>
    </row>
    <row r="225" spans="1:31" s="29" customFormat="1" ht="23.5" customHeight="1" x14ac:dyDescent="0.25">
      <c r="A225" s="54" t="s">
        <v>2</v>
      </c>
      <c r="B225" s="52"/>
      <c r="C225" s="52"/>
      <c r="D225" s="52"/>
      <c r="E225" s="52"/>
      <c r="F225" s="16"/>
      <c r="G225" s="16"/>
      <c r="H225" s="16"/>
      <c r="I225" s="16"/>
      <c r="J225" s="49"/>
      <c r="K225" s="49"/>
      <c r="L225" s="55"/>
      <c r="M225" s="55"/>
      <c r="N225" s="55"/>
      <c r="O225" s="56"/>
      <c r="P225" s="55"/>
      <c r="Q225" s="55"/>
      <c r="R225" s="55"/>
      <c r="S225" s="55"/>
      <c r="T225" s="572">
        <f>SUM(T160:T224)</f>
        <v>73673272.284999996</v>
      </c>
      <c r="U225" s="572">
        <f>SUM(U159:U224)</f>
        <v>31372903.536593415</v>
      </c>
      <c r="V225" s="572">
        <f>SUM(V159:V224)</f>
        <v>42300368.748406582</v>
      </c>
      <c r="W225" s="13"/>
      <c r="Z225" s="30"/>
      <c r="AA225" s="30"/>
      <c r="AB225" s="30"/>
      <c r="AE225" s="30"/>
    </row>
    <row r="226" spans="1:31" s="29" customFormat="1" ht="23.5" customHeight="1" x14ac:dyDescent="0.25">
      <c r="A226" s="54"/>
      <c r="B226" s="52"/>
      <c r="C226" s="52"/>
      <c r="D226" s="52"/>
      <c r="E226" s="52"/>
      <c r="F226" s="16"/>
      <c r="G226" s="16"/>
      <c r="H226" s="16"/>
      <c r="I226" s="16"/>
      <c r="J226" s="49"/>
      <c r="K226" s="49"/>
      <c r="L226" s="57"/>
      <c r="M226" s="57"/>
      <c r="N226" s="57"/>
      <c r="O226" s="59"/>
      <c r="P226" s="57"/>
      <c r="Q226" s="57"/>
      <c r="R226" s="57"/>
      <c r="S226" s="55"/>
      <c r="T226" s="57"/>
      <c r="U226" s="579"/>
      <c r="V226" s="57"/>
      <c r="W226" s="13"/>
      <c r="Z226" s="30"/>
      <c r="AA226" s="30"/>
      <c r="AB226" s="30"/>
      <c r="AE226" s="30"/>
    </row>
    <row r="227" spans="1:31" s="29" customFormat="1" ht="23.5" customHeight="1" x14ac:dyDescent="0.25">
      <c r="A227" s="60" t="s">
        <v>3</v>
      </c>
      <c r="B227" s="7"/>
      <c r="C227" s="7"/>
      <c r="D227" s="7"/>
      <c r="E227" s="7"/>
      <c r="F227" s="16"/>
      <c r="G227" s="16"/>
      <c r="H227" s="16"/>
      <c r="I227" s="16"/>
      <c r="J227" s="61"/>
      <c r="K227" s="736"/>
      <c r="L227" s="62"/>
      <c r="M227" s="63"/>
      <c r="N227" s="62"/>
      <c r="O227" s="62"/>
      <c r="P227" s="62"/>
      <c r="Q227" s="62"/>
      <c r="R227" s="62"/>
      <c r="S227" s="55"/>
      <c r="T227" s="573">
        <f>T225+T158</f>
        <v>296029478.565</v>
      </c>
      <c r="U227" s="573">
        <f>U225+U158</f>
        <v>126075576.48868126</v>
      </c>
      <c r="V227" s="573">
        <f>V225+V158</f>
        <v>169953902.07631883</v>
      </c>
      <c r="W227" s="13"/>
      <c r="Z227" s="30"/>
      <c r="AA227" s="30"/>
      <c r="AB227" s="30"/>
      <c r="AE227" s="30"/>
    </row>
    <row r="228" spans="1:31" s="29" customFormat="1" ht="23.5" customHeight="1" x14ac:dyDescent="0.25">
      <c r="A228" s="54"/>
      <c r="B228" s="52"/>
      <c r="C228" s="52"/>
      <c r="D228" s="52"/>
      <c r="E228" s="52"/>
      <c r="F228" s="16"/>
      <c r="G228" s="16"/>
      <c r="H228" s="16"/>
      <c r="I228" s="16"/>
      <c r="J228" s="736"/>
      <c r="K228" s="736"/>
      <c r="L228" s="57"/>
      <c r="M228" s="18"/>
      <c r="N228" s="57"/>
      <c r="O228" s="11"/>
      <c r="P228" s="47"/>
      <c r="Q228" s="47"/>
      <c r="R228" s="57"/>
      <c r="S228" s="12"/>
      <c r="T228" s="57"/>
      <c r="U228" s="579"/>
      <c r="V228" s="57"/>
      <c r="W228" s="13"/>
      <c r="Z228" s="30"/>
      <c r="AA228" s="30"/>
      <c r="AB228" s="30"/>
      <c r="AE228" s="30"/>
    </row>
    <row r="229" spans="1:31" s="13" customFormat="1" ht="23.5" customHeight="1" x14ac:dyDescent="0.25">
      <c r="A229" s="23"/>
      <c r="B229" s="24"/>
      <c r="C229" s="24"/>
      <c r="D229" s="24"/>
      <c r="E229" s="24"/>
      <c r="F229" s="25"/>
      <c r="G229" s="25"/>
      <c r="H229" s="25"/>
      <c r="I229" s="25"/>
      <c r="J229" s="25"/>
      <c r="K229" s="25"/>
      <c r="L229" s="6"/>
      <c r="M229" s="9"/>
      <c r="N229" s="6"/>
      <c r="O229" s="20"/>
      <c r="P229" s="25"/>
      <c r="Q229" s="25"/>
      <c r="R229" s="25"/>
      <c r="S229" s="27"/>
      <c r="T229" s="6"/>
      <c r="U229" s="563"/>
      <c r="V229" s="90"/>
      <c r="X229" s="29"/>
      <c r="Y229" s="29"/>
      <c r="Z229" s="30"/>
      <c r="AA229" s="30"/>
      <c r="AB229" s="30"/>
      <c r="AC229" s="29"/>
      <c r="AD229" s="29"/>
      <c r="AE229" s="30"/>
    </row>
    <row r="230" spans="1:31" s="13" customFormat="1" ht="23.5" customHeight="1" x14ac:dyDescent="0.25">
      <c r="A230" s="4" t="s">
        <v>16</v>
      </c>
      <c r="B230" s="5"/>
      <c r="C230" s="64"/>
      <c r="D230" s="64"/>
      <c r="E230" s="64"/>
      <c r="F230" s="64"/>
      <c r="G230" s="64"/>
      <c r="H230" s="64"/>
      <c r="I230" s="64"/>
      <c r="J230" s="64"/>
      <c r="K230" s="64"/>
      <c r="L230" s="64"/>
      <c r="M230" s="65"/>
      <c r="N230" s="64"/>
      <c r="O230" s="64"/>
      <c r="P230" s="64"/>
      <c r="Q230" s="66"/>
      <c r="R230" s="66"/>
      <c r="S230" s="67"/>
      <c r="T230" s="64"/>
      <c r="U230" s="578"/>
      <c r="V230" s="567"/>
      <c r="X230" s="29"/>
      <c r="Y230" s="29"/>
      <c r="Z230" s="30"/>
      <c r="AA230" s="30"/>
      <c r="AB230" s="30"/>
      <c r="AC230" s="29"/>
      <c r="AD230" s="29"/>
      <c r="AE230" s="30"/>
    </row>
    <row r="231" spans="1:31" s="13" customFormat="1" ht="23.5" customHeight="1" x14ac:dyDescent="0.25">
      <c r="A231" s="23" t="s">
        <v>39</v>
      </c>
      <c r="B231" s="24"/>
      <c r="C231" s="24"/>
      <c r="D231" s="24"/>
      <c r="E231" s="24"/>
      <c r="F231" s="25"/>
      <c r="G231" s="25"/>
      <c r="H231" s="25"/>
      <c r="I231" s="25"/>
      <c r="J231" s="25"/>
      <c r="K231" s="25"/>
      <c r="L231" s="6"/>
      <c r="M231" s="9"/>
      <c r="N231" s="6"/>
      <c r="O231" s="20"/>
      <c r="P231" s="25"/>
      <c r="Q231" s="25"/>
      <c r="R231" s="25"/>
      <c r="S231" s="27"/>
      <c r="T231" s="6"/>
      <c r="U231" s="563"/>
      <c r="V231" s="90"/>
      <c r="X231" s="29"/>
      <c r="Y231" s="29"/>
      <c r="Z231" s="30"/>
      <c r="AA231" s="30"/>
      <c r="AB231" s="30"/>
      <c r="AC231" s="29"/>
      <c r="AD231" s="29"/>
      <c r="AE231" s="30"/>
    </row>
    <row r="232" spans="1:31" s="13" customFormat="1" ht="23.5" customHeight="1" x14ac:dyDescent="0.25">
      <c r="A232" s="23" t="str">
        <f>DATE!A3</f>
        <v>AT 30TH JUNE 2023</v>
      </c>
      <c r="B232" s="24"/>
      <c r="C232" s="24"/>
      <c r="D232" s="24"/>
      <c r="E232" s="24"/>
      <c r="F232" s="25"/>
      <c r="G232" s="622"/>
      <c r="H232" s="25"/>
      <c r="I232" s="25"/>
      <c r="J232" s="25"/>
      <c r="K232" s="25"/>
      <c r="L232" s="6"/>
      <c r="M232" s="9"/>
      <c r="N232" s="74"/>
      <c r="O232" s="20"/>
      <c r="P232" s="25"/>
      <c r="Q232" s="25"/>
      <c r="R232" s="25"/>
      <c r="S232" s="27"/>
      <c r="T232" s="6"/>
      <c r="U232" s="563"/>
      <c r="V232" s="90"/>
      <c r="X232" s="29"/>
      <c r="Y232" s="29"/>
      <c r="Z232" s="30"/>
      <c r="AA232" s="30"/>
      <c r="AB232" s="30"/>
      <c r="AC232" s="29"/>
      <c r="AD232" s="29"/>
      <c r="AE232" s="30"/>
    </row>
    <row r="233" spans="1:31" s="13" customFormat="1" ht="23.5" customHeight="1" x14ac:dyDescent="0.25">
      <c r="A233" s="68"/>
      <c r="B233" s="6"/>
      <c r="C233" s="6"/>
      <c r="D233" s="6"/>
      <c r="E233" s="6"/>
      <c r="F233" s="25"/>
      <c r="G233" s="25"/>
      <c r="H233" s="25"/>
      <c r="I233" s="25"/>
      <c r="J233" s="25"/>
      <c r="K233" s="25"/>
      <c r="L233" s="6"/>
      <c r="M233" s="9"/>
      <c r="N233" s="6"/>
      <c r="O233" s="20"/>
      <c r="P233" s="25"/>
      <c r="Q233" s="25"/>
      <c r="R233" s="25"/>
      <c r="S233" s="27"/>
      <c r="T233" s="6"/>
      <c r="U233" s="563"/>
      <c r="V233" s="90"/>
      <c r="X233" s="29"/>
      <c r="Y233" s="29"/>
      <c r="Z233" s="30"/>
      <c r="AA233" s="30"/>
      <c r="AB233" s="30"/>
      <c r="AC233" s="29"/>
      <c r="AD233" s="29"/>
      <c r="AE233" s="30"/>
    </row>
    <row r="234" spans="1:31" s="13" customFormat="1" ht="23.5" customHeight="1" x14ac:dyDescent="0.25">
      <c r="A234" s="32" t="s">
        <v>18</v>
      </c>
      <c r="B234" s="33"/>
      <c r="C234" s="33"/>
      <c r="D234" s="33" t="s">
        <v>19</v>
      </c>
      <c r="E234" s="34" t="s">
        <v>5</v>
      </c>
      <c r="F234" s="33" t="s">
        <v>20</v>
      </c>
      <c r="G234" s="33" t="s">
        <v>20</v>
      </c>
      <c r="H234" s="33"/>
      <c r="I234" s="33"/>
      <c r="J234" s="33" t="s">
        <v>21</v>
      </c>
      <c r="K234" s="34" t="s">
        <v>22</v>
      </c>
      <c r="L234" s="33" t="s">
        <v>23</v>
      </c>
      <c r="M234" s="35"/>
      <c r="N234" s="33" t="s">
        <v>24</v>
      </c>
      <c r="O234" s="33" t="s">
        <v>25</v>
      </c>
      <c r="P234" s="33" t="s">
        <v>26</v>
      </c>
      <c r="Q234" s="33" t="s">
        <v>27</v>
      </c>
      <c r="R234" s="33" t="s">
        <v>28</v>
      </c>
      <c r="S234" s="36" t="s">
        <v>29</v>
      </c>
      <c r="T234" s="33" t="s">
        <v>26</v>
      </c>
      <c r="U234" s="563"/>
      <c r="V234" s="90"/>
      <c r="X234" s="29"/>
      <c r="Y234" s="29"/>
      <c r="Z234" s="30"/>
      <c r="AA234" s="30"/>
      <c r="AB234" s="30"/>
      <c r="AC234" s="29"/>
      <c r="AD234" s="29"/>
      <c r="AE234" s="30"/>
    </row>
    <row r="235" spans="1:31" s="13" customFormat="1" ht="23.5" customHeight="1" x14ac:dyDescent="0.3">
      <c r="A235" s="37" t="s">
        <v>30</v>
      </c>
      <c r="B235" s="38"/>
      <c r="C235" s="38"/>
      <c r="D235" s="38" t="s">
        <v>31</v>
      </c>
      <c r="E235" s="39" t="s">
        <v>19</v>
      </c>
      <c r="F235" s="38" t="s">
        <v>33</v>
      </c>
      <c r="G235" s="38" t="s">
        <v>33</v>
      </c>
      <c r="H235" s="38"/>
      <c r="I235" s="38"/>
      <c r="J235" s="38" t="s">
        <v>19</v>
      </c>
      <c r="K235" s="38" t="s">
        <v>32</v>
      </c>
      <c r="L235" s="38" t="s">
        <v>34</v>
      </c>
      <c r="M235" s="40"/>
      <c r="N235" s="38" t="s">
        <v>31</v>
      </c>
      <c r="O235" s="38" t="s">
        <v>35</v>
      </c>
      <c r="P235" s="41" t="s">
        <v>36</v>
      </c>
      <c r="Q235" s="42">
        <v>1</v>
      </c>
      <c r="R235" s="41" t="s">
        <v>34</v>
      </c>
      <c r="S235" s="43" t="s">
        <v>37</v>
      </c>
      <c r="T235" s="38" t="s">
        <v>38</v>
      </c>
      <c r="U235" s="563"/>
      <c r="V235" s="90"/>
      <c r="X235" s="29"/>
      <c r="Y235" s="29"/>
      <c r="Z235" s="30"/>
      <c r="AA235" s="30"/>
      <c r="AB235" s="30"/>
      <c r="AC235" s="29"/>
      <c r="AD235" s="29"/>
      <c r="AE235" s="30"/>
    </row>
    <row r="236" spans="1:31" ht="23.5" customHeight="1" x14ac:dyDescent="0.3">
      <c r="A236" s="60"/>
      <c r="B236" s="7"/>
      <c r="C236" s="7"/>
      <c r="D236" s="7"/>
      <c r="E236" s="7"/>
      <c r="F236" s="7"/>
      <c r="G236" s="7"/>
      <c r="H236" s="7"/>
      <c r="I236" s="7"/>
      <c r="J236" s="7"/>
      <c r="K236" s="738"/>
      <c r="L236" s="737"/>
      <c r="M236" s="69"/>
      <c r="N236" s="7"/>
      <c r="O236" s="11"/>
      <c r="P236" s="70"/>
      <c r="Q236" s="71"/>
      <c r="R236" s="70"/>
      <c r="S236" s="72"/>
      <c r="T236" s="7"/>
      <c r="U236" s="563"/>
      <c r="V236" s="90"/>
    </row>
    <row r="237" spans="1:31" s="818" customFormat="1" ht="22.5" customHeight="1" x14ac:dyDescent="0.25">
      <c r="A237" s="741" t="s">
        <v>298</v>
      </c>
      <c r="B237" s="742" t="s">
        <v>175</v>
      </c>
      <c r="C237" s="742"/>
      <c r="D237" s="743">
        <v>44480</v>
      </c>
      <c r="E237" s="743">
        <v>44949</v>
      </c>
      <c r="F237" s="744">
        <v>3640</v>
      </c>
      <c r="G237" s="744">
        <f t="shared" ref="G237:G268" si="75">J237-E237</f>
        <v>4186</v>
      </c>
      <c r="H237" s="744">
        <f>[27]Sheet1!H35</f>
        <v>0</v>
      </c>
      <c r="I237" s="744">
        <f t="shared" ref="I237:I268" si="76">G237-H237</f>
        <v>4186</v>
      </c>
      <c r="J237" s="743">
        <f t="shared" ref="J237:J242" si="77">D237+4655</f>
        <v>49135</v>
      </c>
      <c r="K237" s="743">
        <f t="shared" ref="K237:K268" si="78">E237+182</f>
        <v>45131</v>
      </c>
      <c r="L237" s="745">
        <v>20000000</v>
      </c>
      <c r="M237" s="795"/>
      <c r="N237" s="745">
        <v>19886400</v>
      </c>
      <c r="O237" s="746">
        <f t="shared" ref="O237:O268" si="79">L237*P237*G237/364</f>
        <v>28382000</v>
      </c>
      <c r="P237" s="747">
        <v>0.1234</v>
      </c>
      <c r="Q237" s="918">
        <v>0.90845500000000001</v>
      </c>
      <c r="R237" s="748">
        <f t="shared" ref="R237:R268" si="80">+L237*Q237</f>
        <v>18169100</v>
      </c>
      <c r="S237" s="749">
        <v>0.12845000000000001</v>
      </c>
      <c r="T237" s="750">
        <f t="shared" ref="T237:T268" si="81">O237/G237*(T$1-E237+1)</f>
        <v>1078054.9450549451</v>
      </c>
      <c r="U237" s="751"/>
      <c r="V237" s="752">
        <f t="shared" ref="V237:V268" si="82">+T237-U237</f>
        <v>1078054.9450549451</v>
      </c>
      <c r="W237" s="752"/>
      <c r="X237" s="665"/>
      <c r="Y237" s="665"/>
      <c r="Z237" s="753"/>
      <c r="AA237" s="753"/>
      <c r="AB237" s="753"/>
      <c r="AC237" s="665"/>
      <c r="AD237" s="665"/>
      <c r="AE237" s="753"/>
    </row>
    <row r="238" spans="1:31" s="665" customFormat="1" ht="22.5" customHeight="1" x14ac:dyDescent="0.25">
      <c r="A238" s="741" t="s">
        <v>298</v>
      </c>
      <c r="B238" s="742" t="s">
        <v>175</v>
      </c>
      <c r="C238" s="742"/>
      <c r="D238" s="743">
        <v>44480</v>
      </c>
      <c r="E238" s="743">
        <v>44949</v>
      </c>
      <c r="F238" s="744">
        <v>3640</v>
      </c>
      <c r="G238" s="744">
        <f t="shared" si="75"/>
        <v>4186</v>
      </c>
      <c r="H238" s="744">
        <f>[27]Sheet1!H36</f>
        <v>0</v>
      </c>
      <c r="I238" s="744">
        <f t="shared" si="76"/>
        <v>4186</v>
      </c>
      <c r="J238" s="743">
        <f t="shared" si="77"/>
        <v>49135</v>
      </c>
      <c r="K238" s="743">
        <f t="shared" si="78"/>
        <v>45131</v>
      </c>
      <c r="L238" s="745">
        <v>40000000</v>
      </c>
      <c r="M238" s="795"/>
      <c r="N238" s="745">
        <v>40126400</v>
      </c>
      <c r="O238" s="746">
        <f t="shared" si="79"/>
        <v>56764000</v>
      </c>
      <c r="P238" s="747">
        <v>0.1234</v>
      </c>
      <c r="Q238" s="918">
        <v>0.90845500000000001</v>
      </c>
      <c r="R238" s="748">
        <f t="shared" si="80"/>
        <v>36338200</v>
      </c>
      <c r="S238" s="749">
        <v>0.127</v>
      </c>
      <c r="T238" s="750">
        <f t="shared" si="81"/>
        <v>2156109.8901098901</v>
      </c>
      <c r="U238" s="751"/>
      <c r="V238" s="752">
        <f t="shared" si="82"/>
        <v>2156109.8901098901</v>
      </c>
      <c r="W238" s="752"/>
      <c r="Z238" s="753"/>
      <c r="AA238" s="753"/>
      <c r="AB238" s="753"/>
      <c r="AE238" s="753"/>
    </row>
    <row r="239" spans="1:31" s="818" customFormat="1" ht="22.5" customHeight="1" x14ac:dyDescent="0.25">
      <c r="A239" s="741" t="s">
        <v>298</v>
      </c>
      <c r="B239" s="742" t="s">
        <v>175</v>
      </c>
      <c r="C239" s="742"/>
      <c r="D239" s="743">
        <v>44480</v>
      </c>
      <c r="E239" s="743">
        <v>44949</v>
      </c>
      <c r="F239" s="744">
        <v>3640</v>
      </c>
      <c r="G239" s="744">
        <f t="shared" si="75"/>
        <v>4186</v>
      </c>
      <c r="H239" s="744">
        <f>[27]Sheet1!H37</f>
        <v>0</v>
      </c>
      <c r="I239" s="744">
        <f t="shared" si="76"/>
        <v>4186</v>
      </c>
      <c r="J239" s="743">
        <f t="shared" si="77"/>
        <v>49135</v>
      </c>
      <c r="K239" s="743">
        <f t="shared" si="78"/>
        <v>45131</v>
      </c>
      <c r="L239" s="745">
        <v>40000000</v>
      </c>
      <c r="M239" s="795"/>
      <c r="N239" s="745">
        <v>40004000</v>
      </c>
      <c r="O239" s="746">
        <f t="shared" si="79"/>
        <v>56764000</v>
      </c>
      <c r="P239" s="747">
        <v>0.1234</v>
      </c>
      <c r="Q239" s="918">
        <v>0.90845500000000001</v>
      </c>
      <c r="R239" s="748">
        <f t="shared" si="80"/>
        <v>36338200</v>
      </c>
      <c r="S239" s="749">
        <v>0.1275</v>
      </c>
      <c r="T239" s="750">
        <f t="shared" si="81"/>
        <v>2156109.8901098901</v>
      </c>
      <c r="U239" s="751"/>
      <c r="V239" s="752">
        <f t="shared" si="82"/>
        <v>2156109.8901098901</v>
      </c>
      <c r="W239" s="752"/>
      <c r="X239" s="665"/>
      <c r="Y239" s="665"/>
      <c r="Z239" s="753"/>
      <c r="AA239" s="753"/>
      <c r="AB239" s="753"/>
      <c r="AC239" s="665"/>
      <c r="AD239" s="665"/>
      <c r="AE239" s="753"/>
    </row>
    <row r="240" spans="1:31" s="665" customFormat="1" ht="22.5" customHeight="1" x14ac:dyDescent="0.25">
      <c r="A240" s="741" t="s">
        <v>298</v>
      </c>
      <c r="B240" s="742" t="s">
        <v>175</v>
      </c>
      <c r="C240" s="742"/>
      <c r="D240" s="743">
        <v>44480</v>
      </c>
      <c r="E240" s="743">
        <v>44949</v>
      </c>
      <c r="F240" s="744">
        <v>3640</v>
      </c>
      <c r="G240" s="744">
        <f t="shared" si="75"/>
        <v>4186</v>
      </c>
      <c r="H240" s="744">
        <f>[27]Sheet1!H38</f>
        <v>0</v>
      </c>
      <c r="I240" s="744">
        <f t="shared" si="76"/>
        <v>4186</v>
      </c>
      <c r="J240" s="743">
        <f t="shared" si="77"/>
        <v>49135</v>
      </c>
      <c r="K240" s="743">
        <f t="shared" si="78"/>
        <v>45131</v>
      </c>
      <c r="L240" s="745">
        <v>40000000</v>
      </c>
      <c r="M240" s="795"/>
      <c r="N240" s="745">
        <v>39882000</v>
      </c>
      <c r="O240" s="746">
        <f t="shared" si="79"/>
        <v>56764000</v>
      </c>
      <c r="P240" s="747">
        <v>0.1234</v>
      </c>
      <c r="Q240" s="918">
        <v>0.90845500000000001</v>
      </c>
      <c r="R240" s="748">
        <f t="shared" si="80"/>
        <v>36338200</v>
      </c>
      <c r="S240" s="749">
        <v>0.128</v>
      </c>
      <c r="T240" s="750">
        <f t="shared" si="81"/>
        <v>2156109.8901098901</v>
      </c>
      <c r="U240" s="751"/>
      <c r="V240" s="752">
        <f t="shared" si="82"/>
        <v>2156109.8901098901</v>
      </c>
      <c r="W240" s="752"/>
      <c r="Z240" s="753"/>
      <c r="AA240" s="753"/>
      <c r="AB240" s="753"/>
      <c r="AE240" s="753"/>
    </row>
    <row r="241" spans="1:31" s="665" customFormat="1" ht="22.5" customHeight="1" x14ac:dyDescent="0.25">
      <c r="A241" s="741" t="s">
        <v>298</v>
      </c>
      <c r="B241" s="742" t="s">
        <v>175</v>
      </c>
      <c r="C241" s="742"/>
      <c r="D241" s="743">
        <v>44480</v>
      </c>
      <c r="E241" s="743">
        <v>44949</v>
      </c>
      <c r="F241" s="744">
        <v>3640</v>
      </c>
      <c r="G241" s="744">
        <f t="shared" si="75"/>
        <v>4186</v>
      </c>
      <c r="H241" s="744">
        <f>[27]Sheet1!H39</f>
        <v>0</v>
      </c>
      <c r="I241" s="744">
        <f t="shared" si="76"/>
        <v>4186</v>
      </c>
      <c r="J241" s="743">
        <f t="shared" si="77"/>
        <v>49135</v>
      </c>
      <c r="K241" s="743">
        <f t="shared" si="78"/>
        <v>45131</v>
      </c>
      <c r="L241" s="745">
        <v>40000000</v>
      </c>
      <c r="M241" s="795"/>
      <c r="N241" s="745">
        <v>39760800</v>
      </c>
      <c r="O241" s="746">
        <f t="shared" si="79"/>
        <v>56764000</v>
      </c>
      <c r="P241" s="747">
        <v>0.1234</v>
      </c>
      <c r="Q241" s="918">
        <v>0.90845500000000001</v>
      </c>
      <c r="R241" s="748">
        <f t="shared" si="80"/>
        <v>36338200</v>
      </c>
      <c r="S241" s="749">
        <v>0.1285</v>
      </c>
      <c r="T241" s="750">
        <f t="shared" si="81"/>
        <v>2156109.8901098901</v>
      </c>
      <c r="U241" s="751"/>
      <c r="V241" s="752">
        <f t="shared" si="82"/>
        <v>2156109.8901098901</v>
      </c>
      <c r="W241" s="752"/>
      <c r="Z241" s="753"/>
      <c r="AA241" s="753"/>
      <c r="AB241" s="753"/>
      <c r="AE241" s="753"/>
    </row>
    <row r="242" spans="1:31" s="29" customFormat="1" ht="22.5" customHeight="1" x14ac:dyDescent="0.25">
      <c r="A242" s="741" t="s">
        <v>298</v>
      </c>
      <c r="B242" s="742" t="s">
        <v>175</v>
      </c>
      <c r="C242" s="742"/>
      <c r="D242" s="743">
        <v>44480</v>
      </c>
      <c r="E242" s="743">
        <v>44949</v>
      </c>
      <c r="F242" s="744">
        <v>3640</v>
      </c>
      <c r="G242" s="744">
        <f t="shared" si="75"/>
        <v>4186</v>
      </c>
      <c r="H242" s="744">
        <f>[27]Sheet1!H40</f>
        <v>0</v>
      </c>
      <c r="I242" s="744">
        <f t="shared" si="76"/>
        <v>4186</v>
      </c>
      <c r="J242" s="743">
        <f t="shared" si="77"/>
        <v>49135</v>
      </c>
      <c r="K242" s="743">
        <f t="shared" si="78"/>
        <v>45131</v>
      </c>
      <c r="L242" s="745">
        <v>20000000</v>
      </c>
      <c r="M242" s="795"/>
      <c r="N242" s="745">
        <v>19820000</v>
      </c>
      <c r="O242" s="746">
        <f t="shared" si="79"/>
        <v>28382000</v>
      </c>
      <c r="P242" s="747">
        <v>0.1234</v>
      </c>
      <c r="Q242" s="918">
        <v>0.90845500000000001</v>
      </c>
      <c r="R242" s="748">
        <f t="shared" si="80"/>
        <v>18169100</v>
      </c>
      <c r="S242" s="749">
        <v>0.129</v>
      </c>
      <c r="T242" s="750">
        <f t="shared" si="81"/>
        <v>1078054.9450549451</v>
      </c>
      <c r="U242" s="751"/>
      <c r="V242" s="752">
        <f t="shared" si="82"/>
        <v>1078054.9450549451</v>
      </c>
      <c r="W242" s="752"/>
      <c r="X242" s="665"/>
      <c r="Y242" s="665"/>
      <c r="Z242" s="753"/>
      <c r="AA242" s="753"/>
      <c r="AB242" s="753"/>
      <c r="AC242" s="665"/>
      <c r="AD242" s="665"/>
      <c r="AE242" s="753"/>
    </row>
    <row r="243" spans="1:31" s="29" customFormat="1" ht="22.5" customHeight="1" x14ac:dyDescent="0.25">
      <c r="A243" s="741" t="s">
        <v>284</v>
      </c>
      <c r="B243" s="742" t="s">
        <v>175</v>
      </c>
      <c r="C243" s="742"/>
      <c r="D243" s="743">
        <v>44424</v>
      </c>
      <c r="E243" s="743">
        <v>44970</v>
      </c>
      <c r="F243" s="744">
        <v>1638</v>
      </c>
      <c r="G243" s="744">
        <f t="shared" si="75"/>
        <v>2184</v>
      </c>
      <c r="H243" s="744">
        <f>[27]Sheet1!H79</f>
        <v>0</v>
      </c>
      <c r="I243" s="744">
        <f t="shared" si="76"/>
        <v>2184</v>
      </c>
      <c r="J243" s="743">
        <f>D243+(2730)</f>
        <v>47154</v>
      </c>
      <c r="K243" s="743">
        <f t="shared" si="78"/>
        <v>45152</v>
      </c>
      <c r="L243" s="745">
        <v>20000000</v>
      </c>
      <c r="M243" s="795"/>
      <c r="N243" s="745">
        <v>19342000</v>
      </c>
      <c r="O243" s="746">
        <f t="shared" si="79"/>
        <v>13820400</v>
      </c>
      <c r="P243" s="747">
        <v>0.11516999999999999</v>
      </c>
      <c r="Q243" s="918">
        <v>0.91103299999999998</v>
      </c>
      <c r="R243" s="748">
        <f t="shared" si="80"/>
        <v>18220660</v>
      </c>
      <c r="S243" s="749">
        <v>0.12171999999999999</v>
      </c>
      <c r="T243" s="750">
        <f t="shared" si="81"/>
        <v>873267.03296703286</v>
      </c>
      <c r="U243" s="751"/>
      <c r="V243" s="752">
        <f t="shared" si="82"/>
        <v>873267.03296703286</v>
      </c>
      <c r="W243" s="752"/>
      <c r="X243" s="665"/>
      <c r="Y243" s="665"/>
      <c r="Z243" s="753"/>
      <c r="AA243" s="753"/>
      <c r="AB243" s="753"/>
      <c r="AC243" s="665"/>
      <c r="AD243" s="665"/>
      <c r="AE243" s="753"/>
    </row>
    <row r="244" spans="1:31" s="29" customFormat="1" ht="22.5" customHeight="1" x14ac:dyDescent="0.25">
      <c r="A244" s="741" t="s">
        <v>284</v>
      </c>
      <c r="B244" s="742" t="s">
        <v>175</v>
      </c>
      <c r="C244" s="742"/>
      <c r="D244" s="743">
        <v>44424</v>
      </c>
      <c r="E244" s="743">
        <v>44970</v>
      </c>
      <c r="F244" s="744">
        <v>1638</v>
      </c>
      <c r="G244" s="744">
        <f t="shared" si="75"/>
        <v>2184</v>
      </c>
      <c r="H244" s="744">
        <f>[27]Sheet1!H80</f>
        <v>0</v>
      </c>
      <c r="I244" s="744">
        <f t="shared" si="76"/>
        <v>2184</v>
      </c>
      <c r="J244" s="743">
        <f>D244+(2730)</f>
        <v>47154</v>
      </c>
      <c r="K244" s="743">
        <f t="shared" si="78"/>
        <v>45152</v>
      </c>
      <c r="L244" s="745">
        <v>30000000</v>
      </c>
      <c r="M244" s="795"/>
      <c r="N244" s="745">
        <v>29119200</v>
      </c>
      <c r="O244" s="746">
        <f t="shared" si="79"/>
        <v>20730600</v>
      </c>
      <c r="P244" s="747">
        <v>0.11516999999999999</v>
      </c>
      <c r="Q244" s="918">
        <v>0.91103299999999998</v>
      </c>
      <c r="R244" s="748">
        <f t="shared" si="80"/>
        <v>27330990</v>
      </c>
      <c r="S244" s="749">
        <v>0.121</v>
      </c>
      <c r="T244" s="750">
        <f t="shared" si="81"/>
        <v>1309900.5494505493</v>
      </c>
      <c r="U244" s="751"/>
      <c r="V244" s="752">
        <f t="shared" si="82"/>
        <v>1309900.5494505493</v>
      </c>
      <c r="W244" s="752"/>
      <c r="X244" s="665"/>
      <c r="Y244" s="665"/>
      <c r="Z244" s="753"/>
      <c r="AA244" s="753"/>
      <c r="AB244" s="753"/>
      <c r="AC244" s="665"/>
      <c r="AD244" s="665"/>
      <c r="AE244" s="753"/>
    </row>
    <row r="245" spans="1:31" s="29" customFormat="1" ht="22.5" customHeight="1" x14ac:dyDescent="0.25">
      <c r="A245" s="741" t="s">
        <v>297</v>
      </c>
      <c r="B245" s="742" t="s">
        <v>175</v>
      </c>
      <c r="C245" s="742"/>
      <c r="D245" s="743">
        <v>44480</v>
      </c>
      <c r="E245" s="743">
        <v>44970</v>
      </c>
      <c r="F245" s="744">
        <v>3640</v>
      </c>
      <c r="G245" s="744">
        <f t="shared" si="75"/>
        <v>1820</v>
      </c>
      <c r="H245" s="744">
        <f>[27]Sheet1!H31</f>
        <v>0</v>
      </c>
      <c r="I245" s="744">
        <f t="shared" si="76"/>
        <v>1820</v>
      </c>
      <c r="J245" s="743">
        <f>D245+2310</f>
        <v>46790</v>
      </c>
      <c r="K245" s="743">
        <f t="shared" si="78"/>
        <v>45152</v>
      </c>
      <c r="L245" s="745">
        <v>20000000</v>
      </c>
      <c r="M245" s="795"/>
      <c r="N245" s="745">
        <v>19786800</v>
      </c>
      <c r="O245" s="746">
        <f t="shared" si="79"/>
        <v>11250000</v>
      </c>
      <c r="P245" s="747">
        <v>0.1125</v>
      </c>
      <c r="Q245" s="918">
        <v>0.92868700000000004</v>
      </c>
      <c r="R245" s="748">
        <f t="shared" si="80"/>
        <v>18573740</v>
      </c>
      <c r="S245" s="749">
        <v>0.11882</v>
      </c>
      <c r="T245" s="750">
        <f t="shared" si="81"/>
        <v>853021.97802197805</v>
      </c>
      <c r="U245" s="751"/>
      <c r="V245" s="752">
        <f t="shared" si="82"/>
        <v>853021.97802197805</v>
      </c>
      <c r="W245" s="752"/>
      <c r="X245" s="665"/>
      <c r="Y245" s="665"/>
      <c r="Z245" s="753"/>
      <c r="AA245" s="753"/>
      <c r="AB245" s="753"/>
      <c r="AC245" s="665"/>
      <c r="AD245" s="665"/>
      <c r="AE245" s="753"/>
    </row>
    <row r="246" spans="1:31" s="29" customFormat="1" ht="22.5" customHeight="1" x14ac:dyDescent="0.25">
      <c r="A246" s="741" t="s">
        <v>297</v>
      </c>
      <c r="B246" s="742" t="s">
        <v>175</v>
      </c>
      <c r="C246" s="742"/>
      <c r="D246" s="743">
        <v>44480</v>
      </c>
      <c r="E246" s="743">
        <v>44970</v>
      </c>
      <c r="F246" s="744">
        <v>3640</v>
      </c>
      <c r="G246" s="744">
        <f t="shared" si="75"/>
        <v>1820</v>
      </c>
      <c r="H246" s="744">
        <f>[27]Sheet1!H32</f>
        <v>0</v>
      </c>
      <c r="I246" s="744">
        <f t="shared" si="76"/>
        <v>1820</v>
      </c>
      <c r="J246" s="743">
        <f>D246+2310</f>
        <v>46790</v>
      </c>
      <c r="K246" s="743">
        <f t="shared" si="78"/>
        <v>45152</v>
      </c>
      <c r="L246" s="745">
        <v>20000000</v>
      </c>
      <c r="M246" s="795"/>
      <c r="N246" s="745">
        <v>19900600</v>
      </c>
      <c r="O246" s="746">
        <f t="shared" si="79"/>
        <v>11250000</v>
      </c>
      <c r="P246" s="747">
        <v>0.1125</v>
      </c>
      <c r="Q246" s="918">
        <v>0.92868700000000004</v>
      </c>
      <c r="R246" s="748">
        <f t="shared" si="80"/>
        <v>18573740</v>
      </c>
      <c r="S246" s="749">
        <v>0.11749999999999999</v>
      </c>
      <c r="T246" s="750">
        <f t="shared" si="81"/>
        <v>853021.97802197805</v>
      </c>
      <c r="U246" s="751"/>
      <c r="V246" s="752">
        <f t="shared" si="82"/>
        <v>853021.97802197805</v>
      </c>
      <c r="W246" s="752"/>
      <c r="X246" s="665"/>
      <c r="Y246" s="665"/>
      <c r="Z246" s="753"/>
      <c r="AA246" s="753"/>
      <c r="AB246" s="753"/>
      <c r="AC246" s="665"/>
      <c r="AD246" s="665"/>
      <c r="AE246" s="753"/>
    </row>
    <row r="247" spans="1:31" s="29" customFormat="1" ht="22.5" customHeight="1" x14ac:dyDescent="0.25">
      <c r="A247" s="741" t="s">
        <v>297</v>
      </c>
      <c r="B247" s="742" t="s">
        <v>175</v>
      </c>
      <c r="C247" s="742"/>
      <c r="D247" s="743">
        <v>44480</v>
      </c>
      <c r="E247" s="743">
        <v>44970</v>
      </c>
      <c r="F247" s="744">
        <v>3640</v>
      </c>
      <c r="G247" s="744">
        <f t="shared" si="75"/>
        <v>1820</v>
      </c>
      <c r="H247" s="744">
        <f>[27]Sheet1!H33</f>
        <v>0</v>
      </c>
      <c r="I247" s="744">
        <f t="shared" si="76"/>
        <v>1820</v>
      </c>
      <c r="J247" s="743">
        <f>D247+2310</f>
        <v>46790</v>
      </c>
      <c r="K247" s="743">
        <f t="shared" si="78"/>
        <v>45152</v>
      </c>
      <c r="L247" s="745">
        <v>20000000</v>
      </c>
      <c r="M247" s="795"/>
      <c r="N247" s="745">
        <v>19857400</v>
      </c>
      <c r="O247" s="746">
        <f t="shared" si="79"/>
        <v>11250000</v>
      </c>
      <c r="P247" s="747">
        <v>0.1125</v>
      </c>
      <c r="Q247" s="918">
        <v>0.92868700000000004</v>
      </c>
      <c r="R247" s="748">
        <f t="shared" si="80"/>
        <v>18573740</v>
      </c>
      <c r="S247" s="749">
        <v>0.11799999999999999</v>
      </c>
      <c r="T247" s="750">
        <f t="shared" si="81"/>
        <v>853021.97802197805</v>
      </c>
      <c r="U247" s="751"/>
      <c r="V247" s="752">
        <f t="shared" si="82"/>
        <v>853021.97802197805</v>
      </c>
      <c r="W247" s="752"/>
      <c r="X247" s="665"/>
      <c r="Y247" s="665"/>
      <c r="Z247" s="753"/>
      <c r="AA247" s="753"/>
      <c r="AB247" s="753"/>
      <c r="AC247" s="665"/>
      <c r="AD247" s="665"/>
      <c r="AE247" s="753"/>
    </row>
    <row r="248" spans="1:31" s="29" customFormat="1" ht="22.5" customHeight="1" x14ac:dyDescent="0.25">
      <c r="A248" s="741" t="s">
        <v>297</v>
      </c>
      <c r="B248" s="742" t="s">
        <v>175</v>
      </c>
      <c r="C248" s="742"/>
      <c r="D248" s="743">
        <v>44480</v>
      </c>
      <c r="E248" s="743">
        <v>44970</v>
      </c>
      <c r="F248" s="744">
        <v>3640</v>
      </c>
      <c r="G248" s="744">
        <f t="shared" si="75"/>
        <v>1820</v>
      </c>
      <c r="H248" s="744">
        <f>[27]Sheet1!H34</f>
        <v>0</v>
      </c>
      <c r="I248" s="744">
        <f t="shared" si="76"/>
        <v>1820</v>
      </c>
      <c r="J248" s="743">
        <f>D248+2310</f>
        <v>46790</v>
      </c>
      <c r="K248" s="743">
        <f t="shared" si="78"/>
        <v>45152</v>
      </c>
      <c r="L248" s="745">
        <v>20000000</v>
      </c>
      <c r="M248" s="795"/>
      <c r="N248" s="745">
        <v>19814400</v>
      </c>
      <c r="O248" s="746">
        <f t="shared" si="79"/>
        <v>11250000</v>
      </c>
      <c r="P248" s="747">
        <v>0.1125</v>
      </c>
      <c r="Q248" s="918">
        <v>0.92868700000000004</v>
      </c>
      <c r="R248" s="748">
        <f t="shared" si="80"/>
        <v>18573740</v>
      </c>
      <c r="S248" s="749">
        <v>0.11849999999999999</v>
      </c>
      <c r="T248" s="750">
        <f t="shared" si="81"/>
        <v>853021.97802197805</v>
      </c>
      <c r="U248" s="751"/>
      <c r="V248" s="752">
        <f t="shared" si="82"/>
        <v>853021.97802197805</v>
      </c>
      <c r="W248" s="752"/>
      <c r="X248" s="665"/>
      <c r="Y248" s="665"/>
      <c r="Z248" s="753"/>
      <c r="AA248" s="753"/>
      <c r="AB248" s="753"/>
      <c r="AC248" s="665"/>
      <c r="AD248" s="665"/>
      <c r="AE248" s="753"/>
    </row>
    <row r="249" spans="1:31" s="29" customFormat="1" ht="22.5" customHeight="1" x14ac:dyDescent="0.25">
      <c r="A249" s="44" t="s">
        <v>197</v>
      </c>
      <c r="B249" s="45" t="s">
        <v>175</v>
      </c>
      <c r="C249" s="11"/>
      <c r="D249" s="736">
        <v>42611</v>
      </c>
      <c r="E249" s="736">
        <v>44977</v>
      </c>
      <c r="F249" s="73">
        <v>3276</v>
      </c>
      <c r="G249" s="73">
        <f t="shared" si="75"/>
        <v>1274</v>
      </c>
      <c r="H249" s="73">
        <f>[27]Sheet1!H68</f>
        <v>0</v>
      </c>
      <c r="I249" s="73">
        <f t="shared" si="76"/>
        <v>1274</v>
      </c>
      <c r="J249" s="736">
        <v>46251</v>
      </c>
      <c r="K249" s="736">
        <f t="shared" si="78"/>
        <v>45159</v>
      </c>
      <c r="L249" s="46">
        <v>20000000</v>
      </c>
      <c r="M249" s="18">
        <v>10000000</v>
      </c>
      <c r="N249" s="46">
        <v>20000000</v>
      </c>
      <c r="O249" s="20">
        <f t="shared" si="79"/>
        <v>10527300</v>
      </c>
      <c r="P249" s="47">
        <v>0.15039</v>
      </c>
      <c r="Q249" s="919">
        <v>1.0581970000000001</v>
      </c>
      <c r="R249" s="22">
        <f t="shared" si="80"/>
        <v>21163940</v>
      </c>
      <c r="S249" s="12">
        <v>0.15039</v>
      </c>
      <c r="T249" s="75">
        <f t="shared" si="81"/>
        <v>1082477.4725274723</v>
      </c>
      <c r="U249" s="563"/>
      <c r="V249" s="13">
        <f t="shared" si="82"/>
        <v>1082477.4725274723</v>
      </c>
      <c r="W249" s="13"/>
      <c r="Z249" s="30"/>
      <c r="AA249" s="30"/>
      <c r="AB249" s="30"/>
      <c r="AE249" s="30"/>
    </row>
    <row r="250" spans="1:31" s="29" customFormat="1" ht="22.5" customHeight="1" x14ac:dyDescent="0.25">
      <c r="A250" s="44" t="s">
        <v>206</v>
      </c>
      <c r="B250" s="45" t="s">
        <v>175</v>
      </c>
      <c r="C250" s="11"/>
      <c r="D250" s="736">
        <v>42793</v>
      </c>
      <c r="E250" s="736">
        <v>44977</v>
      </c>
      <c r="F250" s="73">
        <v>4186</v>
      </c>
      <c r="G250" s="73">
        <f t="shared" si="75"/>
        <v>2184</v>
      </c>
      <c r="H250" s="73">
        <f>[27]Sheet1!H71</f>
        <v>0</v>
      </c>
      <c r="I250" s="73">
        <f t="shared" si="76"/>
        <v>2184</v>
      </c>
      <c r="J250" s="736">
        <f t="shared" ref="J250:J255" si="83">D250+364*12</f>
        <v>47161</v>
      </c>
      <c r="K250" s="736">
        <f t="shared" si="78"/>
        <v>45159</v>
      </c>
      <c r="L250" s="46">
        <f t="shared" ref="L250:L256" si="84">20000000*80%</f>
        <v>16000000</v>
      </c>
      <c r="M250" s="18"/>
      <c r="N250" s="46">
        <v>18970600</v>
      </c>
      <c r="O250" s="20">
        <f t="shared" si="79"/>
        <v>12000000</v>
      </c>
      <c r="P250" s="47">
        <v>0.125</v>
      </c>
      <c r="Q250" s="919">
        <v>1.0262659999999999</v>
      </c>
      <c r="R250" s="22">
        <f t="shared" si="80"/>
        <v>16420255.999999998</v>
      </c>
      <c r="S250" s="12">
        <v>0.13555</v>
      </c>
      <c r="T250" s="75">
        <f t="shared" si="81"/>
        <v>719780.21978021972</v>
      </c>
      <c r="U250" s="563"/>
      <c r="V250" s="13">
        <f t="shared" si="82"/>
        <v>719780.21978021972</v>
      </c>
      <c r="W250" s="13"/>
      <c r="Z250" s="30"/>
      <c r="AA250" s="30"/>
      <c r="AB250" s="30"/>
      <c r="AE250" s="30"/>
    </row>
    <row r="251" spans="1:31" s="29" customFormat="1" ht="22.5" customHeight="1" x14ac:dyDescent="0.25">
      <c r="A251" s="44" t="s">
        <v>206</v>
      </c>
      <c r="B251" s="45" t="s">
        <v>175</v>
      </c>
      <c r="C251" s="11"/>
      <c r="D251" s="736">
        <v>42793</v>
      </c>
      <c r="E251" s="736">
        <v>44977</v>
      </c>
      <c r="F251" s="73">
        <v>4186</v>
      </c>
      <c r="G251" s="73">
        <f t="shared" si="75"/>
        <v>2184</v>
      </c>
      <c r="H251" s="73">
        <f>[27]Sheet1!H72</f>
        <v>0</v>
      </c>
      <c r="I251" s="73">
        <f t="shared" si="76"/>
        <v>2184</v>
      </c>
      <c r="J251" s="736">
        <f t="shared" si="83"/>
        <v>47161</v>
      </c>
      <c r="K251" s="736">
        <f t="shared" si="78"/>
        <v>45159</v>
      </c>
      <c r="L251" s="46">
        <f t="shared" si="84"/>
        <v>16000000</v>
      </c>
      <c r="M251" s="18"/>
      <c r="N251" s="46">
        <v>19924600</v>
      </c>
      <c r="O251" s="20">
        <f t="shared" si="79"/>
        <v>12000000</v>
      </c>
      <c r="P251" s="47">
        <v>0.125</v>
      </c>
      <c r="Q251" s="919">
        <v>1.0262659999999999</v>
      </c>
      <c r="R251" s="22">
        <f t="shared" si="80"/>
        <v>16420255.999999998</v>
      </c>
      <c r="S251" s="12">
        <v>0.13214000000000001</v>
      </c>
      <c r="T251" s="75">
        <f t="shared" si="81"/>
        <v>719780.21978021972</v>
      </c>
      <c r="U251" s="563"/>
      <c r="V251" s="13">
        <f t="shared" si="82"/>
        <v>719780.21978021972</v>
      </c>
      <c r="W251" s="13"/>
      <c r="Z251" s="30"/>
      <c r="AA251" s="30"/>
      <c r="AB251" s="30"/>
      <c r="AE251" s="30"/>
    </row>
    <row r="252" spans="1:31" s="29" customFormat="1" ht="22.5" customHeight="1" x14ac:dyDescent="0.25">
      <c r="A252" s="44" t="s">
        <v>206</v>
      </c>
      <c r="B252" s="45" t="s">
        <v>175</v>
      </c>
      <c r="C252" s="11"/>
      <c r="D252" s="736">
        <v>42793</v>
      </c>
      <c r="E252" s="736">
        <v>44977</v>
      </c>
      <c r="F252" s="73">
        <v>4186</v>
      </c>
      <c r="G252" s="73">
        <f t="shared" si="75"/>
        <v>2184</v>
      </c>
      <c r="H252" s="73">
        <f>[27]Sheet1!H73</f>
        <v>0</v>
      </c>
      <c r="I252" s="73">
        <f t="shared" si="76"/>
        <v>2184</v>
      </c>
      <c r="J252" s="736">
        <f t="shared" si="83"/>
        <v>47161</v>
      </c>
      <c r="K252" s="736">
        <f t="shared" si="78"/>
        <v>45159</v>
      </c>
      <c r="L252" s="46">
        <f t="shared" si="84"/>
        <v>16000000</v>
      </c>
      <c r="M252" s="18"/>
      <c r="N252" s="46">
        <v>19089400</v>
      </c>
      <c r="O252" s="20">
        <f t="shared" si="79"/>
        <v>12000000</v>
      </c>
      <c r="P252" s="47">
        <v>0.125</v>
      </c>
      <c r="Q252" s="919">
        <v>1.0262659999999999</v>
      </c>
      <c r="R252" s="22">
        <f t="shared" si="80"/>
        <v>16420255.999999998</v>
      </c>
      <c r="S252" s="12">
        <v>0.13428999999999999</v>
      </c>
      <c r="T252" s="75">
        <f t="shared" si="81"/>
        <v>719780.21978021972</v>
      </c>
      <c r="U252" s="563"/>
      <c r="V252" s="13">
        <f t="shared" si="82"/>
        <v>719780.21978021972</v>
      </c>
      <c r="W252" s="13"/>
      <c r="Z252" s="30"/>
      <c r="AA252" s="30"/>
      <c r="AB252" s="30"/>
      <c r="AE252" s="30"/>
    </row>
    <row r="253" spans="1:31" s="29" customFormat="1" ht="22.5" customHeight="1" x14ac:dyDescent="0.25">
      <c r="A253" s="44" t="s">
        <v>206</v>
      </c>
      <c r="B253" s="45" t="s">
        <v>175</v>
      </c>
      <c r="C253" s="11"/>
      <c r="D253" s="736">
        <v>42793</v>
      </c>
      <c r="E253" s="736">
        <v>44977</v>
      </c>
      <c r="F253" s="73">
        <v>4186</v>
      </c>
      <c r="G253" s="73">
        <f t="shared" si="75"/>
        <v>2184</v>
      </c>
      <c r="H253" s="73">
        <f>[27]Sheet1!H74</f>
        <v>0</v>
      </c>
      <c r="I253" s="73">
        <f t="shared" si="76"/>
        <v>2184</v>
      </c>
      <c r="J253" s="736">
        <f t="shared" si="83"/>
        <v>47161</v>
      </c>
      <c r="K253" s="736">
        <f t="shared" si="78"/>
        <v>45159</v>
      </c>
      <c r="L253" s="46">
        <f t="shared" si="84"/>
        <v>16000000</v>
      </c>
      <c r="M253" s="18"/>
      <c r="N253" s="46">
        <v>19011000</v>
      </c>
      <c r="O253" s="20">
        <f t="shared" si="79"/>
        <v>12000000</v>
      </c>
      <c r="P253" s="47">
        <v>0.125</v>
      </c>
      <c r="Q253" s="919">
        <v>1.0262659999999999</v>
      </c>
      <c r="R253" s="22">
        <f t="shared" si="80"/>
        <v>16420255.999999998</v>
      </c>
      <c r="S253" s="12">
        <v>0.13511999999999999</v>
      </c>
      <c r="T253" s="75">
        <f t="shared" si="81"/>
        <v>719780.21978021972</v>
      </c>
      <c r="U253" s="563"/>
      <c r="V253" s="13">
        <f t="shared" si="82"/>
        <v>719780.21978021972</v>
      </c>
      <c r="W253" s="13"/>
      <c r="Z253" s="30"/>
      <c r="AA253" s="30"/>
      <c r="AB253" s="30"/>
      <c r="AE253" s="30"/>
    </row>
    <row r="254" spans="1:31" s="29" customFormat="1" ht="22.5" customHeight="1" x14ac:dyDescent="0.25">
      <c r="A254" s="44" t="s">
        <v>206</v>
      </c>
      <c r="B254" s="45" t="s">
        <v>175</v>
      </c>
      <c r="C254" s="11"/>
      <c r="D254" s="736">
        <v>42793</v>
      </c>
      <c r="E254" s="736">
        <v>44977</v>
      </c>
      <c r="F254" s="73">
        <v>4186</v>
      </c>
      <c r="G254" s="73">
        <f t="shared" si="75"/>
        <v>2184</v>
      </c>
      <c r="H254" s="73">
        <f>[27]Sheet1!H75</f>
        <v>0</v>
      </c>
      <c r="I254" s="73">
        <f t="shared" si="76"/>
        <v>2184</v>
      </c>
      <c r="J254" s="736">
        <f t="shared" si="83"/>
        <v>47161</v>
      </c>
      <c r="K254" s="736">
        <f t="shared" si="78"/>
        <v>45159</v>
      </c>
      <c r="L254" s="46">
        <f t="shared" si="84"/>
        <v>16000000</v>
      </c>
      <c r="M254" s="18"/>
      <c r="N254" s="46">
        <v>18976200</v>
      </c>
      <c r="O254" s="20">
        <f t="shared" si="79"/>
        <v>12000000</v>
      </c>
      <c r="P254" s="47">
        <v>0.125</v>
      </c>
      <c r="Q254" s="919">
        <v>1.0262659999999999</v>
      </c>
      <c r="R254" s="22">
        <f t="shared" si="80"/>
        <v>16420255.999999998</v>
      </c>
      <c r="S254" s="12">
        <v>0.13549</v>
      </c>
      <c r="T254" s="75">
        <f t="shared" si="81"/>
        <v>719780.21978021972</v>
      </c>
      <c r="U254" s="563"/>
      <c r="V254" s="13">
        <f t="shared" si="82"/>
        <v>719780.21978021972</v>
      </c>
      <c r="W254" s="13"/>
      <c r="Z254" s="30"/>
      <c r="AA254" s="30"/>
      <c r="AB254" s="30"/>
      <c r="AE254" s="30"/>
    </row>
    <row r="255" spans="1:31" s="29" customFormat="1" ht="22.5" customHeight="1" x14ac:dyDescent="0.25">
      <c r="A255" s="44" t="s">
        <v>206</v>
      </c>
      <c r="B255" s="45" t="s">
        <v>175</v>
      </c>
      <c r="C255" s="11"/>
      <c r="D255" s="736">
        <v>42793</v>
      </c>
      <c r="E255" s="736">
        <v>44977</v>
      </c>
      <c r="F255" s="73">
        <v>4186</v>
      </c>
      <c r="G255" s="73">
        <f t="shared" si="75"/>
        <v>2184</v>
      </c>
      <c r="H255" s="73">
        <f>[27]Sheet1!H76</f>
        <v>0</v>
      </c>
      <c r="I255" s="73">
        <f t="shared" si="76"/>
        <v>2184</v>
      </c>
      <c r="J255" s="736">
        <f t="shared" si="83"/>
        <v>47161</v>
      </c>
      <c r="K255" s="736">
        <f t="shared" si="78"/>
        <v>45159</v>
      </c>
      <c r="L255" s="46">
        <f t="shared" si="84"/>
        <v>16000000</v>
      </c>
      <c r="M255" s="18"/>
      <c r="N255" s="46">
        <v>18867000</v>
      </c>
      <c r="O255" s="20">
        <f t="shared" si="79"/>
        <v>12000000</v>
      </c>
      <c r="P255" s="47">
        <v>0.125</v>
      </c>
      <c r="Q255" s="919">
        <v>1.0262659999999999</v>
      </c>
      <c r="R255" s="22">
        <f t="shared" si="80"/>
        <v>16420255.999999998</v>
      </c>
      <c r="S255" s="12">
        <v>0.13666</v>
      </c>
      <c r="T255" s="75">
        <f t="shared" si="81"/>
        <v>719780.21978021972</v>
      </c>
      <c r="U255" s="563"/>
      <c r="V255" s="13">
        <f t="shared" si="82"/>
        <v>719780.21978021972</v>
      </c>
      <c r="W255" s="13"/>
      <c r="Z255" s="30"/>
      <c r="AA255" s="30"/>
      <c r="AB255" s="30"/>
      <c r="AE255" s="30"/>
    </row>
    <row r="256" spans="1:31" s="29" customFormat="1" ht="22.5" customHeight="1" x14ac:dyDescent="0.25">
      <c r="A256" s="44" t="s">
        <v>206</v>
      </c>
      <c r="B256" s="45" t="s">
        <v>175</v>
      </c>
      <c r="C256" s="11"/>
      <c r="D256" s="736">
        <v>42800</v>
      </c>
      <c r="E256" s="736">
        <v>44977</v>
      </c>
      <c r="F256" s="73">
        <v>4178.72</v>
      </c>
      <c r="G256" s="73">
        <f t="shared" si="75"/>
        <v>2184</v>
      </c>
      <c r="H256" s="73">
        <f>[27]Sheet1!H77</f>
        <v>0</v>
      </c>
      <c r="I256" s="73">
        <f t="shared" si="76"/>
        <v>2184</v>
      </c>
      <c r="J256" s="736">
        <v>47161</v>
      </c>
      <c r="K256" s="736">
        <f t="shared" si="78"/>
        <v>45159</v>
      </c>
      <c r="L256" s="46">
        <f t="shared" si="84"/>
        <v>16000000</v>
      </c>
      <c r="M256" s="18"/>
      <c r="N256" s="46">
        <v>18958000</v>
      </c>
      <c r="O256" s="20">
        <f t="shared" si="79"/>
        <v>12000000</v>
      </c>
      <c r="P256" s="47">
        <v>0.125</v>
      </c>
      <c r="Q256" s="919">
        <v>1.0262659999999999</v>
      </c>
      <c r="R256" s="22">
        <f t="shared" si="80"/>
        <v>16420255.999999998</v>
      </c>
      <c r="S256" s="12">
        <v>0.13555</v>
      </c>
      <c r="T256" s="75">
        <f t="shared" si="81"/>
        <v>719780.21978021972</v>
      </c>
      <c r="U256" s="563"/>
      <c r="V256" s="13">
        <f t="shared" si="82"/>
        <v>719780.21978021972</v>
      </c>
      <c r="W256" s="13"/>
      <c r="Z256" s="30"/>
      <c r="AA256" s="30"/>
      <c r="AB256" s="30"/>
      <c r="AE256" s="30"/>
    </row>
    <row r="257" spans="1:31" s="29" customFormat="1" ht="22.5" customHeight="1" x14ac:dyDescent="0.25">
      <c r="A257" s="44" t="s">
        <v>206</v>
      </c>
      <c r="B257" s="45" t="s">
        <v>175</v>
      </c>
      <c r="C257" s="11"/>
      <c r="D257" s="736">
        <v>42800</v>
      </c>
      <c r="E257" s="736">
        <v>44977</v>
      </c>
      <c r="F257" s="73">
        <v>4178.72</v>
      </c>
      <c r="G257" s="73">
        <f t="shared" si="75"/>
        <v>2184</v>
      </c>
      <c r="H257" s="73">
        <f>[27]Sheet1!H88</f>
        <v>0</v>
      </c>
      <c r="I257" s="73">
        <f t="shared" si="76"/>
        <v>2184</v>
      </c>
      <c r="J257" s="736">
        <v>47161</v>
      </c>
      <c r="K257" s="736">
        <f t="shared" si="78"/>
        <v>45159</v>
      </c>
      <c r="L257" s="46">
        <f>40000000*80%</f>
        <v>32000000</v>
      </c>
      <c r="M257" s="18"/>
      <c r="N257" s="46">
        <v>37916000</v>
      </c>
      <c r="O257" s="20">
        <f t="shared" si="79"/>
        <v>24000000</v>
      </c>
      <c r="P257" s="47">
        <v>0.125</v>
      </c>
      <c r="Q257" s="919">
        <v>1.0262659999999999</v>
      </c>
      <c r="R257" s="22">
        <f t="shared" si="80"/>
        <v>32840511.999999996</v>
      </c>
      <c r="S257" s="12">
        <v>0.13555</v>
      </c>
      <c r="T257" s="75">
        <f t="shared" si="81"/>
        <v>1439560.4395604394</v>
      </c>
      <c r="U257" s="563"/>
      <c r="V257" s="13">
        <f t="shared" si="82"/>
        <v>1439560.4395604394</v>
      </c>
      <c r="W257" s="13"/>
      <c r="Z257" s="30"/>
      <c r="AA257" s="30"/>
      <c r="AB257" s="30"/>
      <c r="AE257" s="30"/>
    </row>
    <row r="258" spans="1:31" s="29" customFormat="1" ht="22.5" customHeight="1" x14ac:dyDescent="0.25">
      <c r="A258" s="44" t="s">
        <v>206</v>
      </c>
      <c r="B258" s="45" t="s">
        <v>175</v>
      </c>
      <c r="C258" s="11"/>
      <c r="D258" s="736">
        <v>42800</v>
      </c>
      <c r="E258" s="736">
        <v>44977</v>
      </c>
      <c r="F258" s="73">
        <v>4178.72</v>
      </c>
      <c r="G258" s="73">
        <f t="shared" si="75"/>
        <v>2184</v>
      </c>
      <c r="H258" s="73">
        <f>[27]Sheet1!H89</f>
        <v>0</v>
      </c>
      <c r="I258" s="73">
        <f t="shared" si="76"/>
        <v>2184</v>
      </c>
      <c r="J258" s="736">
        <v>47161</v>
      </c>
      <c r="K258" s="736">
        <f t="shared" si="78"/>
        <v>45159</v>
      </c>
      <c r="L258" s="46">
        <f>40000000*80%</f>
        <v>32000000</v>
      </c>
      <c r="M258" s="18"/>
      <c r="N258" s="46">
        <v>37916000</v>
      </c>
      <c r="O258" s="20">
        <f t="shared" si="79"/>
        <v>24000000</v>
      </c>
      <c r="P258" s="47">
        <v>0.125</v>
      </c>
      <c r="Q258" s="919">
        <v>1.0262659999999999</v>
      </c>
      <c r="R258" s="22">
        <f t="shared" si="80"/>
        <v>32840511.999999996</v>
      </c>
      <c r="S258" s="12">
        <v>0.13555</v>
      </c>
      <c r="T258" s="75">
        <f t="shared" si="81"/>
        <v>1439560.4395604394</v>
      </c>
      <c r="U258" s="563"/>
      <c r="V258" s="13">
        <f t="shared" si="82"/>
        <v>1439560.4395604394</v>
      </c>
      <c r="W258" s="13"/>
      <c r="Z258" s="30"/>
      <c r="AA258" s="30"/>
      <c r="AB258" s="30"/>
      <c r="AE258" s="30"/>
    </row>
    <row r="259" spans="1:31" s="29" customFormat="1" ht="22.5" customHeight="1" x14ac:dyDescent="0.25">
      <c r="A259" s="44" t="s">
        <v>206</v>
      </c>
      <c r="B259" s="45" t="s">
        <v>175</v>
      </c>
      <c r="C259" s="11"/>
      <c r="D259" s="736">
        <v>42800</v>
      </c>
      <c r="E259" s="736">
        <v>44977</v>
      </c>
      <c r="F259" s="73">
        <v>4178.72</v>
      </c>
      <c r="G259" s="73">
        <f t="shared" si="75"/>
        <v>2184</v>
      </c>
      <c r="H259" s="73">
        <f>[27]Sheet1!H91</f>
        <v>0</v>
      </c>
      <c r="I259" s="73">
        <f t="shared" si="76"/>
        <v>2184</v>
      </c>
      <c r="J259" s="736">
        <v>47161</v>
      </c>
      <c r="K259" s="736">
        <f t="shared" si="78"/>
        <v>45159</v>
      </c>
      <c r="L259" s="46">
        <f>45000000*80%</f>
        <v>36000000</v>
      </c>
      <c r="M259" s="18"/>
      <c r="N259" s="46">
        <v>42655500</v>
      </c>
      <c r="O259" s="20">
        <f t="shared" si="79"/>
        <v>27000000</v>
      </c>
      <c r="P259" s="47">
        <v>0.125</v>
      </c>
      <c r="Q259" s="919">
        <v>1.0262659999999999</v>
      </c>
      <c r="R259" s="22">
        <f t="shared" si="80"/>
        <v>36945576</v>
      </c>
      <c r="S259" s="12">
        <v>0.13555</v>
      </c>
      <c r="T259" s="75">
        <f t="shared" si="81"/>
        <v>1619505.4945054944</v>
      </c>
      <c r="U259" s="563"/>
      <c r="V259" s="13">
        <f t="shared" si="82"/>
        <v>1619505.4945054944</v>
      </c>
      <c r="W259" s="13"/>
      <c r="Z259" s="30"/>
      <c r="AA259" s="30"/>
      <c r="AB259" s="30"/>
      <c r="AE259" s="30"/>
    </row>
    <row r="260" spans="1:31" s="29" customFormat="1" ht="22.5" customHeight="1" x14ac:dyDescent="0.25">
      <c r="A260" s="44" t="s">
        <v>206</v>
      </c>
      <c r="B260" s="45" t="s">
        <v>175</v>
      </c>
      <c r="C260" s="11"/>
      <c r="D260" s="736">
        <v>42800</v>
      </c>
      <c r="E260" s="736">
        <v>44977</v>
      </c>
      <c r="F260" s="73">
        <v>4178.72</v>
      </c>
      <c r="G260" s="73">
        <f t="shared" si="75"/>
        <v>2184</v>
      </c>
      <c r="H260" s="73">
        <f>[27]Sheet1!H92</f>
        <v>0</v>
      </c>
      <c r="I260" s="73">
        <f t="shared" si="76"/>
        <v>2184</v>
      </c>
      <c r="J260" s="736">
        <v>47161</v>
      </c>
      <c r="K260" s="736">
        <f t="shared" si="78"/>
        <v>45159</v>
      </c>
      <c r="L260" s="46">
        <f>46000000*80%</f>
        <v>36800000</v>
      </c>
      <c r="M260" s="18"/>
      <c r="N260" s="46">
        <v>43603400</v>
      </c>
      <c r="O260" s="20">
        <f t="shared" si="79"/>
        <v>27600000</v>
      </c>
      <c r="P260" s="47">
        <v>0.125</v>
      </c>
      <c r="Q260" s="919">
        <v>1.0262659999999999</v>
      </c>
      <c r="R260" s="22">
        <f t="shared" si="80"/>
        <v>37766588.799999997</v>
      </c>
      <c r="S260" s="12">
        <v>0.13555</v>
      </c>
      <c r="T260" s="75">
        <f t="shared" si="81"/>
        <v>1655494.5054945056</v>
      </c>
      <c r="U260" s="563"/>
      <c r="V260" s="13">
        <f t="shared" si="82"/>
        <v>1655494.5054945056</v>
      </c>
      <c r="W260" s="13"/>
      <c r="Z260" s="30"/>
      <c r="AA260" s="30"/>
      <c r="AB260" s="30"/>
      <c r="AE260" s="30"/>
    </row>
    <row r="261" spans="1:31" s="29" customFormat="1" ht="22.5" customHeight="1" x14ac:dyDescent="0.25">
      <c r="A261" s="44" t="s">
        <v>255</v>
      </c>
      <c r="B261" s="45" t="s">
        <v>175</v>
      </c>
      <c r="C261" s="11"/>
      <c r="D261" s="736">
        <v>44067</v>
      </c>
      <c r="E261" s="736">
        <v>44977</v>
      </c>
      <c r="F261" s="73">
        <v>4178.72</v>
      </c>
      <c r="G261" s="73">
        <f t="shared" si="75"/>
        <v>3094</v>
      </c>
      <c r="H261" s="73">
        <f>[27]Sheet1!H93</f>
        <v>0</v>
      </c>
      <c r="I261" s="73">
        <f t="shared" si="76"/>
        <v>3094</v>
      </c>
      <c r="J261" s="736">
        <v>48071</v>
      </c>
      <c r="K261" s="736">
        <f t="shared" si="78"/>
        <v>45159</v>
      </c>
      <c r="L261" s="46">
        <v>20000000</v>
      </c>
      <c r="M261" s="18"/>
      <c r="N261" s="46">
        <v>19578600</v>
      </c>
      <c r="O261" s="20">
        <f t="shared" si="79"/>
        <v>18530000</v>
      </c>
      <c r="P261" s="47">
        <v>0.109</v>
      </c>
      <c r="Q261" s="919">
        <v>0.91560399999999997</v>
      </c>
      <c r="R261" s="22">
        <f t="shared" si="80"/>
        <v>18312080</v>
      </c>
      <c r="S261" s="12">
        <v>0.11302</v>
      </c>
      <c r="T261" s="75">
        <f t="shared" si="81"/>
        <v>784560.43956043955</v>
      </c>
      <c r="U261" s="563"/>
      <c r="V261" s="13">
        <f t="shared" si="82"/>
        <v>784560.43956043955</v>
      </c>
      <c r="W261" s="13"/>
      <c r="Z261" s="30"/>
      <c r="AA261" s="30"/>
      <c r="AB261" s="30"/>
      <c r="AE261" s="30"/>
    </row>
    <row r="262" spans="1:31" s="29" customFormat="1" ht="22.5" customHeight="1" x14ac:dyDescent="0.25">
      <c r="A262" s="44" t="s">
        <v>255</v>
      </c>
      <c r="B262" s="45" t="s">
        <v>175</v>
      </c>
      <c r="C262" s="11"/>
      <c r="D262" s="736">
        <v>44067</v>
      </c>
      <c r="E262" s="736">
        <v>44977</v>
      </c>
      <c r="F262" s="73">
        <v>4178.72</v>
      </c>
      <c r="G262" s="73">
        <f t="shared" si="75"/>
        <v>3094</v>
      </c>
      <c r="H262" s="73">
        <f>[27]Sheet1!H94</f>
        <v>0</v>
      </c>
      <c r="I262" s="73">
        <f t="shared" si="76"/>
        <v>3094</v>
      </c>
      <c r="J262" s="736">
        <v>48071</v>
      </c>
      <c r="K262" s="736">
        <f t="shared" si="78"/>
        <v>45159</v>
      </c>
      <c r="L262" s="46">
        <v>40000000</v>
      </c>
      <c r="M262" s="18"/>
      <c r="N262" s="46">
        <v>40106800</v>
      </c>
      <c r="O262" s="20">
        <f t="shared" si="79"/>
        <v>37060000</v>
      </c>
      <c r="P262" s="47">
        <v>0.109</v>
      </c>
      <c r="Q262" s="919">
        <v>0.91560399999999997</v>
      </c>
      <c r="R262" s="22">
        <f t="shared" si="80"/>
        <v>36624160</v>
      </c>
      <c r="S262" s="12">
        <v>0.1085</v>
      </c>
      <c r="T262" s="75">
        <f t="shared" si="81"/>
        <v>1569120.8791208791</v>
      </c>
      <c r="U262" s="563"/>
      <c r="V262" s="13">
        <f t="shared" si="82"/>
        <v>1569120.8791208791</v>
      </c>
      <c r="W262" s="13"/>
      <c r="Z262" s="30"/>
      <c r="AA262" s="30"/>
      <c r="AB262" s="30"/>
      <c r="AE262" s="30"/>
    </row>
    <row r="263" spans="1:31" s="29" customFormat="1" ht="22.5" customHeight="1" x14ac:dyDescent="0.25">
      <c r="A263" s="44" t="s">
        <v>255</v>
      </c>
      <c r="B263" s="45" t="s">
        <v>175</v>
      </c>
      <c r="C263" s="11"/>
      <c r="D263" s="736">
        <v>44067</v>
      </c>
      <c r="E263" s="736">
        <v>44977</v>
      </c>
      <c r="F263" s="73">
        <v>4178.72</v>
      </c>
      <c r="G263" s="73">
        <f t="shared" si="75"/>
        <v>3094</v>
      </c>
      <c r="H263" s="73" t="e">
        <f>[27]Sheet1!H95</f>
        <v>#REF!</v>
      </c>
      <c r="I263" s="73" t="e">
        <f t="shared" si="76"/>
        <v>#REF!</v>
      </c>
      <c r="J263" s="736">
        <v>48071</v>
      </c>
      <c r="K263" s="736">
        <f t="shared" si="78"/>
        <v>45159</v>
      </c>
      <c r="L263" s="46">
        <v>40000000</v>
      </c>
      <c r="M263" s="18"/>
      <c r="N263" s="46">
        <v>40000000</v>
      </c>
      <c r="O263" s="20">
        <f t="shared" si="79"/>
        <v>37060000</v>
      </c>
      <c r="P263" s="47">
        <v>0.109</v>
      </c>
      <c r="Q263" s="919">
        <v>0.91560399999999997</v>
      </c>
      <c r="R263" s="22">
        <f t="shared" si="80"/>
        <v>36624160</v>
      </c>
      <c r="S263" s="12">
        <v>0.109</v>
      </c>
      <c r="T263" s="75">
        <f t="shared" si="81"/>
        <v>1569120.8791208791</v>
      </c>
      <c r="U263" s="563"/>
      <c r="V263" s="13">
        <f t="shared" si="82"/>
        <v>1569120.8791208791</v>
      </c>
      <c r="W263" s="13"/>
      <c r="Z263" s="30"/>
      <c r="AA263" s="30"/>
      <c r="AB263" s="30"/>
      <c r="AE263" s="30"/>
    </row>
    <row r="264" spans="1:31" s="29" customFormat="1" ht="22.5" customHeight="1" x14ac:dyDescent="0.25">
      <c r="A264" s="44" t="s">
        <v>255</v>
      </c>
      <c r="B264" s="45" t="s">
        <v>175</v>
      </c>
      <c r="C264" s="11"/>
      <c r="D264" s="736">
        <v>44067</v>
      </c>
      <c r="E264" s="736">
        <v>44977</v>
      </c>
      <c r="F264" s="73">
        <v>4178.72</v>
      </c>
      <c r="G264" s="73">
        <f t="shared" si="75"/>
        <v>3094</v>
      </c>
      <c r="H264" s="73" t="e">
        <f>[27]Sheet1!H96</f>
        <v>#REF!</v>
      </c>
      <c r="I264" s="73" t="e">
        <f t="shared" si="76"/>
        <v>#REF!</v>
      </c>
      <c r="J264" s="736">
        <v>48071</v>
      </c>
      <c r="K264" s="736">
        <f t="shared" si="78"/>
        <v>45159</v>
      </c>
      <c r="L264" s="46">
        <v>40000000</v>
      </c>
      <c r="M264" s="18"/>
      <c r="N264" s="46">
        <v>39893600</v>
      </c>
      <c r="O264" s="20">
        <f t="shared" si="79"/>
        <v>37060000</v>
      </c>
      <c r="P264" s="47">
        <v>0.109</v>
      </c>
      <c r="Q264" s="919">
        <v>0.91560399999999997</v>
      </c>
      <c r="R264" s="22">
        <f t="shared" si="80"/>
        <v>36624160</v>
      </c>
      <c r="S264" s="12">
        <v>0.1095</v>
      </c>
      <c r="T264" s="75">
        <f t="shared" si="81"/>
        <v>1569120.8791208791</v>
      </c>
      <c r="U264" s="563"/>
      <c r="V264" s="13">
        <f t="shared" si="82"/>
        <v>1569120.8791208791</v>
      </c>
      <c r="W264" s="13"/>
      <c r="Z264" s="30"/>
      <c r="AA264" s="30"/>
      <c r="AB264" s="30"/>
      <c r="AE264" s="30"/>
    </row>
    <row r="265" spans="1:31" s="29" customFormat="1" ht="22.5" customHeight="1" x14ac:dyDescent="0.25">
      <c r="A265" s="44" t="s">
        <v>255</v>
      </c>
      <c r="B265" s="45" t="s">
        <v>175</v>
      </c>
      <c r="C265" s="11"/>
      <c r="D265" s="736">
        <v>44067</v>
      </c>
      <c r="E265" s="736">
        <v>44977</v>
      </c>
      <c r="F265" s="73">
        <v>4178.72</v>
      </c>
      <c r="G265" s="73">
        <f t="shared" si="75"/>
        <v>3094</v>
      </c>
      <c r="H265" s="73" t="e">
        <f>[27]Sheet1!H97</f>
        <v>#REF!</v>
      </c>
      <c r="I265" s="73" t="e">
        <f t="shared" si="76"/>
        <v>#REF!</v>
      </c>
      <c r="J265" s="736">
        <v>48071</v>
      </c>
      <c r="K265" s="736">
        <f t="shared" si="78"/>
        <v>45159</v>
      </c>
      <c r="L265" s="46">
        <v>20000000</v>
      </c>
      <c r="M265" s="18"/>
      <c r="N265" s="46">
        <v>19894000</v>
      </c>
      <c r="O265" s="20">
        <f t="shared" si="79"/>
        <v>18530000</v>
      </c>
      <c r="P265" s="47">
        <v>0.109</v>
      </c>
      <c r="Q265" s="919">
        <v>0.91560399999999997</v>
      </c>
      <c r="R265" s="22">
        <f t="shared" si="80"/>
        <v>18312080</v>
      </c>
      <c r="S265" s="12">
        <v>0.11</v>
      </c>
      <c r="T265" s="75">
        <f t="shared" si="81"/>
        <v>784560.43956043955</v>
      </c>
      <c r="U265" s="563"/>
      <c r="V265" s="13">
        <f t="shared" si="82"/>
        <v>784560.43956043955</v>
      </c>
      <c r="W265" s="13"/>
      <c r="Z265" s="30"/>
      <c r="AA265" s="30"/>
      <c r="AB265" s="30"/>
      <c r="AE265" s="30"/>
    </row>
    <row r="266" spans="1:31" s="29" customFormat="1" ht="22.5" customHeight="1" x14ac:dyDescent="0.25">
      <c r="A266" s="44" t="s">
        <v>255</v>
      </c>
      <c r="B266" s="45" t="s">
        <v>175</v>
      </c>
      <c r="C266" s="11"/>
      <c r="D266" s="736">
        <v>44067</v>
      </c>
      <c r="E266" s="736">
        <v>44977</v>
      </c>
      <c r="F266" s="73">
        <v>4178.72</v>
      </c>
      <c r="G266" s="73">
        <f t="shared" si="75"/>
        <v>3094</v>
      </c>
      <c r="H266" s="73" t="e">
        <f>[27]Sheet1!H98</f>
        <v>#REF!</v>
      </c>
      <c r="I266" s="73" t="e">
        <f t="shared" si="76"/>
        <v>#REF!</v>
      </c>
      <c r="J266" s="736">
        <v>48071</v>
      </c>
      <c r="K266" s="736">
        <f t="shared" si="78"/>
        <v>45159</v>
      </c>
      <c r="L266" s="46">
        <v>20000000</v>
      </c>
      <c r="M266" s="18"/>
      <c r="N266" s="46">
        <v>19736400</v>
      </c>
      <c r="O266" s="20">
        <f t="shared" si="79"/>
        <v>18530000</v>
      </c>
      <c r="P266" s="47">
        <v>0.109</v>
      </c>
      <c r="Q266" s="919">
        <v>0.91560399999999997</v>
      </c>
      <c r="R266" s="22">
        <f t="shared" si="80"/>
        <v>18312080</v>
      </c>
      <c r="S266" s="12">
        <v>0.1115</v>
      </c>
      <c r="T266" s="75">
        <f t="shared" si="81"/>
        <v>784560.43956043955</v>
      </c>
      <c r="U266" s="563"/>
      <c r="V266" s="13">
        <f t="shared" si="82"/>
        <v>784560.43956043955</v>
      </c>
      <c r="W266" s="13"/>
      <c r="Z266" s="30"/>
      <c r="AA266" s="30"/>
      <c r="AB266" s="30"/>
      <c r="AE266" s="30"/>
    </row>
    <row r="267" spans="1:31" s="29" customFormat="1" ht="22.5" customHeight="1" x14ac:dyDescent="0.25">
      <c r="A267" s="44" t="s">
        <v>255</v>
      </c>
      <c r="B267" s="45" t="s">
        <v>175</v>
      </c>
      <c r="C267" s="11"/>
      <c r="D267" s="736">
        <v>44067</v>
      </c>
      <c r="E267" s="736">
        <v>44977</v>
      </c>
      <c r="F267" s="73">
        <v>4178.72</v>
      </c>
      <c r="G267" s="73">
        <f t="shared" si="75"/>
        <v>3094</v>
      </c>
      <c r="H267" s="73" t="e">
        <f>[27]Sheet1!H99</f>
        <v>#REF!</v>
      </c>
      <c r="I267" s="73" t="e">
        <f t="shared" si="76"/>
        <v>#REF!</v>
      </c>
      <c r="J267" s="736">
        <v>48071</v>
      </c>
      <c r="K267" s="736">
        <f t="shared" si="78"/>
        <v>45159</v>
      </c>
      <c r="L267" s="46">
        <v>20000000</v>
      </c>
      <c r="M267" s="18"/>
      <c r="N267" s="46">
        <v>19684400</v>
      </c>
      <c r="O267" s="20">
        <f t="shared" si="79"/>
        <v>18530000</v>
      </c>
      <c r="P267" s="47">
        <v>0.109</v>
      </c>
      <c r="Q267" s="919">
        <v>0.91560399999999997</v>
      </c>
      <c r="R267" s="22">
        <f t="shared" si="80"/>
        <v>18312080</v>
      </c>
      <c r="S267" s="12">
        <v>0.112</v>
      </c>
      <c r="T267" s="75">
        <f t="shared" si="81"/>
        <v>784560.43956043955</v>
      </c>
      <c r="U267" s="563"/>
      <c r="V267" s="13">
        <f t="shared" si="82"/>
        <v>784560.43956043955</v>
      </c>
      <c r="W267" s="13"/>
      <c r="Z267" s="30"/>
      <c r="AA267" s="30"/>
      <c r="AB267" s="30"/>
      <c r="AE267" s="30"/>
    </row>
    <row r="268" spans="1:31" s="29" customFormat="1" ht="22.5" customHeight="1" x14ac:dyDescent="0.25">
      <c r="A268" s="44" t="s">
        <v>255</v>
      </c>
      <c r="B268" s="45" t="s">
        <v>175</v>
      </c>
      <c r="C268" s="11"/>
      <c r="D268" s="736">
        <v>44067</v>
      </c>
      <c r="E268" s="736">
        <v>44977</v>
      </c>
      <c r="F268" s="73">
        <v>4178.72</v>
      </c>
      <c r="G268" s="73">
        <f t="shared" si="75"/>
        <v>3094</v>
      </c>
      <c r="H268" s="73" t="e">
        <f>[27]Sheet1!H100</f>
        <v>#REF!</v>
      </c>
      <c r="I268" s="73" t="e">
        <f t="shared" si="76"/>
        <v>#REF!</v>
      </c>
      <c r="J268" s="736">
        <v>48071</v>
      </c>
      <c r="K268" s="736">
        <f t="shared" si="78"/>
        <v>45159</v>
      </c>
      <c r="L268" s="46">
        <v>20000000</v>
      </c>
      <c r="M268" s="18"/>
      <c r="N268" s="46">
        <v>19580800</v>
      </c>
      <c r="O268" s="20">
        <f t="shared" si="79"/>
        <v>18530000</v>
      </c>
      <c r="P268" s="47">
        <v>0.109</v>
      </c>
      <c r="Q268" s="919">
        <v>0.91560399999999997</v>
      </c>
      <c r="R268" s="22">
        <f t="shared" si="80"/>
        <v>18312080</v>
      </c>
      <c r="S268" s="12">
        <v>0.113</v>
      </c>
      <c r="T268" s="75">
        <f t="shared" si="81"/>
        <v>784560.43956043955</v>
      </c>
      <c r="U268" s="563"/>
      <c r="V268" s="13">
        <f t="shared" si="82"/>
        <v>784560.43956043955</v>
      </c>
      <c r="W268" s="13"/>
      <c r="Z268" s="30"/>
      <c r="AA268" s="30"/>
      <c r="AB268" s="30"/>
      <c r="AE268" s="30"/>
    </row>
    <row r="269" spans="1:31" s="29" customFormat="1" ht="22.5" customHeight="1" x14ac:dyDescent="0.25">
      <c r="A269" s="44" t="s">
        <v>309</v>
      </c>
      <c r="B269" s="45" t="s">
        <v>175</v>
      </c>
      <c r="C269" s="45"/>
      <c r="D269" s="736">
        <v>44634</v>
      </c>
      <c r="E269" s="736">
        <v>44977</v>
      </c>
      <c r="F269" s="73">
        <v>1638</v>
      </c>
      <c r="G269" s="73">
        <f t="shared" ref="G269:G300" si="85">J269-E269</f>
        <v>4368</v>
      </c>
      <c r="H269" s="73">
        <f>[27]Sheet1!H78</f>
        <v>0</v>
      </c>
      <c r="I269" s="73">
        <f t="shared" ref="I269:I300" si="86">G269-H269</f>
        <v>4368</v>
      </c>
      <c r="J269" s="736">
        <f>D269+(4711)</f>
        <v>49345</v>
      </c>
      <c r="K269" s="736">
        <f t="shared" ref="K269:K300" si="87">E269+182</f>
        <v>45159</v>
      </c>
      <c r="L269" s="46">
        <v>20000000</v>
      </c>
      <c r="M269" s="18"/>
      <c r="N269" s="46">
        <v>18976200</v>
      </c>
      <c r="O269" s="20">
        <f t="shared" ref="O269:O300" si="88">L269*P269*G269/364</f>
        <v>30614400</v>
      </c>
      <c r="P269" s="47">
        <v>0.12756000000000001</v>
      </c>
      <c r="Q269" s="919">
        <v>0.91931399999999996</v>
      </c>
      <c r="R269" s="22">
        <f t="shared" ref="R269:R300" si="89">+L269*Q269</f>
        <v>18386280</v>
      </c>
      <c r="S269" s="12">
        <v>0.13732</v>
      </c>
      <c r="T269" s="75">
        <f t="shared" ref="T269:T300" si="90">O269/G269*(T$1-E269+1)</f>
        <v>918151.64835164836</v>
      </c>
      <c r="U269" s="563"/>
      <c r="V269" s="13">
        <f t="shared" ref="V269:V300" si="91">+T269-U269</f>
        <v>918151.64835164836</v>
      </c>
      <c r="W269" s="13"/>
      <c r="Z269" s="30"/>
      <c r="AA269" s="30"/>
      <c r="AB269" s="30"/>
      <c r="AE269" s="30"/>
    </row>
    <row r="270" spans="1:31" s="29" customFormat="1" ht="22.5" customHeight="1" x14ac:dyDescent="0.25">
      <c r="A270" s="44" t="s">
        <v>309</v>
      </c>
      <c r="B270" s="45" t="s">
        <v>175</v>
      </c>
      <c r="C270" s="45"/>
      <c r="D270" s="736">
        <v>44634</v>
      </c>
      <c r="E270" s="736">
        <v>44977</v>
      </c>
      <c r="F270" s="73">
        <v>1638</v>
      </c>
      <c r="G270" s="73">
        <f t="shared" si="85"/>
        <v>4368</v>
      </c>
      <c r="H270" s="73">
        <f>[27]Sheet1!H79</f>
        <v>0</v>
      </c>
      <c r="I270" s="73">
        <f t="shared" si="86"/>
        <v>4368</v>
      </c>
      <c r="J270" s="736">
        <f>D270+(4711)</f>
        <v>49345</v>
      </c>
      <c r="K270" s="736">
        <f t="shared" si="87"/>
        <v>45159</v>
      </c>
      <c r="L270" s="46">
        <v>40000000</v>
      </c>
      <c r="M270" s="18"/>
      <c r="N270" s="46">
        <v>38722400</v>
      </c>
      <c r="O270" s="20">
        <f t="shared" si="88"/>
        <v>61228800</v>
      </c>
      <c r="P270" s="47">
        <v>0.12756000000000001</v>
      </c>
      <c r="Q270" s="919">
        <v>0.91931399999999996</v>
      </c>
      <c r="R270" s="22">
        <f t="shared" si="89"/>
        <v>36772560</v>
      </c>
      <c r="S270" s="12">
        <v>0.13400000000000001</v>
      </c>
      <c r="T270" s="75">
        <f t="shared" si="90"/>
        <v>1836303.2967032967</v>
      </c>
      <c r="U270" s="563"/>
      <c r="V270" s="13">
        <f t="shared" si="91"/>
        <v>1836303.2967032967</v>
      </c>
      <c r="W270" s="13"/>
      <c r="Z270" s="30"/>
      <c r="AA270" s="30"/>
      <c r="AB270" s="30"/>
      <c r="AE270" s="30"/>
    </row>
    <row r="271" spans="1:31" s="29" customFormat="1" ht="22.5" customHeight="1" x14ac:dyDescent="0.25">
      <c r="A271" s="44" t="s">
        <v>309</v>
      </c>
      <c r="B271" s="45" t="s">
        <v>175</v>
      </c>
      <c r="C271" s="45"/>
      <c r="D271" s="736">
        <v>44634</v>
      </c>
      <c r="E271" s="736">
        <v>44977</v>
      </c>
      <c r="F271" s="73">
        <v>1638</v>
      </c>
      <c r="G271" s="73">
        <f t="shared" si="85"/>
        <v>4368</v>
      </c>
      <c r="H271" s="73">
        <f>[27]Sheet1!H80</f>
        <v>0</v>
      </c>
      <c r="I271" s="73">
        <f t="shared" si="86"/>
        <v>4368</v>
      </c>
      <c r="J271" s="736">
        <f>D271+(4711)</f>
        <v>49345</v>
      </c>
      <c r="K271" s="736">
        <f t="shared" si="87"/>
        <v>45159</v>
      </c>
      <c r="L271" s="46">
        <v>40000000</v>
      </c>
      <c r="M271" s="18"/>
      <c r="N271" s="46">
        <v>38604800</v>
      </c>
      <c r="O271" s="20">
        <f t="shared" si="88"/>
        <v>61228800</v>
      </c>
      <c r="P271" s="47">
        <v>0.12756000000000001</v>
      </c>
      <c r="Q271" s="919">
        <v>0.91931399999999996</v>
      </c>
      <c r="R271" s="22">
        <f t="shared" si="89"/>
        <v>36772560</v>
      </c>
      <c r="S271" s="12">
        <v>0.13450000000000001</v>
      </c>
      <c r="T271" s="75">
        <f t="shared" si="90"/>
        <v>1836303.2967032967</v>
      </c>
      <c r="U271" s="563"/>
      <c r="V271" s="13">
        <f t="shared" si="91"/>
        <v>1836303.2967032967</v>
      </c>
      <c r="W271" s="13"/>
      <c r="Z271" s="30"/>
      <c r="AA271" s="30"/>
      <c r="AB271" s="30"/>
      <c r="AE271" s="30"/>
    </row>
    <row r="272" spans="1:31" s="29" customFormat="1" ht="22.5" customHeight="1" x14ac:dyDescent="0.25">
      <c r="A272" s="44" t="s">
        <v>309</v>
      </c>
      <c r="B272" s="45" t="s">
        <v>175</v>
      </c>
      <c r="C272" s="45"/>
      <c r="D272" s="736">
        <v>44634</v>
      </c>
      <c r="E272" s="736">
        <v>44977</v>
      </c>
      <c r="F272" s="73">
        <v>1638</v>
      </c>
      <c r="G272" s="73">
        <f t="shared" si="85"/>
        <v>4368</v>
      </c>
      <c r="H272" s="73">
        <f>[27]Sheet1!H81</f>
        <v>0</v>
      </c>
      <c r="I272" s="73">
        <f t="shared" si="86"/>
        <v>4368</v>
      </c>
      <c r="J272" s="736">
        <f>D272+(4711)</f>
        <v>49345</v>
      </c>
      <c r="K272" s="736">
        <f t="shared" si="87"/>
        <v>45159</v>
      </c>
      <c r="L272" s="46">
        <v>40000000</v>
      </c>
      <c r="M272" s="18"/>
      <c r="N272" s="46">
        <v>38488000</v>
      </c>
      <c r="O272" s="20">
        <f t="shared" si="88"/>
        <v>61228800</v>
      </c>
      <c r="P272" s="47">
        <v>0.12756000000000001</v>
      </c>
      <c r="Q272" s="919">
        <v>0.91931399999999996</v>
      </c>
      <c r="R272" s="22">
        <f t="shared" si="89"/>
        <v>36772560</v>
      </c>
      <c r="S272" s="12">
        <v>0.13500000000000001</v>
      </c>
      <c r="T272" s="75">
        <f t="shared" si="90"/>
        <v>1836303.2967032967</v>
      </c>
      <c r="U272" s="563"/>
      <c r="V272" s="13">
        <f t="shared" si="91"/>
        <v>1836303.2967032967</v>
      </c>
      <c r="W272" s="13"/>
      <c r="Z272" s="30"/>
      <c r="AA272" s="30"/>
      <c r="AB272" s="30"/>
      <c r="AE272" s="30"/>
    </row>
    <row r="273" spans="1:31" s="29" customFormat="1" ht="22.5" customHeight="1" x14ac:dyDescent="0.25">
      <c r="A273" s="44" t="s">
        <v>195</v>
      </c>
      <c r="B273" s="45" t="s">
        <v>175</v>
      </c>
      <c r="C273" s="736"/>
      <c r="D273" s="736">
        <v>42541</v>
      </c>
      <c r="E273" s="736">
        <v>44998</v>
      </c>
      <c r="F273" s="73">
        <v>3822</v>
      </c>
      <c r="G273" s="73">
        <f t="shared" si="85"/>
        <v>1638</v>
      </c>
      <c r="H273" s="73">
        <f>[27]Sheet1!H32</f>
        <v>0</v>
      </c>
      <c r="I273" s="73">
        <f t="shared" si="86"/>
        <v>1638</v>
      </c>
      <c r="J273" s="736">
        <v>46636</v>
      </c>
      <c r="K273" s="736">
        <f t="shared" si="87"/>
        <v>45180</v>
      </c>
      <c r="L273" s="46">
        <v>10000000</v>
      </c>
      <c r="M273" s="18"/>
      <c r="N273" s="46">
        <v>8474300</v>
      </c>
      <c r="O273" s="20">
        <f t="shared" si="88"/>
        <v>4950000</v>
      </c>
      <c r="P273" s="47">
        <v>0.11</v>
      </c>
      <c r="Q273" s="919">
        <v>0.91869999999999996</v>
      </c>
      <c r="R273" s="22">
        <f t="shared" si="89"/>
        <v>9187000</v>
      </c>
      <c r="S273" s="12">
        <v>0.1202</v>
      </c>
      <c r="T273" s="75">
        <f t="shared" si="90"/>
        <v>332417.58241758239</v>
      </c>
      <c r="U273" s="563"/>
      <c r="V273" s="13">
        <f t="shared" si="91"/>
        <v>332417.58241758239</v>
      </c>
      <c r="W273" s="13"/>
      <c r="Z273" s="30"/>
      <c r="AA273" s="30"/>
      <c r="AB273" s="30"/>
    </row>
    <row r="274" spans="1:31" s="29" customFormat="1" ht="22.5" customHeight="1" x14ac:dyDescent="0.25">
      <c r="A274" s="44" t="s">
        <v>262</v>
      </c>
      <c r="B274" s="45" t="s">
        <v>175</v>
      </c>
      <c r="C274" s="736"/>
      <c r="D274" s="736">
        <v>44179</v>
      </c>
      <c r="E274" s="736">
        <v>44998</v>
      </c>
      <c r="F274" s="73">
        <v>5278</v>
      </c>
      <c r="G274" s="73">
        <f t="shared" si="85"/>
        <v>1638</v>
      </c>
      <c r="H274" s="73" t="e">
        <f>[27]Sheet1!H97</f>
        <v>#REF!</v>
      </c>
      <c r="I274" s="73" t="e">
        <f t="shared" si="86"/>
        <v>#REF!</v>
      </c>
      <c r="J274" s="736">
        <f>D274+(2457)</f>
        <v>46636</v>
      </c>
      <c r="K274" s="736">
        <f t="shared" si="87"/>
        <v>45180</v>
      </c>
      <c r="L274" s="46">
        <v>20000000</v>
      </c>
      <c r="M274" s="18">
        <v>10000000</v>
      </c>
      <c r="N274" s="46">
        <v>20117000</v>
      </c>
      <c r="O274" s="20">
        <f t="shared" si="88"/>
        <v>9900000</v>
      </c>
      <c r="P274" s="47">
        <v>0.11</v>
      </c>
      <c r="Q274" s="919">
        <v>0.91869999999999996</v>
      </c>
      <c r="R274" s="22">
        <f t="shared" si="89"/>
        <v>18374000</v>
      </c>
      <c r="S274" s="12">
        <v>0.11461</v>
      </c>
      <c r="T274" s="75">
        <f t="shared" si="90"/>
        <v>664835.16483516479</v>
      </c>
      <c r="U274" s="565"/>
      <c r="V274" s="50">
        <f t="shared" si="91"/>
        <v>664835.16483516479</v>
      </c>
      <c r="W274" s="50"/>
      <c r="X274" s="51"/>
      <c r="Y274" s="51"/>
      <c r="Z274" s="30"/>
      <c r="AA274" s="30"/>
      <c r="AB274" s="30"/>
      <c r="AC274" s="51"/>
      <c r="AD274" s="51"/>
      <c r="AE274" s="51"/>
    </row>
    <row r="275" spans="1:31" s="29" customFormat="1" ht="22.5" customHeight="1" x14ac:dyDescent="0.25">
      <c r="A275" s="44" t="s">
        <v>262</v>
      </c>
      <c r="B275" s="45" t="s">
        <v>175</v>
      </c>
      <c r="C275" s="736"/>
      <c r="D275" s="736">
        <v>44179</v>
      </c>
      <c r="E275" s="736">
        <v>44998</v>
      </c>
      <c r="F275" s="73">
        <v>5278</v>
      </c>
      <c r="G275" s="73">
        <f t="shared" si="85"/>
        <v>1638</v>
      </c>
      <c r="H275" s="73" t="e">
        <f>[27]Sheet1!H98</f>
        <v>#REF!</v>
      </c>
      <c r="I275" s="73" t="e">
        <f t="shared" si="86"/>
        <v>#REF!</v>
      </c>
      <c r="J275" s="736">
        <f>D275+(2457)</f>
        <v>46636</v>
      </c>
      <c r="K275" s="736">
        <f t="shared" si="87"/>
        <v>45180</v>
      </c>
      <c r="L275" s="46">
        <v>40000000</v>
      </c>
      <c r="M275" s="18">
        <v>10000000</v>
      </c>
      <c r="N275" s="46">
        <v>40163200</v>
      </c>
      <c r="O275" s="20">
        <f t="shared" si="88"/>
        <v>19800000</v>
      </c>
      <c r="P275" s="47">
        <v>0.11</v>
      </c>
      <c r="Q275" s="919">
        <v>0.91869999999999996</v>
      </c>
      <c r="R275" s="22">
        <f t="shared" si="89"/>
        <v>36748000</v>
      </c>
      <c r="S275" s="12">
        <v>0.115</v>
      </c>
      <c r="T275" s="75">
        <f t="shared" si="90"/>
        <v>1329670.3296703296</v>
      </c>
      <c r="U275" s="565"/>
      <c r="V275" s="50">
        <f t="shared" si="91"/>
        <v>1329670.3296703296</v>
      </c>
      <c r="W275" s="50"/>
      <c r="X275" s="51"/>
      <c r="Y275" s="51"/>
      <c r="Z275" s="30"/>
      <c r="AA275" s="30"/>
      <c r="AB275" s="30"/>
      <c r="AC275" s="51"/>
      <c r="AD275" s="51"/>
      <c r="AE275" s="51"/>
    </row>
    <row r="276" spans="1:31" s="29" customFormat="1" ht="22.5" customHeight="1" x14ac:dyDescent="0.25">
      <c r="A276" s="44" t="s">
        <v>262</v>
      </c>
      <c r="B276" s="45" t="s">
        <v>175</v>
      </c>
      <c r="C276" s="736"/>
      <c r="D276" s="736">
        <v>44179</v>
      </c>
      <c r="E276" s="736">
        <v>44998</v>
      </c>
      <c r="F276" s="73">
        <v>5278</v>
      </c>
      <c r="G276" s="73">
        <f t="shared" si="85"/>
        <v>1638</v>
      </c>
      <c r="H276" s="73" t="e">
        <f>[27]Sheet1!H99</f>
        <v>#REF!</v>
      </c>
      <c r="I276" s="73" t="e">
        <f t="shared" si="86"/>
        <v>#REF!</v>
      </c>
      <c r="J276" s="736">
        <f>D276+(2457)</f>
        <v>46636</v>
      </c>
      <c r="K276" s="736">
        <f t="shared" si="87"/>
        <v>45180</v>
      </c>
      <c r="L276" s="46">
        <v>40000000</v>
      </c>
      <c r="M276" s="18">
        <v>10000000</v>
      </c>
      <c r="N276" s="46">
        <v>39982000</v>
      </c>
      <c r="O276" s="20">
        <f t="shared" si="88"/>
        <v>19800000</v>
      </c>
      <c r="P276" s="47">
        <v>0.11</v>
      </c>
      <c r="Q276" s="919">
        <v>0.91869999999999996</v>
      </c>
      <c r="R276" s="22">
        <f t="shared" si="89"/>
        <v>36748000</v>
      </c>
      <c r="S276" s="12">
        <v>0.11600000000000001</v>
      </c>
      <c r="T276" s="75">
        <f t="shared" si="90"/>
        <v>1329670.3296703296</v>
      </c>
      <c r="U276" s="565"/>
      <c r="V276" s="50">
        <f t="shared" si="91"/>
        <v>1329670.3296703296</v>
      </c>
      <c r="W276" s="50"/>
      <c r="X276" s="51"/>
      <c r="Y276" s="51"/>
      <c r="Z276" s="30"/>
      <c r="AA276" s="30"/>
      <c r="AB276" s="30"/>
      <c r="AC276" s="51"/>
      <c r="AD276" s="51"/>
      <c r="AE276" s="51"/>
    </row>
    <row r="277" spans="1:31" s="29" customFormat="1" ht="22.5" customHeight="1" x14ac:dyDescent="0.25">
      <c r="A277" s="44" t="s">
        <v>262</v>
      </c>
      <c r="B277" s="45" t="s">
        <v>175</v>
      </c>
      <c r="C277" s="45"/>
      <c r="D277" s="736">
        <v>44193</v>
      </c>
      <c r="E277" s="736">
        <v>44998</v>
      </c>
      <c r="F277" s="73">
        <v>1638</v>
      </c>
      <c r="G277" s="73">
        <f t="shared" si="85"/>
        <v>1638</v>
      </c>
      <c r="H277" s="73">
        <f>[27]Sheet1!H73</f>
        <v>0</v>
      </c>
      <c r="I277" s="73">
        <f t="shared" si="86"/>
        <v>1638</v>
      </c>
      <c r="J277" s="736">
        <f>D277+(2443)</f>
        <v>46636</v>
      </c>
      <c r="K277" s="736">
        <f t="shared" si="87"/>
        <v>45180</v>
      </c>
      <c r="L277" s="46">
        <v>40000000</v>
      </c>
      <c r="M277" s="18"/>
      <c r="N277" s="46">
        <v>40406800</v>
      </c>
      <c r="O277" s="20">
        <f t="shared" si="88"/>
        <v>19800000</v>
      </c>
      <c r="P277" s="47">
        <v>0.11</v>
      </c>
      <c r="Q277" s="919">
        <v>0.91869999999999996</v>
      </c>
      <c r="R277" s="22">
        <f t="shared" si="89"/>
        <v>36748000</v>
      </c>
      <c r="S277" s="12">
        <v>0.11461</v>
      </c>
      <c r="T277" s="75">
        <f t="shared" si="90"/>
        <v>1329670.3296703296</v>
      </c>
      <c r="U277" s="563"/>
      <c r="V277" s="13">
        <f t="shared" si="91"/>
        <v>1329670.3296703296</v>
      </c>
      <c r="W277" s="13"/>
      <c r="Z277" s="30"/>
      <c r="AA277" s="30"/>
      <c r="AB277" s="30"/>
      <c r="AE277" s="30"/>
    </row>
    <row r="278" spans="1:31" s="29" customFormat="1" ht="22.5" customHeight="1" x14ac:dyDescent="0.3">
      <c r="A278" s="54" t="s">
        <v>155</v>
      </c>
      <c r="B278" s="52" t="s">
        <v>175</v>
      </c>
      <c r="C278" s="52"/>
      <c r="D278" s="77">
        <v>42093</v>
      </c>
      <c r="E278" s="77">
        <v>45005</v>
      </c>
      <c r="F278" s="824">
        <v>3640</v>
      </c>
      <c r="G278" s="824">
        <f t="shared" si="85"/>
        <v>1456</v>
      </c>
      <c r="H278" s="824">
        <f>[27]Sheet1!H23</f>
        <v>0</v>
      </c>
      <c r="I278" s="824">
        <f t="shared" si="86"/>
        <v>1456</v>
      </c>
      <c r="J278" s="77">
        <f>D278+364*12</f>
        <v>46461</v>
      </c>
      <c r="K278" s="77">
        <f t="shared" si="87"/>
        <v>45187</v>
      </c>
      <c r="L278" s="57">
        <f>5000000-2000000</f>
        <v>3000000</v>
      </c>
      <c r="M278" s="53"/>
      <c r="N278" s="57">
        <v>4829100</v>
      </c>
      <c r="O278" s="625">
        <f t="shared" si="88"/>
        <v>1320000</v>
      </c>
      <c r="P278" s="70">
        <v>0.11</v>
      </c>
      <c r="Q278" s="919">
        <v>0.99533099999999997</v>
      </c>
      <c r="R278" s="21">
        <f t="shared" si="89"/>
        <v>2985993</v>
      </c>
      <c r="S278" s="72">
        <v>0.1166</v>
      </c>
      <c r="T278" s="98">
        <f t="shared" si="90"/>
        <v>93379.120879120877</v>
      </c>
      <c r="U278" s="577"/>
      <c r="V278" s="80">
        <f t="shared" si="91"/>
        <v>93379.120879120877</v>
      </c>
      <c r="W278" s="80"/>
      <c r="X278" s="81"/>
      <c r="Y278" s="81"/>
      <c r="Z278" s="82"/>
      <c r="AA278" s="82"/>
      <c r="AB278" s="82"/>
      <c r="AC278" s="81"/>
      <c r="AD278" s="81"/>
      <c r="AE278" s="82"/>
    </row>
    <row r="279" spans="1:31" s="29" customFormat="1" ht="22.5" customHeight="1" x14ac:dyDescent="0.25">
      <c r="A279" s="825" t="s">
        <v>164</v>
      </c>
      <c r="B279" s="826" t="s">
        <v>175</v>
      </c>
      <c r="C279" s="827"/>
      <c r="D279" s="827">
        <v>42093</v>
      </c>
      <c r="E279" s="827">
        <v>45005</v>
      </c>
      <c r="F279" s="828">
        <v>3640</v>
      </c>
      <c r="G279" s="828">
        <f t="shared" si="85"/>
        <v>1456</v>
      </c>
      <c r="H279" s="828">
        <f>[27]Sheet1!H53</f>
        <v>0</v>
      </c>
      <c r="I279" s="828">
        <f t="shared" si="86"/>
        <v>1456</v>
      </c>
      <c r="J279" s="827">
        <f>D279+364*12</f>
        <v>46461</v>
      </c>
      <c r="K279" s="827">
        <f t="shared" si="87"/>
        <v>45187</v>
      </c>
      <c r="L279" s="829">
        <v>15000000</v>
      </c>
      <c r="M279" s="630"/>
      <c r="N279" s="829">
        <v>14566500</v>
      </c>
      <c r="O279" s="830">
        <f t="shared" si="88"/>
        <v>6600000</v>
      </c>
      <c r="P279" s="831">
        <v>0.11</v>
      </c>
      <c r="Q279" s="919">
        <v>0.99533099999999997</v>
      </c>
      <c r="R279" s="832">
        <f t="shared" si="89"/>
        <v>14929965</v>
      </c>
      <c r="S279" s="833">
        <v>0.11556</v>
      </c>
      <c r="T279" s="834">
        <f t="shared" si="90"/>
        <v>466895.60439560434</v>
      </c>
      <c r="U279" s="835"/>
      <c r="V279" s="836">
        <f t="shared" si="91"/>
        <v>466895.60439560434</v>
      </c>
      <c r="W279" s="836"/>
      <c r="X279" s="837"/>
      <c r="Y279" s="837"/>
      <c r="Z279" s="838"/>
      <c r="AA279" s="838"/>
      <c r="AB279" s="838"/>
      <c r="AC279" s="837"/>
      <c r="AD279" s="837"/>
      <c r="AE279" s="837"/>
    </row>
    <row r="280" spans="1:31" s="29" customFormat="1" ht="22.5" customHeight="1" x14ac:dyDescent="0.25">
      <c r="A280" s="825" t="s">
        <v>268</v>
      </c>
      <c r="B280" s="826" t="s">
        <v>175</v>
      </c>
      <c r="C280" s="826"/>
      <c r="D280" s="827">
        <v>42103</v>
      </c>
      <c r="E280" s="827">
        <v>45005</v>
      </c>
      <c r="F280" s="828">
        <v>3640</v>
      </c>
      <c r="G280" s="828">
        <f t="shared" si="85"/>
        <v>1456</v>
      </c>
      <c r="H280" s="828">
        <f>[27]Sheet1!H29</f>
        <v>0</v>
      </c>
      <c r="I280" s="828">
        <f t="shared" si="86"/>
        <v>1456</v>
      </c>
      <c r="J280" s="827">
        <f>D280+(364*12)-10</f>
        <v>46461</v>
      </c>
      <c r="K280" s="827">
        <f t="shared" si="87"/>
        <v>45187</v>
      </c>
      <c r="L280" s="829">
        <v>10000000</v>
      </c>
      <c r="M280" s="630"/>
      <c r="N280" s="829">
        <v>9753000</v>
      </c>
      <c r="O280" s="830">
        <f t="shared" si="88"/>
        <v>4400000</v>
      </c>
      <c r="P280" s="831">
        <v>0.11</v>
      </c>
      <c r="Q280" s="919">
        <v>0.99533099999999997</v>
      </c>
      <c r="R280" s="832">
        <f t="shared" si="89"/>
        <v>9953310</v>
      </c>
      <c r="S280" s="833">
        <v>0.11556</v>
      </c>
      <c r="T280" s="834">
        <f t="shared" si="90"/>
        <v>311263.73626373627</v>
      </c>
      <c r="U280" s="835"/>
      <c r="V280" s="836">
        <f t="shared" si="91"/>
        <v>311263.73626373627</v>
      </c>
      <c r="W280" s="836"/>
      <c r="X280" s="837"/>
      <c r="Y280" s="837"/>
      <c r="Z280" s="838"/>
      <c r="AA280" s="838"/>
      <c r="AB280" s="838"/>
      <c r="AC280" s="837"/>
      <c r="AD280" s="837"/>
      <c r="AE280" s="838"/>
    </row>
    <row r="281" spans="1:31" s="29" customFormat="1" ht="22.5" customHeight="1" x14ac:dyDescent="0.25">
      <c r="A281" s="825" t="s">
        <v>164</v>
      </c>
      <c r="B281" s="826" t="s">
        <v>175</v>
      </c>
      <c r="C281" s="826"/>
      <c r="D281" s="827">
        <v>42103</v>
      </c>
      <c r="E281" s="827">
        <v>45005</v>
      </c>
      <c r="F281" s="828">
        <v>3640</v>
      </c>
      <c r="G281" s="828">
        <f t="shared" si="85"/>
        <v>1456</v>
      </c>
      <c r="H281" s="828">
        <f>[27]Sheet1!H30</f>
        <v>0</v>
      </c>
      <c r="I281" s="828">
        <f t="shared" si="86"/>
        <v>1456</v>
      </c>
      <c r="J281" s="827">
        <f>D281+(364*12)-10</f>
        <v>46461</v>
      </c>
      <c r="K281" s="827">
        <f t="shared" si="87"/>
        <v>45187</v>
      </c>
      <c r="L281" s="829">
        <v>10000000</v>
      </c>
      <c r="M281" s="630"/>
      <c r="N281" s="829">
        <v>9753000</v>
      </c>
      <c r="O281" s="830">
        <f t="shared" si="88"/>
        <v>4400000</v>
      </c>
      <c r="P281" s="831">
        <v>0.11</v>
      </c>
      <c r="Q281" s="919">
        <v>0.99533099999999997</v>
      </c>
      <c r="R281" s="832">
        <f t="shared" si="89"/>
        <v>9953310</v>
      </c>
      <c r="S281" s="833">
        <v>0.11556</v>
      </c>
      <c r="T281" s="834">
        <f t="shared" si="90"/>
        <v>311263.73626373627</v>
      </c>
      <c r="U281" s="835"/>
      <c r="V281" s="836">
        <f t="shared" si="91"/>
        <v>311263.73626373627</v>
      </c>
      <c r="W281" s="836"/>
      <c r="X281" s="837"/>
      <c r="Y281" s="837"/>
      <c r="Z281" s="838"/>
      <c r="AA281" s="838"/>
      <c r="AB281" s="838"/>
      <c r="AC281" s="837"/>
      <c r="AD281" s="837"/>
      <c r="AE281" s="838"/>
    </row>
    <row r="282" spans="1:31" s="665" customFormat="1" ht="22.5" customHeight="1" x14ac:dyDescent="0.25">
      <c r="A282" s="741" t="s">
        <v>239</v>
      </c>
      <c r="B282" s="742" t="s">
        <v>175</v>
      </c>
      <c r="C282" s="742"/>
      <c r="D282" s="743">
        <v>43934</v>
      </c>
      <c r="E282" s="743">
        <v>45026</v>
      </c>
      <c r="F282" s="744">
        <v>3458</v>
      </c>
      <c r="G282" s="744">
        <f t="shared" si="85"/>
        <v>2184</v>
      </c>
      <c r="H282" s="744">
        <f>[27]Sheet1!H65</f>
        <v>0</v>
      </c>
      <c r="I282" s="744">
        <f t="shared" si="86"/>
        <v>2184</v>
      </c>
      <c r="J282" s="743">
        <f>D282+364*9</f>
        <v>47210</v>
      </c>
      <c r="K282" s="743">
        <f t="shared" si="87"/>
        <v>45208</v>
      </c>
      <c r="L282" s="745">
        <v>10000000</v>
      </c>
      <c r="M282" s="840"/>
      <c r="N282" s="745">
        <v>9632100</v>
      </c>
      <c r="O282" s="746">
        <f t="shared" si="88"/>
        <v>6510000</v>
      </c>
      <c r="P282" s="747">
        <v>0.1085</v>
      </c>
      <c r="Q282" s="918">
        <v>0.929562</v>
      </c>
      <c r="R282" s="748">
        <f t="shared" si="89"/>
        <v>9295620</v>
      </c>
      <c r="S282" s="749">
        <v>0.11650000000000001</v>
      </c>
      <c r="T282" s="750">
        <f t="shared" si="90"/>
        <v>244423.07692307694</v>
      </c>
      <c r="U282" s="751"/>
      <c r="V282" s="752">
        <f t="shared" si="91"/>
        <v>244423.07692307694</v>
      </c>
      <c r="W282" s="752"/>
      <c r="Z282" s="753"/>
      <c r="AA282" s="753"/>
      <c r="AB282" s="753"/>
      <c r="AE282" s="753"/>
    </row>
    <row r="283" spans="1:31" s="665" customFormat="1" ht="22.5" customHeight="1" x14ac:dyDescent="0.25">
      <c r="A283" s="741" t="s">
        <v>239</v>
      </c>
      <c r="B283" s="742" t="s">
        <v>175</v>
      </c>
      <c r="C283" s="742"/>
      <c r="D283" s="743">
        <v>43934</v>
      </c>
      <c r="E283" s="743">
        <v>45026</v>
      </c>
      <c r="F283" s="744">
        <v>3458</v>
      </c>
      <c r="G283" s="744">
        <f t="shared" si="85"/>
        <v>2184</v>
      </c>
      <c r="H283" s="744">
        <f>[27]Sheet1!H66</f>
        <v>0</v>
      </c>
      <c r="I283" s="744">
        <f t="shared" si="86"/>
        <v>2184</v>
      </c>
      <c r="J283" s="743">
        <f>D283+364*9</f>
        <v>47210</v>
      </c>
      <c r="K283" s="743">
        <f t="shared" si="87"/>
        <v>45208</v>
      </c>
      <c r="L283" s="745">
        <v>10000000</v>
      </c>
      <c r="M283" s="840"/>
      <c r="N283" s="745">
        <v>9587500</v>
      </c>
      <c r="O283" s="746">
        <f t="shared" si="88"/>
        <v>6510000</v>
      </c>
      <c r="P283" s="747">
        <v>0.1085</v>
      </c>
      <c r="Q283" s="918">
        <v>0.929562</v>
      </c>
      <c r="R283" s="748">
        <f t="shared" si="89"/>
        <v>9295620</v>
      </c>
      <c r="S283" s="749">
        <v>0.11749999999999999</v>
      </c>
      <c r="T283" s="750">
        <f t="shared" si="90"/>
        <v>244423.07692307694</v>
      </c>
      <c r="U283" s="751"/>
      <c r="V283" s="752">
        <f t="shared" si="91"/>
        <v>244423.07692307694</v>
      </c>
      <c r="W283" s="752"/>
      <c r="Z283" s="753"/>
      <c r="AA283" s="753"/>
      <c r="AB283" s="753"/>
      <c r="AE283" s="753"/>
    </row>
    <row r="284" spans="1:31" s="665" customFormat="1" ht="22.5" customHeight="1" x14ac:dyDescent="0.25">
      <c r="A284" s="741" t="s">
        <v>239</v>
      </c>
      <c r="B284" s="742" t="s">
        <v>175</v>
      </c>
      <c r="C284" s="742"/>
      <c r="D284" s="743">
        <v>43934</v>
      </c>
      <c r="E284" s="743">
        <v>45026</v>
      </c>
      <c r="F284" s="744">
        <v>3458</v>
      </c>
      <c r="G284" s="744">
        <f t="shared" si="85"/>
        <v>2184</v>
      </c>
      <c r="H284" s="744">
        <f>[27]Sheet1!H67</f>
        <v>0</v>
      </c>
      <c r="I284" s="744">
        <f t="shared" si="86"/>
        <v>2184</v>
      </c>
      <c r="J284" s="743">
        <f>D284+364*9</f>
        <v>47210</v>
      </c>
      <c r="K284" s="743">
        <f t="shared" si="87"/>
        <v>45208</v>
      </c>
      <c r="L284" s="745">
        <v>10000000</v>
      </c>
      <c r="M284" s="840"/>
      <c r="N284" s="745">
        <v>9499000</v>
      </c>
      <c r="O284" s="746">
        <f t="shared" si="88"/>
        <v>6510000</v>
      </c>
      <c r="P284" s="747">
        <v>0.1085</v>
      </c>
      <c r="Q284" s="918">
        <v>0.929562</v>
      </c>
      <c r="R284" s="748">
        <f t="shared" si="89"/>
        <v>9295620</v>
      </c>
      <c r="S284" s="749">
        <v>0.1195</v>
      </c>
      <c r="T284" s="750">
        <f t="shared" si="90"/>
        <v>244423.07692307694</v>
      </c>
      <c r="U284" s="751"/>
      <c r="V284" s="752">
        <f t="shared" si="91"/>
        <v>244423.07692307694</v>
      </c>
      <c r="W284" s="752"/>
      <c r="Z284" s="753"/>
      <c r="AA284" s="753"/>
      <c r="AB284" s="753"/>
      <c r="AE284" s="753"/>
    </row>
    <row r="285" spans="1:31" s="665" customFormat="1" ht="22.5" customHeight="1" x14ac:dyDescent="0.25">
      <c r="A285" s="44" t="s">
        <v>310</v>
      </c>
      <c r="B285" s="45" t="s">
        <v>175</v>
      </c>
      <c r="C285" s="45"/>
      <c r="D285" s="736">
        <v>44662</v>
      </c>
      <c r="E285" s="736">
        <v>45026</v>
      </c>
      <c r="F285" s="73">
        <v>1638</v>
      </c>
      <c r="G285" s="73">
        <f t="shared" si="85"/>
        <v>728</v>
      </c>
      <c r="H285" s="73">
        <f>[27]Sheet1!H82</f>
        <v>0</v>
      </c>
      <c r="I285" s="73">
        <f t="shared" si="86"/>
        <v>728</v>
      </c>
      <c r="J285" s="736">
        <f t="shared" ref="J285:J291" si="92">D285+(1092)</f>
        <v>45754</v>
      </c>
      <c r="K285" s="736">
        <f t="shared" si="87"/>
        <v>45208</v>
      </c>
      <c r="L285" s="46">
        <v>20000000</v>
      </c>
      <c r="M285" s="18"/>
      <c r="N285" s="46">
        <v>20000000</v>
      </c>
      <c r="O285" s="20">
        <f t="shared" si="88"/>
        <v>4706400</v>
      </c>
      <c r="P285" s="47">
        <v>0.11766</v>
      </c>
      <c r="Q285" s="919">
        <v>0.98591799999999996</v>
      </c>
      <c r="R285" s="22">
        <f t="shared" si="89"/>
        <v>19718360</v>
      </c>
      <c r="S285" s="12">
        <v>0.11766</v>
      </c>
      <c r="T285" s="75">
        <f t="shared" si="90"/>
        <v>530116.48351648345</v>
      </c>
      <c r="U285" s="563"/>
      <c r="V285" s="13">
        <f t="shared" si="91"/>
        <v>530116.48351648345</v>
      </c>
      <c r="W285" s="13"/>
      <c r="X285" s="29"/>
      <c r="Y285" s="29"/>
      <c r="Z285" s="30"/>
      <c r="AA285" s="30"/>
      <c r="AB285" s="30"/>
      <c r="AC285" s="29"/>
      <c r="AD285" s="29"/>
      <c r="AE285" s="30"/>
    </row>
    <row r="286" spans="1:31" s="665" customFormat="1" ht="22.5" customHeight="1" x14ac:dyDescent="0.25">
      <c r="A286" s="44" t="s">
        <v>310</v>
      </c>
      <c r="B286" s="45" t="s">
        <v>175</v>
      </c>
      <c r="C286" s="45"/>
      <c r="D286" s="736">
        <v>44662</v>
      </c>
      <c r="E286" s="736">
        <v>45026</v>
      </c>
      <c r="F286" s="73">
        <v>1638</v>
      </c>
      <c r="G286" s="73">
        <f t="shared" si="85"/>
        <v>728</v>
      </c>
      <c r="H286" s="73">
        <f>[27]Sheet1!H83</f>
        <v>0</v>
      </c>
      <c r="I286" s="73">
        <f t="shared" si="86"/>
        <v>728</v>
      </c>
      <c r="J286" s="736">
        <f t="shared" si="92"/>
        <v>45754</v>
      </c>
      <c r="K286" s="736">
        <f t="shared" si="87"/>
        <v>45208</v>
      </c>
      <c r="L286" s="46">
        <v>40000000</v>
      </c>
      <c r="M286" s="18"/>
      <c r="N286" s="46">
        <v>40164400</v>
      </c>
      <c r="O286" s="20">
        <f t="shared" si="88"/>
        <v>9412800</v>
      </c>
      <c r="P286" s="47">
        <v>0.11766</v>
      </c>
      <c r="Q286" s="919">
        <v>0.98591799999999996</v>
      </c>
      <c r="R286" s="22">
        <f t="shared" si="89"/>
        <v>39436720</v>
      </c>
      <c r="S286" s="12">
        <v>0.11600000000000001</v>
      </c>
      <c r="T286" s="75">
        <f t="shared" si="90"/>
        <v>1060232.9670329669</v>
      </c>
      <c r="U286" s="563"/>
      <c r="V286" s="13">
        <f t="shared" si="91"/>
        <v>1060232.9670329669</v>
      </c>
      <c r="W286" s="13"/>
      <c r="X286" s="29"/>
      <c r="Y286" s="29"/>
      <c r="Z286" s="30"/>
      <c r="AA286" s="30"/>
      <c r="AB286" s="30"/>
      <c r="AC286" s="29"/>
      <c r="AD286" s="29"/>
      <c r="AE286" s="30"/>
    </row>
    <row r="287" spans="1:31" s="665" customFormat="1" ht="22.5" customHeight="1" x14ac:dyDescent="0.25">
      <c r="A287" s="44" t="s">
        <v>310</v>
      </c>
      <c r="B287" s="45" t="s">
        <v>175</v>
      </c>
      <c r="C287" s="45"/>
      <c r="D287" s="736">
        <v>44662</v>
      </c>
      <c r="E287" s="736">
        <v>45026</v>
      </c>
      <c r="F287" s="73">
        <v>1638</v>
      </c>
      <c r="G287" s="73">
        <f t="shared" si="85"/>
        <v>728</v>
      </c>
      <c r="H287" s="73">
        <f>[27]Sheet1!H84</f>
        <v>0</v>
      </c>
      <c r="I287" s="73">
        <f t="shared" si="86"/>
        <v>728</v>
      </c>
      <c r="J287" s="736">
        <f t="shared" si="92"/>
        <v>45754</v>
      </c>
      <c r="K287" s="736">
        <f t="shared" si="87"/>
        <v>45208</v>
      </c>
      <c r="L287" s="46">
        <v>40000000</v>
      </c>
      <c r="M287" s="18"/>
      <c r="N287" s="46">
        <v>40114800</v>
      </c>
      <c r="O287" s="20">
        <f t="shared" si="88"/>
        <v>9412800</v>
      </c>
      <c r="P287" s="47">
        <v>0.11766</v>
      </c>
      <c r="Q287" s="919">
        <v>0.98591799999999996</v>
      </c>
      <c r="R287" s="22">
        <f t="shared" si="89"/>
        <v>39436720</v>
      </c>
      <c r="S287" s="12">
        <v>0.11650000000000001</v>
      </c>
      <c r="T287" s="75">
        <f t="shared" si="90"/>
        <v>1060232.9670329669</v>
      </c>
      <c r="U287" s="563"/>
      <c r="V287" s="13">
        <f t="shared" si="91"/>
        <v>1060232.9670329669</v>
      </c>
      <c r="W287" s="13"/>
      <c r="X287" s="29"/>
      <c r="Y287" s="29"/>
      <c r="Z287" s="30"/>
      <c r="AA287" s="30"/>
      <c r="AB287" s="30"/>
      <c r="AC287" s="29"/>
      <c r="AD287" s="29"/>
      <c r="AE287" s="30"/>
    </row>
    <row r="288" spans="1:31" s="665" customFormat="1" ht="22.5" customHeight="1" x14ac:dyDescent="0.25">
      <c r="A288" s="44" t="s">
        <v>310</v>
      </c>
      <c r="B288" s="45" t="s">
        <v>175</v>
      </c>
      <c r="C288" s="45"/>
      <c r="D288" s="736">
        <v>44662</v>
      </c>
      <c r="E288" s="736">
        <v>45026</v>
      </c>
      <c r="F288" s="73">
        <v>1638</v>
      </c>
      <c r="G288" s="73">
        <f t="shared" si="85"/>
        <v>728</v>
      </c>
      <c r="H288" s="73">
        <f>[27]Sheet1!H85</f>
        <v>0</v>
      </c>
      <c r="I288" s="73">
        <f t="shared" si="86"/>
        <v>728</v>
      </c>
      <c r="J288" s="736">
        <f t="shared" si="92"/>
        <v>45754</v>
      </c>
      <c r="K288" s="736">
        <f t="shared" si="87"/>
        <v>45208</v>
      </c>
      <c r="L288" s="46">
        <v>40000000</v>
      </c>
      <c r="M288" s="18"/>
      <c r="N288" s="46">
        <v>40065200</v>
      </c>
      <c r="O288" s="20">
        <f t="shared" si="88"/>
        <v>9412800</v>
      </c>
      <c r="P288" s="47">
        <v>0.11766</v>
      </c>
      <c r="Q288" s="919">
        <v>0.98591799999999996</v>
      </c>
      <c r="R288" s="22">
        <f t="shared" si="89"/>
        <v>39436720</v>
      </c>
      <c r="S288" s="12">
        <v>0.11700000000000001</v>
      </c>
      <c r="T288" s="75">
        <f t="shared" si="90"/>
        <v>1060232.9670329669</v>
      </c>
      <c r="U288" s="563"/>
      <c r="V288" s="13">
        <f t="shared" si="91"/>
        <v>1060232.9670329669</v>
      </c>
      <c r="W288" s="13"/>
      <c r="X288" s="29"/>
      <c r="Y288" s="29"/>
      <c r="Z288" s="30"/>
      <c r="AA288" s="30"/>
      <c r="AB288" s="30"/>
      <c r="AC288" s="29"/>
      <c r="AD288" s="29"/>
      <c r="AE288" s="30"/>
    </row>
    <row r="289" spans="1:31" s="665" customFormat="1" ht="22.5" customHeight="1" x14ac:dyDescent="0.25">
      <c r="A289" s="44" t="s">
        <v>310</v>
      </c>
      <c r="B289" s="45" t="s">
        <v>175</v>
      </c>
      <c r="C289" s="45"/>
      <c r="D289" s="736">
        <v>44662</v>
      </c>
      <c r="E289" s="736">
        <v>45026</v>
      </c>
      <c r="F289" s="73">
        <v>1638</v>
      </c>
      <c r="G289" s="73">
        <f t="shared" si="85"/>
        <v>728</v>
      </c>
      <c r="H289" s="73">
        <f>[27]Sheet1!H86</f>
        <v>0</v>
      </c>
      <c r="I289" s="73">
        <f t="shared" si="86"/>
        <v>728</v>
      </c>
      <c r="J289" s="736">
        <f t="shared" si="92"/>
        <v>45754</v>
      </c>
      <c r="K289" s="736">
        <f t="shared" si="87"/>
        <v>45208</v>
      </c>
      <c r="L289" s="46">
        <v>20000000</v>
      </c>
      <c r="M289" s="18"/>
      <c r="N289" s="46">
        <v>20007800</v>
      </c>
      <c r="O289" s="20">
        <f t="shared" si="88"/>
        <v>4706400</v>
      </c>
      <c r="P289" s="47">
        <v>0.11766</v>
      </c>
      <c r="Q289" s="919">
        <v>0.98591799999999996</v>
      </c>
      <c r="R289" s="22">
        <f t="shared" si="89"/>
        <v>19718360</v>
      </c>
      <c r="S289" s="12">
        <v>0.11749999999999999</v>
      </c>
      <c r="T289" s="75">
        <f t="shared" si="90"/>
        <v>530116.48351648345</v>
      </c>
      <c r="U289" s="563"/>
      <c r="V289" s="13">
        <f t="shared" si="91"/>
        <v>530116.48351648345</v>
      </c>
      <c r="W289" s="13"/>
      <c r="X289" s="29"/>
      <c r="Y289" s="29"/>
      <c r="Z289" s="30"/>
      <c r="AA289" s="30"/>
      <c r="AB289" s="30"/>
      <c r="AC289" s="29"/>
      <c r="AD289" s="29"/>
      <c r="AE289" s="30"/>
    </row>
    <row r="290" spans="1:31" s="665" customFormat="1" ht="22.5" customHeight="1" x14ac:dyDescent="0.25">
      <c r="A290" s="44" t="s">
        <v>310</v>
      </c>
      <c r="B290" s="45" t="s">
        <v>175</v>
      </c>
      <c r="C290" s="45"/>
      <c r="D290" s="736">
        <v>44662</v>
      </c>
      <c r="E290" s="736">
        <v>45026</v>
      </c>
      <c r="F290" s="73">
        <v>1638</v>
      </c>
      <c r="G290" s="73">
        <f t="shared" si="85"/>
        <v>728</v>
      </c>
      <c r="H290" s="73">
        <f>[27]Sheet1!H87</f>
        <v>0</v>
      </c>
      <c r="I290" s="73">
        <f t="shared" si="86"/>
        <v>728</v>
      </c>
      <c r="J290" s="736">
        <f t="shared" si="92"/>
        <v>45754</v>
      </c>
      <c r="K290" s="736">
        <f t="shared" si="87"/>
        <v>45208</v>
      </c>
      <c r="L290" s="46">
        <v>20000000</v>
      </c>
      <c r="M290" s="18"/>
      <c r="N290" s="46">
        <v>19983200</v>
      </c>
      <c r="O290" s="20">
        <f t="shared" si="88"/>
        <v>4706400</v>
      </c>
      <c r="P290" s="47">
        <v>0.11766</v>
      </c>
      <c r="Q290" s="919">
        <v>0.98591799999999996</v>
      </c>
      <c r="R290" s="22">
        <f t="shared" si="89"/>
        <v>19718360</v>
      </c>
      <c r="S290" s="12">
        <v>0.11799999999999999</v>
      </c>
      <c r="T290" s="75">
        <f t="shared" si="90"/>
        <v>530116.48351648345</v>
      </c>
      <c r="U290" s="563"/>
      <c r="V290" s="13">
        <f t="shared" si="91"/>
        <v>530116.48351648345</v>
      </c>
      <c r="W290" s="13"/>
      <c r="X290" s="29"/>
      <c r="Y290" s="29"/>
      <c r="Z290" s="30"/>
      <c r="AA290" s="30"/>
      <c r="AB290" s="30"/>
      <c r="AC290" s="29"/>
      <c r="AD290" s="29"/>
      <c r="AE290" s="30"/>
    </row>
    <row r="291" spans="1:31" s="665" customFormat="1" ht="22.5" customHeight="1" x14ac:dyDescent="0.25">
      <c r="A291" s="44" t="s">
        <v>310</v>
      </c>
      <c r="B291" s="45" t="s">
        <v>175</v>
      </c>
      <c r="C291" s="45"/>
      <c r="D291" s="736">
        <v>44662</v>
      </c>
      <c r="E291" s="736">
        <v>45026</v>
      </c>
      <c r="F291" s="73">
        <v>1638</v>
      </c>
      <c r="G291" s="73">
        <f t="shared" si="85"/>
        <v>728</v>
      </c>
      <c r="H291" s="73">
        <f>[27]Sheet1!H88</f>
        <v>0</v>
      </c>
      <c r="I291" s="73">
        <f t="shared" si="86"/>
        <v>728</v>
      </c>
      <c r="J291" s="736">
        <f t="shared" si="92"/>
        <v>45754</v>
      </c>
      <c r="K291" s="736">
        <f t="shared" si="87"/>
        <v>45208</v>
      </c>
      <c r="L291" s="46">
        <v>20000000</v>
      </c>
      <c r="M291" s="18"/>
      <c r="N291" s="46">
        <v>19958600</v>
      </c>
      <c r="O291" s="20">
        <f t="shared" si="88"/>
        <v>4706400</v>
      </c>
      <c r="P291" s="47">
        <v>0.11766</v>
      </c>
      <c r="Q291" s="919">
        <v>0.98591799999999996</v>
      </c>
      <c r="R291" s="22">
        <f t="shared" si="89"/>
        <v>19718360</v>
      </c>
      <c r="S291" s="12">
        <v>0.11849999999999999</v>
      </c>
      <c r="T291" s="75">
        <f t="shared" si="90"/>
        <v>530116.48351648345</v>
      </c>
      <c r="U291" s="563"/>
      <c r="V291" s="13">
        <f t="shared" si="91"/>
        <v>530116.48351648345</v>
      </c>
      <c r="W291" s="13"/>
      <c r="X291" s="29"/>
      <c r="Y291" s="29"/>
      <c r="Z291" s="30"/>
      <c r="AA291" s="30"/>
      <c r="AB291" s="30"/>
      <c r="AC291" s="29"/>
      <c r="AD291" s="29"/>
      <c r="AE291" s="30"/>
    </row>
    <row r="292" spans="1:31" s="665" customFormat="1" ht="22.5" customHeight="1" x14ac:dyDescent="0.3">
      <c r="A292" s="841" t="s">
        <v>152</v>
      </c>
      <c r="B292" s="842" t="s">
        <v>175</v>
      </c>
      <c r="C292" s="842"/>
      <c r="D292" s="629">
        <v>41939</v>
      </c>
      <c r="E292" s="629">
        <v>45033</v>
      </c>
      <c r="F292" s="843">
        <v>3458</v>
      </c>
      <c r="G292" s="843">
        <f t="shared" si="85"/>
        <v>1274</v>
      </c>
      <c r="H292" s="843">
        <f>[27]Sheet1!H27</f>
        <v>0</v>
      </c>
      <c r="I292" s="843">
        <f t="shared" si="86"/>
        <v>1274</v>
      </c>
      <c r="J292" s="629">
        <f>D292+364*12</f>
        <v>46307</v>
      </c>
      <c r="K292" s="629">
        <f t="shared" si="87"/>
        <v>45215</v>
      </c>
      <c r="L292" s="844">
        <f>10000000-2550000-3111939</f>
        <v>4338061</v>
      </c>
      <c r="M292" s="630"/>
      <c r="N292" s="844">
        <v>9874200</v>
      </c>
      <c r="O292" s="845">
        <f t="shared" si="88"/>
        <v>1670153.4850000003</v>
      </c>
      <c r="P292" s="846">
        <v>0.11</v>
      </c>
      <c r="Q292" s="920">
        <v>0.96972100000000006</v>
      </c>
      <c r="R292" s="848">
        <f t="shared" si="89"/>
        <v>4206708.8509809999</v>
      </c>
      <c r="S292" s="849">
        <v>0.11260000000000001</v>
      </c>
      <c r="T292" s="850">
        <f t="shared" si="90"/>
        <v>98321.437500000029</v>
      </c>
      <c r="U292" s="851"/>
      <c r="V292" s="852">
        <f t="shared" si="91"/>
        <v>98321.437500000029</v>
      </c>
      <c r="W292" s="852"/>
      <c r="X292" s="624"/>
      <c r="Y292" s="624"/>
      <c r="Z292" s="853"/>
      <c r="AA292" s="853"/>
      <c r="AB292" s="853"/>
      <c r="AC292" s="624"/>
      <c r="AD292" s="624"/>
      <c r="AE292" s="853"/>
    </row>
    <row r="293" spans="1:31" s="665" customFormat="1" ht="22.5" customHeight="1" x14ac:dyDescent="0.3">
      <c r="A293" s="841" t="s">
        <v>162</v>
      </c>
      <c r="B293" s="842" t="s">
        <v>175</v>
      </c>
      <c r="C293" s="842"/>
      <c r="D293" s="629">
        <v>41939</v>
      </c>
      <c r="E293" s="629">
        <v>45033</v>
      </c>
      <c r="F293" s="843">
        <v>3458</v>
      </c>
      <c r="G293" s="843">
        <f t="shared" si="85"/>
        <v>1274</v>
      </c>
      <c r="H293" s="843">
        <f>[27]Sheet1!H28</f>
        <v>0</v>
      </c>
      <c r="I293" s="843">
        <f t="shared" si="86"/>
        <v>1274</v>
      </c>
      <c r="J293" s="629">
        <f>D293+364*12</f>
        <v>46307</v>
      </c>
      <c r="K293" s="629">
        <f t="shared" si="87"/>
        <v>45215</v>
      </c>
      <c r="L293" s="844">
        <f>10000000</f>
        <v>10000000</v>
      </c>
      <c r="M293" s="854"/>
      <c r="N293" s="844">
        <v>9848300</v>
      </c>
      <c r="O293" s="845">
        <f t="shared" si="88"/>
        <v>3850000</v>
      </c>
      <c r="P293" s="846">
        <v>0.11</v>
      </c>
      <c r="Q293" s="920">
        <v>0.96972100000000006</v>
      </c>
      <c r="R293" s="848">
        <f t="shared" si="89"/>
        <v>9697210</v>
      </c>
      <c r="S293" s="849">
        <v>0.1129</v>
      </c>
      <c r="T293" s="850">
        <f t="shared" si="90"/>
        <v>226648.35164835164</v>
      </c>
      <c r="U293" s="851"/>
      <c r="V293" s="852">
        <f t="shared" si="91"/>
        <v>226648.35164835164</v>
      </c>
      <c r="W293" s="852"/>
      <c r="X293" s="624"/>
      <c r="Y293" s="624"/>
      <c r="Z293" s="853"/>
      <c r="AA293" s="853"/>
      <c r="AB293" s="853"/>
      <c r="AC293" s="624"/>
      <c r="AD293" s="624"/>
      <c r="AE293" s="853"/>
    </row>
    <row r="294" spans="1:31" s="665" customFormat="1" ht="22.5" customHeight="1" x14ac:dyDescent="0.3">
      <c r="A294" s="841" t="s">
        <v>152</v>
      </c>
      <c r="B294" s="842" t="s">
        <v>175</v>
      </c>
      <c r="C294" s="842"/>
      <c r="D294" s="629">
        <v>41939</v>
      </c>
      <c r="E294" s="629">
        <v>45033</v>
      </c>
      <c r="F294" s="843">
        <v>3458</v>
      </c>
      <c r="G294" s="843">
        <f t="shared" si="85"/>
        <v>1274</v>
      </c>
      <c r="H294" s="843">
        <f>[27]Sheet1!H64</f>
        <v>0</v>
      </c>
      <c r="I294" s="843">
        <f t="shared" si="86"/>
        <v>1274</v>
      </c>
      <c r="J294" s="629">
        <f>D294+364*12</f>
        <v>46307</v>
      </c>
      <c r="K294" s="629">
        <f t="shared" si="87"/>
        <v>45215</v>
      </c>
      <c r="L294" s="844">
        <f>20000000-5050000-6244765</f>
        <v>8705235</v>
      </c>
      <c r="M294" s="630"/>
      <c r="N294" s="844">
        <v>19724400</v>
      </c>
      <c r="O294" s="845">
        <f t="shared" si="88"/>
        <v>3351515.4749999996</v>
      </c>
      <c r="P294" s="846">
        <v>0.11</v>
      </c>
      <c r="Q294" s="920">
        <v>0.96972100000000006</v>
      </c>
      <c r="R294" s="848">
        <f t="shared" si="89"/>
        <v>8441649.1894349996</v>
      </c>
      <c r="S294" s="849">
        <v>0.11262999999999999</v>
      </c>
      <c r="T294" s="850">
        <f t="shared" si="90"/>
        <v>197302.71634615381</v>
      </c>
      <c r="U294" s="851"/>
      <c r="V294" s="852">
        <f t="shared" si="91"/>
        <v>197302.71634615381</v>
      </c>
      <c r="W294" s="852"/>
      <c r="X294" s="624"/>
      <c r="Y294" s="624"/>
      <c r="Z294" s="853"/>
      <c r="AA294" s="853"/>
      <c r="AB294" s="853"/>
      <c r="AC294" s="624"/>
      <c r="AD294" s="624"/>
      <c r="AE294" s="853"/>
    </row>
    <row r="295" spans="1:31" s="665" customFormat="1" ht="22.5" customHeight="1" x14ac:dyDescent="0.25">
      <c r="A295" s="44" t="s">
        <v>199</v>
      </c>
      <c r="B295" s="45" t="s">
        <v>175</v>
      </c>
      <c r="C295" s="736"/>
      <c r="D295" s="736">
        <v>42667</v>
      </c>
      <c r="E295" s="736">
        <v>45033</v>
      </c>
      <c r="F295" s="73">
        <v>5278</v>
      </c>
      <c r="G295" s="73">
        <f t="shared" si="85"/>
        <v>3094</v>
      </c>
      <c r="H295" s="73">
        <f>[27]Sheet1!H57</f>
        <v>0</v>
      </c>
      <c r="I295" s="73">
        <f t="shared" si="86"/>
        <v>3094</v>
      </c>
      <c r="J295" s="736">
        <f t="shared" ref="J295:J305" si="93">D295+364*15</f>
        <v>48127</v>
      </c>
      <c r="K295" s="736">
        <f t="shared" si="87"/>
        <v>45215</v>
      </c>
      <c r="L295" s="46">
        <f>10000000*0.75</f>
        <v>7500000</v>
      </c>
      <c r="M295" s="18">
        <v>10000000</v>
      </c>
      <c r="N295" s="46">
        <v>9502300</v>
      </c>
      <c r="O295" s="20">
        <f t="shared" si="88"/>
        <v>7650000</v>
      </c>
      <c r="P295" s="47">
        <v>0.12</v>
      </c>
      <c r="Q295" s="919">
        <v>0.93983899999999998</v>
      </c>
      <c r="R295" s="22">
        <f t="shared" si="89"/>
        <v>7048792.5</v>
      </c>
      <c r="S295" s="12">
        <v>0.12894</v>
      </c>
      <c r="T295" s="75">
        <f t="shared" si="90"/>
        <v>185439.56043956045</v>
      </c>
      <c r="U295" s="565"/>
      <c r="V295" s="50">
        <f t="shared" si="91"/>
        <v>185439.56043956045</v>
      </c>
      <c r="W295" s="50"/>
      <c r="X295" s="51"/>
      <c r="Y295" s="51"/>
      <c r="Z295" s="30"/>
      <c r="AA295" s="30"/>
      <c r="AB295" s="30"/>
      <c r="AC295" s="51"/>
      <c r="AD295" s="51"/>
      <c r="AE295" s="51"/>
    </row>
    <row r="296" spans="1:31" s="665" customFormat="1" ht="22.5" customHeight="1" x14ac:dyDescent="0.25">
      <c r="A296" s="44" t="s">
        <v>199</v>
      </c>
      <c r="B296" s="45" t="s">
        <v>175</v>
      </c>
      <c r="C296" s="736"/>
      <c r="D296" s="736">
        <v>42667</v>
      </c>
      <c r="E296" s="736">
        <v>45033</v>
      </c>
      <c r="F296" s="73">
        <v>5278</v>
      </c>
      <c r="G296" s="73">
        <f t="shared" si="85"/>
        <v>3094</v>
      </c>
      <c r="H296" s="73">
        <f>[27]Sheet1!H67</f>
        <v>0</v>
      </c>
      <c r="I296" s="73">
        <f t="shared" si="86"/>
        <v>3094</v>
      </c>
      <c r="J296" s="736">
        <f t="shared" si="93"/>
        <v>48127</v>
      </c>
      <c r="K296" s="736">
        <f t="shared" si="87"/>
        <v>45215</v>
      </c>
      <c r="L296" s="46">
        <f>15000000*0.75</f>
        <v>11250000</v>
      </c>
      <c r="M296" s="18">
        <v>10000000</v>
      </c>
      <c r="N296" s="46">
        <v>13901400</v>
      </c>
      <c r="O296" s="20">
        <f t="shared" si="88"/>
        <v>11475000</v>
      </c>
      <c r="P296" s="47">
        <v>0.12</v>
      </c>
      <c r="Q296" s="919">
        <v>0.93983899999999998</v>
      </c>
      <c r="R296" s="22">
        <f t="shared" si="89"/>
        <v>10573188.75</v>
      </c>
      <c r="S296" s="12">
        <v>0.13250999999999999</v>
      </c>
      <c r="T296" s="75">
        <f t="shared" si="90"/>
        <v>278159.34065934067</v>
      </c>
      <c r="U296" s="565"/>
      <c r="V296" s="50">
        <f t="shared" si="91"/>
        <v>278159.34065934067</v>
      </c>
      <c r="W296" s="50"/>
      <c r="X296" s="51"/>
      <c r="Y296" s="51"/>
      <c r="Z296" s="30"/>
      <c r="AA296" s="30"/>
      <c r="AB296" s="30"/>
      <c r="AC296" s="51"/>
      <c r="AD296" s="51"/>
      <c r="AE296" s="51"/>
    </row>
    <row r="297" spans="1:31" s="665" customFormat="1" ht="22.5" customHeight="1" x14ac:dyDescent="0.25">
      <c r="A297" s="44" t="s">
        <v>199</v>
      </c>
      <c r="B297" s="45" t="s">
        <v>175</v>
      </c>
      <c r="C297" s="736"/>
      <c r="D297" s="736">
        <v>42667</v>
      </c>
      <c r="E297" s="736">
        <v>45033</v>
      </c>
      <c r="F297" s="73">
        <v>5278</v>
      </c>
      <c r="G297" s="73">
        <f t="shared" si="85"/>
        <v>3094</v>
      </c>
      <c r="H297" s="73">
        <f>[27]Sheet1!H78</f>
        <v>0</v>
      </c>
      <c r="I297" s="73">
        <f t="shared" si="86"/>
        <v>3094</v>
      </c>
      <c r="J297" s="736">
        <f t="shared" si="93"/>
        <v>48127</v>
      </c>
      <c r="K297" s="736">
        <f t="shared" si="87"/>
        <v>45215</v>
      </c>
      <c r="L297" s="46">
        <f t="shared" ref="L297:L305" si="94">20000000*0.75</f>
        <v>15000000</v>
      </c>
      <c r="M297" s="18">
        <v>10000000</v>
      </c>
      <c r="N297" s="46">
        <v>19059400</v>
      </c>
      <c r="O297" s="20">
        <f t="shared" si="88"/>
        <v>15300000</v>
      </c>
      <c r="P297" s="47">
        <v>0.12</v>
      </c>
      <c r="Q297" s="919">
        <v>0.93983899999999998</v>
      </c>
      <c r="R297" s="22">
        <f t="shared" si="89"/>
        <v>14097585</v>
      </c>
      <c r="S297" s="12">
        <v>0.12842999999999999</v>
      </c>
      <c r="T297" s="75">
        <f t="shared" si="90"/>
        <v>370879.12087912089</v>
      </c>
      <c r="U297" s="565"/>
      <c r="V297" s="50">
        <f t="shared" si="91"/>
        <v>370879.12087912089</v>
      </c>
      <c r="W297" s="50"/>
      <c r="X297" s="51"/>
      <c r="Y297" s="51"/>
      <c r="Z297" s="30"/>
      <c r="AA297" s="30"/>
      <c r="AB297" s="30"/>
      <c r="AC297" s="51"/>
      <c r="AD297" s="51"/>
      <c r="AE297" s="51"/>
    </row>
    <row r="298" spans="1:31" s="665" customFormat="1" ht="22.5" customHeight="1" x14ac:dyDescent="0.25">
      <c r="A298" s="44" t="s">
        <v>199</v>
      </c>
      <c r="B298" s="45" t="s">
        <v>175</v>
      </c>
      <c r="C298" s="736"/>
      <c r="D298" s="736">
        <v>42667</v>
      </c>
      <c r="E298" s="736">
        <v>45033</v>
      </c>
      <c r="F298" s="73">
        <v>5278</v>
      </c>
      <c r="G298" s="73">
        <f t="shared" si="85"/>
        <v>3094</v>
      </c>
      <c r="H298" s="73">
        <f>[27]Sheet1!H79</f>
        <v>0</v>
      </c>
      <c r="I298" s="73">
        <f t="shared" si="86"/>
        <v>3094</v>
      </c>
      <c r="J298" s="736">
        <f t="shared" si="93"/>
        <v>48127</v>
      </c>
      <c r="K298" s="736">
        <f t="shared" si="87"/>
        <v>45215</v>
      </c>
      <c r="L298" s="46">
        <f t="shared" si="94"/>
        <v>15000000</v>
      </c>
      <c r="M298" s="18">
        <v>10000000</v>
      </c>
      <c r="N298" s="46">
        <v>18983400</v>
      </c>
      <c r="O298" s="20">
        <f t="shared" si="88"/>
        <v>15300000</v>
      </c>
      <c r="P298" s="47">
        <v>0.12</v>
      </c>
      <c r="Q298" s="919">
        <v>0.93983899999999998</v>
      </c>
      <c r="R298" s="22">
        <f t="shared" si="89"/>
        <v>14097585</v>
      </c>
      <c r="S298" s="12">
        <v>0.12894</v>
      </c>
      <c r="T298" s="75">
        <f t="shared" si="90"/>
        <v>370879.12087912089</v>
      </c>
      <c r="U298" s="565"/>
      <c r="V298" s="50">
        <f t="shared" si="91"/>
        <v>370879.12087912089</v>
      </c>
      <c r="W298" s="50"/>
      <c r="X298" s="51"/>
      <c r="Y298" s="51"/>
      <c r="Z298" s="30"/>
      <c r="AA298" s="30"/>
      <c r="AB298" s="30"/>
      <c r="AC298" s="51"/>
      <c r="AD298" s="51"/>
      <c r="AE298" s="51"/>
    </row>
    <row r="299" spans="1:31" s="665" customFormat="1" ht="22.5" customHeight="1" x14ac:dyDescent="0.25">
      <c r="A299" s="44" t="s">
        <v>199</v>
      </c>
      <c r="B299" s="45" t="s">
        <v>175</v>
      </c>
      <c r="C299" s="736"/>
      <c r="D299" s="736">
        <v>42667</v>
      </c>
      <c r="E299" s="736">
        <v>45033</v>
      </c>
      <c r="F299" s="73">
        <v>5278</v>
      </c>
      <c r="G299" s="73">
        <f t="shared" si="85"/>
        <v>3094</v>
      </c>
      <c r="H299" s="73">
        <f>[27]Sheet1!H80</f>
        <v>0</v>
      </c>
      <c r="I299" s="73">
        <f t="shared" si="86"/>
        <v>3094</v>
      </c>
      <c r="J299" s="736">
        <f t="shared" si="93"/>
        <v>48127</v>
      </c>
      <c r="K299" s="736">
        <f t="shared" si="87"/>
        <v>45215</v>
      </c>
      <c r="L299" s="46">
        <f t="shared" si="94"/>
        <v>15000000</v>
      </c>
      <c r="M299" s="18">
        <v>10000000</v>
      </c>
      <c r="N299" s="46">
        <v>18741400</v>
      </c>
      <c r="O299" s="20">
        <f t="shared" si="88"/>
        <v>15300000</v>
      </c>
      <c r="P299" s="47">
        <v>0.12</v>
      </c>
      <c r="Q299" s="919">
        <v>0.93983899999999998</v>
      </c>
      <c r="R299" s="22">
        <f t="shared" si="89"/>
        <v>14097585</v>
      </c>
      <c r="S299" s="12">
        <v>0.12914</v>
      </c>
      <c r="T299" s="75">
        <f t="shared" si="90"/>
        <v>370879.12087912089</v>
      </c>
      <c r="U299" s="565"/>
      <c r="V299" s="50">
        <f t="shared" si="91"/>
        <v>370879.12087912089</v>
      </c>
      <c r="W299" s="50"/>
      <c r="X299" s="51"/>
      <c r="Y299" s="51"/>
      <c r="Z299" s="30"/>
      <c r="AA299" s="30"/>
      <c r="AB299" s="30"/>
      <c r="AC299" s="51"/>
      <c r="AD299" s="51"/>
      <c r="AE299" s="51"/>
    </row>
    <row r="300" spans="1:31" s="665" customFormat="1" ht="22.5" customHeight="1" x14ac:dyDescent="0.25">
      <c r="A300" s="44" t="s">
        <v>199</v>
      </c>
      <c r="B300" s="45" t="s">
        <v>175</v>
      </c>
      <c r="C300" s="736"/>
      <c r="D300" s="736">
        <v>42667</v>
      </c>
      <c r="E300" s="736">
        <v>45033</v>
      </c>
      <c r="F300" s="73">
        <v>5278</v>
      </c>
      <c r="G300" s="73">
        <f t="shared" si="85"/>
        <v>3094</v>
      </c>
      <c r="H300" s="73">
        <f>[27]Sheet1!H81</f>
        <v>0</v>
      </c>
      <c r="I300" s="73">
        <f t="shared" si="86"/>
        <v>3094</v>
      </c>
      <c r="J300" s="736">
        <f t="shared" si="93"/>
        <v>48127</v>
      </c>
      <c r="K300" s="736">
        <f t="shared" si="87"/>
        <v>45215</v>
      </c>
      <c r="L300" s="46">
        <f t="shared" si="94"/>
        <v>15000000</v>
      </c>
      <c r="M300" s="18">
        <v>10000000</v>
      </c>
      <c r="N300" s="46">
        <v>18705800</v>
      </c>
      <c r="O300" s="20">
        <f t="shared" si="88"/>
        <v>15300000</v>
      </c>
      <c r="P300" s="47">
        <v>0.12</v>
      </c>
      <c r="Q300" s="919">
        <v>0.93983899999999998</v>
      </c>
      <c r="R300" s="22">
        <f t="shared" si="89"/>
        <v>14097585</v>
      </c>
      <c r="S300" s="12">
        <v>0.13142999999999999</v>
      </c>
      <c r="T300" s="75">
        <f t="shared" si="90"/>
        <v>370879.12087912089</v>
      </c>
      <c r="U300" s="565"/>
      <c r="V300" s="50">
        <f t="shared" si="91"/>
        <v>370879.12087912089</v>
      </c>
      <c r="W300" s="50"/>
      <c r="X300" s="51"/>
      <c r="Y300" s="51"/>
      <c r="Z300" s="30"/>
      <c r="AA300" s="30"/>
      <c r="AB300" s="30"/>
      <c r="AC300" s="51"/>
      <c r="AD300" s="51"/>
      <c r="AE300" s="51"/>
    </row>
    <row r="301" spans="1:31" s="665" customFormat="1" ht="22.5" customHeight="1" x14ac:dyDescent="0.25">
      <c r="A301" s="44" t="s">
        <v>199</v>
      </c>
      <c r="B301" s="45" t="s">
        <v>175</v>
      </c>
      <c r="C301" s="736"/>
      <c r="D301" s="736">
        <v>42667</v>
      </c>
      <c r="E301" s="736">
        <v>45033</v>
      </c>
      <c r="F301" s="73">
        <v>5278</v>
      </c>
      <c r="G301" s="73">
        <f t="shared" ref="G301:G332" si="95">J301-E301</f>
        <v>3094</v>
      </c>
      <c r="H301" s="73">
        <f>[27]Sheet1!H82</f>
        <v>0</v>
      </c>
      <c r="I301" s="73">
        <f t="shared" ref="I301:I332" si="96">G301-H301</f>
        <v>3094</v>
      </c>
      <c r="J301" s="736">
        <f t="shared" si="93"/>
        <v>48127</v>
      </c>
      <c r="K301" s="736">
        <f t="shared" ref="K301:K332" si="97">E301+182</f>
        <v>45215</v>
      </c>
      <c r="L301" s="46">
        <f t="shared" si="94"/>
        <v>15000000</v>
      </c>
      <c r="M301" s="18">
        <v>10000000</v>
      </c>
      <c r="N301" s="46">
        <v>18629000</v>
      </c>
      <c r="O301" s="20">
        <f t="shared" ref="O301:O332" si="98">L301*P301*G301/364</f>
        <v>15300000</v>
      </c>
      <c r="P301" s="47">
        <v>0.12</v>
      </c>
      <c r="Q301" s="919">
        <v>0.93983899999999998</v>
      </c>
      <c r="R301" s="22">
        <f t="shared" ref="R301:R332" si="99">+L301*Q301</f>
        <v>14097585</v>
      </c>
      <c r="S301" s="12">
        <v>0.13177</v>
      </c>
      <c r="T301" s="75">
        <f t="shared" ref="T301:T332" si="100">O301/G301*(T$1-E301+1)</f>
        <v>370879.12087912089</v>
      </c>
      <c r="U301" s="565"/>
      <c r="V301" s="50">
        <f t="shared" ref="V301:V332" si="101">+T301-U301</f>
        <v>370879.12087912089</v>
      </c>
      <c r="W301" s="50"/>
      <c r="X301" s="51"/>
      <c r="Y301" s="51"/>
      <c r="Z301" s="30"/>
      <c r="AA301" s="30"/>
      <c r="AB301" s="30"/>
      <c r="AC301" s="51"/>
      <c r="AD301" s="51"/>
      <c r="AE301" s="51"/>
    </row>
    <row r="302" spans="1:31" s="665" customFormat="1" ht="22.5" customHeight="1" x14ac:dyDescent="0.25">
      <c r="A302" s="44" t="s">
        <v>199</v>
      </c>
      <c r="B302" s="45" t="s">
        <v>175</v>
      </c>
      <c r="C302" s="736"/>
      <c r="D302" s="736">
        <v>42667</v>
      </c>
      <c r="E302" s="736">
        <v>45033</v>
      </c>
      <c r="F302" s="73">
        <v>5278</v>
      </c>
      <c r="G302" s="73">
        <f t="shared" si="95"/>
        <v>3094</v>
      </c>
      <c r="H302" s="73">
        <f>[27]Sheet1!H83</f>
        <v>0</v>
      </c>
      <c r="I302" s="73">
        <f t="shared" si="96"/>
        <v>3094</v>
      </c>
      <c r="J302" s="736">
        <f t="shared" si="93"/>
        <v>48127</v>
      </c>
      <c r="K302" s="736">
        <f t="shared" si="97"/>
        <v>45215</v>
      </c>
      <c r="L302" s="46">
        <f t="shared" si="94"/>
        <v>15000000</v>
      </c>
      <c r="M302" s="18">
        <v>10000000</v>
      </c>
      <c r="N302" s="46">
        <v>18525800</v>
      </c>
      <c r="O302" s="20">
        <f t="shared" si="98"/>
        <v>15300000</v>
      </c>
      <c r="P302" s="47">
        <v>0.12</v>
      </c>
      <c r="Q302" s="919">
        <v>0.93983899999999998</v>
      </c>
      <c r="R302" s="22">
        <f t="shared" si="99"/>
        <v>14097585</v>
      </c>
      <c r="S302" s="12">
        <v>0.13342000000000001</v>
      </c>
      <c r="T302" s="75">
        <f t="shared" si="100"/>
        <v>370879.12087912089</v>
      </c>
      <c r="U302" s="565"/>
      <c r="V302" s="50">
        <f t="shared" si="101"/>
        <v>370879.12087912089</v>
      </c>
      <c r="W302" s="50"/>
      <c r="X302" s="51"/>
      <c r="Y302" s="51"/>
      <c r="Z302" s="30"/>
      <c r="AA302" s="30"/>
      <c r="AB302" s="30"/>
      <c r="AC302" s="51"/>
      <c r="AD302" s="51"/>
      <c r="AE302" s="51"/>
    </row>
    <row r="303" spans="1:31" s="665" customFormat="1" ht="22.5" customHeight="1" x14ac:dyDescent="0.25">
      <c r="A303" s="44" t="s">
        <v>199</v>
      </c>
      <c r="B303" s="45" t="s">
        <v>175</v>
      </c>
      <c r="C303" s="736"/>
      <c r="D303" s="736">
        <v>42667</v>
      </c>
      <c r="E303" s="736">
        <v>45033</v>
      </c>
      <c r="F303" s="73">
        <v>5278</v>
      </c>
      <c r="G303" s="73">
        <f t="shared" si="95"/>
        <v>3094</v>
      </c>
      <c r="H303" s="73">
        <f>[27]Sheet1!H84</f>
        <v>0</v>
      </c>
      <c r="I303" s="73">
        <f t="shared" si="96"/>
        <v>3094</v>
      </c>
      <c r="J303" s="736">
        <f t="shared" si="93"/>
        <v>48127</v>
      </c>
      <c r="K303" s="736">
        <f t="shared" si="97"/>
        <v>45215</v>
      </c>
      <c r="L303" s="46">
        <f t="shared" si="94"/>
        <v>15000000</v>
      </c>
      <c r="M303" s="18">
        <v>10000000</v>
      </c>
      <c r="N303" s="46">
        <v>18450200</v>
      </c>
      <c r="O303" s="20">
        <f t="shared" si="98"/>
        <v>15300000</v>
      </c>
      <c r="P303" s="47">
        <v>0.12</v>
      </c>
      <c r="Q303" s="919">
        <v>0.93983899999999998</v>
      </c>
      <c r="R303" s="22">
        <f t="shared" si="99"/>
        <v>14097585</v>
      </c>
      <c r="S303" s="12" t="s">
        <v>201</v>
      </c>
      <c r="T303" s="75">
        <f t="shared" si="100"/>
        <v>370879.12087912089</v>
      </c>
      <c r="U303" s="565"/>
      <c r="V303" s="50">
        <f t="shared" si="101"/>
        <v>370879.12087912089</v>
      </c>
      <c r="W303" s="50"/>
      <c r="X303" s="51"/>
      <c r="Y303" s="51"/>
      <c r="Z303" s="30"/>
      <c r="AA303" s="30"/>
      <c r="AB303" s="30"/>
      <c r="AC303" s="51"/>
      <c r="AD303" s="51"/>
      <c r="AE303" s="51"/>
    </row>
    <row r="304" spans="1:31" s="665" customFormat="1" ht="22.5" customHeight="1" x14ac:dyDescent="0.25">
      <c r="A304" s="44" t="s">
        <v>199</v>
      </c>
      <c r="B304" s="45" t="s">
        <v>175</v>
      </c>
      <c r="C304" s="736"/>
      <c r="D304" s="736">
        <v>42667</v>
      </c>
      <c r="E304" s="736">
        <v>45033</v>
      </c>
      <c r="F304" s="73">
        <v>5278</v>
      </c>
      <c r="G304" s="73">
        <f t="shared" si="95"/>
        <v>3094</v>
      </c>
      <c r="H304" s="73">
        <f>[27]Sheet1!H85</f>
        <v>0</v>
      </c>
      <c r="I304" s="73">
        <f t="shared" si="96"/>
        <v>3094</v>
      </c>
      <c r="J304" s="736">
        <f t="shared" si="93"/>
        <v>48127</v>
      </c>
      <c r="K304" s="736">
        <f t="shared" si="97"/>
        <v>45215</v>
      </c>
      <c r="L304" s="46">
        <f t="shared" si="94"/>
        <v>15000000</v>
      </c>
      <c r="M304" s="18">
        <v>10000000</v>
      </c>
      <c r="N304" s="46">
        <v>18448000</v>
      </c>
      <c r="O304" s="20">
        <f t="shared" si="98"/>
        <v>15300000</v>
      </c>
      <c r="P304" s="47">
        <v>0.12</v>
      </c>
      <c r="Q304" s="919">
        <v>0.93983899999999998</v>
      </c>
      <c r="R304" s="22">
        <f t="shared" si="99"/>
        <v>14097585</v>
      </c>
      <c r="S304" s="12">
        <v>0.13425000000000001</v>
      </c>
      <c r="T304" s="75">
        <f t="shared" si="100"/>
        <v>370879.12087912089</v>
      </c>
      <c r="U304" s="565"/>
      <c r="V304" s="50">
        <f t="shared" si="101"/>
        <v>370879.12087912089</v>
      </c>
      <c r="W304" s="50"/>
      <c r="X304" s="51"/>
      <c r="Y304" s="51"/>
      <c r="Z304" s="30"/>
      <c r="AA304" s="30"/>
      <c r="AB304" s="30"/>
      <c r="AC304" s="51"/>
      <c r="AD304" s="51"/>
      <c r="AE304" s="51"/>
    </row>
    <row r="305" spans="1:31" s="665" customFormat="1" ht="22.5" customHeight="1" x14ac:dyDescent="0.25">
      <c r="A305" s="44" t="s">
        <v>199</v>
      </c>
      <c r="B305" s="45" t="s">
        <v>175</v>
      </c>
      <c r="C305" s="736"/>
      <c r="D305" s="736">
        <v>42667</v>
      </c>
      <c r="E305" s="736">
        <v>45033</v>
      </c>
      <c r="F305" s="73">
        <v>5278</v>
      </c>
      <c r="G305" s="73">
        <f t="shared" si="95"/>
        <v>3094</v>
      </c>
      <c r="H305" s="73">
        <f>[27]Sheet1!H86</f>
        <v>0</v>
      </c>
      <c r="I305" s="73">
        <f t="shared" si="96"/>
        <v>3094</v>
      </c>
      <c r="J305" s="736">
        <f t="shared" si="93"/>
        <v>48127</v>
      </c>
      <c r="K305" s="736">
        <f t="shared" si="97"/>
        <v>45215</v>
      </c>
      <c r="L305" s="46">
        <f t="shared" si="94"/>
        <v>15000000</v>
      </c>
      <c r="M305" s="18">
        <v>10000000</v>
      </c>
      <c r="N305" s="46">
        <v>18476200</v>
      </c>
      <c r="O305" s="20">
        <f t="shared" si="98"/>
        <v>15300000</v>
      </c>
      <c r="P305" s="47">
        <v>0.12</v>
      </c>
      <c r="Q305" s="919">
        <v>0.93983899999999998</v>
      </c>
      <c r="R305" s="22">
        <f t="shared" si="99"/>
        <v>14097585</v>
      </c>
      <c r="S305" s="12">
        <v>0.13427</v>
      </c>
      <c r="T305" s="75">
        <f t="shared" si="100"/>
        <v>370879.12087912089</v>
      </c>
      <c r="U305" s="565"/>
      <c r="V305" s="50">
        <f t="shared" si="101"/>
        <v>370879.12087912089</v>
      </c>
      <c r="W305" s="50"/>
      <c r="X305" s="51"/>
      <c r="Y305" s="51"/>
      <c r="Z305" s="30"/>
      <c r="AA305" s="30"/>
      <c r="AB305" s="30"/>
      <c r="AC305" s="51"/>
      <c r="AD305" s="51"/>
      <c r="AE305" s="51"/>
    </row>
    <row r="306" spans="1:31" s="665" customFormat="1" ht="22.5" customHeight="1" x14ac:dyDescent="0.25">
      <c r="A306" s="44" t="s">
        <v>261</v>
      </c>
      <c r="B306" s="45" t="s">
        <v>175</v>
      </c>
      <c r="C306" s="736"/>
      <c r="D306" s="736">
        <v>44158</v>
      </c>
      <c r="E306" s="736">
        <v>45033</v>
      </c>
      <c r="F306" s="73">
        <v>5278</v>
      </c>
      <c r="G306" s="73">
        <f t="shared" si="95"/>
        <v>1820</v>
      </c>
      <c r="H306" s="73" t="e">
        <f>[27]Sheet1!H97</f>
        <v>#REF!</v>
      </c>
      <c r="I306" s="73" t="e">
        <f t="shared" si="96"/>
        <v>#REF!</v>
      </c>
      <c r="J306" s="736">
        <f t="shared" ref="J306:J314" si="102">D306+(2695)</f>
        <v>46853</v>
      </c>
      <c r="K306" s="736">
        <f t="shared" si="97"/>
        <v>45215</v>
      </c>
      <c r="L306" s="46">
        <v>20000000</v>
      </c>
      <c r="M306" s="18">
        <v>10000000</v>
      </c>
      <c r="N306" s="46">
        <v>20770000</v>
      </c>
      <c r="O306" s="20">
        <f t="shared" si="98"/>
        <v>12000000</v>
      </c>
      <c r="P306" s="47">
        <v>0.12</v>
      </c>
      <c r="Q306" s="919">
        <v>0.93317300000000003</v>
      </c>
      <c r="R306" s="22">
        <f t="shared" si="99"/>
        <v>18663460</v>
      </c>
      <c r="S306" s="12">
        <v>0.11445</v>
      </c>
      <c r="T306" s="75">
        <f t="shared" si="100"/>
        <v>494505.49450549454</v>
      </c>
      <c r="U306" s="565"/>
      <c r="V306" s="50">
        <f t="shared" si="101"/>
        <v>494505.49450549454</v>
      </c>
      <c r="W306" s="50"/>
      <c r="X306" s="51"/>
      <c r="Y306" s="51"/>
      <c r="Z306" s="30"/>
      <c r="AA306" s="30"/>
      <c r="AB306" s="30"/>
      <c r="AC306" s="51"/>
      <c r="AD306" s="51"/>
      <c r="AE306" s="51"/>
    </row>
    <row r="307" spans="1:31" s="665" customFormat="1" ht="22.5" customHeight="1" x14ac:dyDescent="0.25">
      <c r="A307" s="44" t="s">
        <v>261</v>
      </c>
      <c r="B307" s="45" t="s">
        <v>175</v>
      </c>
      <c r="C307" s="736"/>
      <c r="D307" s="736">
        <v>44158</v>
      </c>
      <c r="E307" s="736">
        <v>45033</v>
      </c>
      <c r="F307" s="73">
        <v>5278</v>
      </c>
      <c r="G307" s="73">
        <f t="shared" si="95"/>
        <v>1820</v>
      </c>
      <c r="H307" s="73" t="e">
        <f>[27]Sheet1!H98</f>
        <v>#REF!</v>
      </c>
      <c r="I307" s="73" t="e">
        <f t="shared" si="96"/>
        <v>#REF!</v>
      </c>
      <c r="J307" s="736">
        <f t="shared" si="102"/>
        <v>46853</v>
      </c>
      <c r="K307" s="736">
        <f t="shared" si="97"/>
        <v>45215</v>
      </c>
      <c r="L307" s="46">
        <v>40000000</v>
      </c>
      <c r="M307" s="18">
        <v>10000000</v>
      </c>
      <c r="N307" s="46">
        <v>42033600</v>
      </c>
      <c r="O307" s="20">
        <f t="shared" si="98"/>
        <v>24000000</v>
      </c>
      <c r="P307" s="47">
        <v>0.12</v>
      </c>
      <c r="Q307" s="919">
        <v>0.93317300000000003</v>
      </c>
      <c r="R307" s="22">
        <f t="shared" si="99"/>
        <v>37326920</v>
      </c>
      <c r="S307" s="12">
        <v>0.112</v>
      </c>
      <c r="T307" s="75">
        <f t="shared" si="100"/>
        <v>989010.98901098908</v>
      </c>
      <c r="U307" s="565"/>
      <c r="V307" s="50">
        <f t="shared" si="101"/>
        <v>989010.98901098908</v>
      </c>
      <c r="W307" s="50"/>
      <c r="X307" s="51"/>
      <c r="Y307" s="51"/>
      <c r="Z307" s="30"/>
      <c r="AA307" s="30"/>
      <c r="AB307" s="30"/>
      <c r="AC307" s="51"/>
      <c r="AD307" s="51"/>
      <c r="AE307" s="51"/>
    </row>
    <row r="308" spans="1:31" s="665" customFormat="1" ht="22.5" customHeight="1" x14ac:dyDescent="0.25">
      <c r="A308" s="44" t="s">
        <v>261</v>
      </c>
      <c r="B308" s="45" t="s">
        <v>175</v>
      </c>
      <c r="C308" s="736"/>
      <c r="D308" s="736">
        <v>44158</v>
      </c>
      <c r="E308" s="736">
        <v>45033</v>
      </c>
      <c r="F308" s="73">
        <v>5278</v>
      </c>
      <c r="G308" s="73">
        <f t="shared" si="95"/>
        <v>1820</v>
      </c>
      <c r="H308" s="73" t="e">
        <f>[27]Sheet1!H99</f>
        <v>#REF!</v>
      </c>
      <c r="I308" s="73" t="e">
        <f t="shared" si="96"/>
        <v>#REF!</v>
      </c>
      <c r="J308" s="736">
        <f t="shared" si="102"/>
        <v>46853</v>
      </c>
      <c r="K308" s="736">
        <f t="shared" si="97"/>
        <v>45215</v>
      </c>
      <c r="L308" s="46">
        <v>40000000</v>
      </c>
      <c r="M308" s="18">
        <v>10000000</v>
      </c>
      <c r="N308" s="46">
        <v>41932000</v>
      </c>
      <c r="O308" s="20">
        <f t="shared" si="98"/>
        <v>24000000</v>
      </c>
      <c r="P308" s="47">
        <v>0.12</v>
      </c>
      <c r="Q308" s="919">
        <v>0.93317300000000003</v>
      </c>
      <c r="R308" s="22">
        <f t="shared" si="99"/>
        <v>37326920</v>
      </c>
      <c r="S308" s="12">
        <v>0.1125</v>
      </c>
      <c r="T308" s="75">
        <f t="shared" si="100"/>
        <v>989010.98901098908</v>
      </c>
      <c r="U308" s="565"/>
      <c r="V308" s="50">
        <f t="shared" si="101"/>
        <v>989010.98901098908</v>
      </c>
      <c r="W308" s="50"/>
      <c r="X308" s="51"/>
      <c r="Y308" s="51"/>
      <c r="Z308" s="30"/>
      <c r="AA308" s="30"/>
      <c r="AB308" s="30"/>
      <c r="AC308" s="51"/>
      <c r="AD308" s="51"/>
      <c r="AE308" s="51"/>
    </row>
    <row r="309" spans="1:31" s="665" customFormat="1" ht="22.5" customHeight="1" x14ac:dyDescent="0.25">
      <c r="A309" s="44" t="s">
        <v>261</v>
      </c>
      <c r="B309" s="45" t="s">
        <v>175</v>
      </c>
      <c r="C309" s="736"/>
      <c r="D309" s="736">
        <v>44158</v>
      </c>
      <c r="E309" s="736">
        <v>45033</v>
      </c>
      <c r="F309" s="73">
        <v>5278</v>
      </c>
      <c r="G309" s="73">
        <f t="shared" si="95"/>
        <v>1820</v>
      </c>
      <c r="H309" s="73" t="e">
        <f>[27]Sheet1!H100</f>
        <v>#REF!</v>
      </c>
      <c r="I309" s="73" t="e">
        <f t="shared" si="96"/>
        <v>#REF!</v>
      </c>
      <c r="J309" s="736">
        <f t="shared" si="102"/>
        <v>46853</v>
      </c>
      <c r="K309" s="736">
        <f t="shared" si="97"/>
        <v>45215</v>
      </c>
      <c r="L309" s="46">
        <v>40000000</v>
      </c>
      <c r="M309" s="18">
        <v>10000000</v>
      </c>
      <c r="N309" s="46">
        <v>41831200</v>
      </c>
      <c r="O309" s="20">
        <f t="shared" si="98"/>
        <v>24000000</v>
      </c>
      <c r="P309" s="47">
        <v>0.12</v>
      </c>
      <c r="Q309" s="919">
        <v>0.93317300000000003</v>
      </c>
      <c r="R309" s="22">
        <f t="shared" si="99"/>
        <v>37326920</v>
      </c>
      <c r="S309" s="12">
        <v>0.113</v>
      </c>
      <c r="T309" s="75">
        <f t="shared" si="100"/>
        <v>989010.98901098908</v>
      </c>
      <c r="U309" s="565"/>
      <c r="V309" s="50">
        <f t="shared" si="101"/>
        <v>989010.98901098908</v>
      </c>
      <c r="W309" s="50"/>
      <c r="X309" s="51"/>
      <c r="Y309" s="51"/>
      <c r="Z309" s="30"/>
      <c r="AA309" s="30"/>
      <c r="AB309" s="30"/>
      <c r="AC309" s="51"/>
      <c r="AD309" s="51"/>
      <c r="AE309" s="51"/>
    </row>
    <row r="310" spans="1:31" s="665" customFormat="1" ht="22.5" customHeight="1" x14ac:dyDescent="0.25">
      <c r="A310" s="44" t="s">
        <v>261</v>
      </c>
      <c r="B310" s="45" t="s">
        <v>175</v>
      </c>
      <c r="C310" s="736"/>
      <c r="D310" s="736">
        <v>44158</v>
      </c>
      <c r="E310" s="736">
        <v>45033</v>
      </c>
      <c r="F310" s="73">
        <v>5278</v>
      </c>
      <c r="G310" s="73">
        <f t="shared" si="95"/>
        <v>1820</v>
      </c>
      <c r="H310" s="73" t="e">
        <f>[27]Sheet1!H101</f>
        <v>#REF!</v>
      </c>
      <c r="I310" s="73" t="e">
        <f t="shared" si="96"/>
        <v>#REF!</v>
      </c>
      <c r="J310" s="736">
        <f t="shared" si="102"/>
        <v>46853</v>
      </c>
      <c r="K310" s="736">
        <f t="shared" si="97"/>
        <v>45215</v>
      </c>
      <c r="L310" s="46">
        <v>20000000</v>
      </c>
      <c r="M310" s="18">
        <v>10000000</v>
      </c>
      <c r="N310" s="46">
        <v>20865200</v>
      </c>
      <c r="O310" s="20">
        <f t="shared" si="98"/>
        <v>12000000</v>
      </c>
      <c r="P310" s="47">
        <v>0.12</v>
      </c>
      <c r="Q310" s="919">
        <v>0.93317300000000003</v>
      </c>
      <c r="R310" s="22">
        <f t="shared" si="99"/>
        <v>18663460</v>
      </c>
      <c r="S310" s="12">
        <v>0.1135</v>
      </c>
      <c r="T310" s="75">
        <f t="shared" si="100"/>
        <v>494505.49450549454</v>
      </c>
      <c r="U310" s="565"/>
      <c r="V310" s="50">
        <f t="shared" si="101"/>
        <v>494505.49450549454</v>
      </c>
      <c r="W310" s="50"/>
      <c r="X310" s="51"/>
      <c r="Y310" s="51"/>
      <c r="Z310" s="30"/>
      <c r="AA310" s="30"/>
      <c r="AB310" s="30"/>
      <c r="AC310" s="51"/>
      <c r="AD310" s="51"/>
      <c r="AE310" s="51"/>
    </row>
    <row r="311" spans="1:31" s="665" customFormat="1" ht="22.5" customHeight="1" x14ac:dyDescent="0.25">
      <c r="A311" s="44" t="s">
        <v>261</v>
      </c>
      <c r="B311" s="45" t="s">
        <v>175</v>
      </c>
      <c r="C311" s="736"/>
      <c r="D311" s="736">
        <v>44158</v>
      </c>
      <c r="E311" s="736">
        <v>45033</v>
      </c>
      <c r="F311" s="73">
        <v>5278</v>
      </c>
      <c r="G311" s="73">
        <f t="shared" si="95"/>
        <v>1820</v>
      </c>
      <c r="H311" s="73" t="e">
        <f>[27]Sheet1!H102</f>
        <v>#REF!</v>
      </c>
      <c r="I311" s="73" t="e">
        <f t="shared" si="96"/>
        <v>#REF!</v>
      </c>
      <c r="J311" s="736">
        <f t="shared" si="102"/>
        <v>46853</v>
      </c>
      <c r="K311" s="736">
        <f t="shared" si="97"/>
        <v>45215</v>
      </c>
      <c r="L311" s="46">
        <v>20000000</v>
      </c>
      <c r="M311" s="18">
        <v>10000000</v>
      </c>
      <c r="N311" s="46">
        <v>20815000</v>
      </c>
      <c r="O311" s="20">
        <f t="shared" si="98"/>
        <v>12000000</v>
      </c>
      <c r="P311" s="47">
        <v>0.12</v>
      </c>
      <c r="Q311" s="919">
        <v>0.93317300000000003</v>
      </c>
      <c r="R311" s="22">
        <f t="shared" si="99"/>
        <v>18663460</v>
      </c>
      <c r="S311" s="12">
        <v>0.114</v>
      </c>
      <c r="T311" s="75">
        <f t="shared" si="100"/>
        <v>494505.49450549454</v>
      </c>
      <c r="U311" s="565"/>
      <c r="V311" s="50">
        <f t="shared" si="101"/>
        <v>494505.49450549454</v>
      </c>
      <c r="W311" s="50"/>
      <c r="X311" s="51"/>
      <c r="Y311" s="51"/>
      <c r="Z311" s="30"/>
      <c r="AA311" s="30"/>
      <c r="AB311" s="30"/>
      <c r="AC311" s="51"/>
      <c r="AD311" s="51"/>
      <c r="AE311" s="51"/>
    </row>
    <row r="312" spans="1:31" s="665" customFormat="1" ht="22.5" customHeight="1" x14ac:dyDescent="0.25">
      <c r="A312" s="44" t="s">
        <v>261</v>
      </c>
      <c r="B312" s="45" t="s">
        <v>175</v>
      </c>
      <c r="C312" s="736"/>
      <c r="D312" s="736">
        <v>44158</v>
      </c>
      <c r="E312" s="736">
        <v>45033</v>
      </c>
      <c r="F312" s="73">
        <v>5278</v>
      </c>
      <c r="G312" s="73">
        <f t="shared" si="95"/>
        <v>1820</v>
      </c>
      <c r="H312" s="73" t="e">
        <f>[27]Sheet1!H103</f>
        <v>#REF!</v>
      </c>
      <c r="I312" s="73" t="e">
        <f t="shared" si="96"/>
        <v>#REF!</v>
      </c>
      <c r="J312" s="736">
        <f t="shared" si="102"/>
        <v>46853</v>
      </c>
      <c r="K312" s="736">
        <f t="shared" si="97"/>
        <v>45215</v>
      </c>
      <c r="L312" s="46">
        <v>20000000</v>
      </c>
      <c r="M312" s="18">
        <v>10000000</v>
      </c>
      <c r="N312" s="46">
        <v>20765000</v>
      </c>
      <c r="O312" s="20">
        <f t="shared" si="98"/>
        <v>12000000</v>
      </c>
      <c r="P312" s="47">
        <v>0.12</v>
      </c>
      <c r="Q312" s="919">
        <v>0.93317300000000003</v>
      </c>
      <c r="R312" s="22">
        <f t="shared" si="99"/>
        <v>18663460</v>
      </c>
      <c r="S312" s="12">
        <v>0.1145</v>
      </c>
      <c r="T312" s="75">
        <f t="shared" si="100"/>
        <v>494505.49450549454</v>
      </c>
      <c r="U312" s="565"/>
      <c r="V312" s="50">
        <f t="shared" si="101"/>
        <v>494505.49450549454</v>
      </c>
      <c r="W312" s="50"/>
      <c r="X312" s="51"/>
      <c r="Y312" s="51"/>
      <c r="Z312" s="30"/>
      <c r="AA312" s="30"/>
      <c r="AB312" s="30"/>
      <c r="AC312" s="51"/>
      <c r="AD312" s="51"/>
      <c r="AE312" s="51"/>
    </row>
    <row r="313" spans="1:31" s="665" customFormat="1" ht="22.5" customHeight="1" x14ac:dyDescent="0.25">
      <c r="A313" s="44" t="s">
        <v>261</v>
      </c>
      <c r="B313" s="45" t="s">
        <v>175</v>
      </c>
      <c r="C313" s="736"/>
      <c r="D313" s="736">
        <v>44158</v>
      </c>
      <c r="E313" s="736">
        <v>45033</v>
      </c>
      <c r="F313" s="73">
        <v>5278</v>
      </c>
      <c r="G313" s="73">
        <f t="shared" si="95"/>
        <v>1820</v>
      </c>
      <c r="H313" s="73" t="e">
        <f>[27]Sheet1!H104</f>
        <v>#REF!</v>
      </c>
      <c r="I313" s="73" t="e">
        <f t="shared" si="96"/>
        <v>#REF!</v>
      </c>
      <c r="J313" s="736">
        <f t="shared" si="102"/>
        <v>46853</v>
      </c>
      <c r="K313" s="736">
        <f t="shared" si="97"/>
        <v>45215</v>
      </c>
      <c r="L313" s="46">
        <v>20000000</v>
      </c>
      <c r="M313" s="18">
        <v>10000000</v>
      </c>
      <c r="N313" s="46">
        <v>20616000</v>
      </c>
      <c r="O313" s="20">
        <f t="shared" si="98"/>
        <v>12000000</v>
      </c>
      <c r="P313" s="47">
        <v>0.12</v>
      </c>
      <c r="Q313" s="919">
        <v>0.93317300000000003</v>
      </c>
      <c r="R313" s="22">
        <f t="shared" si="99"/>
        <v>18663460</v>
      </c>
      <c r="S313" s="12">
        <v>0.11600000000000001</v>
      </c>
      <c r="T313" s="75">
        <f t="shared" si="100"/>
        <v>494505.49450549454</v>
      </c>
      <c r="U313" s="565"/>
      <c r="V313" s="50">
        <f t="shared" si="101"/>
        <v>494505.49450549454</v>
      </c>
      <c r="W313" s="50"/>
      <c r="X313" s="51"/>
      <c r="Y313" s="51"/>
      <c r="Z313" s="30"/>
      <c r="AA313" s="30"/>
      <c r="AB313" s="30"/>
      <c r="AC313" s="51"/>
      <c r="AD313" s="51"/>
      <c r="AE313" s="51"/>
    </row>
    <row r="314" spans="1:31" s="665" customFormat="1" ht="22.5" customHeight="1" x14ac:dyDescent="0.25">
      <c r="A314" s="44" t="s">
        <v>261</v>
      </c>
      <c r="B314" s="45" t="s">
        <v>175</v>
      </c>
      <c r="C314" s="736"/>
      <c r="D314" s="736">
        <v>44158</v>
      </c>
      <c r="E314" s="736">
        <v>45033</v>
      </c>
      <c r="F314" s="73">
        <v>5278</v>
      </c>
      <c r="G314" s="73">
        <f t="shared" si="95"/>
        <v>1820</v>
      </c>
      <c r="H314" s="73" t="e">
        <f>[27]Sheet1!H105</f>
        <v>#REF!</v>
      </c>
      <c r="I314" s="73" t="e">
        <f t="shared" si="96"/>
        <v>#REF!</v>
      </c>
      <c r="J314" s="736">
        <f t="shared" si="102"/>
        <v>46853</v>
      </c>
      <c r="K314" s="736">
        <f t="shared" si="97"/>
        <v>45215</v>
      </c>
      <c r="L314" s="46">
        <v>20000000</v>
      </c>
      <c r="M314" s="18">
        <v>10000000</v>
      </c>
      <c r="N314" s="46">
        <v>20517400</v>
      </c>
      <c r="O314" s="20">
        <f t="shared" si="98"/>
        <v>12000000</v>
      </c>
      <c r="P314" s="47">
        <v>0.12</v>
      </c>
      <c r="Q314" s="919">
        <v>0.93317300000000003</v>
      </c>
      <c r="R314" s="22">
        <f t="shared" si="99"/>
        <v>18663460</v>
      </c>
      <c r="S314" s="12">
        <v>0.11700000000000001</v>
      </c>
      <c r="T314" s="75">
        <f t="shared" si="100"/>
        <v>494505.49450549454</v>
      </c>
      <c r="U314" s="565"/>
      <c r="V314" s="50">
        <f t="shared" si="101"/>
        <v>494505.49450549454</v>
      </c>
      <c r="W314" s="50"/>
      <c r="X314" s="51"/>
      <c r="Y314" s="51"/>
      <c r="Z314" s="30"/>
      <c r="AA314" s="30"/>
      <c r="AB314" s="30"/>
      <c r="AC314" s="51"/>
      <c r="AD314" s="51"/>
      <c r="AE314" s="51"/>
    </row>
    <row r="315" spans="1:31" s="665" customFormat="1" ht="22.5" customHeight="1" x14ac:dyDescent="0.25">
      <c r="A315" s="44" t="s">
        <v>212</v>
      </c>
      <c r="B315" s="45" t="s">
        <v>175</v>
      </c>
      <c r="C315" s="736"/>
      <c r="D315" s="736">
        <v>43598</v>
      </c>
      <c r="E315" s="736">
        <v>45054</v>
      </c>
      <c r="F315" s="73">
        <v>5278</v>
      </c>
      <c r="G315" s="73">
        <f t="shared" si="95"/>
        <v>364</v>
      </c>
      <c r="H315" s="73">
        <f>[27]Sheet1!H90</f>
        <v>0</v>
      </c>
      <c r="I315" s="73">
        <f t="shared" si="96"/>
        <v>364</v>
      </c>
      <c r="J315" s="736">
        <f>D315+364*5</f>
        <v>45418</v>
      </c>
      <c r="K315" s="736">
        <f t="shared" si="97"/>
        <v>45236</v>
      </c>
      <c r="L315" s="46">
        <v>20000000</v>
      </c>
      <c r="M315" s="18">
        <v>10000000</v>
      </c>
      <c r="N315" s="46">
        <v>20000000</v>
      </c>
      <c r="O315" s="20">
        <f t="shared" si="98"/>
        <v>2174400</v>
      </c>
      <c r="P315" s="47">
        <v>0.10872</v>
      </c>
      <c r="Q315" s="919">
        <v>1.0018469999999999</v>
      </c>
      <c r="R315" s="22">
        <f t="shared" si="99"/>
        <v>20036940</v>
      </c>
      <c r="S315" s="12">
        <v>0.10872</v>
      </c>
      <c r="T315" s="75">
        <f t="shared" si="100"/>
        <v>322575.82417582418</v>
      </c>
      <c r="U315" s="565"/>
      <c r="V315" s="50">
        <f t="shared" si="101"/>
        <v>322575.82417582418</v>
      </c>
      <c r="W315" s="50"/>
      <c r="X315" s="51"/>
      <c r="Y315" s="51"/>
      <c r="Z315" s="30"/>
      <c r="AA315" s="30"/>
      <c r="AB315" s="30"/>
      <c r="AC315" s="51"/>
      <c r="AD315" s="51"/>
      <c r="AE315" s="51"/>
    </row>
    <row r="316" spans="1:31" s="665" customFormat="1" ht="22.5" customHeight="1" x14ac:dyDescent="0.25">
      <c r="A316" s="44" t="s">
        <v>212</v>
      </c>
      <c r="B316" s="45" t="s">
        <v>175</v>
      </c>
      <c r="C316" s="736"/>
      <c r="D316" s="736">
        <v>43598</v>
      </c>
      <c r="E316" s="736">
        <v>45054</v>
      </c>
      <c r="F316" s="73">
        <v>5278</v>
      </c>
      <c r="G316" s="73">
        <f t="shared" si="95"/>
        <v>364</v>
      </c>
      <c r="H316" s="73">
        <f>[27]Sheet1!H91</f>
        <v>0</v>
      </c>
      <c r="I316" s="73">
        <f t="shared" si="96"/>
        <v>364</v>
      </c>
      <c r="J316" s="736">
        <f>D316+364*5</f>
        <v>45418</v>
      </c>
      <c r="K316" s="736">
        <f t="shared" si="97"/>
        <v>45236</v>
      </c>
      <c r="L316" s="46">
        <v>20000000</v>
      </c>
      <c r="M316" s="18">
        <v>10000000</v>
      </c>
      <c r="N316" s="46">
        <v>20054600</v>
      </c>
      <c r="O316" s="20">
        <f t="shared" si="98"/>
        <v>2174400</v>
      </c>
      <c r="P316" s="47">
        <v>0.10872</v>
      </c>
      <c r="Q316" s="919">
        <v>1.0018469999999999</v>
      </c>
      <c r="R316" s="22">
        <f t="shared" si="99"/>
        <v>20036940</v>
      </c>
      <c r="S316" s="12">
        <v>0.108</v>
      </c>
      <c r="T316" s="75">
        <f t="shared" si="100"/>
        <v>322575.82417582418</v>
      </c>
      <c r="U316" s="565"/>
      <c r="V316" s="50">
        <f t="shared" si="101"/>
        <v>322575.82417582418</v>
      </c>
      <c r="W316" s="50"/>
      <c r="X316" s="51"/>
      <c r="Y316" s="51"/>
      <c r="Z316" s="30"/>
      <c r="AA316" s="30"/>
      <c r="AB316" s="30"/>
      <c r="AC316" s="51"/>
      <c r="AD316" s="51"/>
      <c r="AE316" s="51"/>
    </row>
    <row r="317" spans="1:31" s="665" customFormat="1" ht="22.5" customHeight="1" x14ac:dyDescent="0.25">
      <c r="A317" s="44" t="s">
        <v>212</v>
      </c>
      <c r="B317" s="45" t="s">
        <v>175</v>
      </c>
      <c r="C317" s="736"/>
      <c r="D317" s="736">
        <v>43598</v>
      </c>
      <c r="E317" s="736">
        <v>45054</v>
      </c>
      <c r="F317" s="73">
        <v>5278</v>
      </c>
      <c r="G317" s="73">
        <f t="shared" si="95"/>
        <v>364</v>
      </c>
      <c r="H317" s="73">
        <f>[27]Sheet1!H92</f>
        <v>0</v>
      </c>
      <c r="I317" s="73">
        <f t="shared" si="96"/>
        <v>364</v>
      </c>
      <c r="J317" s="736">
        <f>D317+364*5</f>
        <v>45418</v>
      </c>
      <c r="K317" s="736">
        <f t="shared" si="97"/>
        <v>45236</v>
      </c>
      <c r="L317" s="46">
        <v>20000000</v>
      </c>
      <c r="M317" s="18">
        <v>10000000</v>
      </c>
      <c r="N317" s="46">
        <v>20016600</v>
      </c>
      <c r="O317" s="20">
        <f t="shared" si="98"/>
        <v>2174400</v>
      </c>
      <c r="P317" s="47">
        <v>0.10872</v>
      </c>
      <c r="Q317" s="919">
        <v>1.0018469999999999</v>
      </c>
      <c r="R317" s="22">
        <f t="shared" si="99"/>
        <v>20036940</v>
      </c>
      <c r="S317" s="12">
        <v>0.1085</v>
      </c>
      <c r="T317" s="75">
        <f t="shared" si="100"/>
        <v>322575.82417582418</v>
      </c>
      <c r="U317" s="565"/>
      <c r="V317" s="50">
        <f t="shared" si="101"/>
        <v>322575.82417582418</v>
      </c>
      <c r="W317" s="50"/>
      <c r="X317" s="51"/>
      <c r="Y317" s="51"/>
      <c r="Z317" s="30"/>
      <c r="AA317" s="30"/>
      <c r="AB317" s="30"/>
      <c r="AC317" s="51"/>
      <c r="AD317" s="51"/>
      <c r="AE317" s="51"/>
    </row>
    <row r="318" spans="1:31" s="665" customFormat="1" ht="22.5" customHeight="1" x14ac:dyDescent="0.25">
      <c r="A318" s="44" t="s">
        <v>212</v>
      </c>
      <c r="B318" s="45" t="s">
        <v>175</v>
      </c>
      <c r="C318" s="736"/>
      <c r="D318" s="736">
        <v>43598</v>
      </c>
      <c r="E318" s="736">
        <v>45054</v>
      </c>
      <c r="F318" s="73">
        <v>5278</v>
      </c>
      <c r="G318" s="73">
        <f t="shared" si="95"/>
        <v>364</v>
      </c>
      <c r="H318" s="73">
        <f>[27]Sheet1!H93</f>
        <v>0</v>
      </c>
      <c r="I318" s="73">
        <f t="shared" si="96"/>
        <v>364</v>
      </c>
      <c r="J318" s="736">
        <f>D318+364*5</f>
        <v>45418</v>
      </c>
      <c r="K318" s="736">
        <f t="shared" si="97"/>
        <v>45236</v>
      </c>
      <c r="L318" s="46">
        <v>20000000</v>
      </c>
      <c r="M318" s="18">
        <v>10000000</v>
      </c>
      <c r="N318" s="46">
        <v>19978800</v>
      </c>
      <c r="O318" s="20">
        <f t="shared" si="98"/>
        <v>2174400</v>
      </c>
      <c r="P318" s="47">
        <v>0.10872</v>
      </c>
      <c r="Q318" s="919">
        <v>1.0018469999999999</v>
      </c>
      <c r="R318" s="22">
        <f t="shared" si="99"/>
        <v>20036940</v>
      </c>
      <c r="S318" s="12">
        <v>0.109</v>
      </c>
      <c r="T318" s="75">
        <f t="shared" si="100"/>
        <v>322575.82417582418</v>
      </c>
      <c r="U318" s="565"/>
      <c r="V318" s="50">
        <f t="shared" si="101"/>
        <v>322575.82417582418</v>
      </c>
      <c r="W318" s="50"/>
      <c r="X318" s="51"/>
      <c r="Y318" s="51"/>
      <c r="Z318" s="30"/>
      <c r="AA318" s="30"/>
      <c r="AB318" s="30"/>
      <c r="AC318" s="51"/>
      <c r="AD318" s="51"/>
      <c r="AE318" s="51"/>
    </row>
    <row r="319" spans="1:31" s="665" customFormat="1" ht="22.5" customHeight="1" x14ac:dyDescent="0.25">
      <c r="A319" s="44" t="s">
        <v>212</v>
      </c>
      <c r="B319" s="45" t="s">
        <v>175</v>
      </c>
      <c r="C319" s="736"/>
      <c r="D319" s="736">
        <v>43598</v>
      </c>
      <c r="E319" s="736">
        <v>45054</v>
      </c>
      <c r="F319" s="73">
        <v>5278</v>
      </c>
      <c r="G319" s="73">
        <f t="shared" si="95"/>
        <v>364</v>
      </c>
      <c r="H319" s="73">
        <f>[27]Sheet1!H94</f>
        <v>0</v>
      </c>
      <c r="I319" s="73">
        <f t="shared" si="96"/>
        <v>364</v>
      </c>
      <c r="J319" s="736">
        <f>D319+364*5</f>
        <v>45418</v>
      </c>
      <c r="K319" s="736">
        <f t="shared" si="97"/>
        <v>45236</v>
      </c>
      <c r="L319" s="46">
        <v>20000000</v>
      </c>
      <c r="M319" s="18">
        <v>10000000</v>
      </c>
      <c r="N319" s="46">
        <v>19941200</v>
      </c>
      <c r="O319" s="20">
        <f t="shared" si="98"/>
        <v>2174400</v>
      </c>
      <c r="P319" s="47">
        <v>0.10872</v>
      </c>
      <c r="Q319" s="919">
        <v>1.0018469999999999</v>
      </c>
      <c r="R319" s="22">
        <f t="shared" si="99"/>
        <v>20036940</v>
      </c>
      <c r="S319" s="12">
        <v>0.1095</v>
      </c>
      <c r="T319" s="75">
        <f t="shared" si="100"/>
        <v>322575.82417582418</v>
      </c>
      <c r="U319" s="565"/>
      <c r="V319" s="50">
        <f t="shared" si="101"/>
        <v>322575.82417582418</v>
      </c>
      <c r="W319" s="50"/>
      <c r="X319" s="51"/>
      <c r="Y319" s="51"/>
      <c r="Z319" s="30"/>
      <c r="AA319" s="30"/>
      <c r="AB319" s="30"/>
      <c r="AC319" s="51"/>
      <c r="AD319" s="51"/>
      <c r="AE319" s="51"/>
    </row>
    <row r="320" spans="1:31" s="665" customFormat="1" ht="22.5" customHeight="1" x14ac:dyDescent="0.25">
      <c r="A320" s="44" t="s">
        <v>243</v>
      </c>
      <c r="B320" s="45" t="s">
        <v>175</v>
      </c>
      <c r="C320" s="45"/>
      <c r="D320" s="736">
        <v>43976</v>
      </c>
      <c r="E320" s="736">
        <v>45054</v>
      </c>
      <c r="F320" s="73">
        <v>2912</v>
      </c>
      <c r="G320" s="73">
        <f t="shared" si="95"/>
        <v>728</v>
      </c>
      <c r="H320" s="73">
        <f>[27]Sheet1!H60</f>
        <v>0</v>
      </c>
      <c r="I320" s="73">
        <f t="shared" si="96"/>
        <v>728</v>
      </c>
      <c r="J320" s="736">
        <f>D320+364*5-14</f>
        <v>45782</v>
      </c>
      <c r="K320" s="736">
        <f t="shared" si="97"/>
        <v>45236</v>
      </c>
      <c r="L320" s="46">
        <v>20000000</v>
      </c>
      <c r="M320" s="18"/>
      <c r="N320" s="46">
        <v>20027800</v>
      </c>
      <c r="O320" s="20">
        <f t="shared" si="98"/>
        <v>4666800</v>
      </c>
      <c r="P320" s="47">
        <v>0.11667</v>
      </c>
      <c r="Q320" s="919">
        <v>0.97310700000000006</v>
      </c>
      <c r="R320" s="22">
        <f t="shared" si="99"/>
        <v>19462140</v>
      </c>
      <c r="S320" s="12">
        <v>0.11748</v>
      </c>
      <c r="T320" s="75">
        <f t="shared" si="100"/>
        <v>346163.73626373627</v>
      </c>
      <c r="U320" s="563"/>
      <c r="V320" s="13">
        <f t="shared" si="101"/>
        <v>346163.73626373627</v>
      </c>
      <c r="W320" s="13"/>
      <c r="X320" s="29"/>
      <c r="Y320" s="29"/>
      <c r="Z320" s="30"/>
      <c r="AA320" s="30"/>
      <c r="AB320" s="30"/>
      <c r="AC320" s="29"/>
      <c r="AD320" s="29"/>
      <c r="AE320" s="30"/>
    </row>
    <row r="321" spans="1:31" s="665" customFormat="1" ht="22.5" customHeight="1" x14ac:dyDescent="0.25">
      <c r="A321" s="44" t="s">
        <v>243</v>
      </c>
      <c r="B321" s="45" t="s">
        <v>175</v>
      </c>
      <c r="C321" s="45"/>
      <c r="D321" s="736">
        <v>43976</v>
      </c>
      <c r="E321" s="736">
        <v>45054</v>
      </c>
      <c r="F321" s="73">
        <v>2912</v>
      </c>
      <c r="G321" s="73">
        <f t="shared" si="95"/>
        <v>728</v>
      </c>
      <c r="H321" s="73">
        <f>[27]Sheet1!H61</f>
        <v>0</v>
      </c>
      <c r="I321" s="73">
        <f t="shared" si="96"/>
        <v>728</v>
      </c>
      <c r="J321" s="736">
        <f>D321+364*5-14</f>
        <v>45782</v>
      </c>
      <c r="K321" s="736">
        <f t="shared" si="97"/>
        <v>45236</v>
      </c>
      <c r="L321" s="46">
        <v>20000000</v>
      </c>
      <c r="M321" s="18"/>
      <c r="N321" s="46">
        <v>20100000</v>
      </c>
      <c r="O321" s="20">
        <f t="shared" si="98"/>
        <v>4666800</v>
      </c>
      <c r="P321" s="47">
        <v>0.11667</v>
      </c>
      <c r="Q321" s="919">
        <v>0.97310700000000006</v>
      </c>
      <c r="R321" s="22">
        <f t="shared" si="99"/>
        <v>19462140</v>
      </c>
      <c r="S321" s="12">
        <v>0.11650000000000001</v>
      </c>
      <c r="T321" s="75">
        <f t="shared" si="100"/>
        <v>346163.73626373627</v>
      </c>
      <c r="U321" s="563"/>
      <c r="V321" s="13">
        <f t="shared" si="101"/>
        <v>346163.73626373627</v>
      </c>
      <c r="W321" s="13"/>
      <c r="X321" s="29"/>
      <c r="Y321" s="29"/>
      <c r="Z321" s="30"/>
      <c r="AA321" s="30"/>
      <c r="AB321" s="30"/>
      <c r="AC321" s="29"/>
      <c r="AD321" s="29"/>
      <c r="AE321" s="30"/>
    </row>
    <row r="322" spans="1:31" s="665" customFormat="1" ht="22.5" customHeight="1" x14ac:dyDescent="0.25">
      <c r="A322" s="44" t="s">
        <v>243</v>
      </c>
      <c r="B322" s="45" t="s">
        <v>175</v>
      </c>
      <c r="C322" s="45"/>
      <c r="D322" s="736">
        <v>43976</v>
      </c>
      <c r="E322" s="736">
        <v>45054</v>
      </c>
      <c r="F322" s="73">
        <v>2912</v>
      </c>
      <c r="G322" s="73">
        <f t="shared" si="95"/>
        <v>728</v>
      </c>
      <c r="H322" s="73">
        <f>[27]Sheet1!H62</f>
        <v>0</v>
      </c>
      <c r="I322" s="73">
        <f t="shared" si="96"/>
        <v>728</v>
      </c>
      <c r="J322" s="736">
        <f>D322+364*5-14</f>
        <v>45782</v>
      </c>
      <c r="K322" s="736">
        <f t="shared" si="97"/>
        <v>45236</v>
      </c>
      <c r="L322" s="46">
        <v>20000000</v>
      </c>
      <c r="M322" s="18"/>
      <c r="N322" s="46">
        <v>20063000</v>
      </c>
      <c r="O322" s="20">
        <f t="shared" si="98"/>
        <v>4666800</v>
      </c>
      <c r="P322" s="47">
        <v>0.11667</v>
      </c>
      <c r="Q322" s="919">
        <v>0.97310700000000006</v>
      </c>
      <c r="R322" s="22">
        <f t="shared" si="99"/>
        <v>19462140</v>
      </c>
      <c r="S322" s="12">
        <v>0.11700000000000001</v>
      </c>
      <c r="T322" s="75">
        <f t="shared" si="100"/>
        <v>346163.73626373627</v>
      </c>
      <c r="U322" s="563"/>
      <c r="V322" s="13">
        <f t="shared" si="101"/>
        <v>346163.73626373627</v>
      </c>
      <c r="W322" s="13"/>
      <c r="X322" s="29"/>
      <c r="Y322" s="29"/>
      <c r="Z322" s="30"/>
      <c r="AA322" s="30"/>
      <c r="AB322" s="30"/>
      <c r="AC322" s="29"/>
      <c r="AD322" s="29"/>
      <c r="AE322" s="30"/>
    </row>
    <row r="323" spans="1:31" s="665" customFormat="1" ht="22.5" customHeight="1" x14ac:dyDescent="0.25">
      <c r="A323" s="44" t="s">
        <v>243</v>
      </c>
      <c r="B323" s="45" t="s">
        <v>175</v>
      </c>
      <c r="C323" s="45"/>
      <c r="D323" s="736">
        <v>43976</v>
      </c>
      <c r="E323" s="736">
        <v>45054</v>
      </c>
      <c r="F323" s="73">
        <v>2912</v>
      </c>
      <c r="G323" s="73">
        <f t="shared" si="95"/>
        <v>728</v>
      </c>
      <c r="H323" s="73">
        <f>[27]Sheet1!H63</f>
        <v>0</v>
      </c>
      <c r="I323" s="73">
        <f t="shared" si="96"/>
        <v>728</v>
      </c>
      <c r="J323" s="736">
        <f>D323+364*5-14</f>
        <v>45782</v>
      </c>
      <c r="K323" s="736">
        <f t="shared" si="97"/>
        <v>45236</v>
      </c>
      <c r="L323" s="46">
        <v>20000000</v>
      </c>
      <c r="M323" s="18"/>
      <c r="N323" s="46">
        <v>20026200</v>
      </c>
      <c r="O323" s="20">
        <f t="shared" si="98"/>
        <v>4666800</v>
      </c>
      <c r="P323" s="47">
        <v>0.11667</v>
      </c>
      <c r="Q323" s="919">
        <v>0.97310700000000006</v>
      </c>
      <c r="R323" s="22">
        <f t="shared" si="99"/>
        <v>19462140</v>
      </c>
      <c r="S323" s="12">
        <v>0.11749999999999999</v>
      </c>
      <c r="T323" s="75">
        <f t="shared" si="100"/>
        <v>346163.73626373627</v>
      </c>
      <c r="U323" s="563"/>
      <c r="V323" s="13">
        <f t="shared" si="101"/>
        <v>346163.73626373627</v>
      </c>
      <c r="W323" s="13"/>
      <c r="X323" s="29"/>
      <c r="Y323" s="29"/>
      <c r="Z323" s="30"/>
      <c r="AA323" s="30"/>
      <c r="AB323" s="30"/>
      <c r="AC323" s="29"/>
      <c r="AD323" s="29"/>
      <c r="AE323" s="30"/>
    </row>
    <row r="324" spans="1:31" s="665" customFormat="1" ht="22.5" customHeight="1" x14ac:dyDescent="0.25">
      <c r="A324" s="44" t="s">
        <v>243</v>
      </c>
      <c r="B324" s="45" t="s">
        <v>175</v>
      </c>
      <c r="C324" s="45"/>
      <c r="D324" s="736">
        <v>43976</v>
      </c>
      <c r="E324" s="736">
        <v>45054</v>
      </c>
      <c r="F324" s="73">
        <v>2912</v>
      </c>
      <c r="G324" s="73">
        <f t="shared" si="95"/>
        <v>728</v>
      </c>
      <c r="H324" s="73">
        <f>[27]Sheet1!H64</f>
        <v>0</v>
      </c>
      <c r="I324" s="73">
        <f t="shared" si="96"/>
        <v>728</v>
      </c>
      <c r="J324" s="736">
        <f>D324+364*5-14</f>
        <v>45782</v>
      </c>
      <c r="K324" s="736">
        <f t="shared" si="97"/>
        <v>45236</v>
      </c>
      <c r="L324" s="46">
        <v>20000000</v>
      </c>
      <c r="M324" s="18"/>
      <c r="N324" s="46">
        <v>19997000</v>
      </c>
      <c r="O324" s="20">
        <f t="shared" si="98"/>
        <v>4666800</v>
      </c>
      <c r="P324" s="47">
        <v>0.11667</v>
      </c>
      <c r="Q324" s="919">
        <v>0.97310700000000006</v>
      </c>
      <c r="R324" s="22">
        <f t="shared" si="99"/>
        <v>19462140</v>
      </c>
      <c r="S324" s="12">
        <v>0.1179</v>
      </c>
      <c r="T324" s="75">
        <f t="shared" si="100"/>
        <v>346163.73626373627</v>
      </c>
      <c r="U324" s="563"/>
      <c r="V324" s="13">
        <f t="shared" si="101"/>
        <v>346163.73626373627</v>
      </c>
      <c r="W324" s="13"/>
      <c r="X324" s="29"/>
      <c r="Y324" s="29"/>
      <c r="Z324" s="30"/>
      <c r="AA324" s="30"/>
      <c r="AB324" s="30"/>
      <c r="AC324" s="29"/>
      <c r="AD324" s="29"/>
      <c r="AE324" s="30"/>
    </row>
    <row r="325" spans="1:31" s="665" customFormat="1" ht="22.5" customHeight="1" x14ac:dyDescent="0.25">
      <c r="A325" s="44" t="s">
        <v>246</v>
      </c>
      <c r="B325" s="45" t="s">
        <v>175</v>
      </c>
      <c r="C325" s="45"/>
      <c r="D325" s="736">
        <v>44039</v>
      </c>
      <c r="E325" s="736">
        <v>45054</v>
      </c>
      <c r="F325" s="73">
        <v>1274</v>
      </c>
      <c r="G325" s="73">
        <f t="shared" si="95"/>
        <v>728</v>
      </c>
      <c r="H325" s="73">
        <f>[27]Sheet1!H29</f>
        <v>0</v>
      </c>
      <c r="I325" s="73">
        <f t="shared" si="96"/>
        <v>728</v>
      </c>
      <c r="J325" s="736">
        <v>45782</v>
      </c>
      <c r="K325" s="736">
        <f t="shared" si="97"/>
        <v>45236</v>
      </c>
      <c r="L325" s="46">
        <v>20000000</v>
      </c>
      <c r="M325" s="18"/>
      <c r="N325" s="46">
        <v>21530600</v>
      </c>
      <c r="O325" s="20">
        <f t="shared" si="98"/>
        <v>4666800</v>
      </c>
      <c r="P325" s="47">
        <v>0.11667</v>
      </c>
      <c r="Q325" s="919">
        <v>0.97310700000000006</v>
      </c>
      <c r="R325" s="22">
        <f t="shared" si="99"/>
        <v>19462140</v>
      </c>
      <c r="S325" s="12">
        <v>0.1026</v>
      </c>
      <c r="T325" s="75">
        <f t="shared" si="100"/>
        <v>346163.73626373627</v>
      </c>
      <c r="U325" s="563"/>
      <c r="V325" s="13">
        <f t="shared" si="101"/>
        <v>346163.73626373627</v>
      </c>
      <c r="W325" s="13"/>
      <c r="X325" s="29"/>
      <c r="Y325" s="29"/>
      <c r="Z325" s="30"/>
      <c r="AA325" s="30"/>
      <c r="AB325" s="30"/>
      <c r="AC325" s="29"/>
      <c r="AD325" s="29"/>
      <c r="AE325" s="30"/>
    </row>
    <row r="326" spans="1:31" s="665" customFormat="1" ht="22.5" customHeight="1" x14ac:dyDescent="0.25">
      <c r="A326" s="44" t="s">
        <v>187</v>
      </c>
      <c r="B326" s="45" t="s">
        <v>175</v>
      </c>
      <c r="C326" s="45"/>
      <c r="D326" s="736">
        <v>42513</v>
      </c>
      <c r="E326" s="736">
        <v>45061</v>
      </c>
      <c r="F326" s="73">
        <v>2912</v>
      </c>
      <c r="G326" s="73">
        <f t="shared" si="95"/>
        <v>728</v>
      </c>
      <c r="H326" s="73">
        <f>[27]Sheet1!H59</f>
        <v>0</v>
      </c>
      <c r="I326" s="73">
        <f t="shared" si="96"/>
        <v>728</v>
      </c>
      <c r="J326" s="736">
        <f>D326+364*9</f>
        <v>45789</v>
      </c>
      <c r="K326" s="736">
        <f t="shared" si="97"/>
        <v>45243</v>
      </c>
      <c r="L326" s="46">
        <f>20000000-4550000-4543536</f>
        <v>10906464</v>
      </c>
      <c r="M326" s="18"/>
      <c r="N326" s="46">
        <v>20000000</v>
      </c>
      <c r="O326" s="20">
        <f t="shared" si="98"/>
        <v>2726616</v>
      </c>
      <c r="P326" s="47">
        <v>0.125</v>
      </c>
      <c r="Q326" s="919">
        <v>1.0070790000000001</v>
      </c>
      <c r="R326" s="22">
        <f t="shared" si="99"/>
        <v>10983670.858656</v>
      </c>
      <c r="S326" s="12">
        <v>0.13339000000000001</v>
      </c>
      <c r="T326" s="75">
        <f t="shared" si="100"/>
        <v>176031.52747252746</v>
      </c>
      <c r="U326" s="563"/>
      <c r="V326" s="13">
        <f t="shared" si="101"/>
        <v>176031.52747252746</v>
      </c>
      <c r="W326" s="13"/>
      <c r="X326" s="29"/>
      <c r="Y326" s="29"/>
      <c r="Z326" s="30"/>
      <c r="AA326" s="30"/>
      <c r="AB326" s="30"/>
      <c r="AC326" s="29"/>
      <c r="AD326" s="29"/>
      <c r="AE326" s="30"/>
    </row>
    <row r="327" spans="1:31" s="665" customFormat="1" ht="22.5" customHeight="1" x14ac:dyDescent="0.25">
      <c r="A327" s="44" t="s">
        <v>256</v>
      </c>
      <c r="B327" s="45" t="s">
        <v>175</v>
      </c>
      <c r="C327" s="45"/>
      <c r="D327" s="736">
        <v>44095</v>
      </c>
      <c r="E327" s="736">
        <v>45061</v>
      </c>
      <c r="F327" s="73">
        <v>1638</v>
      </c>
      <c r="G327" s="73">
        <f t="shared" si="95"/>
        <v>2912</v>
      </c>
      <c r="H327" s="73">
        <f>[27]Sheet1!H67</f>
        <v>0</v>
      </c>
      <c r="I327" s="73">
        <f t="shared" si="96"/>
        <v>2912</v>
      </c>
      <c r="J327" s="736">
        <f>D327+(3878)</f>
        <v>47973</v>
      </c>
      <c r="K327" s="736">
        <f t="shared" si="97"/>
        <v>45243</v>
      </c>
      <c r="L327" s="46">
        <v>20000000</v>
      </c>
      <c r="M327" s="18"/>
      <c r="N327" s="46">
        <v>18455400</v>
      </c>
      <c r="O327" s="20">
        <f t="shared" si="98"/>
        <v>16000000</v>
      </c>
      <c r="P327" s="47">
        <v>0.1</v>
      </c>
      <c r="Q327" s="919">
        <v>0.78746099999999997</v>
      </c>
      <c r="R327" s="22">
        <f t="shared" si="99"/>
        <v>15749220</v>
      </c>
      <c r="S327" s="12">
        <v>0.11872000000000001</v>
      </c>
      <c r="T327" s="75">
        <f t="shared" si="100"/>
        <v>258241.75824175825</v>
      </c>
      <c r="U327" s="563"/>
      <c r="V327" s="13">
        <f t="shared" si="101"/>
        <v>258241.75824175825</v>
      </c>
      <c r="W327" s="13"/>
      <c r="X327" s="29"/>
      <c r="Y327" s="29"/>
      <c r="Z327" s="30"/>
      <c r="AA327" s="30"/>
      <c r="AB327" s="30"/>
      <c r="AC327" s="29"/>
      <c r="AD327" s="29"/>
      <c r="AE327" s="30"/>
    </row>
    <row r="328" spans="1:31" s="665" customFormat="1" ht="22.5" customHeight="1" x14ac:dyDescent="0.25">
      <c r="A328" s="44" t="s">
        <v>256</v>
      </c>
      <c r="B328" s="45" t="s">
        <v>175</v>
      </c>
      <c r="C328" s="45"/>
      <c r="D328" s="736">
        <v>44095</v>
      </c>
      <c r="E328" s="736">
        <v>45061</v>
      </c>
      <c r="F328" s="73">
        <v>1638</v>
      </c>
      <c r="G328" s="73">
        <f t="shared" si="95"/>
        <v>2912</v>
      </c>
      <c r="H328" s="73">
        <f>[27]Sheet1!H68</f>
        <v>0</v>
      </c>
      <c r="I328" s="73">
        <f t="shared" si="96"/>
        <v>2912</v>
      </c>
      <c r="J328" s="736">
        <f>D328+(3878)</f>
        <v>47973</v>
      </c>
      <c r="K328" s="736">
        <f t="shared" si="97"/>
        <v>45243</v>
      </c>
      <c r="L328" s="46">
        <v>40000000</v>
      </c>
      <c r="M328" s="18"/>
      <c r="N328" s="46">
        <v>37069600</v>
      </c>
      <c r="O328" s="20">
        <f t="shared" si="98"/>
        <v>32000000</v>
      </c>
      <c r="P328" s="47">
        <v>0.1</v>
      </c>
      <c r="Q328" s="919">
        <v>0.78746099999999997</v>
      </c>
      <c r="R328" s="22">
        <f t="shared" si="99"/>
        <v>31498440</v>
      </c>
      <c r="S328" s="12">
        <v>0.11799999999999999</v>
      </c>
      <c r="T328" s="75">
        <f t="shared" si="100"/>
        <v>516483.51648351649</v>
      </c>
      <c r="U328" s="563"/>
      <c r="V328" s="13">
        <f t="shared" si="101"/>
        <v>516483.51648351649</v>
      </c>
      <c r="W328" s="13"/>
      <c r="X328" s="29"/>
      <c r="Y328" s="29"/>
      <c r="Z328" s="30"/>
      <c r="AA328" s="30"/>
      <c r="AB328" s="30"/>
      <c r="AC328" s="29"/>
      <c r="AD328" s="29"/>
      <c r="AE328" s="30"/>
    </row>
    <row r="329" spans="1:31" s="665" customFormat="1" ht="22.5" customHeight="1" x14ac:dyDescent="0.25">
      <c r="A329" s="44" t="s">
        <v>256</v>
      </c>
      <c r="B329" s="45" t="s">
        <v>175</v>
      </c>
      <c r="C329" s="45"/>
      <c r="D329" s="736">
        <v>44095</v>
      </c>
      <c r="E329" s="736">
        <v>45061</v>
      </c>
      <c r="F329" s="73">
        <v>1638</v>
      </c>
      <c r="G329" s="73">
        <f t="shared" si="95"/>
        <v>2912</v>
      </c>
      <c r="H329" s="73">
        <f>[27]Sheet1!H69</f>
        <v>0</v>
      </c>
      <c r="I329" s="73">
        <f t="shared" si="96"/>
        <v>2912</v>
      </c>
      <c r="J329" s="736">
        <f>D329+(3878)</f>
        <v>47973</v>
      </c>
      <c r="K329" s="736">
        <f t="shared" si="97"/>
        <v>45243</v>
      </c>
      <c r="L329" s="46">
        <v>40000000</v>
      </c>
      <c r="M329" s="18"/>
      <c r="N329" s="46">
        <v>36849600</v>
      </c>
      <c r="O329" s="20">
        <f t="shared" si="98"/>
        <v>32000000</v>
      </c>
      <c r="P329" s="47">
        <v>0.1</v>
      </c>
      <c r="Q329" s="919">
        <v>0.78746099999999997</v>
      </c>
      <c r="R329" s="22">
        <f t="shared" si="99"/>
        <v>31498440</v>
      </c>
      <c r="S329" s="12">
        <v>0.11899999999999999</v>
      </c>
      <c r="T329" s="75">
        <f t="shared" si="100"/>
        <v>516483.51648351649</v>
      </c>
      <c r="U329" s="563"/>
      <c r="V329" s="13">
        <f t="shared" si="101"/>
        <v>516483.51648351649</v>
      </c>
      <c r="W329" s="13"/>
      <c r="X329" s="29"/>
      <c r="Y329" s="29"/>
      <c r="Z329" s="30"/>
      <c r="AA329" s="30"/>
      <c r="AB329" s="30"/>
      <c r="AC329" s="29"/>
      <c r="AD329" s="29"/>
      <c r="AE329" s="30"/>
    </row>
    <row r="330" spans="1:31" s="665" customFormat="1" ht="22.5" customHeight="1" x14ac:dyDescent="0.25">
      <c r="A330" s="44" t="s">
        <v>256</v>
      </c>
      <c r="B330" s="45" t="s">
        <v>175</v>
      </c>
      <c r="C330" s="736"/>
      <c r="D330" s="736">
        <v>44123</v>
      </c>
      <c r="E330" s="736">
        <v>45061</v>
      </c>
      <c r="F330" s="73">
        <v>5278</v>
      </c>
      <c r="G330" s="73">
        <f t="shared" si="95"/>
        <v>2912</v>
      </c>
      <c r="H330" s="73">
        <f>[27]Sheet1!H90</f>
        <v>0</v>
      </c>
      <c r="I330" s="73">
        <f t="shared" si="96"/>
        <v>2912</v>
      </c>
      <c r="J330" s="736">
        <f t="shared" ref="J330:J336" si="103">D330+(3850)</f>
        <v>47973</v>
      </c>
      <c r="K330" s="736">
        <f t="shared" si="97"/>
        <v>45243</v>
      </c>
      <c r="L330" s="46">
        <v>20000000</v>
      </c>
      <c r="M330" s="18">
        <v>10000000</v>
      </c>
      <c r="N330" s="46">
        <v>18491600</v>
      </c>
      <c r="O330" s="20">
        <f t="shared" si="98"/>
        <v>16000000</v>
      </c>
      <c r="P330" s="47">
        <v>0.1</v>
      </c>
      <c r="Q330" s="919">
        <v>0.78746099999999997</v>
      </c>
      <c r="R330" s="22">
        <f t="shared" si="99"/>
        <v>15749220</v>
      </c>
      <c r="S330" s="12">
        <v>0.11990000000000001</v>
      </c>
      <c r="T330" s="75">
        <f t="shared" si="100"/>
        <v>258241.75824175825</v>
      </c>
      <c r="U330" s="565"/>
      <c r="V330" s="50">
        <f t="shared" si="101"/>
        <v>258241.75824175825</v>
      </c>
      <c r="W330" s="50"/>
      <c r="X330" s="51"/>
      <c r="Y330" s="51"/>
      <c r="Z330" s="30"/>
      <c r="AA330" s="30"/>
      <c r="AB330" s="30"/>
      <c r="AC330" s="51"/>
      <c r="AD330" s="51"/>
      <c r="AE330" s="51"/>
    </row>
    <row r="331" spans="1:31" s="665" customFormat="1" ht="22.5" customHeight="1" x14ac:dyDescent="0.25">
      <c r="A331" s="44" t="s">
        <v>256</v>
      </c>
      <c r="B331" s="45" t="s">
        <v>175</v>
      </c>
      <c r="C331" s="736"/>
      <c r="D331" s="736">
        <v>44123</v>
      </c>
      <c r="E331" s="736">
        <v>45061</v>
      </c>
      <c r="F331" s="73">
        <v>5278</v>
      </c>
      <c r="G331" s="73">
        <f t="shared" si="95"/>
        <v>2912</v>
      </c>
      <c r="H331" s="73">
        <f>[27]Sheet1!H91</f>
        <v>0</v>
      </c>
      <c r="I331" s="73">
        <f t="shared" si="96"/>
        <v>2912</v>
      </c>
      <c r="J331" s="736">
        <f t="shared" si="103"/>
        <v>47973</v>
      </c>
      <c r="K331" s="736">
        <f t="shared" si="97"/>
        <v>45243</v>
      </c>
      <c r="L331" s="46">
        <v>40000000</v>
      </c>
      <c r="M331" s="18">
        <v>10000000</v>
      </c>
      <c r="N331" s="46">
        <v>37398000</v>
      </c>
      <c r="O331" s="20">
        <f t="shared" si="98"/>
        <v>32000000</v>
      </c>
      <c r="P331" s="47">
        <v>0.1</v>
      </c>
      <c r="Q331" s="919">
        <v>0.78746099999999997</v>
      </c>
      <c r="R331" s="22">
        <f t="shared" si="99"/>
        <v>31498440</v>
      </c>
      <c r="S331" s="12">
        <v>0.11799999999999999</v>
      </c>
      <c r="T331" s="75">
        <f t="shared" si="100"/>
        <v>516483.51648351649</v>
      </c>
      <c r="U331" s="565"/>
      <c r="V331" s="50">
        <f t="shared" si="101"/>
        <v>516483.51648351649</v>
      </c>
      <c r="W331" s="50"/>
      <c r="X331" s="51"/>
      <c r="Y331" s="51"/>
      <c r="Z331" s="30"/>
      <c r="AA331" s="30"/>
      <c r="AB331" s="30"/>
      <c r="AC331" s="51"/>
      <c r="AD331" s="51"/>
      <c r="AE331" s="51"/>
    </row>
    <row r="332" spans="1:31" s="665" customFormat="1" ht="22.5" customHeight="1" x14ac:dyDescent="0.25">
      <c r="A332" s="44" t="s">
        <v>256</v>
      </c>
      <c r="B332" s="45" t="s">
        <v>175</v>
      </c>
      <c r="C332" s="736"/>
      <c r="D332" s="736">
        <v>44123</v>
      </c>
      <c r="E332" s="736">
        <v>45061</v>
      </c>
      <c r="F332" s="73">
        <v>5278</v>
      </c>
      <c r="G332" s="73">
        <f t="shared" si="95"/>
        <v>2912</v>
      </c>
      <c r="H332" s="73">
        <f>[27]Sheet1!H92</f>
        <v>0</v>
      </c>
      <c r="I332" s="73">
        <f t="shared" si="96"/>
        <v>2912</v>
      </c>
      <c r="J332" s="736">
        <f t="shared" si="103"/>
        <v>47973</v>
      </c>
      <c r="K332" s="736">
        <f t="shared" si="97"/>
        <v>45243</v>
      </c>
      <c r="L332" s="46">
        <v>40000000</v>
      </c>
      <c r="M332" s="18">
        <v>10000000</v>
      </c>
      <c r="N332" s="46">
        <v>37288000</v>
      </c>
      <c r="O332" s="20">
        <f t="shared" si="98"/>
        <v>32000000</v>
      </c>
      <c r="P332" s="47">
        <v>0.1</v>
      </c>
      <c r="Q332" s="919">
        <v>0.78746099999999997</v>
      </c>
      <c r="R332" s="22">
        <f t="shared" si="99"/>
        <v>31498440</v>
      </c>
      <c r="S332" s="12">
        <v>0.11849999999999999</v>
      </c>
      <c r="T332" s="75">
        <f t="shared" si="100"/>
        <v>516483.51648351649</v>
      </c>
      <c r="U332" s="565"/>
      <c r="V332" s="50">
        <f t="shared" si="101"/>
        <v>516483.51648351649</v>
      </c>
      <c r="W332" s="50"/>
      <c r="X332" s="51"/>
      <c r="Y332" s="51"/>
      <c r="Z332" s="30"/>
      <c r="AA332" s="30"/>
      <c r="AB332" s="30"/>
      <c r="AC332" s="51"/>
      <c r="AD332" s="51"/>
      <c r="AE332" s="51"/>
    </row>
    <row r="333" spans="1:31" s="665" customFormat="1" ht="22.5" customHeight="1" x14ac:dyDescent="0.25">
      <c r="A333" s="44" t="s">
        <v>256</v>
      </c>
      <c r="B333" s="45" t="s">
        <v>175</v>
      </c>
      <c r="C333" s="736"/>
      <c r="D333" s="736">
        <v>44123</v>
      </c>
      <c r="E333" s="736">
        <v>45061</v>
      </c>
      <c r="F333" s="73">
        <v>5278</v>
      </c>
      <c r="G333" s="73">
        <f t="shared" ref="G333:G364" si="104">J333-E333</f>
        <v>2912</v>
      </c>
      <c r="H333" s="73">
        <f>[27]Sheet1!H93</f>
        <v>0</v>
      </c>
      <c r="I333" s="73">
        <f t="shared" ref="I333:I364" si="105">G333-H333</f>
        <v>2912</v>
      </c>
      <c r="J333" s="736">
        <f t="shared" si="103"/>
        <v>47973</v>
      </c>
      <c r="K333" s="736">
        <f t="shared" ref="K333:K364" si="106">E333+182</f>
        <v>45243</v>
      </c>
      <c r="L333" s="46">
        <v>40000000</v>
      </c>
      <c r="M333" s="18">
        <v>10000000</v>
      </c>
      <c r="N333" s="46">
        <v>37178800</v>
      </c>
      <c r="O333" s="20">
        <f t="shared" ref="O333:O364" si="107">L333*P333*G333/364</f>
        <v>32000000</v>
      </c>
      <c r="P333" s="47">
        <v>0.1</v>
      </c>
      <c r="Q333" s="919">
        <v>0.78746099999999997</v>
      </c>
      <c r="R333" s="22">
        <f t="shared" ref="R333:R364" si="108">+L333*Q333</f>
        <v>31498440</v>
      </c>
      <c r="S333" s="12">
        <v>0.11899999999999999</v>
      </c>
      <c r="T333" s="75">
        <f t="shared" ref="T333:T364" si="109">O333/G333*(T$1-E333+1)</f>
        <v>516483.51648351649</v>
      </c>
      <c r="U333" s="565"/>
      <c r="V333" s="50">
        <f t="shared" ref="V333:V364" si="110">+T333-U333</f>
        <v>516483.51648351649</v>
      </c>
      <c r="W333" s="50"/>
      <c r="X333" s="51"/>
      <c r="Y333" s="51"/>
      <c r="Z333" s="30"/>
      <c r="AA333" s="30"/>
      <c r="AB333" s="30"/>
      <c r="AC333" s="51"/>
      <c r="AD333" s="51"/>
      <c r="AE333" s="51"/>
    </row>
    <row r="334" spans="1:31" s="665" customFormat="1" ht="22.5" customHeight="1" x14ac:dyDescent="0.25">
      <c r="A334" s="44" t="s">
        <v>256</v>
      </c>
      <c r="B334" s="45" t="s">
        <v>175</v>
      </c>
      <c r="C334" s="736"/>
      <c r="D334" s="736">
        <v>44123</v>
      </c>
      <c r="E334" s="736">
        <v>45061</v>
      </c>
      <c r="F334" s="73">
        <v>5278</v>
      </c>
      <c r="G334" s="73">
        <f t="shared" si="104"/>
        <v>2912</v>
      </c>
      <c r="H334" s="73">
        <f>[27]Sheet1!H94</f>
        <v>0</v>
      </c>
      <c r="I334" s="73">
        <f t="shared" si="105"/>
        <v>2912</v>
      </c>
      <c r="J334" s="736">
        <f t="shared" si="103"/>
        <v>47973</v>
      </c>
      <c r="K334" s="736">
        <f t="shared" si="106"/>
        <v>45243</v>
      </c>
      <c r="L334" s="46">
        <v>40000000</v>
      </c>
      <c r="M334" s="18">
        <v>10000000</v>
      </c>
      <c r="N334" s="46">
        <v>37070000</v>
      </c>
      <c r="O334" s="20">
        <f t="shared" si="107"/>
        <v>32000000</v>
      </c>
      <c r="P334" s="47">
        <v>0.1</v>
      </c>
      <c r="Q334" s="919">
        <v>0.78746099999999997</v>
      </c>
      <c r="R334" s="22">
        <f t="shared" si="108"/>
        <v>31498440</v>
      </c>
      <c r="S334" s="12">
        <v>0.1195</v>
      </c>
      <c r="T334" s="75">
        <f t="shared" si="109"/>
        <v>516483.51648351649</v>
      </c>
      <c r="U334" s="565"/>
      <c r="V334" s="50">
        <f t="shared" si="110"/>
        <v>516483.51648351649</v>
      </c>
      <c r="W334" s="50"/>
      <c r="X334" s="51"/>
      <c r="Y334" s="51"/>
      <c r="Z334" s="30"/>
      <c r="AA334" s="30"/>
      <c r="AB334" s="30"/>
      <c r="AC334" s="51"/>
      <c r="AD334" s="51"/>
      <c r="AE334" s="51"/>
    </row>
    <row r="335" spans="1:31" s="665" customFormat="1" ht="22.5" customHeight="1" x14ac:dyDescent="0.25">
      <c r="A335" s="44" t="s">
        <v>256</v>
      </c>
      <c r="B335" s="45" t="s">
        <v>175</v>
      </c>
      <c r="C335" s="736"/>
      <c r="D335" s="736">
        <v>44123</v>
      </c>
      <c r="E335" s="736">
        <v>45061</v>
      </c>
      <c r="F335" s="73">
        <v>5278</v>
      </c>
      <c r="G335" s="73">
        <f t="shared" si="104"/>
        <v>2912</v>
      </c>
      <c r="H335" s="73" t="e">
        <f>[27]Sheet1!H95</f>
        <v>#REF!</v>
      </c>
      <c r="I335" s="73" t="e">
        <f t="shared" si="105"/>
        <v>#REF!</v>
      </c>
      <c r="J335" s="736">
        <f t="shared" si="103"/>
        <v>47973</v>
      </c>
      <c r="K335" s="736">
        <f t="shared" si="106"/>
        <v>45243</v>
      </c>
      <c r="L335" s="46">
        <v>20000000</v>
      </c>
      <c r="M335" s="18">
        <v>10000000</v>
      </c>
      <c r="N335" s="46">
        <v>18480800</v>
      </c>
      <c r="O335" s="20">
        <f t="shared" si="107"/>
        <v>16000000</v>
      </c>
      <c r="P335" s="47">
        <v>0.1</v>
      </c>
      <c r="Q335" s="919">
        <v>0.78746099999999997</v>
      </c>
      <c r="R335" s="22">
        <f t="shared" si="108"/>
        <v>15749220</v>
      </c>
      <c r="S335" s="12">
        <v>0.12</v>
      </c>
      <c r="T335" s="75">
        <f t="shared" si="109"/>
        <v>258241.75824175825</v>
      </c>
      <c r="U335" s="565"/>
      <c r="V335" s="50">
        <f t="shared" si="110"/>
        <v>258241.75824175825</v>
      </c>
      <c r="W335" s="50"/>
      <c r="X335" s="51"/>
      <c r="Y335" s="51"/>
      <c r="Z335" s="30"/>
      <c r="AA335" s="30"/>
      <c r="AB335" s="30"/>
      <c r="AC335" s="51"/>
      <c r="AD335" s="51"/>
      <c r="AE335" s="51"/>
    </row>
    <row r="336" spans="1:31" s="665" customFormat="1" ht="22.5" customHeight="1" x14ac:dyDescent="0.25">
      <c r="A336" s="44" t="s">
        <v>256</v>
      </c>
      <c r="B336" s="45" t="s">
        <v>175</v>
      </c>
      <c r="C336" s="736"/>
      <c r="D336" s="736">
        <v>44123</v>
      </c>
      <c r="E336" s="736">
        <v>45061</v>
      </c>
      <c r="F336" s="73">
        <v>5278</v>
      </c>
      <c r="G336" s="73">
        <f t="shared" si="104"/>
        <v>2912</v>
      </c>
      <c r="H336" s="73" t="e">
        <f>[27]Sheet1!H96</f>
        <v>#REF!</v>
      </c>
      <c r="I336" s="73" t="e">
        <f t="shared" si="105"/>
        <v>#REF!</v>
      </c>
      <c r="J336" s="736">
        <f t="shared" si="103"/>
        <v>47973</v>
      </c>
      <c r="K336" s="736">
        <f t="shared" si="106"/>
        <v>45243</v>
      </c>
      <c r="L336" s="46">
        <v>20000000</v>
      </c>
      <c r="M336" s="18">
        <v>10000000</v>
      </c>
      <c r="N336" s="46">
        <v>18373200</v>
      </c>
      <c r="O336" s="20">
        <f t="shared" si="107"/>
        <v>16000000</v>
      </c>
      <c r="P336" s="47">
        <v>0.1</v>
      </c>
      <c r="Q336" s="919">
        <v>0.78746099999999997</v>
      </c>
      <c r="R336" s="22">
        <f t="shared" si="108"/>
        <v>15749220</v>
      </c>
      <c r="S336" s="12">
        <v>0.121</v>
      </c>
      <c r="T336" s="75">
        <f t="shared" si="109"/>
        <v>258241.75824175825</v>
      </c>
      <c r="U336" s="565"/>
      <c r="V336" s="50">
        <f t="shared" si="110"/>
        <v>258241.75824175825</v>
      </c>
      <c r="W336" s="50"/>
      <c r="X336" s="51"/>
      <c r="Y336" s="51"/>
      <c r="Z336" s="30"/>
      <c r="AA336" s="30"/>
      <c r="AB336" s="30"/>
      <c r="AC336" s="51"/>
      <c r="AD336" s="51"/>
      <c r="AE336" s="51"/>
    </row>
    <row r="337" spans="1:31" s="665" customFormat="1" ht="22.5" customHeight="1" x14ac:dyDescent="0.25">
      <c r="A337" s="44" t="s">
        <v>299</v>
      </c>
      <c r="B337" s="45" t="s">
        <v>175</v>
      </c>
      <c r="C337" s="736"/>
      <c r="D337" s="736">
        <v>44515</v>
      </c>
      <c r="E337" s="736">
        <v>45061</v>
      </c>
      <c r="F337" s="73">
        <v>5278</v>
      </c>
      <c r="G337" s="73">
        <f t="shared" si="104"/>
        <v>1274</v>
      </c>
      <c r="H337" s="73" t="e">
        <f>[27]Sheet1!H97</f>
        <v>#REF!</v>
      </c>
      <c r="I337" s="73" t="e">
        <f t="shared" si="105"/>
        <v>#REF!</v>
      </c>
      <c r="J337" s="736">
        <f t="shared" ref="J337:J342" si="111">D337+(364*5)</f>
        <v>46335</v>
      </c>
      <c r="K337" s="736">
        <f t="shared" si="106"/>
        <v>45243</v>
      </c>
      <c r="L337" s="46">
        <v>20000000</v>
      </c>
      <c r="M337" s="18">
        <v>10000000</v>
      </c>
      <c r="N337" s="46">
        <v>20000000</v>
      </c>
      <c r="O337" s="20">
        <f t="shared" si="107"/>
        <v>7893900</v>
      </c>
      <c r="P337" s="47">
        <v>0.11277</v>
      </c>
      <c r="Q337" s="919">
        <v>0.923516</v>
      </c>
      <c r="R337" s="22">
        <f t="shared" si="108"/>
        <v>18470320</v>
      </c>
      <c r="S337" s="12">
        <v>0.11277</v>
      </c>
      <c r="T337" s="75">
        <f t="shared" si="109"/>
        <v>291219.23076923075</v>
      </c>
      <c r="U337" s="565"/>
      <c r="V337" s="50">
        <f t="shared" si="110"/>
        <v>291219.23076923075</v>
      </c>
      <c r="W337" s="50"/>
      <c r="X337" s="51"/>
      <c r="Y337" s="51"/>
      <c r="Z337" s="30"/>
      <c r="AA337" s="30"/>
      <c r="AB337" s="30"/>
      <c r="AC337" s="51"/>
      <c r="AD337" s="51"/>
      <c r="AE337" s="51"/>
    </row>
    <row r="338" spans="1:31" s="665" customFormat="1" ht="22.5" customHeight="1" x14ac:dyDescent="0.25">
      <c r="A338" s="44" t="s">
        <v>299</v>
      </c>
      <c r="B338" s="45" t="s">
        <v>175</v>
      </c>
      <c r="C338" s="736"/>
      <c r="D338" s="736">
        <v>44515</v>
      </c>
      <c r="E338" s="736">
        <v>45061</v>
      </c>
      <c r="F338" s="73">
        <v>5278</v>
      </c>
      <c r="G338" s="73">
        <f t="shared" si="104"/>
        <v>1274</v>
      </c>
      <c r="H338" s="73" t="e">
        <f>[27]Sheet1!H98</f>
        <v>#REF!</v>
      </c>
      <c r="I338" s="73" t="e">
        <f t="shared" si="105"/>
        <v>#REF!</v>
      </c>
      <c r="J338" s="736">
        <f t="shared" si="111"/>
        <v>46335</v>
      </c>
      <c r="K338" s="736">
        <f t="shared" si="106"/>
        <v>45243</v>
      </c>
      <c r="L338" s="46">
        <v>70000000</v>
      </c>
      <c r="M338" s="18">
        <v>10000000</v>
      </c>
      <c r="N338" s="46">
        <v>70070700</v>
      </c>
      <c r="O338" s="20">
        <f t="shared" si="107"/>
        <v>27628650</v>
      </c>
      <c r="P338" s="47">
        <v>0.11277</v>
      </c>
      <c r="Q338" s="919">
        <v>0.923516</v>
      </c>
      <c r="R338" s="22">
        <f t="shared" si="108"/>
        <v>64646120</v>
      </c>
      <c r="S338" s="12">
        <v>0.1125</v>
      </c>
      <c r="T338" s="75">
        <f t="shared" si="109"/>
        <v>1019267.3076923076</v>
      </c>
      <c r="U338" s="565"/>
      <c r="V338" s="50">
        <f t="shared" si="110"/>
        <v>1019267.3076923076</v>
      </c>
      <c r="W338" s="50"/>
      <c r="X338" s="51"/>
      <c r="Y338" s="51"/>
      <c r="Z338" s="30"/>
      <c r="AA338" s="30"/>
      <c r="AB338" s="30"/>
      <c r="AC338" s="51"/>
      <c r="AD338" s="51"/>
      <c r="AE338" s="51"/>
    </row>
    <row r="339" spans="1:31" s="665" customFormat="1" ht="22.5" customHeight="1" x14ac:dyDescent="0.25">
      <c r="A339" s="44" t="s">
        <v>299</v>
      </c>
      <c r="B339" s="45" t="s">
        <v>175</v>
      </c>
      <c r="C339" s="736"/>
      <c r="D339" s="736">
        <v>44515</v>
      </c>
      <c r="E339" s="736">
        <v>45061</v>
      </c>
      <c r="F339" s="73">
        <v>5278</v>
      </c>
      <c r="G339" s="73">
        <f t="shared" si="104"/>
        <v>1274</v>
      </c>
      <c r="H339" s="73" t="e">
        <f>[27]Sheet1!H99</f>
        <v>#REF!</v>
      </c>
      <c r="I339" s="73" t="e">
        <f t="shared" si="105"/>
        <v>#REF!</v>
      </c>
      <c r="J339" s="736">
        <f t="shared" si="111"/>
        <v>46335</v>
      </c>
      <c r="K339" s="736">
        <f t="shared" si="106"/>
        <v>45243</v>
      </c>
      <c r="L339" s="46">
        <v>70000000</v>
      </c>
      <c r="M339" s="18">
        <v>10000000</v>
      </c>
      <c r="N339" s="46">
        <v>69939800</v>
      </c>
      <c r="O339" s="20">
        <f t="shared" si="107"/>
        <v>27628650</v>
      </c>
      <c r="P339" s="47">
        <v>0.11277</v>
      </c>
      <c r="Q339" s="919">
        <v>0.923516</v>
      </c>
      <c r="R339" s="22">
        <f t="shared" si="108"/>
        <v>64646120</v>
      </c>
      <c r="S339" s="12">
        <v>0.113</v>
      </c>
      <c r="T339" s="75">
        <f t="shared" si="109"/>
        <v>1019267.3076923076</v>
      </c>
      <c r="U339" s="565"/>
      <c r="V339" s="50">
        <f t="shared" si="110"/>
        <v>1019267.3076923076</v>
      </c>
      <c r="W339" s="50"/>
      <c r="X339" s="51"/>
      <c r="Y339" s="51"/>
      <c r="Z339" s="30"/>
      <c r="AA339" s="30"/>
      <c r="AB339" s="30"/>
      <c r="AC339" s="51"/>
      <c r="AD339" s="51"/>
      <c r="AE339" s="51"/>
    </row>
    <row r="340" spans="1:31" s="665" customFormat="1" ht="22.5" customHeight="1" x14ac:dyDescent="0.25">
      <c r="A340" s="44" t="s">
        <v>299</v>
      </c>
      <c r="B340" s="45" t="s">
        <v>175</v>
      </c>
      <c r="C340" s="736"/>
      <c r="D340" s="736">
        <v>44515</v>
      </c>
      <c r="E340" s="736">
        <v>45061</v>
      </c>
      <c r="F340" s="73">
        <v>5278</v>
      </c>
      <c r="G340" s="73">
        <f t="shared" si="104"/>
        <v>1274</v>
      </c>
      <c r="H340" s="73" t="e">
        <f>[27]Sheet1!H100</f>
        <v>#REF!</v>
      </c>
      <c r="I340" s="73" t="e">
        <f t="shared" si="105"/>
        <v>#REF!</v>
      </c>
      <c r="J340" s="736">
        <f t="shared" si="111"/>
        <v>46335</v>
      </c>
      <c r="K340" s="736">
        <f t="shared" si="106"/>
        <v>45243</v>
      </c>
      <c r="L340" s="46">
        <v>70000000</v>
      </c>
      <c r="M340" s="18">
        <v>10000000</v>
      </c>
      <c r="N340" s="46">
        <v>69808900</v>
      </c>
      <c r="O340" s="20">
        <f t="shared" si="107"/>
        <v>27628650</v>
      </c>
      <c r="P340" s="47">
        <v>0.11277</v>
      </c>
      <c r="Q340" s="919">
        <v>0.923516</v>
      </c>
      <c r="R340" s="22">
        <f t="shared" si="108"/>
        <v>64646120</v>
      </c>
      <c r="S340" s="12">
        <v>0.1135</v>
      </c>
      <c r="T340" s="75">
        <f t="shared" si="109"/>
        <v>1019267.3076923076</v>
      </c>
      <c r="U340" s="565"/>
      <c r="V340" s="50">
        <f t="shared" si="110"/>
        <v>1019267.3076923076</v>
      </c>
      <c r="W340" s="50"/>
      <c r="X340" s="51"/>
      <c r="Y340" s="51"/>
      <c r="Z340" s="30"/>
      <c r="AA340" s="30"/>
      <c r="AB340" s="30"/>
      <c r="AC340" s="51"/>
      <c r="AD340" s="51"/>
      <c r="AE340" s="51"/>
    </row>
    <row r="341" spans="1:31" s="665" customFormat="1" ht="22.5" customHeight="1" x14ac:dyDescent="0.25">
      <c r="A341" s="44" t="s">
        <v>299</v>
      </c>
      <c r="B341" s="45" t="s">
        <v>175</v>
      </c>
      <c r="C341" s="736"/>
      <c r="D341" s="736">
        <v>44515</v>
      </c>
      <c r="E341" s="736">
        <v>45061</v>
      </c>
      <c r="F341" s="73">
        <v>5278</v>
      </c>
      <c r="G341" s="73">
        <f t="shared" si="104"/>
        <v>1274</v>
      </c>
      <c r="H341" s="73" t="e">
        <f>[27]Sheet1!H101</f>
        <v>#REF!</v>
      </c>
      <c r="I341" s="73" t="e">
        <f t="shared" si="105"/>
        <v>#REF!</v>
      </c>
      <c r="J341" s="736">
        <f t="shared" si="111"/>
        <v>46335</v>
      </c>
      <c r="K341" s="736">
        <f t="shared" si="106"/>
        <v>45243</v>
      </c>
      <c r="L341" s="46">
        <v>70000000</v>
      </c>
      <c r="M341" s="18">
        <v>10000000</v>
      </c>
      <c r="N341" s="46">
        <v>69678700</v>
      </c>
      <c r="O341" s="20">
        <f t="shared" si="107"/>
        <v>27628650</v>
      </c>
      <c r="P341" s="47">
        <v>0.11277</v>
      </c>
      <c r="Q341" s="919">
        <v>0.923516</v>
      </c>
      <c r="R341" s="22">
        <f t="shared" si="108"/>
        <v>64646120</v>
      </c>
      <c r="S341" s="12">
        <v>0.114</v>
      </c>
      <c r="T341" s="75">
        <f t="shared" si="109"/>
        <v>1019267.3076923076</v>
      </c>
      <c r="U341" s="565"/>
      <c r="V341" s="50">
        <f t="shared" si="110"/>
        <v>1019267.3076923076</v>
      </c>
      <c r="W341" s="50"/>
      <c r="X341" s="51"/>
      <c r="Y341" s="51"/>
      <c r="Z341" s="30"/>
      <c r="AA341" s="30"/>
      <c r="AB341" s="30"/>
      <c r="AC341" s="51"/>
      <c r="AD341" s="51"/>
      <c r="AE341" s="51"/>
    </row>
    <row r="342" spans="1:31" s="665" customFormat="1" ht="22.5" customHeight="1" x14ac:dyDescent="0.25">
      <c r="A342" s="44" t="s">
        <v>299</v>
      </c>
      <c r="B342" s="45" t="s">
        <v>175</v>
      </c>
      <c r="C342" s="736"/>
      <c r="D342" s="736">
        <v>44515</v>
      </c>
      <c r="E342" s="736">
        <v>45061</v>
      </c>
      <c r="F342" s="73">
        <v>5278</v>
      </c>
      <c r="G342" s="73">
        <f t="shared" si="104"/>
        <v>1274</v>
      </c>
      <c r="H342" s="73" t="e">
        <f>[27]Sheet1!H102</f>
        <v>#REF!</v>
      </c>
      <c r="I342" s="73" t="e">
        <f t="shared" si="105"/>
        <v>#REF!</v>
      </c>
      <c r="J342" s="736">
        <f t="shared" si="111"/>
        <v>46335</v>
      </c>
      <c r="K342" s="736">
        <f t="shared" si="106"/>
        <v>45243</v>
      </c>
      <c r="L342" s="46">
        <v>60000000</v>
      </c>
      <c r="M342" s="18">
        <v>10000000</v>
      </c>
      <c r="N342" s="46">
        <v>59613000</v>
      </c>
      <c r="O342" s="20">
        <f t="shared" si="107"/>
        <v>23681700</v>
      </c>
      <c r="P342" s="47">
        <v>0.11277</v>
      </c>
      <c r="Q342" s="919">
        <v>0.923516</v>
      </c>
      <c r="R342" s="22">
        <f t="shared" si="108"/>
        <v>55410960</v>
      </c>
      <c r="S342" s="12">
        <v>0.1145</v>
      </c>
      <c r="T342" s="75">
        <f t="shared" si="109"/>
        <v>873657.69230769237</v>
      </c>
      <c r="U342" s="565"/>
      <c r="V342" s="50">
        <f t="shared" si="110"/>
        <v>873657.69230769237</v>
      </c>
      <c r="W342" s="50"/>
      <c r="X342" s="51"/>
      <c r="Y342" s="51"/>
      <c r="Z342" s="30"/>
      <c r="AA342" s="30"/>
      <c r="AB342" s="30"/>
      <c r="AC342" s="51"/>
      <c r="AD342" s="51"/>
      <c r="AE342" s="51"/>
    </row>
    <row r="343" spans="1:31" s="665" customFormat="1" ht="22.5" customHeight="1" x14ac:dyDescent="0.25">
      <c r="A343" s="44" t="s">
        <v>317</v>
      </c>
      <c r="B343" s="45" t="s">
        <v>175</v>
      </c>
      <c r="C343" s="45"/>
      <c r="D343" s="736">
        <v>44823</v>
      </c>
      <c r="E343" s="736">
        <v>45061</v>
      </c>
      <c r="F343" s="73">
        <v>1638</v>
      </c>
      <c r="G343" s="73">
        <f t="shared" si="104"/>
        <v>3276</v>
      </c>
      <c r="H343" s="73">
        <f>[27]Sheet1!H82</f>
        <v>0</v>
      </c>
      <c r="I343" s="73">
        <f t="shared" si="105"/>
        <v>3276</v>
      </c>
      <c r="J343" s="736">
        <f>D343+(3514)</f>
        <v>48337</v>
      </c>
      <c r="K343" s="736">
        <f t="shared" si="106"/>
        <v>45243</v>
      </c>
      <c r="L343" s="46">
        <v>20000000</v>
      </c>
      <c r="M343" s="18"/>
      <c r="N343" s="46">
        <v>20445200</v>
      </c>
      <c r="O343" s="20">
        <f t="shared" si="107"/>
        <v>24282000</v>
      </c>
      <c r="P343" s="47">
        <v>0.13489999999999999</v>
      </c>
      <c r="Q343" s="919">
        <v>0.94350699999999998</v>
      </c>
      <c r="R343" s="22">
        <f t="shared" si="108"/>
        <v>18870140</v>
      </c>
      <c r="S343" s="12">
        <v>0.13949</v>
      </c>
      <c r="T343" s="75">
        <f t="shared" si="109"/>
        <v>348368.13186813187</v>
      </c>
      <c r="U343" s="563"/>
      <c r="V343" s="13">
        <f t="shared" si="110"/>
        <v>348368.13186813187</v>
      </c>
      <c r="W343" s="13"/>
      <c r="X343" s="29"/>
      <c r="Y343" s="29"/>
      <c r="Z343" s="30"/>
      <c r="AA343" s="30"/>
      <c r="AB343" s="30"/>
      <c r="AC343" s="29"/>
      <c r="AD343" s="29"/>
      <c r="AE343" s="30"/>
    </row>
    <row r="344" spans="1:31" s="665" customFormat="1" ht="22.5" customHeight="1" x14ac:dyDescent="0.25">
      <c r="A344" s="44" t="s">
        <v>317</v>
      </c>
      <c r="B344" s="45" t="s">
        <v>175</v>
      </c>
      <c r="C344" s="45"/>
      <c r="D344" s="736">
        <v>44823</v>
      </c>
      <c r="E344" s="736">
        <v>45061</v>
      </c>
      <c r="F344" s="73">
        <v>1638</v>
      </c>
      <c r="G344" s="73">
        <f t="shared" si="104"/>
        <v>3276</v>
      </c>
      <c r="H344" s="73">
        <f>[27]Sheet1!H83</f>
        <v>0</v>
      </c>
      <c r="I344" s="73">
        <f t="shared" si="105"/>
        <v>3276</v>
      </c>
      <c r="J344" s="736">
        <f>D344+(3514)</f>
        <v>48337</v>
      </c>
      <c r="K344" s="736">
        <f t="shared" si="106"/>
        <v>45243</v>
      </c>
      <c r="L344" s="46">
        <v>20000000</v>
      </c>
      <c r="M344" s="18"/>
      <c r="N344" s="46">
        <v>20495600</v>
      </c>
      <c r="O344" s="20">
        <f t="shared" si="107"/>
        <v>24282000</v>
      </c>
      <c r="P344" s="47">
        <v>0.13489999999999999</v>
      </c>
      <c r="Q344" s="919">
        <v>0.94350699999999998</v>
      </c>
      <c r="R344" s="22">
        <f t="shared" si="108"/>
        <v>18870140</v>
      </c>
      <c r="S344" s="12">
        <v>0.13900000000000001</v>
      </c>
      <c r="T344" s="75">
        <f t="shared" si="109"/>
        <v>348368.13186813187</v>
      </c>
      <c r="U344" s="563"/>
      <c r="V344" s="13">
        <f t="shared" si="110"/>
        <v>348368.13186813187</v>
      </c>
      <c r="W344" s="13"/>
      <c r="X344" s="29"/>
      <c r="Y344" s="29"/>
      <c r="Z344" s="30"/>
      <c r="AA344" s="30"/>
      <c r="AB344" s="30"/>
      <c r="AC344" s="29"/>
      <c r="AD344" s="29"/>
      <c r="AE344" s="30"/>
    </row>
    <row r="345" spans="1:31" s="665" customFormat="1" ht="22.5" customHeight="1" x14ac:dyDescent="0.25">
      <c r="A345" s="44" t="s">
        <v>317</v>
      </c>
      <c r="B345" s="45" t="s">
        <v>175</v>
      </c>
      <c r="C345" s="45"/>
      <c r="D345" s="736">
        <v>44823</v>
      </c>
      <c r="E345" s="736">
        <v>45061</v>
      </c>
      <c r="F345" s="73">
        <v>1638</v>
      </c>
      <c r="G345" s="73">
        <f t="shared" si="104"/>
        <v>3276</v>
      </c>
      <c r="H345" s="73">
        <f>[27]Sheet1!H84</f>
        <v>0</v>
      </c>
      <c r="I345" s="73">
        <f t="shared" si="105"/>
        <v>3276</v>
      </c>
      <c r="J345" s="736">
        <f>D345+(3514)</f>
        <v>48337</v>
      </c>
      <c r="K345" s="736">
        <f t="shared" si="106"/>
        <v>45243</v>
      </c>
      <c r="L345" s="46">
        <v>20000000</v>
      </c>
      <c r="M345" s="18"/>
      <c r="N345" s="46">
        <v>20444200</v>
      </c>
      <c r="O345" s="20">
        <f t="shared" si="107"/>
        <v>24282000</v>
      </c>
      <c r="P345" s="47">
        <v>0.13489999999999999</v>
      </c>
      <c r="Q345" s="919">
        <v>0.94350699999999998</v>
      </c>
      <c r="R345" s="22">
        <f t="shared" si="108"/>
        <v>18870140</v>
      </c>
      <c r="S345" s="12">
        <v>0.13950000000000001</v>
      </c>
      <c r="T345" s="75">
        <f t="shared" si="109"/>
        <v>348368.13186813187</v>
      </c>
      <c r="U345" s="563"/>
      <c r="V345" s="13">
        <f t="shared" si="110"/>
        <v>348368.13186813187</v>
      </c>
      <c r="W345" s="13"/>
      <c r="X345" s="29"/>
      <c r="Y345" s="29"/>
      <c r="Z345" s="30"/>
      <c r="AA345" s="30"/>
      <c r="AB345" s="30"/>
      <c r="AC345" s="29"/>
      <c r="AD345" s="29"/>
      <c r="AE345" s="30"/>
    </row>
    <row r="346" spans="1:31" s="665" customFormat="1" ht="22.5" customHeight="1" x14ac:dyDescent="0.25">
      <c r="A346" s="44" t="s">
        <v>320</v>
      </c>
      <c r="B346" s="45" t="s">
        <v>175</v>
      </c>
      <c r="C346" s="736"/>
      <c r="D346" s="736">
        <v>44879</v>
      </c>
      <c r="E346" s="736">
        <v>45061</v>
      </c>
      <c r="F346" s="73">
        <v>5278</v>
      </c>
      <c r="G346" s="73">
        <f t="shared" si="104"/>
        <v>4914</v>
      </c>
      <c r="H346" s="73" t="e">
        <f>[27]Sheet1!H106</f>
        <v>#REF!</v>
      </c>
      <c r="I346" s="73" t="e">
        <f t="shared" si="105"/>
        <v>#REF!</v>
      </c>
      <c r="J346" s="736">
        <f t="shared" ref="J346:J352" si="112">D346+(364*14)</f>
        <v>49975</v>
      </c>
      <c r="K346" s="736">
        <f t="shared" si="106"/>
        <v>45243</v>
      </c>
      <c r="L346" s="46">
        <v>20000000</v>
      </c>
      <c r="M346" s="18">
        <v>10000000</v>
      </c>
      <c r="N346" s="46">
        <v>20260000</v>
      </c>
      <c r="O346" s="20">
        <f t="shared" si="107"/>
        <v>37632600</v>
      </c>
      <c r="P346" s="47">
        <v>0.13938</v>
      </c>
      <c r="Q346" s="919">
        <v>0.99599899999999997</v>
      </c>
      <c r="R346" s="22">
        <f t="shared" si="108"/>
        <v>19919980</v>
      </c>
      <c r="S346" s="12">
        <v>0.13700000000000001</v>
      </c>
      <c r="T346" s="75">
        <f t="shared" si="109"/>
        <v>359937.36263736262</v>
      </c>
      <c r="U346" s="565"/>
      <c r="V346" s="50">
        <f t="shared" si="110"/>
        <v>359937.36263736262</v>
      </c>
      <c r="W346" s="50"/>
      <c r="X346" s="51"/>
      <c r="Y346" s="51"/>
      <c r="Z346" s="30"/>
      <c r="AA346" s="30"/>
      <c r="AB346" s="30"/>
      <c r="AC346" s="51"/>
      <c r="AD346" s="51"/>
      <c r="AE346" s="51"/>
    </row>
    <row r="347" spans="1:31" s="665" customFormat="1" ht="22.5" customHeight="1" x14ac:dyDescent="0.25">
      <c r="A347" s="44" t="s">
        <v>320</v>
      </c>
      <c r="B347" s="45" t="s">
        <v>175</v>
      </c>
      <c r="C347" s="736"/>
      <c r="D347" s="736">
        <v>44879</v>
      </c>
      <c r="E347" s="736">
        <v>45061</v>
      </c>
      <c r="F347" s="73">
        <v>5278</v>
      </c>
      <c r="G347" s="73">
        <f t="shared" si="104"/>
        <v>4914</v>
      </c>
      <c r="H347" s="73" t="e">
        <f>[27]Sheet1!H107</f>
        <v>#REF!</v>
      </c>
      <c r="I347" s="73" t="e">
        <f t="shared" si="105"/>
        <v>#REF!</v>
      </c>
      <c r="J347" s="736">
        <f t="shared" si="112"/>
        <v>49975</v>
      </c>
      <c r="K347" s="736">
        <f t="shared" si="106"/>
        <v>45243</v>
      </c>
      <c r="L347" s="46">
        <v>30000000</v>
      </c>
      <c r="M347" s="18">
        <v>10000000</v>
      </c>
      <c r="N347" s="46">
        <v>30307500</v>
      </c>
      <c r="O347" s="20">
        <f t="shared" si="107"/>
        <v>56448900</v>
      </c>
      <c r="P347" s="47">
        <v>0.13938</v>
      </c>
      <c r="Q347" s="919">
        <v>0.99599899999999997</v>
      </c>
      <c r="R347" s="22">
        <f t="shared" si="108"/>
        <v>29879970</v>
      </c>
      <c r="S347" s="12">
        <v>0.13750000000000001</v>
      </c>
      <c r="T347" s="75">
        <f t="shared" si="109"/>
        <v>539906.04395604401</v>
      </c>
      <c r="U347" s="565"/>
      <c r="V347" s="50">
        <f t="shared" si="110"/>
        <v>539906.04395604401</v>
      </c>
      <c r="W347" s="50"/>
      <c r="X347" s="51"/>
      <c r="Y347" s="51"/>
      <c r="Z347" s="30"/>
      <c r="AA347" s="30"/>
      <c r="AB347" s="30"/>
      <c r="AC347" s="51"/>
      <c r="AD347" s="51"/>
      <c r="AE347" s="51"/>
    </row>
    <row r="348" spans="1:31" s="665" customFormat="1" ht="22.5" customHeight="1" x14ac:dyDescent="0.25">
      <c r="A348" s="44" t="s">
        <v>320</v>
      </c>
      <c r="B348" s="45" t="s">
        <v>175</v>
      </c>
      <c r="C348" s="736"/>
      <c r="D348" s="736">
        <v>44879</v>
      </c>
      <c r="E348" s="736">
        <v>45061</v>
      </c>
      <c r="F348" s="73">
        <v>5278</v>
      </c>
      <c r="G348" s="73">
        <f t="shared" si="104"/>
        <v>4914</v>
      </c>
      <c r="H348" s="73" t="e">
        <f>[27]Sheet1!H108</f>
        <v>#REF!</v>
      </c>
      <c r="I348" s="73" t="e">
        <f t="shared" si="105"/>
        <v>#REF!</v>
      </c>
      <c r="J348" s="736">
        <f t="shared" si="112"/>
        <v>49975</v>
      </c>
      <c r="K348" s="736">
        <f t="shared" si="106"/>
        <v>45243</v>
      </c>
      <c r="L348" s="46">
        <v>20000000</v>
      </c>
      <c r="M348" s="18">
        <v>10000000</v>
      </c>
      <c r="N348" s="46">
        <v>20150200</v>
      </c>
      <c r="O348" s="20">
        <f t="shared" si="107"/>
        <v>37632600</v>
      </c>
      <c r="P348" s="47">
        <v>0.13938</v>
      </c>
      <c r="Q348" s="919">
        <v>0.99599899999999997</v>
      </c>
      <c r="R348" s="22">
        <f t="shared" si="108"/>
        <v>19919980</v>
      </c>
      <c r="S348" s="12">
        <v>0.13800000000000001</v>
      </c>
      <c r="T348" s="75">
        <f t="shared" si="109"/>
        <v>359937.36263736262</v>
      </c>
      <c r="U348" s="565"/>
      <c r="V348" s="50">
        <f t="shared" si="110"/>
        <v>359937.36263736262</v>
      </c>
      <c r="W348" s="50"/>
      <c r="X348" s="51"/>
      <c r="Y348" s="51"/>
      <c r="Z348" s="30"/>
      <c r="AA348" s="30"/>
      <c r="AB348" s="30"/>
      <c r="AC348" s="51"/>
      <c r="AD348" s="51"/>
      <c r="AE348" s="51"/>
    </row>
    <row r="349" spans="1:31" s="665" customFormat="1" ht="22.5" customHeight="1" x14ac:dyDescent="0.25">
      <c r="A349" s="44" t="s">
        <v>320</v>
      </c>
      <c r="B349" s="45" t="s">
        <v>175</v>
      </c>
      <c r="C349" s="736"/>
      <c r="D349" s="736">
        <v>44879</v>
      </c>
      <c r="E349" s="736">
        <v>45061</v>
      </c>
      <c r="F349" s="73">
        <v>5278</v>
      </c>
      <c r="G349" s="73">
        <f t="shared" si="104"/>
        <v>4914</v>
      </c>
      <c r="H349" s="73" t="e">
        <f>[27]Sheet1!H109</f>
        <v>#REF!</v>
      </c>
      <c r="I349" s="73" t="e">
        <f t="shared" si="105"/>
        <v>#REF!</v>
      </c>
      <c r="J349" s="736">
        <f t="shared" si="112"/>
        <v>49975</v>
      </c>
      <c r="K349" s="736">
        <f t="shared" si="106"/>
        <v>45243</v>
      </c>
      <c r="L349" s="46">
        <v>20000000</v>
      </c>
      <c r="M349" s="18">
        <v>10000000</v>
      </c>
      <c r="N349" s="46">
        <v>20095600</v>
      </c>
      <c r="O349" s="20">
        <f t="shared" si="107"/>
        <v>37632600</v>
      </c>
      <c r="P349" s="47">
        <v>0.13938</v>
      </c>
      <c r="Q349" s="919">
        <v>0.99599899999999997</v>
      </c>
      <c r="R349" s="22">
        <f t="shared" si="108"/>
        <v>19919980</v>
      </c>
      <c r="S349" s="12">
        <v>0.13850000000000001</v>
      </c>
      <c r="T349" s="75">
        <f t="shared" si="109"/>
        <v>359937.36263736262</v>
      </c>
      <c r="U349" s="565"/>
      <c r="V349" s="50">
        <f t="shared" si="110"/>
        <v>359937.36263736262</v>
      </c>
      <c r="W349" s="50"/>
      <c r="X349" s="51"/>
      <c r="Y349" s="51"/>
      <c r="Z349" s="30"/>
      <c r="AA349" s="30"/>
      <c r="AB349" s="30"/>
      <c r="AC349" s="51"/>
      <c r="AD349" s="51"/>
      <c r="AE349" s="51"/>
    </row>
    <row r="350" spans="1:31" s="665" customFormat="1" ht="22.5" customHeight="1" x14ac:dyDescent="0.25">
      <c r="A350" s="44" t="s">
        <v>320</v>
      </c>
      <c r="B350" s="45" t="s">
        <v>175</v>
      </c>
      <c r="C350" s="736"/>
      <c r="D350" s="736">
        <v>44879</v>
      </c>
      <c r="E350" s="736">
        <v>45061</v>
      </c>
      <c r="F350" s="73">
        <v>5278</v>
      </c>
      <c r="G350" s="73">
        <f t="shared" si="104"/>
        <v>4914</v>
      </c>
      <c r="H350" s="73" t="e">
        <f>[27]Sheet1!H110</f>
        <v>#REF!</v>
      </c>
      <c r="I350" s="73" t="e">
        <f t="shared" si="105"/>
        <v>#REF!</v>
      </c>
      <c r="J350" s="736">
        <f t="shared" si="112"/>
        <v>49975</v>
      </c>
      <c r="K350" s="736">
        <f t="shared" si="106"/>
        <v>45243</v>
      </c>
      <c r="L350" s="46">
        <v>20000000</v>
      </c>
      <c r="M350" s="18">
        <v>10000000</v>
      </c>
      <c r="N350" s="46">
        <v>20041200</v>
      </c>
      <c r="O350" s="20">
        <f t="shared" si="107"/>
        <v>37632600</v>
      </c>
      <c r="P350" s="47">
        <v>0.13938</v>
      </c>
      <c r="Q350" s="919">
        <v>0.99599899999999997</v>
      </c>
      <c r="R350" s="22">
        <f t="shared" si="108"/>
        <v>19919980</v>
      </c>
      <c r="S350" s="12">
        <v>0.13900000000000001</v>
      </c>
      <c r="T350" s="75">
        <f t="shared" si="109"/>
        <v>359937.36263736262</v>
      </c>
      <c r="U350" s="565"/>
      <c r="V350" s="50">
        <f t="shared" si="110"/>
        <v>359937.36263736262</v>
      </c>
      <c r="W350" s="50"/>
      <c r="X350" s="51"/>
      <c r="Y350" s="51"/>
      <c r="Z350" s="30"/>
      <c r="AA350" s="30"/>
      <c r="AB350" s="30"/>
      <c r="AC350" s="51"/>
      <c r="AD350" s="51"/>
      <c r="AE350" s="51"/>
    </row>
    <row r="351" spans="1:31" s="665" customFormat="1" ht="22.5" customHeight="1" x14ac:dyDescent="0.25">
      <c r="A351" s="44" t="s">
        <v>320</v>
      </c>
      <c r="B351" s="45" t="s">
        <v>175</v>
      </c>
      <c r="C351" s="736"/>
      <c r="D351" s="736">
        <v>44879</v>
      </c>
      <c r="E351" s="736">
        <v>45061</v>
      </c>
      <c r="F351" s="73">
        <v>5278</v>
      </c>
      <c r="G351" s="73">
        <f t="shared" si="104"/>
        <v>4914</v>
      </c>
      <c r="H351" s="73" t="e">
        <f>[27]Sheet1!H111</f>
        <v>#REF!</v>
      </c>
      <c r="I351" s="73" t="e">
        <f t="shared" si="105"/>
        <v>#REF!</v>
      </c>
      <c r="J351" s="736">
        <f t="shared" si="112"/>
        <v>49975</v>
      </c>
      <c r="K351" s="736">
        <f t="shared" si="106"/>
        <v>45243</v>
      </c>
      <c r="L351" s="46">
        <v>20000000</v>
      </c>
      <c r="M351" s="18">
        <v>10000000</v>
      </c>
      <c r="N351" s="46">
        <v>19987000</v>
      </c>
      <c r="O351" s="20">
        <f t="shared" si="107"/>
        <v>37632600</v>
      </c>
      <c r="P351" s="47">
        <v>0.13938</v>
      </c>
      <c r="Q351" s="919">
        <v>0.99599899999999997</v>
      </c>
      <c r="R351" s="22">
        <f t="shared" si="108"/>
        <v>19919980</v>
      </c>
      <c r="S351" s="12">
        <v>0.13950000000000001</v>
      </c>
      <c r="T351" s="75">
        <f t="shared" si="109"/>
        <v>359937.36263736262</v>
      </c>
      <c r="U351" s="565"/>
      <c r="V351" s="50">
        <f t="shared" si="110"/>
        <v>359937.36263736262</v>
      </c>
      <c r="W351" s="50"/>
      <c r="X351" s="51"/>
      <c r="Y351" s="51"/>
      <c r="Z351" s="30"/>
      <c r="AA351" s="30"/>
      <c r="AB351" s="30"/>
      <c r="AC351" s="51"/>
      <c r="AD351" s="51"/>
      <c r="AE351" s="51"/>
    </row>
    <row r="352" spans="1:31" s="665" customFormat="1" ht="22.5" customHeight="1" x14ac:dyDescent="0.25">
      <c r="A352" s="44" t="s">
        <v>320</v>
      </c>
      <c r="B352" s="45" t="s">
        <v>175</v>
      </c>
      <c r="C352" s="736"/>
      <c r="D352" s="736">
        <v>44879</v>
      </c>
      <c r="E352" s="736">
        <v>45061</v>
      </c>
      <c r="F352" s="73">
        <v>5278</v>
      </c>
      <c r="G352" s="73">
        <f t="shared" si="104"/>
        <v>4914</v>
      </c>
      <c r="H352" s="73" t="e">
        <f>[27]Sheet1!H112</f>
        <v>#REF!</v>
      </c>
      <c r="I352" s="73" t="e">
        <f t="shared" si="105"/>
        <v>#REF!</v>
      </c>
      <c r="J352" s="736">
        <f t="shared" si="112"/>
        <v>49975</v>
      </c>
      <c r="K352" s="736">
        <f t="shared" si="106"/>
        <v>45243</v>
      </c>
      <c r="L352" s="46">
        <v>20000000</v>
      </c>
      <c r="M352" s="18">
        <v>10000000</v>
      </c>
      <c r="N352" s="46">
        <v>20000000</v>
      </c>
      <c r="O352" s="20">
        <f t="shared" si="107"/>
        <v>37632600</v>
      </c>
      <c r="P352" s="47">
        <v>0.13938</v>
      </c>
      <c r="Q352" s="919">
        <v>0.99599899999999997</v>
      </c>
      <c r="R352" s="22">
        <f t="shared" si="108"/>
        <v>19919980</v>
      </c>
      <c r="S352" s="12">
        <v>0.13938</v>
      </c>
      <c r="T352" s="75">
        <f t="shared" si="109"/>
        <v>359937.36263736262</v>
      </c>
      <c r="U352" s="565"/>
      <c r="V352" s="50">
        <f t="shared" si="110"/>
        <v>359937.36263736262</v>
      </c>
      <c r="W352" s="50"/>
      <c r="X352" s="51"/>
      <c r="Y352" s="51"/>
      <c r="Z352" s="30"/>
      <c r="AA352" s="30"/>
      <c r="AB352" s="30"/>
      <c r="AC352" s="51"/>
      <c r="AD352" s="51"/>
      <c r="AE352" s="51"/>
    </row>
    <row r="353" spans="1:31" s="665" customFormat="1" ht="22.5" customHeight="1" x14ac:dyDescent="0.25">
      <c r="A353" s="44" t="s">
        <v>282</v>
      </c>
      <c r="B353" s="45" t="s">
        <v>175</v>
      </c>
      <c r="C353" s="45"/>
      <c r="D353" s="736">
        <v>44396</v>
      </c>
      <c r="E353" s="736">
        <v>45068</v>
      </c>
      <c r="F353" s="73">
        <v>1638</v>
      </c>
      <c r="G353" s="73">
        <f t="shared" si="104"/>
        <v>3640</v>
      </c>
      <c r="H353" s="73">
        <f>[27]Sheet1!H73</f>
        <v>0</v>
      </c>
      <c r="I353" s="73">
        <f t="shared" si="105"/>
        <v>3640</v>
      </c>
      <c r="J353" s="736">
        <f t="shared" ref="J353:J358" si="113">D353+(4312)</f>
        <v>48708</v>
      </c>
      <c r="K353" s="736">
        <f t="shared" si="106"/>
        <v>45250</v>
      </c>
      <c r="L353" s="46">
        <v>20000000</v>
      </c>
      <c r="M353" s="18"/>
      <c r="N353" s="46">
        <v>20433200</v>
      </c>
      <c r="O353" s="20">
        <f t="shared" si="107"/>
        <v>25300000</v>
      </c>
      <c r="P353" s="47">
        <v>0.1265</v>
      </c>
      <c r="Q353" s="919">
        <v>0.89250399999999996</v>
      </c>
      <c r="R353" s="22">
        <f t="shared" si="108"/>
        <v>17850080</v>
      </c>
      <c r="S353" s="12">
        <v>0.12606999999999999</v>
      </c>
      <c r="T353" s="75">
        <f t="shared" si="109"/>
        <v>278021.97802197805</v>
      </c>
      <c r="U353" s="563"/>
      <c r="V353" s="13">
        <f t="shared" si="110"/>
        <v>278021.97802197805</v>
      </c>
      <c r="W353" s="13"/>
      <c r="X353" s="29"/>
      <c r="Y353" s="29"/>
      <c r="Z353" s="30"/>
      <c r="AA353" s="30"/>
      <c r="AB353" s="30"/>
      <c r="AC353" s="29"/>
      <c r="AD353" s="29"/>
      <c r="AE353" s="30"/>
    </row>
    <row r="354" spans="1:31" s="665" customFormat="1" ht="22.5" customHeight="1" x14ac:dyDescent="0.25">
      <c r="A354" s="44" t="s">
        <v>282</v>
      </c>
      <c r="B354" s="45" t="s">
        <v>175</v>
      </c>
      <c r="C354" s="45"/>
      <c r="D354" s="736">
        <v>44396</v>
      </c>
      <c r="E354" s="736">
        <v>45068</v>
      </c>
      <c r="F354" s="73">
        <v>1638</v>
      </c>
      <c r="G354" s="73">
        <f t="shared" si="104"/>
        <v>3640</v>
      </c>
      <c r="H354" s="73">
        <f>[27]Sheet1!H74</f>
        <v>0</v>
      </c>
      <c r="I354" s="73">
        <f t="shared" si="105"/>
        <v>3640</v>
      </c>
      <c r="J354" s="736">
        <f t="shared" si="113"/>
        <v>48708</v>
      </c>
      <c r="K354" s="736">
        <f t="shared" si="106"/>
        <v>45250</v>
      </c>
      <c r="L354" s="46">
        <v>80000000</v>
      </c>
      <c r="M354" s="18"/>
      <c r="N354" s="46">
        <v>81572800</v>
      </c>
      <c r="O354" s="20">
        <f t="shared" si="107"/>
        <v>101200000</v>
      </c>
      <c r="P354" s="47">
        <v>0.1265</v>
      </c>
      <c r="Q354" s="919">
        <v>0.89250399999999996</v>
      </c>
      <c r="R354" s="22">
        <f t="shared" si="108"/>
        <v>71400320</v>
      </c>
      <c r="S354" s="12">
        <v>0.12640000000000001</v>
      </c>
      <c r="T354" s="75">
        <f t="shared" si="109"/>
        <v>1112087.9120879122</v>
      </c>
      <c r="U354" s="563"/>
      <c r="V354" s="13">
        <f t="shared" si="110"/>
        <v>1112087.9120879122</v>
      </c>
      <c r="W354" s="13"/>
      <c r="X354" s="29"/>
      <c r="Y354" s="29"/>
      <c r="Z354" s="30"/>
      <c r="AA354" s="30"/>
      <c r="AB354" s="30"/>
      <c r="AC354" s="29"/>
      <c r="AD354" s="29"/>
      <c r="AE354" s="30"/>
    </row>
    <row r="355" spans="1:31" s="665" customFormat="1" ht="22.5" customHeight="1" x14ac:dyDescent="0.25">
      <c r="A355" s="44" t="s">
        <v>282</v>
      </c>
      <c r="B355" s="45" t="s">
        <v>175</v>
      </c>
      <c r="C355" s="45"/>
      <c r="D355" s="736">
        <v>44396</v>
      </c>
      <c r="E355" s="736">
        <v>45068</v>
      </c>
      <c r="F355" s="73">
        <v>1638</v>
      </c>
      <c r="G355" s="73">
        <f t="shared" si="104"/>
        <v>3640</v>
      </c>
      <c r="H355" s="73">
        <f>[27]Sheet1!H75</f>
        <v>0</v>
      </c>
      <c r="I355" s="73">
        <f t="shared" si="105"/>
        <v>3640</v>
      </c>
      <c r="J355" s="736">
        <f t="shared" si="113"/>
        <v>48708</v>
      </c>
      <c r="K355" s="736">
        <f t="shared" si="106"/>
        <v>45250</v>
      </c>
      <c r="L355" s="46">
        <v>90000000</v>
      </c>
      <c r="M355" s="18"/>
      <c r="N355" s="46">
        <v>91714500</v>
      </c>
      <c r="O355" s="20">
        <f t="shared" si="107"/>
        <v>113850000</v>
      </c>
      <c r="P355" s="47">
        <v>0.1265</v>
      </c>
      <c r="Q355" s="919">
        <v>0.89250399999999996</v>
      </c>
      <c r="R355" s="22">
        <f t="shared" si="108"/>
        <v>80325360</v>
      </c>
      <c r="S355" s="12">
        <v>0.1265</v>
      </c>
      <c r="T355" s="75">
        <f t="shared" si="109"/>
        <v>1251098.9010989012</v>
      </c>
      <c r="U355" s="563"/>
      <c r="V355" s="13">
        <f t="shared" si="110"/>
        <v>1251098.9010989012</v>
      </c>
      <c r="W355" s="13"/>
      <c r="X355" s="29"/>
      <c r="Y355" s="29"/>
      <c r="Z355" s="30"/>
      <c r="AA355" s="30"/>
      <c r="AB355" s="30"/>
      <c r="AC355" s="29"/>
      <c r="AD355" s="29"/>
      <c r="AE355" s="30"/>
    </row>
    <row r="356" spans="1:31" s="665" customFormat="1" ht="22.5" customHeight="1" x14ac:dyDescent="0.25">
      <c r="A356" s="44" t="s">
        <v>282</v>
      </c>
      <c r="B356" s="45" t="s">
        <v>175</v>
      </c>
      <c r="C356" s="45"/>
      <c r="D356" s="736">
        <v>44396</v>
      </c>
      <c r="E356" s="736">
        <v>45068</v>
      </c>
      <c r="F356" s="73">
        <v>1638</v>
      </c>
      <c r="G356" s="73">
        <f t="shared" si="104"/>
        <v>3640</v>
      </c>
      <c r="H356" s="73">
        <f>[27]Sheet1!H76</f>
        <v>0</v>
      </c>
      <c r="I356" s="73">
        <f t="shared" si="105"/>
        <v>3640</v>
      </c>
      <c r="J356" s="736">
        <f t="shared" si="113"/>
        <v>48708</v>
      </c>
      <c r="K356" s="736">
        <f t="shared" si="106"/>
        <v>45250</v>
      </c>
      <c r="L356" s="46">
        <v>80000000</v>
      </c>
      <c r="M356" s="18"/>
      <c r="N356" s="46">
        <v>81427200</v>
      </c>
      <c r="O356" s="20">
        <f t="shared" si="107"/>
        <v>101200000</v>
      </c>
      <c r="P356" s="47">
        <v>0.1265</v>
      </c>
      <c r="Q356" s="919">
        <v>0.89250399999999996</v>
      </c>
      <c r="R356" s="22">
        <f t="shared" si="108"/>
        <v>71400320</v>
      </c>
      <c r="S356" s="12">
        <v>0.12670000000000001</v>
      </c>
      <c r="T356" s="75">
        <f t="shared" si="109"/>
        <v>1112087.9120879122</v>
      </c>
      <c r="U356" s="563"/>
      <c r="V356" s="13">
        <f t="shared" si="110"/>
        <v>1112087.9120879122</v>
      </c>
      <c r="W356" s="13"/>
      <c r="X356" s="29"/>
      <c r="Y356" s="29"/>
      <c r="Z356" s="30"/>
      <c r="AA356" s="30"/>
      <c r="AB356" s="30"/>
      <c r="AC356" s="29"/>
      <c r="AD356" s="29"/>
      <c r="AE356" s="30"/>
    </row>
    <row r="357" spans="1:31" s="665" customFormat="1" ht="22.5" customHeight="1" x14ac:dyDescent="0.25">
      <c r="A357" s="44" t="s">
        <v>282</v>
      </c>
      <c r="B357" s="45" t="s">
        <v>175</v>
      </c>
      <c r="C357" s="45"/>
      <c r="D357" s="736">
        <v>44396</v>
      </c>
      <c r="E357" s="736">
        <v>45068</v>
      </c>
      <c r="F357" s="73">
        <v>1638</v>
      </c>
      <c r="G357" s="73">
        <f t="shared" si="104"/>
        <v>3640</v>
      </c>
      <c r="H357" s="73">
        <f>[27]Sheet1!H77</f>
        <v>0</v>
      </c>
      <c r="I357" s="73">
        <f t="shared" si="105"/>
        <v>3640</v>
      </c>
      <c r="J357" s="736">
        <f t="shared" si="113"/>
        <v>48708</v>
      </c>
      <c r="K357" s="736">
        <f t="shared" si="106"/>
        <v>45250</v>
      </c>
      <c r="L357" s="46">
        <v>80000000</v>
      </c>
      <c r="M357" s="18"/>
      <c r="N357" s="46">
        <v>81330400</v>
      </c>
      <c r="O357" s="20">
        <f t="shared" si="107"/>
        <v>101200000</v>
      </c>
      <c r="P357" s="47">
        <v>0.1265</v>
      </c>
      <c r="Q357" s="919">
        <v>0.89250399999999996</v>
      </c>
      <c r="R357" s="22">
        <f t="shared" si="108"/>
        <v>71400320</v>
      </c>
      <c r="S357" s="12">
        <v>0.12690000000000001</v>
      </c>
      <c r="T357" s="75">
        <f t="shared" si="109"/>
        <v>1112087.9120879122</v>
      </c>
      <c r="U357" s="563"/>
      <c r="V357" s="13">
        <f t="shared" si="110"/>
        <v>1112087.9120879122</v>
      </c>
      <c r="W357" s="13"/>
      <c r="X357" s="29"/>
      <c r="Y357" s="29"/>
      <c r="Z357" s="30"/>
      <c r="AA357" s="30"/>
      <c r="AB357" s="30"/>
      <c r="AC357" s="29"/>
      <c r="AD357" s="29"/>
      <c r="AE357" s="30"/>
    </row>
    <row r="358" spans="1:31" s="665" customFormat="1" ht="22.5" customHeight="1" x14ac:dyDescent="0.25">
      <c r="A358" s="44" t="s">
        <v>282</v>
      </c>
      <c r="B358" s="45" t="s">
        <v>175</v>
      </c>
      <c r="C358" s="45"/>
      <c r="D358" s="736">
        <v>44396</v>
      </c>
      <c r="E358" s="736">
        <v>45068</v>
      </c>
      <c r="F358" s="73">
        <v>1638</v>
      </c>
      <c r="G358" s="73">
        <f t="shared" si="104"/>
        <v>3640</v>
      </c>
      <c r="H358" s="73">
        <f>[27]Sheet1!H78</f>
        <v>0</v>
      </c>
      <c r="I358" s="73">
        <f t="shared" si="105"/>
        <v>3640</v>
      </c>
      <c r="J358" s="736">
        <f t="shared" si="113"/>
        <v>48708</v>
      </c>
      <c r="K358" s="736">
        <f t="shared" si="106"/>
        <v>45250</v>
      </c>
      <c r="L358" s="46">
        <v>50000000</v>
      </c>
      <c r="M358" s="18"/>
      <c r="N358" s="46">
        <v>50801500</v>
      </c>
      <c r="O358" s="20">
        <f t="shared" si="107"/>
        <v>63250000</v>
      </c>
      <c r="P358" s="47">
        <v>0.1265</v>
      </c>
      <c r="Q358" s="919">
        <v>0.89250399999999996</v>
      </c>
      <c r="R358" s="22">
        <f t="shared" si="108"/>
        <v>44625200</v>
      </c>
      <c r="S358" s="12">
        <v>0.127</v>
      </c>
      <c r="T358" s="75">
        <f t="shared" si="109"/>
        <v>695054.94505494495</v>
      </c>
      <c r="U358" s="563"/>
      <c r="V358" s="13">
        <f t="shared" si="110"/>
        <v>695054.94505494495</v>
      </c>
      <c r="W358" s="13"/>
      <c r="X358" s="29"/>
      <c r="Y358" s="29"/>
      <c r="Z358" s="30"/>
      <c r="AA358" s="30"/>
      <c r="AB358" s="30"/>
      <c r="AC358" s="29"/>
      <c r="AD358" s="29"/>
      <c r="AE358" s="30"/>
    </row>
    <row r="359" spans="1:31" s="665" customFormat="1" ht="22.5" customHeight="1" x14ac:dyDescent="0.25">
      <c r="A359" s="44" t="s">
        <v>300</v>
      </c>
      <c r="B359" s="45" t="s">
        <v>175</v>
      </c>
      <c r="C359" s="45"/>
      <c r="D359" s="736">
        <v>44543</v>
      </c>
      <c r="E359" s="736">
        <v>45068</v>
      </c>
      <c r="F359" s="73">
        <v>1638</v>
      </c>
      <c r="G359" s="73">
        <f t="shared" si="104"/>
        <v>2366</v>
      </c>
      <c r="H359" s="73">
        <f>[27]Sheet1!H73</f>
        <v>0</v>
      </c>
      <c r="I359" s="73">
        <f t="shared" si="105"/>
        <v>2366</v>
      </c>
      <c r="J359" s="736">
        <f>D359+(2891)</f>
        <v>47434</v>
      </c>
      <c r="K359" s="736">
        <f t="shared" si="106"/>
        <v>45250</v>
      </c>
      <c r="L359" s="46">
        <v>20000000</v>
      </c>
      <c r="M359" s="18"/>
      <c r="N359" s="46">
        <v>19781600</v>
      </c>
      <c r="O359" s="20">
        <f t="shared" si="107"/>
        <v>15964000</v>
      </c>
      <c r="P359" s="47">
        <v>0.12280000000000001</v>
      </c>
      <c r="Q359" s="919">
        <v>0.90732900000000005</v>
      </c>
      <c r="R359" s="22">
        <f t="shared" si="108"/>
        <v>18146580</v>
      </c>
      <c r="S359" s="12">
        <v>0.12642</v>
      </c>
      <c r="T359" s="75">
        <f t="shared" si="109"/>
        <v>269890.10989010986</v>
      </c>
      <c r="U359" s="563"/>
      <c r="V359" s="13">
        <f t="shared" si="110"/>
        <v>269890.10989010986</v>
      </c>
      <c r="W359" s="13"/>
      <c r="X359" s="29"/>
      <c r="Y359" s="29"/>
      <c r="Z359" s="30"/>
      <c r="AA359" s="30"/>
      <c r="AB359" s="30"/>
      <c r="AC359" s="29"/>
      <c r="AD359" s="29"/>
      <c r="AE359" s="30"/>
    </row>
    <row r="360" spans="1:31" s="665" customFormat="1" ht="22.5" customHeight="1" x14ac:dyDescent="0.25">
      <c r="A360" s="44" t="s">
        <v>300</v>
      </c>
      <c r="B360" s="45" t="s">
        <v>175</v>
      </c>
      <c r="C360" s="45"/>
      <c r="D360" s="736">
        <v>44543</v>
      </c>
      <c r="E360" s="736">
        <v>45068</v>
      </c>
      <c r="F360" s="73">
        <v>1638</v>
      </c>
      <c r="G360" s="73">
        <f t="shared" si="104"/>
        <v>2366</v>
      </c>
      <c r="H360" s="73">
        <f>[27]Sheet1!H74</f>
        <v>0</v>
      </c>
      <c r="I360" s="73">
        <f t="shared" si="105"/>
        <v>2366</v>
      </c>
      <c r="J360" s="736">
        <f>D360+(2891)</f>
        <v>47434</v>
      </c>
      <c r="K360" s="736">
        <f t="shared" si="106"/>
        <v>45250</v>
      </c>
      <c r="L360" s="46">
        <v>20000000</v>
      </c>
      <c r="M360" s="18"/>
      <c r="N360" s="46">
        <v>20018800</v>
      </c>
      <c r="O360" s="20">
        <f t="shared" si="107"/>
        <v>15964000</v>
      </c>
      <c r="P360" s="47">
        <v>0.12280000000000001</v>
      </c>
      <c r="Q360" s="919">
        <v>0.90732900000000005</v>
      </c>
      <c r="R360" s="22">
        <f t="shared" si="108"/>
        <v>18146580</v>
      </c>
      <c r="S360" s="12">
        <v>0.124</v>
      </c>
      <c r="T360" s="75">
        <f t="shared" si="109"/>
        <v>269890.10989010986</v>
      </c>
      <c r="U360" s="563"/>
      <c r="V360" s="13">
        <f t="shared" si="110"/>
        <v>269890.10989010986</v>
      </c>
      <c r="W360" s="13"/>
      <c r="X360" s="29"/>
      <c r="Y360" s="29"/>
      <c r="Z360" s="30"/>
      <c r="AA360" s="30"/>
      <c r="AB360" s="30"/>
      <c r="AC360" s="29"/>
      <c r="AD360" s="29"/>
      <c r="AE360" s="30"/>
    </row>
    <row r="361" spans="1:31" s="665" customFormat="1" ht="22.5" customHeight="1" x14ac:dyDescent="0.25">
      <c r="A361" s="44" t="s">
        <v>300</v>
      </c>
      <c r="B361" s="45" t="s">
        <v>175</v>
      </c>
      <c r="C361" s="45"/>
      <c r="D361" s="736">
        <v>44543</v>
      </c>
      <c r="E361" s="736">
        <v>45068</v>
      </c>
      <c r="F361" s="73">
        <v>1638</v>
      </c>
      <c r="G361" s="73">
        <f t="shared" si="104"/>
        <v>2366</v>
      </c>
      <c r="H361" s="73">
        <f>[27]Sheet1!H75</f>
        <v>0</v>
      </c>
      <c r="I361" s="73">
        <f t="shared" si="105"/>
        <v>2366</v>
      </c>
      <c r="J361" s="736">
        <f>D361+(2891)</f>
        <v>47434</v>
      </c>
      <c r="K361" s="736">
        <f t="shared" si="106"/>
        <v>45250</v>
      </c>
      <c r="L361" s="46">
        <v>10000000</v>
      </c>
      <c r="M361" s="18"/>
      <c r="N361" s="46">
        <v>9984700</v>
      </c>
      <c r="O361" s="20">
        <f t="shared" si="107"/>
        <v>7982000</v>
      </c>
      <c r="P361" s="47">
        <v>0.12280000000000001</v>
      </c>
      <c r="Q361" s="919">
        <v>0.90732900000000005</v>
      </c>
      <c r="R361" s="22">
        <f t="shared" si="108"/>
        <v>9073290</v>
      </c>
      <c r="S361" s="12">
        <v>0.1245</v>
      </c>
      <c r="T361" s="75">
        <f t="shared" si="109"/>
        <v>134945.05494505493</v>
      </c>
      <c r="U361" s="563"/>
      <c r="V361" s="13">
        <f t="shared" si="110"/>
        <v>134945.05494505493</v>
      </c>
      <c r="W361" s="13"/>
      <c r="X361" s="29"/>
      <c r="Y361" s="29"/>
      <c r="Z361" s="30"/>
      <c r="AA361" s="30"/>
      <c r="AB361" s="30"/>
      <c r="AC361" s="29"/>
      <c r="AD361" s="29"/>
      <c r="AE361" s="30"/>
    </row>
    <row r="362" spans="1:31" s="665" customFormat="1" ht="22.5" customHeight="1" x14ac:dyDescent="0.25">
      <c r="A362" s="44" t="s">
        <v>300</v>
      </c>
      <c r="B362" s="45" t="s">
        <v>175</v>
      </c>
      <c r="C362" s="45"/>
      <c r="D362" s="736">
        <v>44543</v>
      </c>
      <c r="E362" s="736">
        <v>45068</v>
      </c>
      <c r="F362" s="73">
        <v>1638</v>
      </c>
      <c r="G362" s="73">
        <f t="shared" si="104"/>
        <v>2366</v>
      </c>
      <c r="H362" s="73">
        <f>[27]Sheet1!H76</f>
        <v>0</v>
      </c>
      <c r="I362" s="73">
        <f t="shared" si="105"/>
        <v>2366</v>
      </c>
      <c r="J362" s="736">
        <f>D362+(2891)</f>
        <v>47434</v>
      </c>
      <c r="K362" s="736">
        <f t="shared" si="106"/>
        <v>45250</v>
      </c>
      <c r="L362" s="46">
        <v>10000000</v>
      </c>
      <c r="M362" s="18"/>
      <c r="N362" s="46">
        <v>9960100</v>
      </c>
      <c r="O362" s="20">
        <f t="shared" si="107"/>
        <v>7982000</v>
      </c>
      <c r="P362" s="47">
        <v>0.12280000000000001</v>
      </c>
      <c r="Q362" s="919">
        <v>0.90732900000000005</v>
      </c>
      <c r="R362" s="22">
        <f t="shared" si="108"/>
        <v>9073290</v>
      </c>
      <c r="S362" s="12">
        <v>0.125</v>
      </c>
      <c r="T362" s="75">
        <f t="shared" si="109"/>
        <v>134945.05494505493</v>
      </c>
      <c r="U362" s="563"/>
      <c r="V362" s="13">
        <f t="shared" si="110"/>
        <v>134945.05494505493</v>
      </c>
      <c r="W362" s="13"/>
      <c r="X362" s="29"/>
      <c r="Y362" s="29"/>
      <c r="Z362" s="30"/>
      <c r="AA362" s="30"/>
      <c r="AB362" s="30"/>
      <c r="AC362" s="29"/>
      <c r="AD362" s="29"/>
      <c r="AE362" s="30"/>
    </row>
    <row r="363" spans="1:31" s="665" customFormat="1" ht="22.5" customHeight="1" x14ac:dyDescent="0.25">
      <c r="A363" s="44" t="s">
        <v>167</v>
      </c>
      <c r="B363" s="45" t="s">
        <v>175</v>
      </c>
      <c r="C363" s="45"/>
      <c r="D363" s="736">
        <v>42352</v>
      </c>
      <c r="E363" s="736">
        <v>45082</v>
      </c>
      <c r="F363" s="73">
        <v>2730</v>
      </c>
      <c r="G363" s="73">
        <f t="shared" si="104"/>
        <v>546</v>
      </c>
      <c r="H363" s="73">
        <f>[27]Sheet1!H54</f>
        <v>0</v>
      </c>
      <c r="I363" s="73">
        <f t="shared" si="105"/>
        <v>546</v>
      </c>
      <c r="J363" s="736">
        <f>D363+364*9</f>
        <v>45628</v>
      </c>
      <c r="K363" s="736">
        <f t="shared" si="106"/>
        <v>45264</v>
      </c>
      <c r="L363" s="46">
        <f>13100000-6450000</f>
        <v>6650000</v>
      </c>
      <c r="M363" s="18"/>
      <c r="N363" s="46">
        <v>16849000</v>
      </c>
      <c r="O363" s="20">
        <f t="shared" si="107"/>
        <v>1097250</v>
      </c>
      <c r="P363" s="47">
        <v>0.11</v>
      </c>
      <c r="Q363" s="919">
        <v>1.031603</v>
      </c>
      <c r="R363" s="22">
        <f t="shared" si="108"/>
        <v>6860159.9500000002</v>
      </c>
      <c r="S363" s="12">
        <v>0.14752999999999999</v>
      </c>
      <c r="T363" s="75">
        <f t="shared" si="109"/>
        <v>52250</v>
      </c>
      <c r="U363" s="563"/>
      <c r="V363" s="13">
        <f t="shared" si="110"/>
        <v>52250</v>
      </c>
      <c r="W363" s="13"/>
      <c r="X363" s="29"/>
      <c r="Y363" s="29"/>
      <c r="Z363" s="30"/>
      <c r="AA363" s="30"/>
      <c r="AB363" s="30"/>
      <c r="AC363" s="29"/>
      <c r="AD363" s="29"/>
      <c r="AE363" s="30"/>
    </row>
    <row r="364" spans="1:31" s="665" customFormat="1" ht="22.5" customHeight="1" x14ac:dyDescent="0.25">
      <c r="A364" s="44" t="s">
        <v>167</v>
      </c>
      <c r="B364" s="45" t="s">
        <v>175</v>
      </c>
      <c r="C364" s="45"/>
      <c r="D364" s="736">
        <v>42352</v>
      </c>
      <c r="E364" s="736">
        <v>45082</v>
      </c>
      <c r="F364" s="73">
        <v>2730</v>
      </c>
      <c r="G364" s="73">
        <f t="shared" si="104"/>
        <v>546</v>
      </c>
      <c r="H364" s="73">
        <f>[27]Sheet1!H55</f>
        <v>0</v>
      </c>
      <c r="I364" s="73">
        <f t="shared" si="105"/>
        <v>546</v>
      </c>
      <c r="J364" s="736">
        <f>D364+364*9</f>
        <v>45628</v>
      </c>
      <c r="K364" s="736">
        <f t="shared" si="106"/>
        <v>45264</v>
      </c>
      <c r="L364" s="46">
        <f>13100000-6450000</f>
        <v>6650000</v>
      </c>
      <c r="M364" s="18"/>
      <c r="N364" s="46">
        <v>17407600</v>
      </c>
      <c r="O364" s="20">
        <f t="shared" si="107"/>
        <v>1097250</v>
      </c>
      <c r="P364" s="47">
        <v>0.11</v>
      </c>
      <c r="Q364" s="919">
        <v>1.031603</v>
      </c>
      <c r="R364" s="22">
        <f t="shared" si="108"/>
        <v>6860159.9500000002</v>
      </c>
      <c r="S364" s="12">
        <v>0.14019999999999999</v>
      </c>
      <c r="T364" s="75">
        <f t="shared" si="109"/>
        <v>52250</v>
      </c>
      <c r="U364" s="563"/>
      <c r="V364" s="13">
        <f t="shared" si="110"/>
        <v>52250</v>
      </c>
      <c r="W364" s="13"/>
      <c r="X364" s="29"/>
      <c r="Y364" s="29"/>
      <c r="Z364" s="30"/>
      <c r="AA364" s="30"/>
      <c r="AB364" s="30"/>
      <c r="AC364" s="29"/>
      <c r="AD364" s="29"/>
      <c r="AE364" s="30"/>
    </row>
    <row r="365" spans="1:31" s="665" customFormat="1" ht="22.5" customHeight="1" x14ac:dyDescent="0.25">
      <c r="A365" s="44" t="s">
        <v>167</v>
      </c>
      <c r="B365" s="45" t="s">
        <v>175</v>
      </c>
      <c r="C365" s="45"/>
      <c r="D365" s="736">
        <v>42352</v>
      </c>
      <c r="E365" s="736">
        <v>45082</v>
      </c>
      <c r="F365" s="73">
        <v>2730</v>
      </c>
      <c r="G365" s="73">
        <f t="shared" ref="G365:G382" si="114">J365-E365</f>
        <v>546</v>
      </c>
      <c r="H365" s="73">
        <f>[27]Sheet1!H56</f>
        <v>0</v>
      </c>
      <c r="I365" s="73">
        <f t="shared" ref="I365:I382" si="115">G365-H365</f>
        <v>546</v>
      </c>
      <c r="J365" s="736">
        <f>D365+364*9</f>
        <v>45628</v>
      </c>
      <c r="K365" s="736">
        <f t="shared" ref="K365:K382" si="116">E365+182</f>
        <v>45264</v>
      </c>
      <c r="L365" s="46">
        <f>13100000-6450000</f>
        <v>6650000</v>
      </c>
      <c r="M365" s="18"/>
      <c r="N365" s="46">
        <v>17407600</v>
      </c>
      <c r="O365" s="20">
        <f t="shared" ref="O365:O382" si="117">L365*P365*G365/364</f>
        <v>1097250</v>
      </c>
      <c r="P365" s="47">
        <v>0.11</v>
      </c>
      <c r="Q365" s="919">
        <v>1.031603</v>
      </c>
      <c r="R365" s="22">
        <f t="shared" ref="R365:R382" si="118">+L365*Q365</f>
        <v>6860159.9500000002</v>
      </c>
      <c r="S365" s="12">
        <v>0.14019999999999999</v>
      </c>
      <c r="T365" s="75">
        <f t="shared" ref="T365:T382" si="119">O365/G365*(T$1-E365+1)</f>
        <v>52250</v>
      </c>
      <c r="U365" s="563"/>
      <c r="V365" s="13">
        <f t="shared" ref="V365:V382" si="120">+T365-U365</f>
        <v>52250</v>
      </c>
      <c r="W365" s="13"/>
      <c r="X365" s="29"/>
      <c r="Y365" s="29"/>
      <c r="Z365" s="30"/>
      <c r="AA365" s="30"/>
      <c r="AB365" s="30"/>
      <c r="AC365" s="29"/>
      <c r="AD365" s="29"/>
      <c r="AE365" s="30"/>
    </row>
    <row r="366" spans="1:31" s="665" customFormat="1" ht="22.5" customHeight="1" x14ac:dyDescent="0.25">
      <c r="A366" s="44" t="s">
        <v>167</v>
      </c>
      <c r="B366" s="45" t="s">
        <v>175</v>
      </c>
      <c r="C366" s="45"/>
      <c r="D366" s="736">
        <v>42352</v>
      </c>
      <c r="E366" s="736">
        <v>45082</v>
      </c>
      <c r="F366" s="73">
        <v>2730</v>
      </c>
      <c r="G366" s="73">
        <f t="shared" si="114"/>
        <v>546</v>
      </c>
      <c r="H366" s="73">
        <f>[27]Sheet1!H90</f>
        <v>0</v>
      </c>
      <c r="I366" s="73">
        <f t="shared" si="115"/>
        <v>546</v>
      </c>
      <c r="J366" s="736">
        <f>D366+364*9</f>
        <v>45628</v>
      </c>
      <c r="K366" s="736">
        <f t="shared" si="116"/>
        <v>45264</v>
      </c>
      <c r="L366" s="46">
        <f>45850000-22450000</f>
        <v>23400000</v>
      </c>
      <c r="M366" s="18"/>
      <c r="N366" s="46">
        <v>59119900</v>
      </c>
      <c r="O366" s="20">
        <f t="shared" si="117"/>
        <v>3861000</v>
      </c>
      <c r="P366" s="47">
        <v>0.11</v>
      </c>
      <c r="Q366" s="919">
        <v>1.031603</v>
      </c>
      <c r="R366" s="22">
        <f t="shared" si="118"/>
        <v>24139510.199999999</v>
      </c>
      <c r="S366" s="12">
        <v>0.14752999999999999</v>
      </c>
      <c r="T366" s="75">
        <f t="shared" si="119"/>
        <v>183857.14285714287</v>
      </c>
      <c r="U366" s="563"/>
      <c r="V366" s="13">
        <f t="shared" si="120"/>
        <v>183857.14285714287</v>
      </c>
      <c r="W366" s="13"/>
      <c r="X366" s="29"/>
      <c r="Y366" s="29"/>
      <c r="Z366" s="30"/>
      <c r="AA366" s="30"/>
      <c r="AB366" s="30"/>
      <c r="AC366" s="29"/>
      <c r="AD366" s="29"/>
      <c r="AE366" s="30"/>
    </row>
    <row r="367" spans="1:31" s="665" customFormat="1" ht="22.5" customHeight="1" x14ac:dyDescent="0.25">
      <c r="A367" s="44" t="s">
        <v>125</v>
      </c>
      <c r="B367" s="45" t="s">
        <v>175</v>
      </c>
      <c r="C367" s="45">
        <v>40659</v>
      </c>
      <c r="D367" s="736">
        <v>40659</v>
      </c>
      <c r="E367" s="736">
        <v>45089</v>
      </c>
      <c r="F367" s="73">
        <v>3094</v>
      </c>
      <c r="G367" s="73">
        <f t="shared" si="114"/>
        <v>910</v>
      </c>
      <c r="H367" s="73">
        <f>[27]Sheet1!H24</f>
        <v>0</v>
      </c>
      <c r="I367" s="73">
        <f t="shared" si="115"/>
        <v>910</v>
      </c>
      <c r="J367" s="736">
        <f>D367+364*15-120</f>
        <v>45999</v>
      </c>
      <c r="K367" s="736">
        <f t="shared" si="116"/>
        <v>45271</v>
      </c>
      <c r="L367" s="46">
        <v>10000000</v>
      </c>
      <c r="M367" s="18"/>
      <c r="N367" s="46">
        <v>7969200</v>
      </c>
      <c r="O367" s="20">
        <f t="shared" si="117"/>
        <v>2250000</v>
      </c>
      <c r="P367" s="47">
        <v>0.09</v>
      </c>
      <c r="Q367" s="919">
        <v>0.93560200000000004</v>
      </c>
      <c r="R367" s="22">
        <f t="shared" si="118"/>
        <v>9356020</v>
      </c>
      <c r="S367" s="12">
        <v>0.1249</v>
      </c>
      <c r="T367" s="75">
        <f t="shared" si="119"/>
        <v>46978.021978021978</v>
      </c>
      <c r="U367" s="563"/>
      <c r="V367" s="13">
        <f t="shared" si="120"/>
        <v>46978.021978021978</v>
      </c>
      <c r="W367" s="13"/>
      <c r="X367" s="29"/>
      <c r="Y367" s="29"/>
      <c r="Z367" s="30"/>
      <c r="AA367" s="30"/>
      <c r="AB367" s="30"/>
      <c r="AC367" s="29"/>
      <c r="AD367" s="29"/>
      <c r="AE367" s="30"/>
    </row>
    <row r="368" spans="1:31" s="665" customFormat="1" ht="22.5" customHeight="1" x14ac:dyDescent="0.25">
      <c r="A368" s="44" t="s">
        <v>125</v>
      </c>
      <c r="B368" s="45" t="s">
        <v>175</v>
      </c>
      <c r="C368" s="45">
        <v>40659</v>
      </c>
      <c r="D368" s="736">
        <v>40659</v>
      </c>
      <c r="E368" s="736">
        <v>45089</v>
      </c>
      <c r="F368" s="73">
        <v>3094</v>
      </c>
      <c r="G368" s="73">
        <f t="shared" si="114"/>
        <v>910</v>
      </c>
      <c r="H368" s="73">
        <f>[27]Sheet1!H25</f>
        <v>0</v>
      </c>
      <c r="I368" s="73">
        <f t="shared" si="115"/>
        <v>910</v>
      </c>
      <c r="J368" s="736">
        <f>D368+364*15-120</f>
        <v>45999</v>
      </c>
      <c r="K368" s="736">
        <f t="shared" si="116"/>
        <v>45271</v>
      </c>
      <c r="L368" s="46">
        <v>10000000</v>
      </c>
      <c r="M368" s="18"/>
      <c r="N368" s="46">
        <v>8107300</v>
      </c>
      <c r="O368" s="20">
        <f t="shared" si="117"/>
        <v>2250000</v>
      </c>
      <c r="P368" s="47">
        <v>0.09</v>
      </c>
      <c r="Q368" s="919">
        <v>0.93560200000000004</v>
      </c>
      <c r="R368" s="22">
        <f t="shared" si="118"/>
        <v>9356020</v>
      </c>
      <c r="S368" s="12">
        <v>0.12239999999999999</v>
      </c>
      <c r="T368" s="75">
        <f t="shared" si="119"/>
        <v>46978.021978021978</v>
      </c>
      <c r="U368" s="563"/>
      <c r="V368" s="13">
        <f t="shared" si="120"/>
        <v>46978.021978021978</v>
      </c>
      <c r="W368" s="13"/>
      <c r="X368" s="29"/>
      <c r="Y368" s="29"/>
      <c r="Z368" s="30"/>
      <c r="AA368" s="30"/>
      <c r="AB368" s="30"/>
      <c r="AC368" s="29"/>
      <c r="AD368" s="29"/>
      <c r="AE368" s="30"/>
    </row>
    <row r="369" spans="1:31" s="665" customFormat="1" ht="22.5" customHeight="1" x14ac:dyDescent="0.25">
      <c r="A369" s="44" t="s">
        <v>125</v>
      </c>
      <c r="B369" s="45" t="s">
        <v>175</v>
      </c>
      <c r="C369" s="45">
        <v>40659</v>
      </c>
      <c r="D369" s="736">
        <v>40659</v>
      </c>
      <c r="E369" s="736">
        <v>45089</v>
      </c>
      <c r="F369" s="73">
        <v>3094</v>
      </c>
      <c r="G369" s="73">
        <f t="shared" si="114"/>
        <v>910</v>
      </c>
      <c r="H369" s="73">
        <f>[27]Sheet1!H58</f>
        <v>0</v>
      </c>
      <c r="I369" s="73">
        <f t="shared" si="115"/>
        <v>910</v>
      </c>
      <c r="J369" s="736">
        <f>D369+364*15-120</f>
        <v>45999</v>
      </c>
      <c r="K369" s="736">
        <f t="shared" si="116"/>
        <v>45271</v>
      </c>
      <c r="L369" s="46">
        <v>25000000</v>
      </c>
      <c r="M369" s="18"/>
      <c r="N369" s="46">
        <v>19923000</v>
      </c>
      <c r="O369" s="20">
        <f t="shared" si="117"/>
        <v>5625000</v>
      </c>
      <c r="P369" s="47">
        <v>0.09</v>
      </c>
      <c r="Q369" s="919">
        <v>0.93560200000000004</v>
      </c>
      <c r="R369" s="22">
        <f t="shared" si="118"/>
        <v>23390050</v>
      </c>
      <c r="S369" s="12">
        <v>0.1249</v>
      </c>
      <c r="T369" s="75">
        <f t="shared" si="119"/>
        <v>117445.05494505494</v>
      </c>
      <c r="U369" s="563"/>
      <c r="V369" s="13">
        <f t="shared" si="120"/>
        <v>117445.05494505494</v>
      </c>
      <c r="W369" s="13"/>
      <c r="X369" s="29"/>
      <c r="Y369" s="29"/>
      <c r="Z369" s="30"/>
      <c r="AA369" s="30"/>
      <c r="AB369" s="30"/>
      <c r="AC369" s="29"/>
      <c r="AD369" s="29"/>
      <c r="AE369" s="30"/>
    </row>
    <row r="370" spans="1:31" s="665" customFormat="1" ht="22.5" customHeight="1" x14ac:dyDescent="0.25">
      <c r="A370" s="44" t="s">
        <v>196</v>
      </c>
      <c r="B370" s="45" t="s">
        <v>175</v>
      </c>
      <c r="C370" s="45"/>
      <c r="D370" s="736">
        <v>42576</v>
      </c>
      <c r="E370" s="736">
        <v>45089</v>
      </c>
      <c r="F370" s="73">
        <v>3969.42</v>
      </c>
      <c r="G370" s="73">
        <f t="shared" si="114"/>
        <v>1820</v>
      </c>
      <c r="H370" s="73">
        <f>[27]Sheet1!H52</f>
        <v>0</v>
      </c>
      <c r="I370" s="73">
        <f t="shared" si="115"/>
        <v>1820</v>
      </c>
      <c r="J370" s="736">
        <v>46909</v>
      </c>
      <c r="K370" s="736">
        <f t="shared" si="116"/>
        <v>45271</v>
      </c>
      <c r="L370" s="46">
        <v>10000000</v>
      </c>
      <c r="M370" s="18"/>
      <c r="N370" s="46">
        <v>9397500</v>
      </c>
      <c r="O370" s="20">
        <f t="shared" si="117"/>
        <v>6875000</v>
      </c>
      <c r="P370" s="47">
        <v>0.13750000000000001</v>
      </c>
      <c r="Q370" s="919">
        <v>1.041415</v>
      </c>
      <c r="R370" s="22">
        <f t="shared" si="118"/>
        <v>10414150</v>
      </c>
      <c r="S370" s="12">
        <v>0.14835999999999999</v>
      </c>
      <c r="T370" s="75">
        <f t="shared" si="119"/>
        <v>71771.978021978022</v>
      </c>
      <c r="U370" s="563"/>
      <c r="V370" s="13">
        <f t="shared" si="120"/>
        <v>71771.978021978022</v>
      </c>
      <c r="W370" s="13"/>
      <c r="X370" s="29"/>
      <c r="Y370" s="29"/>
      <c r="Z370" s="30"/>
      <c r="AA370" s="30"/>
      <c r="AB370" s="30"/>
      <c r="AC370" s="29"/>
      <c r="AD370" s="29"/>
      <c r="AE370" s="30"/>
    </row>
    <row r="371" spans="1:31" s="665" customFormat="1" ht="22.5" customHeight="1" x14ac:dyDescent="0.25">
      <c r="A371" s="44" t="s">
        <v>247</v>
      </c>
      <c r="B371" s="45" t="s">
        <v>175</v>
      </c>
      <c r="C371" s="45"/>
      <c r="D371" s="736">
        <v>44039</v>
      </c>
      <c r="E371" s="736">
        <v>45089</v>
      </c>
      <c r="F371" s="73">
        <v>1274</v>
      </c>
      <c r="G371" s="73">
        <f t="shared" si="114"/>
        <v>2002</v>
      </c>
      <c r="H371" s="73">
        <f>[27]Sheet1!H30</f>
        <v>0</v>
      </c>
      <c r="I371" s="73">
        <f t="shared" si="115"/>
        <v>2002</v>
      </c>
      <c r="J371" s="736">
        <v>47091</v>
      </c>
      <c r="K371" s="736">
        <f t="shared" si="116"/>
        <v>45271</v>
      </c>
      <c r="L371" s="46">
        <v>20000000</v>
      </c>
      <c r="M371" s="18"/>
      <c r="N371" s="46">
        <v>21530600</v>
      </c>
      <c r="O371" s="20">
        <f t="shared" si="117"/>
        <v>13752200</v>
      </c>
      <c r="P371" s="47">
        <v>0.12501999999999999</v>
      </c>
      <c r="Q371" s="919">
        <v>0.984626</v>
      </c>
      <c r="R371" s="22">
        <f t="shared" si="118"/>
        <v>19692520</v>
      </c>
      <c r="S371" s="12">
        <v>0.11453000000000001</v>
      </c>
      <c r="T371" s="75">
        <f t="shared" si="119"/>
        <v>130515.38461538462</v>
      </c>
      <c r="U371" s="563"/>
      <c r="V371" s="13">
        <f t="shared" si="120"/>
        <v>130515.38461538462</v>
      </c>
      <c r="W371" s="13"/>
      <c r="X371" s="29"/>
      <c r="Y371" s="29"/>
      <c r="Z371" s="30"/>
      <c r="AA371" s="30"/>
      <c r="AB371" s="30"/>
      <c r="AC371" s="29"/>
      <c r="AD371" s="29"/>
      <c r="AE371" s="30"/>
    </row>
    <row r="372" spans="1:31" s="665" customFormat="1" ht="22.5" customHeight="1" x14ac:dyDescent="0.25">
      <c r="A372" s="44" t="s">
        <v>80</v>
      </c>
      <c r="B372" s="45" t="s">
        <v>175</v>
      </c>
      <c r="C372" s="45"/>
      <c r="D372" s="736">
        <v>44095</v>
      </c>
      <c r="E372" s="736">
        <v>45089</v>
      </c>
      <c r="F372" s="73">
        <v>1638</v>
      </c>
      <c r="G372" s="73">
        <f t="shared" si="114"/>
        <v>910</v>
      </c>
      <c r="H372" s="73">
        <f>[27]Sheet1!H70</f>
        <v>0</v>
      </c>
      <c r="I372" s="73">
        <f t="shared" si="115"/>
        <v>910</v>
      </c>
      <c r="J372" s="736">
        <f>D372+(1904)</f>
        <v>45999</v>
      </c>
      <c r="K372" s="736">
        <f t="shared" si="116"/>
        <v>45271</v>
      </c>
      <c r="L372" s="46">
        <v>20000000</v>
      </c>
      <c r="M372" s="18"/>
      <c r="N372" s="46">
        <v>19447400</v>
      </c>
      <c r="O372" s="20">
        <f t="shared" si="117"/>
        <v>4500000</v>
      </c>
      <c r="P372" s="47">
        <v>0.09</v>
      </c>
      <c r="Q372" s="919">
        <v>0.93560200000000004</v>
      </c>
      <c r="R372" s="22">
        <f t="shared" si="118"/>
        <v>18712040</v>
      </c>
      <c r="S372" s="12">
        <v>0.10299999999999999</v>
      </c>
      <c r="T372" s="75">
        <f t="shared" si="119"/>
        <v>93956.043956043955</v>
      </c>
      <c r="U372" s="563"/>
      <c r="V372" s="13">
        <f t="shared" si="120"/>
        <v>93956.043956043955</v>
      </c>
      <c r="W372" s="13"/>
      <c r="X372" s="29"/>
      <c r="Y372" s="29"/>
      <c r="Z372" s="30"/>
      <c r="AA372" s="30"/>
      <c r="AB372" s="30"/>
      <c r="AC372" s="29"/>
      <c r="AD372" s="29"/>
      <c r="AE372" s="30"/>
    </row>
    <row r="373" spans="1:31" s="665" customFormat="1" ht="22.5" customHeight="1" x14ac:dyDescent="0.25">
      <c r="A373" s="44" t="s">
        <v>80</v>
      </c>
      <c r="B373" s="45" t="s">
        <v>175</v>
      </c>
      <c r="C373" s="45"/>
      <c r="D373" s="736">
        <v>44095</v>
      </c>
      <c r="E373" s="736">
        <v>45089</v>
      </c>
      <c r="F373" s="73">
        <v>1638</v>
      </c>
      <c r="G373" s="73">
        <f t="shared" si="114"/>
        <v>910</v>
      </c>
      <c r="H373" s="73">
        <f>[27]Sheet1!H71</f>
        <v>0</v>
      </c>
      <c r="I373" s="73">
        <f t="shared" si="115"/>
        <v>910</v>
      </c>
      <c r="J373" s="736">
        <f>D373+(1904)</f>
        <v>45999</v>
      </c>
      <c r="K373" s="736">
        <f t="shared" si="116"/>
        <v>45271</v>
      </c>
      <c r="L373" s="46">
        <v>20000000</v>
      </c>
      <c r="M373" s="18"/>
      <c r="N373" s="46">
        <v>19370800</v>
      </c>
      <c r="O373" s="20">
        <f t="shared" si="117"/>
        <v>4500000</v>
      </c>
      <c r="P373" s="47">
        <v>0.09</v>
      </c>
      <c r="Q373" s="919">
        <v>0.93560200000000004</v>
      </c>
      <c r="R373" s="22">
        <f t="shared" si="118"/>
        <v>18712040</v>
      </c>
      <c r="S373" s="12">
        <v>0.104</v>
      </c>
      <c r="T373" s="75">
        <f t="shared" si="119"/>
        <v>93956.043956043955</v>
      </c>
      <c r="U373" s="563"/>
      <c r="V373" s="13">
        <f t="shared" si="120"/>
        <v>93956.043956043955</v>
      </c>
      <c r="W373" s="13"/>
      <c r="X373" s="29"/>
      <c r="Y373" s="29"/>
      <c r="Z373" s="30"/>
      <c r="AA373" s="30"/>
      <c r="AB373" s="30"/>
      <c r="AC373" s="29"/>
      <c r="AD373" s="29"/>
      <c r="AE373" s="30"/>
    </row>
    <row r="374" spans="1:31" s="665" customFormat="1" ht="22.5" customHeight="1" x14ac:dyDescent="0.25">
      <c r="A374" s="44" t="s">
        <v>80</v>
      </c>
      <c r="B374" s="45" t="s">
        <v>175</v>
      </c>
      <c r="C374" s="45"/>
      <c r="D374" s="736">
        <v>44095</v>
      </c>
      <c r="E374" s="736">
        <v>45089</v>
      </c>
      <c r="F374" s="73">
        <v>1638</v>
      </c>
      <c r="G374" s="73">
        <f t="shared" si="114"/>
        <v>910</v>
      </c>
      <c r="H374" s="73">
        <f>[27]Sheet1!H72</f>
        <v>0</v>
      </c>
      <c r="I374" s="73">
        <f t="shared" si="115"/>
        <v>910</v>
      </c>
      <c r="J374" s="736">
        <f>D374+(1904)</f>
        <v>45999</v>
      </c>
      <c r="K374" s="736">
        <f t="shared" si="116"/>
        <v>45271</v>
      </c>
      <c r="L374" s="46">
        <v>20000000</v>
      </c>
      <c r="M374" s="18"/>
      <c r="N374" s="46">
        <v>19294600</v>
      </c>
      <c r="O374" s="20">
        <f t="shared" si="117"/>
        <v>4500000</v>
      </c>
      <c r="P374" s="47">
        <v>0.09</v>
      </c>
      <c r="Q374" s="919">
        <v>0.93560200000000004</v>
      </c>
      <c r="R374" s="22">
        <f t="shared" si="118"/>
        <v>18712040</v>
      </c>
      <c r="S374" s="12">
        <v>0.105</v>
      </c>
      <c r="T374" s="75">
        <f t="shared" si="119"/>
        <v>93956.043956043955</v>
      </c>
      <c r="U374" s="563"/>
      <c r="V374" s="13">
        <f t="shared" si="120"/>
        <v>93956.043956043955</v>
      </c>
      <c r="W374" s="13"/>
      <c r="X374" s="29"/>
      <c r="Y374" s="29"/>
      <c r="Z374" s="30"/>
      <c r="AA374" s="30"/>
      <c r="AB374" s="30"/>
      <c r="AC374" s="29"/>
      <c r="AD374" s="29"/>
      <c r="AE374" s="30"/>
    </row>
    <row r="375" spans="1:31" s="665" customFormat="1" ht="22.5" customHeight="1" x14ac:dyDescent="0.25">
      <c r="A375" s="44" t="s">
        <v>313</v>
      </c>
      <c r="B375" s="45" t="s">
        <v>175</v>
      </c>
      <c r="C375" s="45"/>
      <c r="D375" s="736">
        <v>44725</v>
      </c>
      <c r="E375" s="736">
        <v>45089</v>
      </c>
      <c r="F375" s="73">
        <v>1638</v>
      </c>
      <c r="G375" s="73">
        <f t="shared" si="114"/>
        <v>6188</v>
      </c>
      <c r="H375" s="73">
        <f>[27]Sheet1!H77</f>
        <v>0</v>
      </c>
      <c r="I375" s="73">
        <f t="shared" si="115"/>
        <v>6188</v>
      </c>
      <c r="J375" s="736">
        <f t="shared" ref="J375:J382" si="121">D375+(364*18)</f>
        <v>51277</v>
      </c>
      <c r="K375" s="736">
        <f t="shared" si="116"/>
        <v>45271</v>
      </c>
      <c r="L375" s="46">
        <v>20000000</v>
      </c>
      <c r="M375" s="18"/>
      <c r="N375" s="46">
        <v>20000000</v>
      </c>
      <c r="O375" s="20">
        <f t="shared" si="117"/>
        <v>46722799.999999993</v>
      </c>
      <c r="P375" s="47">
        <v>0.13741999999999999</v>
      </c>
      <c r="Q375" s="919">
        <v>1.045083</v>
      </c>
      <c r="R375" s="22">
        <f t="shared" si="118"/>
        <v>20901660</v>
      </c>
      <c r="S375" s="12">
        <v>0.13741999999999999</v>
      </c>
      <c r="T375" s="75">
        <f t="shared" si="119"/>
        <v>143460.43956043952</v>
      </c>
      <c r="U375" s="563"/>
      <c r="V375" s="13">
        <f t="shared" si="120"/>
        <v>143460.43956043952</v>
      </c>
      <c r="W375" s="13"/>
      <c r="X375" s="29"/>
      <c r="Y375" s="29"/>
      <c r="Z375" s="30"/>
      <c r="AA375" s="30"/>
      <c r="AB375" s="30"/>
      <c r="AC375" s="29"/>
      <c r="AD375" s="29"/>
      <c r="AE375" s="30"/>
    </row>
    <row r="376" spans="1:31" s="665" customFormat="1" ht="22.5" customHeight="1" x14ac:dyDescent="0.25">
      <c r="A376" s="44" t="s">
        <v>313</v>
      </c>
      <c r="B376" s="45" t="s">
        <v>175</v>
      </c>
      <c r="C376" s="45"/>
      <c r="D376" s="736">
        <v>44725</v>
      </c>
      <c r="E376" s="736">
        <v>45089</v>
      </c>
      <c r="F376" s="73">
        <v>1638</v>
      </c>
      <c r="G376" s="73">
        <f t="shared" si="114"/>
        <v>6188</v>
      </c>
      <c r="H376" s="73">
        <f>[27]Sheet1!H78</f>
        <v>0</v>
      </c>
      <c r="I376" s="73">
        <f t="shared" si="115"/>
        <v>6188</v>
      </c>
      <c r="J376" s="736">
        <f t="shared" si="121"/>
        <v>51277</v>
      </c>
      <c r="K376" s="736">
        <f t="shared" si="116"/>
        <v>45271</v>
      </c>
      <c r="L376" s="46">
        <v>20000000</v>
      </c>
      <c r="M376" s="18"/>
      <c r="N376" s="46">
        <v>20588800</v>
      </c>
      <c r="O376" s="20">
        <f t="shared" si="117"/>
        <v>46722799.999999993</v>
      </c>
      <c r="P376" s="47">
        <v>0.13741999999999999</v>
      </c>
      <c r="Q376" s="919">
        <v>1.045083</v>
      </c>
      <c r="R376" s="22">
        <f t="shared" si="118"/>
        <v>20901660</v>
      </c>
      <c r="S376" s="12">
        <v>0.13250000000000001</v>
      </c>
      <c r="T376" s="75">
        <f t="shared" si="119"/>
        <v>143460.43956043952</v>
      </c>
      <c r="U376" s="563"/>
      <c r="V376" s="13">
        <f t="shared" si="120"/>
        <v>143460.43956043952</v>
      </c>
      <c r="W376" s="13"/>
      <c r="X376" s="29"/>
      <c r="Y376" s="29"/>
      <c r="Z376" s="30"/>
      <c r="AA376" s="30"/>
      <c r="AB376" s="30"/>
      <c r="AC376" s="29"/>
      <c r="AD376" s="29"/>
      <c r="AE376" s="30"/>
    </row>
    <row r="377" spans="1:31" s="665" customFormat="1" ht="22.5" customHeight="1" x14ac:dyDescent="0.25">
      <c r="A377" s="44" t="s">
        <v>313</v>
      </c>
      <c r="B377" s="45" t="s">
        <v>175</v>
      </c>
      <c r="C377" s="45"/>
      <c r="D377" s="736">
        <v>44725</v>
      </c>
      <c r="E377" s="736">
        <v>45089</v>
      </c>
      <c r="F377" s="73">
        <v>1638</v>
      </c>
      <c r="G377" s="73">
        <f t="shared" si="114"/>
        <v>6188</v>
      </c>
      <c r="H377" s="73">
        <f>[27]Sheet1!H79</f>
        <v>0</v>
      </c>
      <c r="I377" s="73">
        <f t="shared" si="115"/>
        <v>6188</v>
      </c>
      <c r="J377" s="736">
        <f t="shared" si="121"/>
        <v>51277</v>
      </c>
      <c r="K377" s="736">
        <f t="shared" si="116"/>
        <v>45271</v>
      </c>
      <c r="L377" s="46">
        <v>20000000</v>
      </c>
      <c r="M377" s="18"/>
      <c r="N377" s="46">
        <v>20466800</v>
      </c>
      <c r="O377" s="20">
        <f t="shared" si="117"/>
        <v>46722799.999999993</v>
      </c>
      <c r="P377" s="47">
        <v>0.13741999999999999</v>
      </c>
      <c r="Q377" s="919">
        <v>1.045083</v>
      </c>
      <c r="R377" s="22">
        <f t="shared" si="118"/>
        <v>20901660</v>
      </c>
      <c r="S377" s="12">
        <v>0.13350000000000001</v>
      </c>
      <c r="T377" s="75">
        <f t="shared" si="119"/>
        <v>143460.43956043952</v>
      </c>
      <c r="U377" s="563"/>
      <c r="V377" s="13">
        <f t="shared" si="120"/>
        <v>143460.43956043952</v>
      </c>
      <c r="W377" s="13"/>
      <c r="X377" s="29"/>
      <c r="Y377" s="29"/>
      <c r="Z377" s="30"/>
      <c r="AA377" s="30"/>
      <c r="AB377" s="30"/>
      <c r="AC377" s="29"/>
      <c r="AD377" s="29"/>
      <c r="AE377" s="30"/>
    </row>
    <row r="378" spans="1:31" s="665" customFormat="1" ht="22.5" customHeight="1" x14ac:dyDescent="0.25">
      <c r="A378" s="44" t="s">
        <v>313</v>
      </c>
      <c r="B378" s="45" t="s">
        <v>175</v>
      </c>
      <c r="C378" s="45"/>
      <c r="D378" s="736">
        <v>44725</v>
      </c>
      <c r="E378" s="736">
        <v>45089</v>
      </c>
      <c r="F378" s="73">
        <v>1638</v>
      </c>
      <c r="G378" s="73">
        <f t="shared" si="114"/>
        <v>6188</v>
      </c>
      <c r="H378" s="73">
        <f>[27]Sheet1!H80</f>
        <v>0</v>
      </c>
      <c r="I378" s="73">
        <f t="shared" si="115"/>
        <v>6188</v>
      </c>
      <c r="J378" s="736">
        <f t="shared" si="121"/>
        <v>51277</v>
      </c>
      <c r="K378" s="736">
        <f t="shared" si="116"/>
        <v>45271</v>
      </c>
      <c r="L378" s="46">
        <v>20000000</v>
      </c>
      <c r="M378" s="18"/>
      <c r="N378" s="46">
        <v>20406400</v>
      </c>
      <c r="O378" s="20">
        <f t="shared" si="117"/>
        <v>46722799.999999993</v>
      </c>
      <c r="P378" s="47">
        <v>0.13741999999999999</v>
      </c>
      <c r="Q378" s="919">
        <v>1.045083</v>
      </c>
      <c r="R378" s="22">
        <f t="shared" si="118"/>
        <v>20901660</v>
      </c>
      <c r="S378" s="12">
        <v>0.13400000000000001</v>
      </c>
      <c r="T378" s="75">
        <f t="shared" si="119"/>
        <v>143460.43956043952</v>
      </c>
      <c r="U378" s="563"/>
      <c r="V378" s="13">
        <f t="shared" si="120"/>
        <v>143460.43956043952</v>
      </c>
      <c r="W378" s="13"/>
      <c r="X378" s="29"/>
      <c r="Y378" s="29"/>
      <c r="Z378" s="30"/>
      <c r="AA378" s="30"/>
      <c r="AB378" s="30"/>
      <c r="AC378" s="29"/>
      <c r="AD378" s="29"/>
      <c r="AE378" s="30"/>
    </row>
    <row r="379" spans="1:31" s="665" customFormat="1" ht="22.5" customHeight="1" x14ac:dyDescent="0.25">
      <c r="A379" s="44" t="s">
        <v>313</v>
      </c>
      <c r="B379" s="45" t="s">
        <v>175</v>
      </c>
      <c r="C379" s="45"/>
      <c r="D379" s="736">
        <v>44725</v>
      </c>
      <c r="E379" s="736">
        <v>45089</v>
      </c>
      <c r="F379" s="73">
        <v>1638</v>
      </c>
      <c r="G379" s="73">
        <f t="shared" si="114"/>
        <v>6188</v>
      </c>
      <c r="H379" s="73">
        <f>[27]Sheet1!H81</f>
        <v>0</v>
      </c>
      <c r="I379" s="73">
        <f t="shared" si="115"/>
        <v>6188</v>
      </c>
      <c r="J379" s="736">
        <f t="shared" si="121"/>
        <v>51277</v>
      </c>
      <c r="K379" s="736">
        <f t="shared" si="116"/>
        <v>45271</v>
      </c>
      <c r="L379" s="46">
        <v>20000000</v>
      </c>
      <c r="M379" s="18"/>
      <c r="N379" s="46">
        <v>20346000</v>
      </c>
      <c r="O379" s="20">
        <f t="shared" si="117"/>
        <v>46722799.999999993</v>
      </c>
      <c r="P379" s="47">
        <v>0.13741999999999999</v>
      </c>
      <c r="Q379" s="919">
        <v>1.045083</v>
      </c>
      <c r="R379" s="22">
        <f t="shared" si="118"/>
        <v>20901660</v>
      </c>
      <c r="S379" s="12">
        <v>0.13450000000000001</v>
      </c>
      <c r="T379" s="75">
        <f t="shared" si="119"/>
        <v>143460.43956043952</v>
      </c>
      <c r="U379" s="563"/>
      <c r="V379" s="13">
        <f t="shared" si="120"/>
        <v>143460.43956043952</v>
      </c>
      <c r="W379" s="13"/>
      <c r="X379" s="29"/>
      <c r="Y379" s="29"/>
      <c r="Z379" s="30"/>
      <c r="AA379" s="30"/>
      <c r="AB379" s="30"/>
      <c r="AC379" s="29"/>
      <c r="AD379" s="29"/>
      <c r="AE379" s="30"/>
    </row>
    <row r="380" spans="1:31" s="665" customFormat="1" ht="22.5" customHeight="1" x14ac:dyDescent="0.25">
      <c r="A380" s="44" t="s">
        <v>313</v>
      </c>
      <c r="B380" s="45" t="s">
        <v>175</v>
      </c>
      <c r="C380" s="45"/>
      <c r="D380" s="736">
        <v>44725</v>
      </c>
      <c r="E380" s="736">
        <v>45089</v>
      </c>
      <c r="F380" s="73">
        <v>1638</v>
      </c>
      <c r="G380" s="73">
        <f t="shared" si="114"/>
        <v>6188</v>
      </c>
      <c r="H380" s="73">
        <f>[27]Sheet1!H82</f>
        <v>0</v>
      </c>
      <c r="I380" s="73">
        <f t="shared" si="115"/>
        <v>6188</v>
      </c>
      <c r="J380" s="736">
        <f t="shared" si="121"/>
        <v>51277</v>
      </c>
      <c r="K380" s="736">
        <f t="shared" si="116"/>
        <v>45271</v>
      </c>
      <c r="L380" s="46">
        <v>20000000</v>
      </c>
      <c r="M380" s="18"/>
      <c r="N380" s="46">
        <v>20286200</v>
      </c>
      <c r="O380" s="20">
        <f t="shared" si="117"/>
        <v>46722799.999999993</v>
      </c>
      <c r="P380" s="47">
        <v>0.13741999999999999</v>
      </c>
      <c r="Q380" s="919">
        <v>1.045083</v>
      </c>
      <c r="R380" s="22">
        <f t="shared" si="118"/>
        <v>20901660</v>
      </c>
      <c r="S380" s="12">
        <v>0.13500000000000001</v>
      </c>
      <c r="T380" s="75">
        <f t="shared" si="119"/>
        <v>143460.43956043952</v>
      </c>
      <c r="U380" s="563"/>
      <c r="V380" s="13">
        <f t="shared" si="120"/>
        <v>143460.43956043952</v>
      </c>
      <c r="W380" s="13"/>
      <c r="X380" s="29"/>
      <c r="Y380" s="29"/>
      <c r="Z380" s="30"/>
      <c r="AA380" s="30"/>
      <c r="AB380" s="30"/>
      <c r="AC380" s="29"/>
      <c r="AD380" s="29"/>
      <c r="AE380" s="30"/>
    </row>
    <row r="381" spans="1:31" s="665" customFormat="1" ht="22.5" customHeight="1" x14ac:dyDescent="0.25">
      <c r="A381" s="44" t="s">
        <v>313</v>
      </c>
      <c r="B381" s="45" t="s">
        <v>175</v>
      </c>
      <c r="C381" s="45"/>
      <c r="D381" s="736">
        <v>44725</v>
      </c>
      <c r="E381" s="736">
        <v>45089</v>
      </c>
      <c r="F381" s="73">
        <v>1638</v>
      </c>
      <c r="G381" s="73">
        <f t="shared" si="114"/>
        <v>6188</v>
      </c>
      <c r="H381" s="73">
        <f>[27]Sheet1!H83</f>
        <v>0</v>
      </c>
      <c r="I381" s="73">
        <f t="shared" si="115"/>
        <v>6188</v>
      </c>
      <c r="J381" s="736">
        <f t="shared" si="121"/>
        <v>51277</v>
      </c>
      <c r="K381" s="736">
        <f t="shared" si="116"/>
        <v>45271</v>
      </c>
      <c r="L381" s="46">
        <v>20000000</v>
      </c>
      <c r="M381" s="18"/>
      <c r="N381" s="46">
        <v>20167000</v>
      </c>
      <c r="O381" s="20">
        <f t="shared" si="117"/>
        <v>46722799.999999993</v>
      </c>
      <c r="P381" s="47">
        <v>0.13741999999999999</v>
      </c>
      <c r="Q381" s="919">
        <v>1.045083</v>
      </c>
      <c r="R381" s="22">
        <f t="shared" si="118"/>
        <v>20901660</v>
      </c>
      <c r="S381" s="12">
        <v>0.13600000000000001</v>
      </c>
      <c r="T381" s="75">
        <f t="shared" si="119"/>
        <v>143460.43956043952</v>
      </c>
      <c r="U381" s="563"/>
      <c r="V381" s="13">
        <f t="shared" si="120"/>
        <v>143460.43956043952</v>
      </c>
      <c r="W381" s="13"/>
      <c r="X381" s="29"/>
      <c r="Y381" s="29"/>
      <c r="Z381" s="30"/>
      <c r="AA381" s="30"/>
      <c r="AB381" s="30"/>
      <c r="AC381" s="29"/>
      <c r="AD381" s="29"/>
      <c r="AE381" s="30"/>
    </row>
    <row r="382" spans="1:31" s="665" customFormat="1" ht="22.5" customHeight="1" x14ac:dyDescent="0.25">
      <c r="A382" s="44" t="s">
        <v>313</v>
      </c>
      <c r="B382" s="45" t="s">
        <v>175</v>
      </c>
      <c r="C382" s="45"/>
      <c r="D382" s="736">
        <v>44725</v>
      </c>
      <c r="E382" s="736">
        <v>45089</v>
      </c>
      <c r="F382" s="73">
        <v>1638</v>
      </c>
      <c r="G382" s="73">
        <f t="shared" si="114"/>
        <v>6188</v>
      </c>
      <c r="H382" s="73">
        <f>[27]Sheet1!H84</f>
        <v>0</v>
      </c>
      <c r="I382" s="73">
        <f t="shared" si="115"/>
        <v>6188</v>
      </c>
      <c r="J382" s="736">
        <f t="shared" si="121"/>
        <v>51277</v>
      </c>
      <c r="K382" s="736">
        <f t="shared" si="116"/>
        <v>45271</v>
      </c>
      <c r="L382" s="46">
        <v>20000000</v>
      </c>
      <c r="M382" s="18"/>
      <c r="N382" s="46">
        <v>20049200</v>
      </c>
      <c r="O382" s="20">
        <f t="shared" si="117"/>
        <v>46722799.999999993</v>
      </c>
      <c r="P382" s="47">
        <v>0.13741999999999999</v>
      </c>
      <c r="Q382" s="919">
        <v>1.045083</v>
      </c>
      <c r="R382" s="22">
        <f t="shared" si="118"/>
        <v>20901660</v>
      </c>
      <c r="S382" s="12">
        <v>0.13700000000000001</v>
      </c>
      <c r="T382" s="75">
        <f t="shared" si="119"/>
        <v>143460.43956043952</v>
      </c>
      <c r="U382" s="563"/>
      <c r="V382" s="13">
        <f t="shared" si="120"/>
        <v>143460.43956043952</v>
      </c>
      <c r="W382" s="13"/>
      <c r="X382" s="29"/>
      <c r="Y382" s="29"/>
      <c r="Z382" s="30"/>
      <c r="AA382" s="30"/>
      <c r="AB382" s="30"/>
      <c r="AC382" s="29"/>
      <c r="AD382" s="29"/>
      <c r="AE382" s="30"/>
    </row>
    <row r="383" spans="1:31" s="665" customFormat="1" ht="22.5" customHeight="1" x14ac:dyDescent="0.25">
      <c r="A383" s="44"/>
      <c r="B383" s="45"/>
      <c r="C383" s="45"/>
      <c r="D383" s="736"/>
      <c r="E383" s="736"/>
      <c r="F383" s="73"/>
      <c r="G383" s="73"/>
      <c r="H383" s="73"/>
      <c r="I383" s="73"/>
      <c r="J383" s="736"/>
      <c r="K383" s="736"/>
      <c r="L383" s="46"/>
      <c r="M383" s="18"/>
      <c r="N383" s="46"/>
      <c r="O383" s="20"/>
      <c r="P383" s="47"/>
      <c r="Q383" s="48"/>
      <c r="R383" s="22"/>
      <c r="S383" s="12"/>
      <c r="T383" s="75"/>
      <c r="U383" s="563"/>
      <c r="V383" s="13"/>
      <c r="W383" s="13"/>
      <c r="X383" s="29"/>
      <c r="Y383" s="29"/>
      <c r="Z383" s="30"/>
      <c r="AA383" s="30"/>
      <c r="AB383" s="30"/>
      <c r="AC383" s="29"/>
      <c r="AD383" s="29"/>
      <c r="AE383" s="30"/>
    </row>
    <row r="384" spans="1:31" s="29" customFormat="1" ht="23.5" customHeight="1" x14ac:dyDescent="0.25">
      <c r="A384" s="54" t="s">
        <v>1</v>
      </c>
      <c r="B384" s="52"/>
      <c r="C384" s="52"/>
      <c r="D384" s="736"/>
      <c r="E384" s="73"/>
      <c r="F384" s="16"/>
      <c r="G384" s="16"/>
      <c r="H384" s="16"/>
      <c r="I384" s="16"/>
      <c r="J384" s="583"/>
      <c r="K384" s="16"/>
      <c r="L384" s="56">
        <f t="shared" ref="L384:V384" si="122">SUM(L237:L383)</f>
        <v>3712849760</v>
      </c>
      <c r="M384" s="56">
        <f t="shared" si="122"/>
        <v>490000000</v>
      </c>
      <c r="N384" s="56">
        <f t="shared" si="122"/>
        <v>3869414500</v>
      </c>
      <c r="O384" s="56">
        <f t="shared" si="122"/>
        <v>3219749234.96</v>
      </c>
      <c r="P384" s="56">
        <f t="shared" si="122"/>
        <v>17.215169999999965</v>
      </c>
      <c r="Q384" s="56">
        <f t="shared" si="122"/>
        <v>138.43188499999994</v>
      </c>
      <c r="R384" s="56">
        <f t="shared" si="122"/>
        <v>3469802993.9990711</v>
      </c>
      <c r="S384" s="56">
        <f t="shared" si="122"/>
        <v>17.93207</v>
      </c>
      <c r="T384" s="56">
        <f t="shared" si="122"/>
        <v>91707739.747252792</v>
      </c>
      <c r="U384" s="56">
        <f t="shared" si="122"/>
        <v>0</v>
      </c>
      <c r="V384" s="56">
        <f t="shared" si="122"/>
        <v>91707739.747252792</v>
      </c>
      <c r="W384" s="13"/>
      <c r="Z384" s="30"/>
      <c r="AA384" s="30"/>
      <c r="AB384" s="30"/>
      <c r="AE384" s="30"/>
    </row>
    <row r="385" spans="1:31" s="29" customFormat="1" ht="23.5" customHeight="1" x14ac:dyDescent="0.25">
      <c r="A385" s="54"/>
      <c r="B385" s="52"/>
      <c r="C385" s="52"/>
      <c r="D385" s="615"/>
      <c r="E385" s="73"/>
      <c r="F385" s="16"/>
      <c r="G385" s="16"/>
      <c r="H385" s="16"/>
      <c r="I385" s="16"/>
      <c r="J385" s="736"/>
      <c r="K385" s="16"/>
      <c r="L385" s="57"/>
      <c r="M385" s="57"/>
      <c r="N385" s="57"/>
      <c r="O385" s="57"/>
      <c r="P385" s="57"/>
      <c r="Q385" s="57"/>
      <c r="R385" s="57"/>
      <c r="S385" s="57"/>
      <c r="T385" s="57"/>
      <c r="U385" s="580"/>
      <c r="V385" s="57"/>
      <c r="W385" s="13"/>
      <c r="Z385" s="30"/>
      <c r="AA385" s="30"/>
      <c r="AB385" s="30"/>
      <c r="AE385" s="30"/>
    </row>
    <row r="386" spans="1:31" s="29" customFormat="1" ht="23.5" customHeight="1" x14ac:dyDescent="0.25">
      <c r="A386" s="54"/>
      <c r="B386" s="52"/>
      <c r="C386" s="52"/>
      <c r="D386" s="52"/>
      <c r="E386" s="73"/>
      <c r="F386" s="16"/>
      <c r="G386" s="16"/>
      <c r="H386" s="16"/>
      <c r="I386" s="16"/>
      <c r="J386" s="736"/>
      <c r="K386" s="16"/>
      <c r="L386" s="57"/>
      <c r="M386" s="57"/>
      <c r="N386" s="57"/>
      <c r="O386" s="57"/>
      <c r="P386" s="57"/>
      <c r="Q386" s="57"/>
      <c r="R386" s="57"/>
      <c r="S386" s="57"/>
      <c r="T386" s="57"/>
      <c r="U386" s="580"/>
      <c r="V386" s="57"/>
      <c r="W386" s="13"/>
      <c r="Z386" s="30"/>
      <c r="AA386" s="30"/>
      <c r="AB386" s="30"/>
      <c r="AE386" s="30"/>
    </row>
    <row r="387" spans="1:31" s="29" customFormat="1" ht="23.25" customHeight="1" x14ac:dyDescent="0.25">
      <c r="A387" s="44" t="s">
        <v>298</v>
      </c>
      <c r="B387" s="45" t="s">
        <v>176</v>
      </c>
      <c r="C387" s="52"/>
      <c r="D387" s="736">
        <v>44480</v>
      </c>
      <c r="E387" s="736">
        <v>44949</v>
      </c>
      <c r="F387" s="73">
        <v>3969.42</v>
      </c>
      <c r="G387" s="73">
        <f t="shared" ref="G387:G418" si="123">J387-E387</f>
        <v>4655</v>
      </c>
      <c r="H387" s="73"/>
      <c r="I387" s="73"/>
      <c r="J387" s="736">
        <f>E387+4655</f>
        <v>49604</v>
      </c>
      <c r="K387" s="736">
        <f t="shared" ref="K387:K418" si="124">E387+182</f>
        <v>45131</v>
      </c>
      <c r="L387" s="46">
        <v>20000000</v>
      </c>
      <c r="M387" s="53"/>
      <c r="N387" s="46">
        <v>19886400</v>
      </c>
      <c r="O387" s="20">
        <f t="shared" ref="O387:O418" si="125">L387*P387*G387/364</f>
        <v>31561923.076923076</v>
      </c>
      <c r="P387" s="47">
        <v>0.1234</v>
      </c>
      <c r="Q387" s="918">
        <v>0.90845500000000001</v>
      </c>
      <c r="R387" s="22">
        <f t="shared" ref="R387:R418" si="126">+L387*Q387</f>
        <v>18169100</v>
      </c>
      <c r="S387" s="12">
        <v>0.12845000000000001</v>
      </c>
      <c r="T387" s="75">
        <f t="shared" ref="T387:T418" si="127">O387/G387*(T$1-E387+1)</f>
        <v>1078054.9450549451</v>
      </c>
      <c r="U387" s="563"/>
      <c r="V387" s="90">
        <f t="shared" ref="V387:V418" si="128">+T387-U387</f>
        <v>1078054.9450549451</v>
      </c>
      <c r="W387" s="13"/>
      <c r="Z387" s="30"/>
      <c r="AA387" s="30"/>
      <c r="AB387" s="30"/>
      <c r="AE387" s="30"/>
    </row>
    <row r="388" spans="1:31" s="29" customFormat="1" ht="23.25" customHeight="1" x14ac:dyDescent="0.25">
      <c r="A388" s="44" t="s">
        <v>298</v>
      </c>
      <c r="B388" s="45" t="s">
        <v>176</v>
      </c>
      <c r="C388" s="52"/>
      <c r="D388" s="736">
        <v>44480</v>
      </c>
      <c r="E388" s="736">
        <v>44949</v>
      </c>
      <c r="F388" s="73">
        <v>3969.42</v>
      </c>
      <c r="G388" s="73">
        <f t="shared" si="123"/>
        <v>4655</v>
      </c>
      <c r="H388" s="73"/>
      <c r="I388" s="73"/>
      <c r="J388" s="736">
        <f>E388+4655</f>
        <v>49604</v>
      </c>
      <c r="K388" s="736">
        <f t="shared" si="124"/>
        <v>45131</v>
      </c>
      <c r="L388" s="46">
        <v>40000000</v>
      </c>
      <c r="M388" s="53"/>
      <c r="N388" s="46">
        <v>40004000</v>
      </c>
      <c r="O388" s="20">
        <f t="shared" si="125"/>
        <v>63123846.153846152</v>
      </c>
      <c r="P388" s="47">
        <v>0.1234</v>
      </c>
      <c r="Q388" s="918">
        <v>0.90845500000000001</v>
      </c>
      <c r="R388" s="22">
        <f t="shared" si="126"/>
        <v>36338200</v>
      </c>
      <c r="S388" s="12">
        <v>0.1275</v>
      </c>
      <c r="T388" s="75">
        <f t="shared" si="127"/>
        <v>2156109.8901098901</v>
      </c>
      <c r="U388" s="563"/>
      <c r="V388" s="90">
        <f t="shared" si="128"/>
        <v>2156109.8901098901</v>
      </c>
      <c r="W388" s="13"/>
      <c r="Z388" s="30"/>
      <c r="AA388" s="30"/>
      <c r="AB388" s="30"/>
      <c r="AE388" s="30"/>
    </row>
    <row r="389" spans="1:31" s="29" customFormat="1" ht="21.5" customHeight="1" x14ac:dyDescent="0.25">
      <c r="A389" s="44" t="s">
        <v>298</v>
      </c>
      <c r="B389" s="45" t="s">
        <v>176</v>
      </c>
      <c r="C389" s="52"/>
      <c r="D389" s="736">
        <v>44480</v>
      </c>
      <c r="E389" s="736">
        <v>44949</v>
      </c>
      <c r="F389" s="73">
        <v>3969.42</v>
      </c>
      <c r="G389" s="73">
        <f t="shared" si="123"/>
        <v>4655</v>
      </c>
      <c r="H389" s="73"/>
      <c r="I389" s="73"/>
      <c r="J389" s="736">
        <f>E389+4655</f>
        <v>49604</v>
      </c>
      <c r="K389" s="736">
        <f t="shared" si="124"/>
        <v>45131</v>
      </c>
      <c r="L389" s="46">
        <v>40000000</v>
      </c>
      <c r="M389" s="53"/>
      <c r="N389" s="46">
        <v>39882000</v>
      </c>
      <c r="O389" s="20">
        <f t="shared" si="125"/>
        <v>63123846.153846152</v>
      </c>
      <c r="P389" s="47">
        <v>0.1234</v>
      </c>
      <c r="Q389" s="918">
        <v>0.90845500000000001</v>
      </c>
      <c r="R389" s="22">
        <f t="shared" si="126"/>
        <v>36338200</v>
      </c>
      <c r="S389" s="12">
        <v>0.128</v>
      </c>
      <c r="T389" s="75">
        <f t="shared" si="127"/>
        <v>2156109.8901098901</v>
      </c>
      <c r="U389" s="563"/>
      <c r="V389" s="90">
        <f t="shared" si="128"/>
        <v>2156109.8901098901</v>
      </c>
      <c r="W389" s="13"/>
      <c r="Z389" s="30"/>
      <c r="AA389" s="30"/>
      <c r="AB389" s="30"/>
      <c r="AE389" s="30"/>
    </row>
    <row r="390" spans="1:31" s="29" customFormat="1" ht="22.5" customHeight="1" x14ac:dyDescent="0.25">
      <c r="A390" s="44" t="s">
        <v>298</v>
      </c>
      <c r="B390" s="45" t="s">
        <v>176</v>
      </c>
      <c r="C390" s="52"/>
      <c r="D390" s="736">
        <v>44480</v>
      </c>
      <c r="E390" s="736">
        <v>44949</v>
      </c>
      <c r="F390" s="73">
        <v>3969.42</v>
      </c>
      <c r="G390" s="73">
        <f t="shared" si="123"/>
        <v>4655</v>
      </c>
      <c r="H390" s="73"/>
      <c r="I390" s="73"/>
      <c r="J390" s="736">
        <f>E390+4655</f>
        <v>49604</v>
      </c>
      <c r="K390" s="736">
        <f t="shared" si="124"/>
        <v>45131</v>
      </c>
      <c r="L390" s="46">
        <v>20000000</v>
      </c>
      <c r="M390" s="53"/>
      <c r="N390" s="46">
        <v>19880400</v>
      </c>
      <c r="O390" s="20">
        <f t="shared" si="125"/>
        <v>31561923.076923076</v>
      </c>
      <c r="P390" s="47">
        <v>0.1234</v>
      </c>
      <c r="Q390" s="918">
        <v>0.90845500000000001</v>
      </c>
      <c r="R390" s="22">
        <f t="shared" si="126"/>
        <v>18169100</v>
      </c>
      <c r="S390" s="12">
        <v>0.1285</v>
      </c>
      <c r="T390" s="75">
        <f t="shared" si="127"/>
        <v>1078054.9450549451</v>
      </c>
      <c r="U390" s="563"/>
      <c r="V390" s="90">
        <f t="shared" si="128"/>
        <v>1078054.9450549451</v>
      </c>
      <c r="W390" s="13"/>
      <c r="Z390" s="30"/>
      <c r="AA390" s="30"/>
      <c r="AB390" s="30"/>
      <c r="AE390" s="30"/>
    </row>
    <row r="391" spans="1:31" s="29" customFormat="1" ht="22.5" customHeight="1" x14ac:dyDescent="0.25">
      <c r="A391" s="44" t="s">
        <v>284</v>
      </c>
      <c r="B391" s="45" t="s">
        <v>176</v>
      </c>
      <c r="C391" s="52"/>
      <c r="D391" s="736">
        <v>44424</v>
      </c>
      <c r="E391" s="736">
        <v>44970</v>
      </c>
      <c r="F391" s="73">
        <v>3969.42</v>
      </c>
      <c r="G391" s="73">
        <f t="shared" si="123"/>
        <v>2184</v>
      </c>
      <c r="H391" s="73"/>
      <c r="I391" s="73"/>
      <c r="J391" s="736">
        <f>D391+2730</f>
        <v>47154</v>
      </c>
      <c r="K391" s="736">
        <f t="shared" si="124"/>
        <v>45152</v>
      </c>
      <c r="L391" s="46">
        <v>20000000</v>
      </c>
      <c r="M391" s="53"/>
      <c r="N391" s="46">
        <v>19342000</v>
      </c>
      <c r="O391" s="20">
        <f t="shared" si="125"/>
        <v>13820400</v>
      </c>
      <c r="P391" s="47">
        <v>0.11516999999999999</v>
      </c>
      <c r="Q391" s="918">
        <v>0.91103299999999998</v>
      </c>
      <c r="R391" s="22">
        <f t="shared" si="126"/>
        <v>18220660</v>
      </c>
      <c r="S391" s="12">
        <v>0.12171999999999999</v>
      </c>
      <c r="T391" s="75">
        <f t="shared" si="127"/>
        <v>873267.03296703286</v>
      </c>
      <c r="U391" s="563"/>
      <c r="V391" s="90">
        <f t="shared" si="128"/>
        <v>873267.03296703286</v>
      </c>
      <c r="W391" s="13"/>
      <c r="Z391" s="30"/>
      <c r="AA391" s="30"/>
      <c r="AB391" s="30"/>
      <c r="AE391" s="30"/>
    </row>
    <row r="392" spans="1:31" s="29" customFormat="1" ht="22.5" customHeight="1" x14ac:dyDescent="0.25">
      <c r="A392" s="44" t="s">
        <v>297</v>
      </c>
      <c r="B392" s="45" t="s">
        <v>176</v>
      </c>
      <c r="C392" s="52"/>
      <c r="D392" s="736">
        <v>44480</v>
      </c>
      <c r="E392" s="736">
        <v>44970</v>
      </c>
      <c r="F392" s="73">
        <v>3969.42</v>
      </c>
      <c r="G392" s="73">
        <f t="shared" si="123"/>
        <v>2310</v>
      </c>
      <c r="H392" s="73"/>
      <c r="I392" s="73"/>
      <c r="J392" s="736">
        <f>E392+2310</f>
        <v>47280</v>
      </c>
      <c r="K392" s="736">
        <f t="shared" si="124"/>
        <v>45152</v>
      </c>
      <c r="L392" s="46">
        <v>20000000</v>
      </c>
      <c r="M392" s="53"/>
      <c r="N392" s="46">
        <v>19786800</v>
      </c>
      <c r="O392" s="20">
        <f t="shared" si="125"/>
        <v>14278846.153846154</v>
      </c>
      <c r="P392" s="47">
        <v>0.1125</v>
      </c>
      <c r="Q392" s="918">
        <v>0.92868700000000004</v>
      </c>
      <c r="R392" s="22">
        <f t="shared" si="126"/>
        <v>18573740</v>
      </c>
      <c r="S392" s="12">
        <v>0.11882</v>
      </c>
      <c r="T392" s="75">
        <f t="shared" si="127"/>
        <v>853021.97802197805</v>
      </c>
      <c r="U392" s="563"/>
      <c r="V392" s="90">
        <f t="shared" si="128"/>
        <v>853021.97802197805</v>
      </c>
      <c r="W392" s="13"/>
      <c r="Z392" s="30"/>
      <c r="AA392" s="30"/>
      <c r="AB392" s="30"/>
      <c r="AE392" s="30"/>
    </row>
    <row r="393" spans="1:31" s="29" customFormat="1" ht="22.5" customHeight="1" x14ac:dyDescent="0.25">
      <c r="A393" s="44" t="s">
        <v>297</v>
      </c>
      <c r="B393" s="45" t="s">
        <v>176</v>
      </c>
      <c r="C393" s="52"/>
      <c r="D393" s="736">
        <v>44480</v>
      </c>
      <c r="E393" s="736">
        <v>44970</v>
      </c>
      <c r="F393" s="73">
        <v>3969.42</v>
      </c>
      <c r="G393" s="73">
        <f t="shared" si="123"/>
        <v>2310</v>
      </c>
      <c r="H393" s="73"/>
      <c r="I393" s="73"/>
      <c r="J393" s="736">
        <f>E393+2310</f>
        <v>47280</v>
      </c>
      <c r="K393" s="736">
        <f t="shared" si="124"/>
        <v>45152</v>
      </c>
      <c r="L393" s="46">
        <v>20000000</v>
      </c>
      <c r="M393" s="53"/>
      <c r="N393" s="46">
        <v>19944000</v>
      </c>
      <c r="O393" s="20">
        <f t="shared" si="125"/>
        <v>14278846.153846154</v>
      </c>
      <c r="P393" s="47">
        <v>0.1125</v>
      </c>
      <c r="Q393" s="918">
        <v>0.92868700000000004</v>
      </c>
      <c r="R393" s="22">
        <f t="shared" si="126"/>
        <v>18573740</v>
      </c>
      <c r="S393" s="12">
        <v>0.11700000000000001</v>
      </c>
      <c r="T393" s="75">
        <f t="shared" si="127"/>
        <v>853021.97802197805</v>
      </c>
      <c r="U393" s="563"/>
      <c r="V393" s="90">
        <f t="shared" si="128"/>
        <v>853021.97802197805</v>
      </c>
      <c r="W393" s="13"/>
      <c r="Z393" s="30"/>
      <c r="AA393" s="30"/>
      <c r="AB393" s="30"/>
      <c r="AE393" s="30"/>
    </row>
    <row r="394" spans="1:31" s="29" customFormat="1" ht="22.5" customHeight="1" x14ac:dyDescent="0.25">
      <c r="A394" s="44" t="s">
        <v>297</v>
      </c>
      <c r="B394" s="45" t="s">
        <v>176</v>
      </c>
      <c r="C394" s="52"/>
      <c r="D394" s="736">
        <v>44480</v>
      </c>
      <c r="E394" s="736">
        <v>44970</v>
      </c>
      <c r="F394" s="73">
        <v>3969.42</v>
      </c>
      <c r="G394" s="73">
        <f t="shared" si="123"/>
        <v>2310</v>
      </c>
      <c r="H394" s="73"/>
      <c r="I394" s="73"/>
      <c r="J394" s="736">
        <f>E394+2310</f>
        <v>47280</v>
      </c>
      <c r="K394" s="736">
        <f t="shared" si="124"/>
        <v>45152</v>
      </c>
      <c r="L394" s="46">
        <v>20000000</v>
      </c>
      <c r="M394" s="53"/>
      <c r="N394" s="46">
        <v>19857400</v>
      </c>
      <c r="O394" s="20">
        <f t="shared" si="125"/>
        <v>14278846.153846154</v>
      </c>
      <c r="P394" s="47">
        <v>0.1125</v>
      </c>
      <c r="Q394" s="918">
        <v>0.92868700000000004</v>
      </c>
      <c r="R394" s="22">
        <f t="shared" si="126"/>
        <v>18573740</v>
      </c>
      <c r="S394" s="12">
        <v>0.11799999999999999</v>
      </c>
      <c r="T394" s="75">
        <f t="shared" si="127"/>
        <v>853021.97802197805</v>
      </c>
      <c r="U394" s="563"/>
      <c r="V394" s="90">
        <f t="shared" si="128"/>
        <v>853021.97802197805</v>
      </c>
      <c r="W394" s="13"/>
      <c r="Z394" s="30"/>
      <c r="AA394" s="30"/>
      <c r="AB394" s="30"/>
      <c r="AE394" s="30"/>
    </row>
    <row r="395" spans="1:31" s="29" customFormat="1" ht="22.5" customHeight="1" x14ac:dyDescent="0.25">
      <c r="A395" s="44" t="s">
        <v>197</v>
      </c>
      <c r="B395" s="45" t="s">
        <v>176</v>
      </c>
      <c r="C395" s="52"/>
      <c r="D395" s="736">
        <v>42611</v>
      </c>
      <c r="E395" s="736">
        <v>44977</v>
      </c>
      <c r="F395" s="73">
        <v>3276</v>
      </c>
      <c r="G395" s="73">
        <f t="shared" si="123"/>
        <v>1274</v>
      </c>
      <c r="H395" s="16"/>
      <c r="I395" s="16"/>
      <c r="J395" s="736">
        <f>D395+364*10</f>
        <v>46251</v>
      </c>
      <c r="K395" s="736">
        <f t="shared" si="124"/>
        <v>45159</v>
      </c>
      <c r="L395" s="46">
        <v>10000000</v>
      </c>
      <c r="M395" s="53">
        <v>10000000</v>
      </c>
      <c r="N395" s="46">
        <v>9893500</v>
      </c>
      <c r="O395" s="20">
        <f t="shared" si="125"/>
        <v>5263650</v>
      </c>
      <c r="P395" s="47">
        <v>0.15039</v>
      </c>
      <c r="Q395" s="919">
        <v>1.0581970000000001</v>
      </c>
      <c r="R395" s="22">
        <f t="shared" si="126"/>
        <v>10581970</v>
      </c>
      <c r="S395" s="12">
        <v>0.1525</v>
      </c>
      <c r="T395" s="75">
        <f t="shared" si="127"/>
        <v>541238.73626373615</v>
      </c>
      <c r="U395" s="563"/>
      <c r="V395" s="90">
        <f t="shared" si="128"/>
        <v>541238.73626373615</v>
      </c>
      <c r="W395" s="13"/>
      <c r="Z395" s="30"/>
      <c r="AA395" s="30"/>
      <c r="AB395" s="30"/>
      <c r="AE395" s="30"/>
    </row>
    <row r="396" spans="1:31" s="29" customFormat="1" ht="22.5" customHeight="1" x14ac:dyDescent="0.25">
      <c r="A396" s="44" t="s">
        <v>197</v>
      </c>
      <c r="B396" s="45" t="s">
        <v>176</v>
      </c>
      <c r="C396" s="52"/>
      <c r="D396" s="736">
        <v>42611</v>
      </c>
      <c r="E396" s="736">
        <v>44977</v>
      </c>
      <c r="F396" s="73">
        <v>3276</v>
      </c>
      <c r="G396" s="73">
        <f t="shared" si="123"/>
        <v>1274</v>
      </c>
      <c r="H396" s="16"/>
      <c r="I396" s="16"/>
      <c r="J396" s="736">
        <f>D396+364*10</f>
        <v>46251</v>
      </c>
      <c r="K396" s="736">
        <f t="shared" si="124"/>
        <v>45159</v>
      </c>
      <c r="L396" s="46">
        <v>20000000</v>
      </c>
      <c r="M396" s="53">
        <v>10000000</v>
      </c>
      <c r="N396" s="46">
        <v>20000000</v>
      </c>
      <c r="O396" s="20">
        <f t="shared" si="125"/>
        <v>10527300</v>
      </c>
      <c r="P396" s="47">
        <v>0.15039</v>
      </c>
      <c r="Q396" s="919">
        <v>1.0581970000000001</v>
      </c>
      <c r="R396" s="22">
        <f t="shared" si="126"/>
        <v>21163940</v>
      </c>
      <c r="S396" s="12">
        <v>0.15039</v>
      </c>
      <c r="T396" s="75">
        <f t="shared" si="127"/>
        <v>1082477.4725274723</v>
      </c>
      <c r="U396" s="563"/>
      <c r="V396" s="90">
        <f t="shared" si="128"/>
        <v>1082477.4725274723</v>
      </c>
      <c r="W396" s="13"/>
      <c r="Z396" s="30"/>
      <c r="AA396" s="30"/>
      <c r="AB396" s="30"/>
      <c r="AE396" s="30"/>
    </row>
    <row r="397" spans="1:31" s="29" customFormat="1" ht="22.5" customHeight="1" x14ac:dyDescent="0.25">
      <c r="A397" s="44" t="s">
        <v>206</v>
      </c>
      <c r="B397" s="45" t="s">
        <v>176</v>
      </c>
      <c r="C397" s="45"/>
      <c r="D397" s="736">
        <v>42793</v>
      </c>
      <c r="E397" s="736">
        <v>44977</v>
      </c>
      <c r="F397" s="73">
        <v>4186</v>
      </c>
      <c r="G397" s="73">
        <f t="shared" si="123"/>
        <v>2184</v>
      </c>
      <c r="H397" s="16"/>
      <c r="I397" s="16"/>
      <c r="J397" s="736">
        <f>D397+364*12</f>
        <v>47161</v>
      </c>
      <c r="K397" s="736">
        <f t="shared" si="124"/>
        <v>45159</v>
      </c>
      <c r="L397" s="46">
        <f>20000000*80%</f>
        <v>16000000</v>
      </c>
      <c r="M397" s="53"/>
      <c r="N397" s="46">
        <v>18970600</v>
      </c>
      <c r="O397" s="20">
        <f t="shared" si="125"/>
        <v>12000000</v>
      </c>
      <c r="P397" s="47">
        <v>0.125</v>
      </c>
      <c r="Q397" s="919">
        <v>1.0262659999999999</v>
      </c>
      <c r="R397" s="22">
        <f t="shared" si="126"/>
        <v>16420255.999999998</v>
      </c>
      <c r="S397" s="12">
        <v>0.13555</v>
      </c>
      <c r="T397" s="75">
        <f t="shared" si="127"/>
        <v>719780.21978021972</v>
      </c>
      <c r="U397" s="563"/>
      <c r="V397" s="90">
        <f t="shared" si="128"/>
        <v>719780.21978021972</v>
      </c>
      <c r="W397" s="13"/>
      <c r="Z397" s="30"/>
      <c r="AA397" s="30"/>
      <c r="AB397" s="30"/>
      <c r="AE397" s="30"/>
    </row>
    <row r="398" spans="1:31" s="29" customFormat="1" ht="22.5" customHeight="1" x14ac:dyDescent="0.25">
      <c r="A398" s="44" t="s">
        <v>206</v>
      </c>
      <c r="B398" s="45" t="s">
        <v>176</v>
      </c>
      <c r="C398" s="11"/>
      <c r="D398" s="736">
        <v>42800</v>
      </c>
      <c r="E398" s="736">
        <v>44977</v>
      </c>
      <c r="F398" s="73">
        <v>4178.72</v>
      </c>
      <c r="G398" s="73">
        <f t="shared" si="123"/>
        <v>2184.0475999999981</v>
      </c>
      <c r="H398" s="73"/>
      <c r="I398" s="73"/>
      <c r="J398" s="736">
        <f>D398+364*11.9809</f>
        <v>47161.047599999998</v>
      </c>
      <c r="K398" s="736">
        <f t="shared" si="124"/>
        <v>45159</v>
      </c>
      <c r="L398" s="46">
        <f>20000000*80%</f>
        <v>16000000</v>
      </c>
      <c r="M398" s="18"/>
      <c r="N398" s="46">
        <v>18958000</v>
      </c>
      <c r="O398" s="20">
        <f t="shared" si="125"/>
        <v>12000261.538461529</v>
      </c>
      <c r="P398" s="47">
        <v>0.125</v>
      </c>
      <c r="Q398" s="919">
        <v>1.0262659999999999</v>
      </c>
      <c r="R398" s="22">
        <f t="shared" si="126"/>
        <v>16420255.999999998</v>
      </c>
      <c r="S398" s="12">
        <v>0.13555</v>
      </c>
      <c r="T398" s="75">
        <f t="shared" si="127"/>
        <v>719780.21978021984</v>
      </c>
      <c r="U398" s="563"/>
      <c r="V398" s="90">
        <f t="shared" si="128"/>
        <v>719780.21978021984</v>
      </c>
      <c r="W398" s="13"/>
      <c r="Z398" s="30"/>
      <c r="AA398" s="30"/>
      <c r="AB398" s="30"/>
      <c r="AE398" s="30"/>
    </row>
    <row r="399" spans="1:31" s="29" customFormat="1" ht="22.5" customHeight="1" x14ac:dyDescent="0.25">
      <c r="A399" s="44" t="s">
        <v>255</v>
      </c>
      <c r="B399" s="45" t="s">
        <v>176</v>
      </c>
      <c r="C399" s="11"/>
      <c r="D399" s="736">
        <v>44067</v>
      </c>
      <c r="E399" s="736">
        <v>44977</v>
      </c>
      <c r="F399" s="73">
        <v>4178.72</v>
      </c>
      <c r="G399" s="73">
        <f t="shared" si="123"/>
        <v>3094</v>
      </c>
      <c r="H399" s="73"/>
      <c r="I399" s="73"/>
      <c r="J399" s="736">
        <f>D399+364*11</f>
        <v>48071</v>
      </c>
      <c r="K399" s="736">
        <f t="shared" si="124"/>
        <v>45159</v>
      </c>
      <c r="L399" s="46">
        <v>20000000</v>
      </c>
      <c r="M399" s="18"/>
      <c r="N399" s="46">
        <v>19578600</v>
      </c>
      <c r="O399" s="20">
        <f t="shared" si="125"/>
        <v>18530000</v>
      </c>
      <c r="P399" s="47">
        <v>0.109</v>
      </c>
      <c r="Q399" s="919">
        <v>0.91560399999999997</v>
      </c>
      <c r="R399" s="22">
        <f t="shared" si="126"/>
        <v>18312080</v>
      </c>
      <c r="S399" s="12">
        <v>0.11302</v>
      </c>
      <c r="T399" s="75">
        <f t="shared" si="127"/>
        <v>784560.43956043955</v>
      </c>
      <c r="U399" s="563"/>
      <c r="V399" s="90">
        <f t="shared" si="128"/>
        <v>784560.43956043955</v>
      </c>
      <c r="W399" s="13"/>
      <c r="Z399" s="30"/>
      <c r="AA399" s="30"/>
      <c r="AB399" s="30"/>
      <c r="AE399" s="30"/>
    </row>
    <row r="400" spans="1:31" s="29" customFormat="1" ht="22.5" customHeight="1" x14ac:dyDescent="0.25">
      <c r="A400" s="44" t="s">
        <v>309</v>
      </c>
      <c r="B400" s="45" t="s">
        <v>176</v>
      </c>
      <c r="C400" s="52"/>
      <c r="D400" s="736">
        <v>44634</v>
      </c>
      <c r="E400" s="736">
        <v>44977</v>
      </c>
      <c r="F400" s="73">
        <v>3969.42</v>
      </c>
      <c r="G400" s="73">
        <f t="shared" si="123"/>
        <v>4368</v>
      </c>
      <c r="H400" s="73"/>
      <c r="I400" s="73"/>
      <c r="J400" s="736">
        <f>D400+(4711)</f>
        <v>49345</v>
      </c>
      <c r="K400" s="736">
        <f t="shared" si="124"/>
        <v>45159</v>
      </c>
      <c r="L400" s="46">
        <v>20000000</v>
      </c>
      <c r="M400" s="53"/>
      <c r="N400" s="46">
        <v>18976200</v>
      </c>
      <c r="O400" s="20">
        <f t="shared" si="125"/>
        <v>30614400</v>
      </c>
      <c r="P400" s="47">
        <v>0.12756000000000001</v>
      </c>
      <c r="Q400" s="919">
        <v>0.91931399999999996</v>
      </c>
      <c r="R400" s="22">
        <f t="shared" si="126"/>
        <v>18386280</v>
      </c>
      <c r="S400" s="12">
        <v>0.13732</v>
      </c>
      <c r="T400" s="75">
        <f t="shared" si="127"/>
        <v>918151.64835164836</v>
      </c>
      <c r="U400" s="563"/>
      <c r="V400" s="90">
        <f t="shared" si="128"/>
        <v>918151.64835164836</v>
      </c>
      <c r="W400" s="13"/>
      <c r="Z400" s="30"/>
      <c r="AA400" s="30"/>
      <c r="AB400" s="30"/>
      <c r="AE400" s="30"/>
    </row>
    <row r="401" spans="1:31" s="624" customFormat="1" ht="22.5" customHeight="1" x14ac:dyDescent="0.25">
      <c r="A401" s="44" t="s">
        <v>309</v>
      </c>
      <c r="B401" s="45" t="s">
        <v>176</v>
      </c>
      <c r="C401" s="52"/>
      <c r="D401" s="736">
        <v>44634</v>
      </c>
      <c r="E401" s="736">
        <v>44977</v>
      </c>
      <c r="F401" s="73">
        <v>3969.42</v>
      </c>
      <c r="G401" s="73">
        <f t="shared" si="123"/>
        <v>4368</v>
      </c>
      <c r="H401" s="73"/>
      <c r="I401" s="73"/>
      <c r="J401" s="736">
        <f>D401+(4711)</f>
        <v>49345</v>
      </c>
      <c r="K401" s="736">
        <f t="shared" si="124"/>
        <v>45159</v>
      </c>
      <c r="L401" s="46">
        <v>20000000</v>
      </c>
      <c r="M401" s="53"/>
      <c r="N401" s="46">
        <v>19361200</v>
      </c>
      <c r="O401" s="20">
        <f t="shared" si="125"/>
        <v>30614400</v>
      </c>
      <c r="P401" s="47">
        <v>0.12756000000000001</v>
      </c>
      <c r="Q401" s="919">
        <v>0.91931399999999996</v>
      </c>
      <c r="R401" s="22">
        <f t="shared" si="126"/>
        <v>18386280</v>
      </c>
      <c r="S401" s="12">
        <v>0.13400000000000001</v>
      </c>
      <c r="T401" s="75">
        <f t="shared" si="127"/>
        <v>918151.64835164836</v>
      </c>
      <c r="U401" s="563"/>
      <c r="V401" s="90">
        <f t="shared" si="128"/>
        <v>918151.64835164836</v>
      </c>
      <c r="W401" s="13"/>
      <c r="X401" s="29"/>
      <c r="Y401" s="29"/>
      <c r="Z401" s="30"/>
      <c r="AA401" s="30"/>
      <c r="AB401" s="30"/>
      <c r="AC401" s="29"/>
      <c r="AD401" s="29"/>
      <c r="AE401" s="30"/>
    </row>
    <row r="402" spans="1:31" s="624" customFormat="1" ht="22.5" customHeight="1" x14ac:dyDescent="0.25">
      <c r="A402" s="44" t="s">
        <v>195</v>
      </c>
      <c r="B402" s="45" t="s">
        <v>176</v>
      </c>
      <c r="C402" s="736"/>
      <c r="D402" s="736">
        <v>42541</v>
      </c>
      <c r="E402" s="736">
        <v>44998</v>
      </c>
      <c r="F402" s="73">
        <v>3822</v>
      </c>
      <c r="G402" s="73">
        <f t="shared" si="123"/>
        <v>1638</v>
      </c>
      <c r="H402" s="16"/>
      <c r="I402" s="16"/>
      <c r="J402" s="736">
        <f>D402+364*11.25</f>
        <v>46636</v>
      </c>
      <c r="K402" s="736">
        <f t="shared" si="124"/>
        <v>45180</v>
      </c>
      <c r="L402" s="46">
        <v>10000000</v>
      </c>
      <c r="M402" s="18"/>
      <c r="N402" s="46">
        <v>8433900</v>
      </c>
      <c r="O402" s="20">
        <f t="shared" si="125"/>
        <v>4950000</v>
      </c>
      <c r="P402" s="47">
        <v>0.11</v>
      </c>
      <c r="Q402" s="919">
        <v>0.91869999999999996</v>
      </c>
      <c r="R402" s="22">
        <f t="shared" si="126"/>
        <v>9187000</v>
      </c>
      <c r="S402" s="12">
        <v>0.1202</v>
      </c>
      <c r="T402" s="75">
        <f t="shared" si="127"/>
        <v>332417.58241758239</v>
      </c>
      <c r="U402" s="565"/>
      <c r="V402" s="839">
        <f t="shared" si="128"/>
        <v>332417.58241758239</v>
      </c>
      <c r="W402" s="50"/>
      <c r="X402" s="51"/>
      <c r="Y402" s="51"/>
      <c r="Z402" s="30"/>
      <c r="AA402" s="30"/>
      <c r="AB402" s="30"/>
      <c r="AC402" s="51"/>
      <c r="AD402" s="51"/>
      <c r="AE402" s="51"/>
    </row>
    <row r="403" spans="1:31" s="29" customFormat="1" ht="22.5" customHeight="1" x14ac:dyDescent="0.25">
      <c r="A403" s="44" t="s">
        <v>262</v>
      </c>
      <c r="B403" s="45" t="s">
        <v>176</v>
      </c>
      <c r="C403" s="52"/>
      <c r="D403" s="736">
        <v>44193</v>
      </c>
      <c r="E403" s="736">
        <v>44998</v>
      </c>
      <c r="F403" s="73">
        <v>3969.42</v>
      </c>
      <c r="G403" s="73">
        <f t="shared" si="123"/>
        <v>1638</v>
      </c>
      <c r="H403" s="73"/>
      <c r="I403" s="73"/>
      <c r="J403" s="736">
        <v>46636</v>
      </c>
      <c r="K403" s="736">
        <f t="shared" si="124"/>
        <v>45180</v>
      </c>
      <c r="L403" s="46">
        <v>40000000</v>
      </c>
      <c r="M403" s="53"/>
      <c r="N403" s="46">
        <v>40406800</v>
      </c>
      <c r="O403" s="20">
        <f t="shared" si="125"/>
        <v>19800000</v>
      </c>
      <c r="P403" s="47">
        <v>0.11</v>
      </c>
      <c r="Q403" s="919">
        <v>0.91869999999999996</v>
      </c>
      <c r="R403" s="22">
        <f t="shared" si="126"/>
        <v>36748000</v>
      </c>
      <c r="S403" s="12">
        <v>0.11461</v>
      </c>
      <c r="T403" s="75">
        <f t="shared" si="127"/>
        <v>1329670.3296703296</v>
      </c>
      <c r="U403" s="563"/>
      <c r="V403" s="13">
        <f t="shared" si="128"/>
        <v>1329670.3296703296</v>
      </c>
      <c r="W403" s="13"/>
      <c r="Z403" s="30"/>
      <c r="AA403" s="30"/>
      <c r="AB403" s="30"/>
      <c r="AE403" s="30"/>
    </row>
    <row r="404" spans="1:31" s="29" customFormat="1" ht="22.5" customHeight="1" x14ac:dyDescent="0.25">
      <c r="A404" s="44" t="s">
        <v>240</v>
      </c>
      <c r="B404" s="45" t="s">
        <v>176</v>
      </c>
      <c r="C404" s="45"/>
      <c r="D404" s="736">
        <v>43934</v>
      </c>
      <c r="E404" s="629">
        <v>45026</v>
      </c>
      <c r="F404" s="73">
        <v>5278</v>
      </c>
      <c r="G404" s="73">
        <f t="shared" si="123"/>
        <v>2184</v>
      </c>
      <c r="H404" s="16"/>
      <c r="I404" s="16"/>
      <c r="J404" s="736">
        <f>D404+364*9</f>
        <v>47210</v>
      </c>
      <c r="K404" s="736">
        <f t="shared" si="124"/>
        <v>45208</v>
      </c>
      <c r="L404" s="46">
        <v>10000000</v>
      </c>
      <c r="M404" s="18">
        <v>10000000</v>
      </c>
      <c r="N404" s="46">
        <v>9663600</v>
      </c>
      <c r="O404" s="20">
        <f t="shared" si="125"/>
        <v>6510000</v>
      </c>
      <c r="P404" s="47">
        <v>0.1085</v>
      </c>
      <c r="Q404" s="918">
        <v>0.929562</v>
      </c>
      <c r="R404" s="22">
        <f t="shared" si="126"/>
        <v>9295620</v>
      </c>
      <c r="S404" s="12">
        <v>0.1158</v>
      </c>
      <c r="T404" s="75">
        <f t="shared" si="127"/>
        <v>244423.07692307694</v>
      </c>
      <c r="U404" s="563"/>
      <c r="V404" s="13">
        <f t="shared" si="128"/>
        <v>244423.07692307694</v>
      </c>
      <c r="W404" s="13"/>
      <c r="Z404" s="30"/>
      <c r="AA404" s="30"/>
      <c r="AB404" s="30"/>
      <c r="AE404" s="30"/>
    </row>
    <row r="405" spans="1:31" s="29" customFormat="1" ht="22.5" customHeight="1" x14ac:dyDescent="0.25">
      <c r="A405" s="44" t="s">
        <v>240</v>
      </c>
      <c r="B405" s="45" t="s">
        <v>176</v>
      </c>
      <c r="C405" s="45"/>
      <c r="D405" s="736">
        <v>43934</v>
      </c>
      <c r="E405" s="629">
        <v>45026</v>
      </c>
      <c r="F405" s="73">
        <v>5278</v>
      </c>
      <c r="G405" s="73">
        <f t="shared" si="123"/>
        <v>2184</v>
      </c>
      <c r="H405" s="16"/>
      <c r="I405" s="16"/>
      <c r="J405" s="736">
        <f>D405+364*9</f>
        <v>47210</v>
      </c>
      <c r="K405" s="736">
        <f t="shared" si="124"/>
        <v>45208</v>
      </c>
      <c r="L405" s="46">
        <v>10000000</v>
      </c>
      <c r="M405" s="18">
        <v>10000000</v>
      </c>
      <c r="N405" s="46">
        <v>9433400</v>
      </c>
      <c r="O405" s="20">
        <f t="shared" si="125"/>
        <v>6510000</v>
      </c>
      <c r="P405" s="47">
        <v>0.1085</v>
      </c>
      <c r="Q405" s="918">
        <v>0.929562</v>
      </c>
      <c r="R405" s="22">
        <f t="shared" si="126"/>
        <v>9295620</v>
      </c>
      <c r="S405" s="12">
        <v>0.121</v>
      </c>
      <c r="T405" s="75">
        <f t="shared" si="127"/>
        <v>244423.07692307694</v>
      </c>
      <c r="U405" s="563"/>
      <c r="V405" s="13">
        <f t="shared" si="128"/>
        <v>244423.07692307694</v>
      </c>
      <c r="W405" s="13"/>
      <c r="Z405" s="30"/>
      <c r="AA405" s="30"/>
      <c r="AB405" s="30"/>
      <c r="AE405" s="30"/>
    </row>
    <row r="406" spans="1:31" s="29" customFormat="1" ht="22.5" customHeight="1" x14ac:dyDescent="0.25">
      <c r="A406" s="44" t="s">
        <v>310</v>
      </c>
      <c r="B406" s="45" t="s">
        <v>176</v>
      </c>
      <c r="C406" s="52"/>
      <c r="D406" s="736">
        <v>44662</v>
      </c>
      <c r="E406" s="736">
        <v>45026</v>
      </c>
      <c r="F406" s="73">
        <v>3969.42</v>
      </c>
      <c r="G406" s="73">
        <f t="shared" si="123"/>
        <v>728</v>
      </c>
      <c r="H406" s="73"/>
      <c r="I406" s="73"/>
      <c r="J406" s="736">
        <f>D406+(1092)</f>
        <v>45754</v>
      </c>
      <c r="K406" s="736">
        <f t="shared" si="124"/>
        <v>45208</v>
      </c>
      <c r="L406" s="46">
        <v>20000000</v>
      </c>
      <c r="M406" s="53"/>
      <c r="N406" s="46">
        <v>20000000</v>
      </c>
      <c r="O406" s="20">
        <f t="shared" si="125"/>
        <v>4706400</v>
      </c>
      <c r="P406" s="47">
        <v>0.11766</v>
      </c>
      <c r="Q406" s="919">
        <v>0.98591799999999996</v>
      </c>
      <c r="R406" s="22">
        <f t="shared" si="126"/>
        <v>19718360</v>
      </c>
      <c r="S406" s="12">
        <v>0.11766</v>
      </c>
      <c r="T406" s="75">
        <f t="shared" si="127"/>
        <v>530116.48351648345</v>
      </c>
      <c r="U406" s="563"/>
      <c r="V406" s="13">
        <f t="shared" si="128"/>
        <v>530116.48351648345</v>
      </c>
      <c r="W406" s="13"/>
      <c r="Z406" s="30"/>
      <c r="AA406" s="30"/>
      <c r="AB406" s="30"/>
      <c r="AE406" s="30"/>
    </row>
    <row r="407" spans="1:31" s="29" customFormat="1" ht="22.5" customHeight="1" x14ac:dyDescent="0.25">
      <c r="A407" s="44" t="s">
        <v>310</v>
      </c>
      <c r="B407" s="45" t="s">
        <v>176</v>
      </c>
      <c r="C407" s="52"/>
      <c r="D407" s="736">
        <v>44662</v>
      </c>
      <c r="E407" s="736">
        <v>45026</v>
      </c>
      <c r="F407" s="73">
        <v>3969.42</v>
      </c>
      <c r="G407" s="73">
        <f t="shared" si="123"/>
        <v>728</v>
      </c>
      <c r="H407" s="73"/>
      <c r="I407" s="73"/>
      <c r="J407" s="736">
        <f>D407+(1092)</f>
        <v>45754</v>
      </c>
      <c r="K407" s="736">
        <f t="shared" si="124"/>
        <v>45208</v>
      </c>
      <c r="L407" s="46">
        <v>30000000</v>
      </c>
      <c r="M407" s="53"/>
      <c r="N407" s="46">
        <v>30160500</v>
      </c>
      <c r="O407" s="20">
        <f t="shared" si="125"/>
        <v>7059600</v>
      </c>
      <c r="P407" s="47">
        <v>0.11766</v>
      </c>
      <c r="Q407" s="919">
        <v>0.98591799999999996</v>
      </c>
      <c r="R407" s="22">
        <f t="shared" si="126"/>
        <v>29577540</v>
      </c>
      <c r="S407" s="12">
        <v>0.11550000000000001</v>
      </c>
      <c r="T407" s="75">
        <f t="shared" si="127"/>
        <v>795174.72527472524</v>
      </c>
      <c r="U407" s="563"/>
      <c r="V407" s="13">
        <f t="shared" si="128"/>
        <v>795174.72527472524</v>
      </c>
      <c r="W407" s="13"/>
      <c r="Z407" s="30"/>
      <c r="AA407" s="30"/>
      <c r="AB407" s="30"/>
      <c r="AE407" s="30"/>
    </row>
    <row r="408" spans="1:31" s="29" customFormat="1" ht="22.5" customHeight="1" x14ac:dyDescent="0.3">
      <c r="A408" s="841" t="s">
        <v>154</v>
      </c>
      <c r="B408" s="842" t="s">
        <v>176</v>
      </c>
      <c r="C408" s="842"/>
      <c r="D408" s="629">
        <v>42485</v>
      </c>
      <c r="E408" s="629">
        <v>45033</v>
      </c>
      <c r="F408" s="843">
        <v>3458</v>
      </c>
      <c r="G408" s="73">
        <f t="shared" si="123"/>
        <v>1820</v>
      </c>
      <c r="H408" s="855"/>
      <c r="I408" s="855"/>
      <c r="J408" s="629">
        <f>D408+364*12</f>
        <v>46853</v>
      </c>
      <c r="K408" s="629">
        <f t="shared" si="124"/>
        <v>45215</v>
      </c>
      <c r="L408" s="844">
        <f>5000000-1250000-1566413</f>
        <v>2183587</v>
      </c>
      <c r="M408" s="630"/>
      <c r="N408" s="844">
        <v>4931100</v>
      </c>
      <c r="O408" s="845">
        <f t="shared" si="125"/>
        <v>1200972.8500000001</v>
      </c>
      <c r="P408" s="846">
        <v>0.11</v>
      </c>
      <c r="Q408" s="920">
        <v>0.96972100000000006</v>
      </c>
      <c r="R408" s="848">
        <f t="shared" si="126"/>
        <v>2117470.1692270003</v>
      </c>
      <c r="S408" s="849">
        <v>0.11262999999999999</v>
      </c>
      <c r="T408" s="850">
        <f t="shared" si="127"/>
        <v>49490.639423076929</v>
      </c>
      <c r="U408" s="851"/>
      <c r="V408" s="852">
        <f t="shared" si="128"/>
        <v>49490.639423076929</v>
      </c>
      <c r="W408" s="852"/>
      <c r="X408" s="624"/>
      <c r="Y408" s="624"/>
      <c r="Z408" s="853"/>
      <c r="AA408" s="853"/>
      <c r="AB408" s="853"/>
      <c r="AC408" s="624"/>
      <c r="AD408" s="624"/>
      <c r="AE408" s="853"/>
    </row>
    <row r="409" spans="1:31" s="29" customFormat="1" ht="22.5" customHeight="1" x14ac:dyDescent="0.3">
      <c r="A409" s="841" t="s">
        <v>161</v>
      </c>
      <c r="B409" s="842" t="s">
        <v>176</v>
      </c>
      <c r="C409" s="842"/>
      <c r="D409" s="629">
        <v>42485</v>
      </c>
      <c r="E409" s="629">
        <v>45033</v>
      </c>
      <c r="F409" s="843">
        <v>3458</v>
      </c>
      <c r="G409" s="73">
        <f t="shared" si="123"/>
        <v>1820</v>
      </c>
      <c r="H409" s="855"/>
      <c r="I409" s="855"/>
      <c r="J409" s="629">
        <f>D409+364*12</f>
        <v>46853</v>
      </c>
      <c r="K409" s="629">
        <f t="shared" si="124"/>
        <v>45215</v>
      </c>
      <c r="L409" s="844">
        <f>10000000</f>
        <v>10000000</v>
      </c>
      <c r="M409" s="630"/>
      <c r="N409" s="844">
        <v>9862200</v>
      </c>
      <c r="O409" s="845">
        <f t="shared" si="125"/>
        <v>5500000</v>
      </c>
      <c r="P409" s="846">
        <v>0.11</v>
      </c>
      <c r="Q409" s="920">
        <v>0.96972100000000006</v>
      </c>
      <c r="R409" s="848">
        <f t="shared" si="126"/>
        <v>9697210</v>
      </c>
      <c r="S409" s="849">
        <v>0.11262999999999999</v>
      </c>
      <c r="T409" s="850">
        <f t="shared" si="127"/>
        <v>226648.35164835164</v>
      </c>
      <c r="U409" s="851"/>
      <c r="V409" s="852">
        <f t="shared" si="128"/>
        <v>226648.35164835164</v>
      </c>
      <c r="W409" s="852"/>
      <c r="X409" s="624"/>
      <c r="Y409" s="624"/>
      <c r="Z409" s="853"/>
      <c r="AA409" s="853"/>
      <c r="AB409" s="853"/>
      <c r="AC409" s="624"/>
      <c r="AD409" s="624"/>
      <c r="AE409" s="853"/>
    </row>
    <row r="410" spans="1:31" s="29" customFormat="1" ht="22.5" customHeight="1" x14ac:dyDescent="0.25">
      <c r="A410" s="44" t="s">
        <v>199</v>
      </c>
      <c r="B410" s="45" t="s">
        <v>176</v>
      </c>
      <c r="C410" s="45"/>
      <c r="D410" s="736">
        <v>42667</v>
      </c>
      <c r="E410" s="629">
        <v>45033</v>
      </c>
      <c r="F410" s="73">
        <v>5278</v>
      </c>
      <c r="G410" s="73">
        <f t="shared" si="123"/>
        <v>3094</v>
      </c>
      <c r="H410" s="16"/>
      <c r="I410" s="16"/>
      <c r="J410" s="736">
        <f t="shared" ref="J410:J417" si="129">D410+364*15</f>
        <v>48127</v>
      </c>
      <c r="K410" s="736">
        <f t="shared" si="124"/>
        <v>45215</v>
      </c>
      <c r="L410" s="46">
        <f>10000000*0.75</f>
        <v>7500000</v>
      </c>
      <c r="M410" s="18">
        <v>10000000</v>
      </c>
      <c r="N410" s="46">
        <v>9556000</v>
      </c>
      <c r="O410" s="20">
        <f t="shared" si="125"/>
        <v>7650000</v>
      </c>
      <c r="P410" s="47">
        <v>0.12</v>
      </c>
      <c r="Q410" s="919">
        <v>0.93983899999999998</v>
      </c>
      <c r="R410" s="22">
        <f t="shared" si="126"/>
        <v>7048792.5</v>
      </c>
      <c r="S410" s="12">
        <v>0.12794</v>
      </c>
      <c r="T410" s="75">
        <f t="shared" si="127"/>
        <v>185439.56043956045</v>
      </c>
      <c r="U410" s="563"/>
      <c r="V410" s="13">
        <f t="shared" si="128"/>
        <v>185439.56043956045</v>
      </c>
      <c r="W410" s="13"/>
      <c r="Z410" s="30"/>
      <c r="AA410" s="30"/>
      <c r="AB410" s="30"/>
      <c r="AE410" s="30"/>
    </row>
    <row r="411" spans="1:31" s="29" customFormat="1" ht="22.5" customHeight="1" x14ac:dyDescent="0.25">
      <c r="A411" s="44" t="s">
        <v>199</v>
      </c>
      <c r="B411" s="45" t="s">
        <v>176</v>
      </c>
      <c r="C411" s="45"/>
      <c r="D411" s="736">
        <v>42667</v>
      </c>
      <c r="E411" s="629">
        <v>45033</v>
      </c>
      <c r="F411" s="73">
        <v>5278</v>
      </c>
      <c r="G411" s="73">
        <f t="shared" si="123"/>
        <v>3094</v>
      </c>
      <c r="H411" s="16"/>
      <c r="I411" s="16"/>
      <c r="J411" s="736">
        <f t="shared" si="129"/>
        <v>48127</v>
      </c>
      <c r="K411" s="736">
        <f t="shared" si="124"/>
        <v>45215</v>
      </c>
      <c r="L411" s="46">
        <f t="shared" ref="L411:L417" si="130">20000000*0.75</f>
        <v>15000000</v>
      </c>
      <c r="M411" s="18">
        <v>10000000</v>
      </c>
      <c r="N411" s="46">
        <f>20000000-940600</f>
        <v>19059400</v>
      </c>
      <c r="O411" s="20">
        <f t="shared" si="125"/>
        <v>15300000</v>
      </c>
      <c r="P411" s="47">
        <v>0.12</v>
      </c>
      <c r="Q411" s="919">
        <v>0.93983899999999998</v>
      </c>
      <c r="R411" s="22">
        <f t="shared" si="126"/>
        <v>14097585</v>
      </c>
      <c r="S411" s="12">
        <v>0.12842999999999999</v>
      </c>
      <c r="T411" s="75">
        <f t="shared" si="127"/>
        <v>370879.12087912089</v>
      </c>
      <c r="U411" s="563"/>
      <c r="V411" s="13">
        <f t="shared" si="128"/>
        <v>370879.12087912089</v>
      </c>
      <c r="W411" s="13"/>
      <c r="Z411" s="30"/>
      <c r="AA411" s="30"/>
      <c r="AB411" s="30"/>
      <c r="AE411" s="30"/>
    </row>
    <row r="412" spans="1:31" s="29" customFormat="1" ht="22.5" customHeight="1" x14ac:dyDescent="0.25">
      <c r="A412" s="44" t="s">
        <v>199</v>
      </c>
      <c r="B412" s="45" t="s">
        <v>176</v>
      </c>
      <c r="C412" s="45"/>
      <c r="D412" s="736">
        <v>42667</v>
      </c>
      <c r="E412" s="629">
        <v>45033</v>
      </c>
      <c r="F412" s="73">
        <v>5278</v>
      </c>
      <c r="G412" s="73">
        <f t="shared" si="123"/>
        <v>3094</v>
      </c>
      <c r="H412" s="16"/>
      <c r="I412" s="16"/>
      <c r="J412" s="736">
        <f t="shared" si="129"/>
        <v>48127</v>
      </c>
      <c r="K412" s="736">
        <f t="shared" si="124"/>
        <v>45215</v>
      </c>
      <c r="L412" s="46">
        <f t="shared" si="130"/>
        <v>15000000</v>
      </c>
      <c r="M412" s="18">
        <v>10000000</v>
      </c>
      <c r="N412" s="46">
        <v>18983400</v>
      </c>
      <c r="O412" s="20">
        <f t="shared" si="125"/>
        <v>15300000</v>
      </c>
      <c r="P412" s="47">
        <v>0.12</v>
      </c>
      <c r="Q412" s="919">
        <v>0.93983899999999998</v>
      </c>
      <c r="R412" s="22">
        <f t="shared" si="126"/>
        <v>14097585</v>
      </c>
      <c r="S412" s="12">
        <v>0.12914</v>
      </c>
      <c r="T412" s="75">
        <f t="shared" si="127"/>
        <v>370879.12087912089</v>
      </c>
      <c r="U412" s="563"/>
      <c r="V412" s="13">
        <f t="shared" si="128"/>
        <v>370879.12087912089</v>
      </c>
      <c r="W412" s="13"/>
      <c r="Z412" s="30"/>
      <c r="AA412" s="30"/>
      <c r="AB412" s="30"/>
      <c r="AE412" s="30"/>
    </row>
    <row r="413" spans="1:31" s="29" customFormat="1" ht="22.5" customHeight="1" x14ac:dyDescent="0.25">
      <c r="A413" s="44" t="s">
        <v>199</v>
      </c>
      <c r="B413" s="45" t="s">
        <v>176</v>
      </c>
      <c r="C413" s="45"/>
      <c r="D413" s="736">
        <v>42667</v>
      </c>
      <c r="E413" s="629">
        <v>45033</v>
      </c>
      <c r="F413" s="73">
        <v>5278</v>
      </c>
      <c r="G413" s="73">
        <f t="shared" si="123"/>
        <v>3094</v>
      </c>
      <c r="H413" s="16"/>
      <c r="I413" s="16"/>
      <c r="J413" s="736">
        <f t="shared" si="129"/>
        <v>48127</v>
      </c>
      <c r="K413" s="736">
        <f t="shared" si="124"/>
        <v>45215</v>
      </c>
      <c r="L413" s="46">
        <f t="shared" si="130"/>
        <v>15000000</v>
      </c>
      <c r="M413" s="18">
        <v>10000000</v>
      </c>
      <c r="N413" s="46">
        <v>18705800</v>
      </c>
      <c r="O413" s="20">
        <f t="shared" si="125"/>
        <v>15300000</v>
      </c>
      <c r="P413" s="47">
        <v>0.12</v>
      </c>
      <c r="Q413" s="919">
        <v>0.93983899999999998</v>
      </c>
      <c r="R413" s="22">
        <f t="shared" si="126"/>
        <v>14097585</v>
      </c>
      <c r="S413" s="12">
        <v>0.13177</v>
      </c>
      <c r="T413" s="75">
        <f t="shared" si="127"/>
        <v>370879.12087912089</v>
      </c>
      <c r="U413" s="563"/>
      <c r="V413" s="13">
        <f t="shared" si="128"/>
        <v>370879.12087912089</v>
      </c>
      <c r="W413" s="13"/>
      <c r="Z413" s="30"/>
      <c r="AA413" s="30"/>
      <c r="AB413" s="30"/>
      <c r="AE413" s="30"/>
    </row>
    <row r="414" spans="1:31" s="29" customFormat="1" ht="22.5" customHeight="1" x14ac:dyDescent="0.25">
      <c r="A414" s="44" t="s">
        <v>199</v>
      </c>
      <c r="B414" s="45" t="s">
        <v>176</v>
      </c>
      <c r="C414" s="45"/>
      <c r="D414" s="736">
        <v>42667</v>
      </c>
      <c r="E414" s="629">
        <v>45033</v>
      </c>
      <c r="F414" s="73">
        <v>5278</v>
      </c>
      <c r="G414" s="73">
        <f t="shared" si="123"/>
        <v>3094</v>
      </c>
      <c r="H414" s="16"/>
      <c r="I414" s="16"/>
      <c r="J414" s="736">
        <f t="shared" si="129"/>
        <v>48127</v>
      </c>
      <c r="K414" s="736">
        <f t="shared" si="124"/>
        <v>45215</v>
      </c>
      <c r="L414" s="46">
        <f t="shared" si="130"/>
        <v>15000000</v>
      </c>
      <c r="M414" s="18">
        <v>10000000</v>
      </c>
      <c r="N414" s="46">
        <v>18637200</v>
      </c>
      <c r="O414" s="20">
        <f t="shared" si="125"/>
        <v>15300000</v>
      </c>
      <c r="P414" s="47">
        <v>0.12</v>
      </c>
      <c r="Q414" s="919">
        <v>0.93983899999999998</v>
      </c>
      <c r="R414" s="22">
        <f t="shared" si="126"/>
        <v>14097585</v>
      </c>
      <c r="S414" s="12">
        <v>0.13242999999999999</v>
      </c>
      <c r="T414" s="75">
        <f t="shared" si="127"/>
        <v>370879.12087912089</v>
      </c>
      <c r="U414" s="563"/>
      <c r="V414" s="13">
        <f t="shared" si="128"/>
        <v>370879.12087912089</v>
      </c>
      <c r="W414" s="13"/>
      <c r="Z414" s="30"/>
      <c r="AA414" s="30"/>
      <c r="AB414" s="30"/>
      <c r="AE414" s="30"/>
    </row>
    <row r="415" spans="1:31" s="29" customFormat="1" ht="22.5" customHeight="1" x14ac:dyDescent="0.25">
      <c r="A415" s="44" t="s">
        <v>199</v>
      </c>
      <c r="B415" s="45" t="s">
        <v>176</v>
      </c>
      <c r="C415" s="45"/>
      <c r="D415" s="736">
        <v>42667</v>
      </c>
      <c r="E415" s="629">
        <v>45033</v>
      </c>
      <c r="F415" s="73">
        <v>5278</v>
      </c>
      <c r="G415" s="73">
        <f t="shared" si="123"/>
        <v>3094</v>
      </c>
      <c r="H415" s="16"/>
      <c r="I415" s="16"/>
      <c r="J415" s="736">
        <f t="shared" si="129"/>
        <v>48127</v>
      </c>
      <c r="K415" s="736">
        <f t="shared" si="124"/>
        <v>45215</v>
      </c>
      <c r="L415" s="46">
        <f t="shared" si="130"/>
        <v>15000000</v>
      </c>
      <c r="M415" s="18">
        <v>10000000</v>
      </c>
      <c r="N415" s="46">
        <v>18522800</v>
      </c>
      <c r="O415" s="20">
        <f t="shared" si="125"/>
        <v>15300000</v>
      </c>
      <c r="P415" s="47">
        <v>0.12</v>
      </c>
      <c r="Q415" s="919">
        <v>0.93983899999999998</v>
      </c>
      <c r="R415" s="22">
        <f t="shared" si="126"/>
        <v>14097585</v>
      </c>
      <c r="S415" s="12">
        <v>0.13353999999999999</v>
      </c>
      <c r="T415" s="75">
        <f t="shared" si="127"/>
        <v>370879.12087912089</v>
      </c>
      <c r="U415" s="563"/>
      <c r="V415" s="13">
        <f t="shared" si="128"/>
        <v>370879.12087912089</v>
      </c>
      <c r="W415" s="13"/>
      <c r="Z415" s="30"/>
      <c r="AA415" s="30"/>
      <c r="AB415" s="30"/>
      <c r="AE415" s="30"/>
    </row>
    <row r="416" spans="1:31" s="29" customFormat="1" ht="22.5" customHeight="1" x14ac:dyDescent="0.25">
      <c r="A416" s="44" t="s">
        <v>199</v>
      </c>
      <c r="B416" s="45" t="s">
        <v>176</v>
      </c>
      <c r="C416" s="45"/>
      <c r="D416" s="736">
        <v>42667</v>
      </c>
      <c r="E416" s="629">
        <v>45033</v>
      </c>
      <c r="F416" s="73">
        <v>5278</v>
      </c>
      <c r="G416" s="73">
        <f t="shared" si="123"/>
        <v>3094</v>
      </c>
      <c r="H416" s="16"/>
      <c r="I416" s="16"/>
      <c r="J416" s="736">
        <f t="shared" si="129"/>
        <v>48127</v>
      </c>
      <c r="K416" s="736">
        <f t="shared" si="124"/>
        <v>45215</v>
      </c>
      <c r="L416" s="46">
        <f t="shared" si="130"/>
        <v>15000000</v>
      </c>
      <c r="M416" s="18">
        <v>10000000</v>
      </c>
      <c r="N416" s="46">
        <v>18476600</v>
      </c>
      <c r="O416" s="20">
        <f t="shared" si="125"/>
        <v>15300000</v>
      </c>
      <c r="P416" s="47">
        <v>0.12</v>
      </c>
      <c r="Q416" s="919">
        <v>0.93983899999999998</v>
      </c>
      <c r="R416" s="22">
        <f t="shared" si="126"/>
        <v>14097585</v>
      </c>
      <c r="S416" s="12">
        <v>0.13399</v>
      </c>
      <c r="T416" s="75">
        <f t="shared" si="127"/>
        <v>370879.12087912089</v>
      </c>
      <c r="U416" s="563"/>
      <c r="V416" s="13">
        <f t="shared" si="128"/>
        <v>370879.12087912089</v>
      </c>
      <c r="W416" s="13"/>
      <c r="Z416" s="30"/>
      <c r="AA416" s="30"/>
      <c r="AB416" s="30"/>
      <c r="AE416" s="30"/>
    </row>
    <row r="417" spans="1:31" s="29" customFormat="1" ht="22.5" customHeight="1" x14ac:dyDescent="0.25">
      <c r="A417" s="44" t="s">
        <v>199</v>
      </c>
      <c r="B417" s="45" t="s">
        <v>176</v>
      </c>
      <c r="C417" s="45"/>
      <c r="D417" s="736">
        <v>42667</v>
      </c>
      <c r="E417" s="629">
        <v>45033</v>
      </c>
      <c r="F417" s="73">
        <v>5278</v>
      </c>
      <c r="G417" s="73">
        <f t="shared" si="123"/>
        <v>3094</v>
      </c>
      <c r="H417" s="16"/>
      <c r="I417" s="16"/>
      <c r="J417" s="736">
        <f t="shared" si="129"/>
        <v>48127</v>
      </c>
      <c r="K417" s="736">
        <f t="shared" si="124"/>
        <v>45215</v>
      </c>
      <c r="L417" s="46">
        <f t="shared" si="130"/>
        <v>15000000</v>
      </c>
      <c r="M417" s="18">
        <v>10000000</v>
      </c>
      <c r="N417" s="46">
        <v>18476600</v>
      </c>
      <c r="O417" s="20">
        <f t="shared" si="125"/>
        <v>15300000</v>
      </c>
      <c r="P417" s="47">
        <v>0.12</v>
      </c>
      <c r="Q417" s="919">
        <v>0.93983899999999998</v>
      </c>
      <c r="R417" s="22">
        <f t="shared" si="126"/>
        <v>14097585</v>
      </c>
      <c r="S417" s="12">
        <v>0.13177</v>
      </c>
      <c r="T417" s="75">
        <f t="shared" si="127"/>
        <v>370879.12087912089</v>
      </c>
      <c r="U417" s="563"/>
      <c r="V417" s="13">
        <f t="shared" si="128"/>
        <v>370879.12087912089</v>
      </c>
      <c r="W417" s="13"/>
      <c r="Z417" s="30"/>
      <c r="AA417" s="30"/>
      <c r="AB417" s="30"/>
      <c r="AE417" s="30"/>
    </row>
    <row r="418" spans="1:31" s="29" customFormat="1" ht="22.5" customHeight="1" x14ac:dyDescent="0.25">
      <c r="A418" s="44" t="s">
        <v>212</v>
      </c>
      <c r="B418" s="45" t="s">
        <v>176</v>
      </c>
      <c r="C418" s="45"/>
      <c r="D418" s="736">
        <v>43598</v>
      </c>
      <c r="E418" s="736">
        <v>45054</v>
      </c>
      <c r="F418" s="73">
        <v>5278</v>
      </c>
      <c r="G418" s="73">
        <f t="shared" si="123"/>
        <v>364</v>
      </c>
      <c r="H418" s="16"/>
      <c r="I418" s="16"/>
      <c r="J418" s="736">
        <f>D418+364*5</f>
        <v>45418</v>
      </c>
      <c r="K418" s="736">
        <f t="shared" si="124"/>
        <v>45236</v>
      </c>
      <c r="L418" s="46">
        <v>20000000</v>
      </c>
      <c r="M418" s="18">
        <v>10000000</v>
      </c>
      <c r="N418" s="46">
        <v>20000000</v>
      </c>
      <c r="O418" s="20">
        <f t="shared" si="125"/>
        <v>2174400</v>
      </c>
      <c r="P418" s="47">
        <v>0.10872</v>
      </c>
      <c r="Q418" s="919">
        <v>1.0018469999999999</v>
      </c>
      <c r="R418" s="22">
        <f t="shared" si="126"/>
        <v>20036940</v>
      </c>
      <c r="S418" s="12">
        <v>0.10872</v>
      </c>
      <c r="T418" s="75">
        <f t="shared" si="127"/>
        <v>322575.82417582418</v>
      </c>
      <c r="U418" s="563"/>
      <c r="V418" s="13">
        <f t="shared" si="128"/>
        <v>322575.82417582418</v>
      </c>
      <c r="W418" s="13"/>
      <c r="Z418" s="30"/>
      <c r="AA418" s="30"/>
      <c r="AB418" s="30"/>
      <c r="AE418" s="30"/>
    </row>
    <row r="419" spans="1:31" s="29" customFormat="1" ht="22.5" customHeight="1" x14ac:dyDescent="0.25">
      <c r="A419" s="44" t="s">
        <v>243</v>
      </c>
      <c r="B419" s="45" t="s">
        <v>176</v>
      </c>
      <c r="C419" s="45"/>
      <c r="D419" s="736">
        <v>43976</v>
      </c>
      <c r="E419" s="736">
        <v>45054</v>
      </c>
      <c r="F419" s="73">
        <v>2912</v>
      </c>
      <c r="G419" s="73">
        <f t="shared" ref="G419:G450" si="131">J419-E419</f>
        <v>728</v>
      </c>
      <c r="H419" s="16"/>
      <c r="I419" s="16"/>
      <c r="J419" s="736">
        <f>D419+364*5-14</f>
        <v>45782</v>
      </c>
      <c r="K419" s="736">
        <f t="shared" ref="K419:K450" si="132">E419+182</f>
        <v>45236</v>
      </c>
      <c r="L419" s="46">
        <v>20000000</v>
      </c>
      <c r="M419" s="18"/>
      <c r="N419" s="46">
        <v>20027800</v>
      </c>
      <c r="O419" s="20">
        <f t="shared" ref="O419:O450" si="133">L419*P419*G419/364</f>
        <v>4666800</v>
      </c>
      <c r="P419" s="47">
        <v>0.11667</v>
      </c>
      <c r="Q419" s="919">
        <v>0.97310700000000006</v>
      </c>
      <c r="R419" s="22">
        <f t="shared" ref="R419:R450" si="134">+L419*Q419</f>
        <v>19462140</v>
      </c>
      <c r="S419" s="12">
        <v>0.11748</v>
      </c>
      <c r="T419" s="75">
        <f t="shared" ref="T419:T450" si="135">O419/G419*(T$1-E419+1)</f>
        <v>346163.73626373627</v>
      </c>
      <c r="U419" s="563"/>
      <c r="V419" s="13">
        <f t="shared" ref="V419:V450" si="136">+T419-U419</f>
        <v>346163.73626373627</v>
      </c>
      <c r="W419" s="13"/>
      <c r="Z419" s="30"/>
      <c r="AA419" s="30"/>
      <c r="AB419" s="30"/>
      <c r="AE419" s="30"/>
    </row>
    <row r="420" spans="1:31" s="29" customFormat="1" ht="22.5" customHeight="1" x14ac:dyDescent="0.25">
      <c r="A420" s="44" t="s">
        <v>243</v>
      </c>
      <c r="B420" s="45" t="s">
        <v>176</v>
      </c>
      <c r="C420" s="45"/>
      <c r="D420" s="736">
        <v>43976</v>
      </c>
      <c r="E420" s="736">
        <v>45054</v>
      </c>
      <c r="F420" s="73">
        <v>2912</v>
      </c>
      <c r="G420" s="73">
        <f t="shared" si="131"/>
        <v>728</v>
      </c>
      <c r="H420" s="16"/>
      <c r="I420" s="16"/>
      <c r="J420" s="736">
        <f>D420+364*5-14</f>
        <v>45782</v>
      </c>
      <c r="K420" s="736">
        <f t="shared" si="132"/>
        <v>45236</v>
      </c>
      <c r="L420" s="46">
        <v>20000000</v>
      </c>
      <c r="M420" s="18"/>
      <c r="N420" s="46">
        <v>20077800</v>
      </c>
      <c r="O420" s="20">
        <f t="shared" si="133"/>
        <v>4666800</v>
      </c>
      <c r="P420" s="47">
        <v>0.11667</v>
      </c>
      <c r="Q420" s="919">
        <v>0.97310700000000006</v>
      </c>
      <c r="R420" s="22">
        <f t="shared" si="134"/>
        <v>19462140</v>
      </c>
      <c r="S420" s="12">
        <v>0.1168</v>
      </c>
      <c r="T420" s="75">
        <f t="shared" si="135"/>
        <v>346163.73626373627</v>
      </c>
      <c r="U420" s="563"/>
      <c r="V420" s="13">
        <f t="shared" si="136"/>
        <v>346163.73626373627</v>
      </c>
      <c r="W420" s="13"/>
      <c r="Z420" s="30"/>
      <c r="AA420" s="30"/>
      <c r="AB420" s="30"/>
      <c r="AE420" s="30"/>
    </row>
    <row r="421" spans="1:31" s="29" customFormat="1" ht="22.5" customHeight="1" x14ac:dyDescent="0.25">
      <c r="A421" s="44" t="s">
        <v>243</v>
      </c>
      <c r="B421" s="45" t="s">
        <v>176</v>
      </c>
      <c r="C421" s="45"/>
      <c r="D421" s="736">
        <v>43976</v>
      </c>
      <c r="E421" s="736">
        <v>45054</v>
      </c>
      <c r="F421" s="73">
        <v>2912</v>
      </c>
      <c r="G421" s="73">
        <f t="shared" si="131"/>
        <v>728</v>
      </c>
      <c r="H421" s="16"/>
      <c r="I421" s="16"/>
      <c r="J421" s="736">
        <f>D421+364*5-14</f>
        <v>45782</v>
      </c>
      <c r="K421" s="736">
        <f t="shared" si="132"/>
        <v>45236</v>
      </c>
      <c r="L421" s="46">
        <v>20000000</v>
      </c>
      <c r="M421" s="18"/>
      <c r="N421" s="46">
        <v>20063000</v>
      </c>
      <c r="O421" s="20">
        <f t="shared" si="133"/>
        <v>4666800</v>
      </c>
      <c r="P421" s="47">
        <v>0.11667</v>
      </c>
      <c r="Q421" s="919">
        <v>0.97310700000000006</v>
      </c>
      <c r="R421" s="22">
        <f t="shared" si="134"/>
        <v>19462140</v>
      </c>
      <c r="S421" s="12">
        <v>0.11700000000000001</v>
      </c>
      <c r="T421" s="75">
        <f t="shared" si="135"/>
        <v>346163.73626373627</v>
      </c>
      <c r="U421" s="563"/>
      <c r="V421" s="13">
        <f t="shared" si="136"/>
        <v>346163.73626373627</v>
      </c>
      <c r="W421" s="13"/>
      <c r="Z421" s="30"/>
      <c r="AA421" s="30"/>
      <c r="AB421" s="30"/>
      <c r="AE421" s="30"/>
    </row>
    <row r="422" spans="1:31" s="29" customFormat="1" ht="22.5" customHeight="1" x14ac:dyDescent="0.25">
      <c r="A422" s="44" t="s">
        <v>243</v>
      </c>
      <c r="B422" s="45" t="s">
        <v>176</v>
      </c>
      <c r="C422" s="45"/>
      <c r="D422" s="736">
        <v>43976</v>
      </c>
      <c r="E422" s="736">
        <v>45054</v>
      </c>
      <c r="F422" s="73">
        <v>2912</v>
      </c>
      <c r="G422" s="73">
        <f t="shared" si="131"/>
        <v>728</v>
      </c>
      <c r="H422" s="16"/>
      <c r="I422" s="16"/>
      <c r="J422" s="736">
        <f>D422+364*5-14</f>
        <v>45782</v>
      </c>
      <c r="K422" s="736">
        <f t="shared" si="132"/>
        <v>45236</v>
      </c>
      <c r="L422" s="46">
        <v>20000000</v>
      </c>
      <c r="M422" s="18"/>
      <c r="N422" s="46">
        <v>20026200</v>
      </c>
      <c r="O422" s="20">
        <f t="shared" si="133"/>
        <v>4666800</v>
      </c>
      <c r="P422" s="47">
        <v>0.11667</v>
      </c>
      <c r="Q422" s="919">
        <v>0.97310700000000006</v>
      </c>
      <c r="R422" s="22">
        <f t="shared" si="134"/>
        <v>19462140</v>
      </c>
      <c r="S422" s="12">
        <v>0.11749999999999999</v>
      </c>
      <c r="T422" s="75">
        <f t="shared" si="135"/>
        <v>346163.73626373627</v>
      </c>
      <c r="U422" s="563"/>
      <c r="V422" s="13">
        <f t="shared" si="136"/>
        <v>346163.73626373627</v>
      </c>
      <c r="W422" s="13"/>
      <c r="Z422" s="30"/>
      <c r="AA422" s="30"/>
      <c r="AB422" s="30"/>
      <c r="AE422" s="30"/>
    </row>
    <row r="423" spans="1:31" s="29" customFormat="1" ht="22.5" customHeight="1" x14ac:dyDescent="0.25">
      <c r="A423" s="44" t="s">
        <v>243</v>
      </c>
      <c r="B423" s="45" t="s">
        <v>176</v>
      </c>
      <c r="C423" s="45"/>
      <c r="D423" s="736">
        <v>43976</v>
      </c>
      <c r="E423" s="736">
        <v>45054</v>
      </c>
      <c r="F423" s="73">
        <v>2912</v>
      </c>
      <c r="G423" s="73">
        <f t="shared" si="131"/>
        <v>728</v>
      </c>
      <c r="H423" s="16"/>
      <c r="I423" s="16"/>
      <c r="J423" s="736">
        <f>D423+364*5-14</f>
        <v>45782</v>
      </c>
      <c r="K423" s="736">
        <f t="shared" si="132"/>
        <v>45236</v>
      </c>
      <c r="L423" s="46">
        <v>20000000</v>
      </c>
      <c r="M423" s="18"/>
      <c r="N423" s="46">
        <v>20048400</v>
      </c>
      <c r="O423" s="20">
        <f t="shared" si="133"/>
        <v>4666800</v>
      </c>
      <c r="P423" s="47">
        <v>0.11667</v>
      </c>
      <c r="Q423" s="919">
        <v>0.97310700000000006</v>
      </c>
      <c r="R423" s="22">
        <f t="shared" si="134"/>
        <v>19462140</v>
      </c>
      <c r="S423" s="12">
        <v>0.1172</v>
      </c>
      <c r="T423" s="75">
        <f t="shared" si="135"/>
        <v>346163.73626373627</v>
      </c>
      <c r="U423" s="563"/>
      <c r="V423" s="13">
        <f t="shared" si="136"/>
        <v>346163.73626373627</v>
      </c>
      <c r="W423" s="13"/>
      <c r="Z423" s="30"/>
      <c r="AA423" s="30"/>
      <c r="AB423" s="30"/>
      <c r="AE423" s="30"/>
    </row>
    <row r="424" spans="1:31" s="29" customFormat="1" ht="22.5" customHeight="1" x14ac:dyDescent="0.25">
      <c r="A424" s="44" t="s">
        <v>243</v>
      </c>
      <c r="B424" s="45" t="s">
        <v>176</v>
      </c>
      <c r="C424" s="52"/>
      <c r="D424" s="736">
        <v>44039</v>
      </c>
      <c r="E424" s="736">
        <v>45054</v>
      </c>
      <c r="F424" s="73">
        <v>3969.42</v>
      </c>
      <c r="G424" s="73">
        <f t="shared" si="131"/>
        <v>728</v>
      </c>
      <c r="H424" s="73"/>
      <c r="I424" s="73"/>
      <c r="J424" s="736">
        <f>D424+364*5-77</f>
        <v>45782</v>
      </c>
      <c r="K424" s="736">
        <f t="shared" si="132"/>
        <v>45236</v>
      </c>
      <c r="L424" s="46">
        <v>20000000</v>
      </c>
      <c r="M424" s="53"/>
      <c r="N424" s="46">
        <v>21530600</v>
      </c>
      <c r="O424" s="20">
        <f t="shared" si="133"/>
        <v>4666800</v>
      </c>
      <c r="P424" s="47">
        <v>0.11667</v>
      </c>
      <c r="Q424" s="919">
        <v>0.97310700000000006</v>
      </c>
      <c r="R424" s="22">
        <f t="shared" si="134"/>
        <v>19462140</v>
      </c>
      <c r="S424" s="12">
        <v>0.1026</v>
      </c>
      <c r="T424" s="75">
        <f t="shared" si="135"/>
        <v>346163.73626373627</v>
      </c>
      <c r="U424" s="563"/>
      <c r="V424" s="13">
        <f t="shared" si="136"/>
        <v>346163.73626373627</v>
      </c>
      <c r="W424" s="13"/>
      <c r="Z424" s="30"/>
      <c r="AA424" s="30"/>
      <c r="AB424" s="30"/>
      <c r="AE424" s="30"/>
    </row>
    <row r="425" spans="1:31" s="29" customFormat="1" ht="22.5" customHeight="1" x14ac:dyDescent="0.25">
      <c r="A425" s="44" t="s">
        <v>187</v>
      </c>
      <c r="B425" s="45" t="s">
        <v>176</v>
      </c>
      <c r="C425" s="45"/>
      <c r="D425" s="736">
        <v>42513</v>
      </c>
      <c r="E425" s="736">
        <v>45061</v>
      </c>
      <c r="F425" s="73">
        <v>2912</v>
      </c>
      <c r="G425" s="73">
        <f t="shared" si="131"/>
        <v>728</v>
      </c>
      <c r="H425" s="16"/>
      <c r="I425" s="16"/>
      <c r="J425" s="736">
        <f>D425+364*9</f>
        <v>45789</v>
      </c>
      <c r="K425" s="736">
        <f t="shared" si="132"/>
        <v>45243</v>
      </c>
      <c r="L425" s="46">
        <f>20000000-4550000-4543536</f>
        <v>10906464</v>
      </c>
      <c r="M425" s="18"/>
      <c r="N425" s="46">
        <v>20000000</v>
      </c>
      <c r="O425" s="20">
        <f t="shared" si="133"/>
        <v>2726616</v>
      </c>
      <c r="P425" s="47">
        <v>0.125</v>
      </c>
      <c r="Q425" s="919">
        <v>1.0070790000000001</v>
      </c>
      <c r="R425" s="22">
        <f t="shared" si="134"/>
        <v>10983670.858656</v>
      </c>
      <c r="S425" s="12">
        <v>0.125</v>
      </c>
      <c r="T425" s="75">
        <f t="shared" si="135"/>
        <v>176031.52747252746</v>
      </c>
      <c r="U425" s="563"/>
      <c r="V425" s="13">
        <f t="shared" si="136"/>
        <v>176031.52747252746</v>
      </c>
      <c r="W425" s="13"/>
      <c r="Z425" s="30"/>
      <c r="AA425" s="30"/>
      <c r="AB425" s="30"/>
      <c r="AE425" s="30"/>
    </row>
    <row r="426" spans="1:31" s="29" customFormat="1" ht="22.5" customHeight="1" x14ac:dyDescent="0.25">
      <c r="A426" s="44" t="s">
        <v>256</v>
      </c>
      <c r="B426" s="45" t="s">
        <v>176</v>
      </c>
      <c r="C426" s="52"/>
      <c r="D426" s="736">
        <v>44095</v>
      </c>
      <c r="E426" s="736">
        <v>45061</v>
      </c>
      <c r="F426" s="73">
        <v>1638</v>
      </c>
      <c r="G426" s="73">
        <f t="shared" si="131"/>
        <v>2912</v>
      </c>
      <c r="H426" s="73"/>
      <c r="I426" s="73"/>
      <c r="J426" s="736">
        <f>D426+(3878)</f>
        <v>47973</v>
      </c>
      <c r="K426" s="736">
        <f t="shared" si="132"/>
        <v>45243</v>
      </c>
      <c r="L426" s="46">
        <v>20000000</v>
      </c>
      <c r="M426" s="53"/>
      <c r="N426" s="46">
        <v>18455400</v>
      </c>
      <c r="O426" s="20">
        <f t="shared" si="133"/>
        <v>16000000</v>
      </c>
      <c r="P426" s="47">
        <v>0.1</v>
      </c>
      <c r="Q426" s="919">
        <v>0.78746099999999997</v>
      </c>
      <c r="R426" s="22">
        <f t="shared" si="134"/>
        <v>15749220</v>
      </c>
      <c r="S426" s="12">
        <v>0.11872000000000001</v>
      </c>
      <c r="T426" s="75">
        <f t="shared" si="135"/>
        <v>258241.75824175825</v>
      </c>
      <c r="U426" s="563"/>
      <c r="V426" s="13">
        <f t="shared" si="136"/>
        <v>258241.75824175825</v>
      </c>
      <c r="W426" s="13"/>
      <c r="Z426" s="30"/>
      <c r="AA426" s="30"/>
      <c r="AB426" s="30"/>
      <c r="AE426" s="30"/>
    </row>
    <row r="427" spans="1:31" s="29" customFormat="1" ht="22.5" customHeight="1" x14ac:dyDescent="0.25">
      <c r="A427" s="44" t="s">
        <v>256</v>
      </c>
      <c r="B427" s="45" t="s">
        <v>176</v>
      </c>
      <c r="C427" s="52"/>
      <c r="D427" s="736">
        <v>44095</v>
      </c>
      <c r="E427" s="736">
        <v>45061</v>
      </c>
      <c r="F427" s="73">
        <v>1638</v>
      </c>
      <c r="G427" s="73">
        <f t="shared" si="131"/>
        <v>2912</v>
      </c>
      <c r="H427" s="73"/>
      <c r="I427" s="73"/>
      <c r="J427" s="736">
        <f>D427+(3878)</f>
        <v>47973</v>
      </c>
      <c r="K427" s="736">
        <f t="shared" si="132"/>
        <v>45243</v>
      </c>
      <c r="L427" s="46">
        <v>10000000</v>
      </c>
      <c r="M427" s="53"/>
      <c r="N427" s="46">
        <v>9239800</v>
      </c>
      <c r="O427" s="20">
        <f t="shared" si="133"/>
        <v>8000000</v>
      </c>
      <c r="P427" s="47">
        <v>0.1</v>
      </c>
      <c r="Q427" s="919">
        <v>0.78746099999999997</v>
      </c>
      <c r="R427" s="22">
        <f t="shared" si="134"/>
        <v>7874610</v>
      </c>
      <c r="S427" s="12">
        <v>0.11849999999999999</v>
      </c>
      <c r="T427" s="75">
        <f t="shared" si="135"/>
        <v>129120.87912087912</v>
      </c>
      <c r="U427" s="563"/>
      <c r="V427" s="13">
        <f t="shared" si="136"/>
        <v>129120.87912087912</v>
      </c>
      <c r="W427" s="13"/>
      <c r="Z427" s="30"/>
      <c r="AA427" s="30"/>
      <c r="AB427" s="30"/>
      <c r="AE427" s="30"/>
    </row>
    <row r="428" spans="1:31" s="29" customFormat="1" ht="22.5" customHeight="1" x14ac:dyDescent="0.25">
      <c r="A428" s="44" t="s">
        <v>299</v>
      </c>
      <c r="B428" s="45" t="s">
        <v>176</v>
      </c>
      <c r="C428" s="52"/>
      <c r="D428" s="736">
        <v>44515</v>
      </c>
      <c r="E428" s="736">
        <v>45061</v>
      </c>
      <c r="F428" s="73">
        <v>1638</v>
      </c>
      <c r="G428" s="73">
        <f t="shared" si="131"/>
        <v>1274</v>
      </c>
      <c r="H428" s="73"/>
      <c r="I428" s="73"/>
      <c r="J428" s="736">
        <f>D428+(364*5)</f>
        <v>46335</v>
      </c>
      <c r="K428" s="736">
        <f t="shared" si="132"/>
        <v>45243</v>
      </c>
      <c r="L428" s="46">
        <v>20000000</v>
      </c>
      <c r="M428" s="53"/>
      <c r="N428" s="46">
        <v>20000000</v>
      </c>
      <c r="O428" s="20">
        <f t="shared" si="133"/>
        <v>7893900</v>
      </c>
      <c r="P428" s="47">
        <v>0.11277</v>
      </c>
      <c r="Q428" s="919">
        <v>0.923516</v>
      </c>
      <c r="R428" s="22">
        <f t="shared" si="134"/>
        <v>18470320</v>
      </c>
      <c r="S428" s="12">
        <v>0.11277</v>
      </c>
      <c r="T428" s="75">
        <f t="shared" si="135"/>
        <v>291219.23076923075</v>
      </c>
      <c r="U428" s="563"/>
      <c r="V428" s="13">
        <f t="shared" si="136"/>
        <v>291219.23076923075</v>
      </c>
      <c r="W428" s="13"/>
      <c r="Z428" s="30"/>
      <c r="AA428" s="30"/>
      <c r="AB428" s="30"/>
      <c r="AE428" s="30"/>
    </row>
    <row r="429" spans="1:31" s="29" customFormat="1" ht="22.5" customHeight="1" x14ac:dyDescent="0.25">
      <c r="A429" s="44" t="s">
        <v>299</v>
      </c>
      <c r="B429" s="45" t="s">
        <v>176</v>
      </c>
      <c r="C429" s="52"/>
      <c r="D429" s="736">
        <v>44515</v>
      </c>
      <c r="E429" s="736">
        <v>45061</v>
      </c>
      <c r="F429" s="73">
        <v>1638</v>
      </c>
      <c r="G429" s="73">
        <f t="shared" si="131"/>
        <v>1274</v>
      </c>
      <c r="H429" s="73"/>
      <c r="I429" s="73"/>
      <c r="J429" s="736">
        <f>D429+(364*5)</f>
        <v>46335</v>
      </c>
      <c r="K429" s="736">
        <f t="shared" si="132"/>
        <v>45243</v>
      </c>
      <c r="L429" s="46">
        <v>40000000</v>
      </c>
      <c r="M429" s="53"/>
      <c r="N429" s="46">
        <v>40040400</v>
      </c>
      <c r="O429" s="20">
        <f t="shared" si="133"/>
        <v>15787800</v>
      </c>
      <c r="P429" s="47">
        <v>0.11277</v>
      </c>
      <c r="Q429" s="919">
        <v>0.923516</v>
      </c>
      <c r="R429" s="22">
        <f t="shared" si="134"/>
        <v>36940640</v>
      </c>
      <c r="S429" s="12">
        <v>0.1125</v>
      </c>
      <c r="T429" s="75">
        <f t="shared" si="135"/>
        <v>582438.4615384615</v>
      </c>
      <c r="U429" s="563"/>
      <c r="V429" s="13">
        <f t="shared" si="136"/>
        <v>582438.4615384615</v>
      </c>
      <c r="W429" s="13"/>
      <c r="Z429" s="30"/>
      <c r="AA429" s="30"/>
      <c r="AB429" s="30"/>
      <c r="AE429" s="30"/>
    </row>
    <row r="430" spans="1:31" s="29" customFormat="1" ht="22.5" customHeight="1" x14ac:dyDescent="0.25">
      <c r="A430" s="44" t="s">
        <v>299</v>
      </c>
      <c r="B430" s="45" t="s">
        <v>176</v>
      </c>
      <c r="C430" s="52"/>
      <c r="D430" s="736">
        <v>44515</v>
      </c>
      <c r="E430" s="736">
        <v>45061</v>
      </c>
      <c r="F430" s="73">
        <v>1638</v>
      </c>
      <c r="G430" s="73">
        <f t="shared" si="131"/>
        <v>1274</v>
      </c>
      <c r="H430" s="73"/>
      <c r="I430" s="73"/>
      <c r="J430" s="736">
        <f>D430+(364*5)</f>
        <v>46335</v>
      </c>
      <c r="K430" s="736">
        <f t="shared" si="132"/>
        <v>45243</v>
      </c>
      <c r="L430" s="46">
        <v>40000000</v>
      </c>
      <c r="M430" s="53"/>
      <c r="N430" s="46">
        <v>39965600</v>
      </c>
      <c r="O430" s="20">
        <f t="shared" si="133"/>
        <v>15787800</v>
      </c>
      <c r="P430" s="47">
        <v>0.11277</v>
      </c>
      <c r="Q430" s="919">
        <v>0.923516</v>
      </c>
      <c r="R430" s="22">
        <f t="shared" si="134"/>
        <v>36940640</v>
      </c>
      <c r="S430" s="12">
        <v>0.113</v>
      </c>
      <c r="T430" s="75">
        <f t="shared" si="135"/>
        <v>582438.4615384615</v>
      </c>
      <c r="U430" s="563"/>
      <c r="V430" s="13">
        <f t="shared" si="136"/>
        <v>582438.4615384615</v>
      </c>
      <c r="W430" s="13"/>
      <c r="Z430" s="30"/>
      <c r="AA430" s="30"/>
      <c r="AB430" s="30"/>
      <c r="AE430" s="30"/>
    </row>
    <row r="431" spans="1:31" s="29" customFormat="1" ht="22.5" customHeight="1" x14ac:dyDescent="0.25">
      <c r="A431" s="44" t="s">
        <v>299</v>
      </c>
      <c r="B431" s="45" t="s">
        <v>176</v>
      </c>
      <c r="C431" s="52"/>
      <c r="D431" s="736">
        <v>44515</v>
      </c>
      <c r="E431" s="736">
        <v>45061</v>
      </c>
      <c r="F431" s="73">
        <v>1638</v>
      </c>
      <c r="G431" s="73">
        <f t="shared" si="131"/>
        <v>1274</v>
      </c>
      <c r="H431" s="73"/>
      <c r="I431" s="73"/>
      <c r="J431" s="736">
        <f>D431+(364*5)</f>
        <v>46335</v>
      </c>
      <c r="K431" s="736">
        <f t="shared" si="132"/>
        <v>45243</v>
      </c>
      <c r="L431" s="46">
        <v>40000000</v>
      </c>
      <c r="M431" s="53"/>
      <c r="N431" s="46">
        <v>39890800</v>
      </c>
      <c r="O431" s="20">
        <f t="shared" si="133"/>
        <v>15787800</v>
      </c>
      <c r="P431" s="47">
        <v>0.11277</v>
      </c>
      <c r="Q431" s="919">
        <v>0.923516</v>
      </c>
      <c r="R431" s="22">
        <f t="shared" si="134"/>
        <v>36940640</v>
      </c>
      <c r="S431" s="12">
        <v>0.1135</v>
      </c>
      <c r="T431" s="75">
        <f t="shared" si="135"/>
        <v>582438.4615384615</v>
      </c>
      <c r="U431" s="563"/>
      <c r="V431" s="13">
        <f t="shared" si="136"/>
        <v>582438.4615384615</v>
      </c>
      <c r="W431" s="13"/>
      <c r="Z431" s="30"/>
      <c r="AA431" s="30"/>
      <c r="AB431" s="30"/>
      <c r="AE431" s="30"/>
    </row>
    <row r="432" spans="1:31" s="29" customFormat="1" ht="22.5" customHeight="1" x14ac:dyDescent="0.25">
      <c r="A432" s="44" t="s">
        <v>299</v>
      </c>
      <c r="B432" s="45" t="s">
        <v>176</v>
      </c>
      <c r="C432" s="52"/>
      <c r="D432" s="736">
        <v>44515</v>
      </c>
      <c r="E432" s="736">
        <v>45061</v>
      </c>
      <c r="F432" s="73">
        <v>1638</v>
      </c>
      <c r="G432" s="73">
        <f t="shared" si="131"/>
        <v>1274</v>
      </c>
      <c r="H432" s="73"/>
      <c r="I432" s="73"/>
      <c r="J432" s="736">
        <f>D432+(364*5)</f>
        <v>46335</v>
      </c>
      <c r="K432" s="736">
        <f t="shared" si="132"/>
        <v>45243</v>
      </c>
      <c r="L432" s="46">
        <v>40000000</v>
      </c>
      <c r="M432" s="53"/>
      <c r="N432" s="46">
        <v>39816400</v>
      </c>
      <c r="O432" s="20">
        <f t="shared" si="133"/>
        <v>15787800</v>
      </c>
      <c r="P432" s="47">
        <v>0.11277</v>
      </c>
      <c r="Q432" s="919">
        <v>0.923516</v>
      </c>
      <c r="R432" s="22">
        <f t="shared" si="134"/>
        <v>36940640</v>
      </c>
      <c r="S432" s="12">
        <v>0.114</v>
      </c>
      <c r="T432" s="75">
        <f t="shared" si="135"/>
        <v>582438.4615384615</v>
      </c>
      <c r="U432" s="563"/>
      <c r="V432" s="13">
        <f t="shared" si="136"/>
        <v>582438.4615384615</v>
      </c>
      <c r="W432" s="13"/>
      <c r="Z432" s="30"/>
      <c r="AA432" s="30"/>
      <c r="AB432" s="30"/>
      <c r="AE432" s="30"/>
    </row>
    <row r="433" spans="1:31" s="29" customFormat="1" ht="22.5" customHeight="1" x14ac:dyDescent="0.25">
      <c r="A433" s="44" t="s">
        <v>320</v>
      </c>
      <c r="B433" s="45" t="s">
        <v>176</v>
      </c>
      <c r="C433" s="45"/>
      <c r="D433" s="736">
        <v>44879</v>
      </c>
      <c r="E433" s="736">
        <v>45061</v>
      </c>
      <c r="F433" s="73">
        <v>5278</v>
      </c>
      <c r="G433" s="73">
        <f t="shared" si="131"/>
        <v>4914</v>
      </c>
      <c r="H433" s="16"/>
      <c r="I433" s="16"/>
      <c r="J433" s="736">
        <f>D433+(364*14)</f>
        <v>49975</v>
      </c>
      <c r="K433" s="736">
        <f t="shared" si="132"/>
        <v>45243</v>
      </c>
      <c r="L433" s="46">
        <v>20000000</v>
      </c>
      <c r="M433" s="18">
        <v>10000000</v>
      </c>
      <c r="N433" s="46">
        <v>20205000</v>
      </c>
      <c r="O433" s="20">
        <f t="shared" si="133"/>
        <v>37632600</v>
      </c>
      <c r="P433" s="47">
        <v>0.13938</v>
      </c>
      <c r="Q433" s="919">
        <v>0.99599899999999997</v>
      </c>
      <c r="R433" s="22">
        <f t="shared" si="134"/>
        <v>19919980</v>
      </c>
      <c r="S433" s="12">
        <v>0.13750000000000001</v>
      </c>
      <c r="T433" s="75">
        <f t="shared" si="135"/>
        <v>359937.36263736262</v>
      </c>
      <c r="U433" s="563"/>
      <c r="V433" s="13">
        <f t="shared" si="136"/>
        <v>359937.36263736262</v>
      </c>
      <c r="W433" s="13"/>
      <c r="Z433" s="30"/>
      <c r="AA433" s="30"/>
      <c r="AB433" s="30"/>
      <c r="AE433" s="30"/>
    </row>
    <row r="434" spans="1:31" s="29" customFormat="1" ht="22.5" customHeight="1" x14ac:dyDescent="0.25">
      <c r="A434" s="44" t="s">
        <v>320</v>
      </c>
      <c r="B434" s="45" t="s">
        <v>176</v>
      </c>
      <c r="C434" s="45"/>
      <c r="D434" s="736">
        <v>44879</v>
      </c>
      <c r="E434" s="736">
        <v>45061</v>
      </c>
      <c r="F434" s="73">
        <v>5278</v>
      </c>
      <c r="G434" s="73">
        <f t="shared" si="131"/>
        <v>4914</v>
      </c>
      <c r="H434" s="16"/>
      <c r="I434" s="16"/>
      <c r="J434" s="736">
        <f>D434+(364*14)</f>
        <v>49975</v>
      </c>
      <c r="K434" s="736">
        <f t="shared" si="132"/>
        <v>45243</v>
      </c>
      <c r="L434" s="46">
        <v>20000000</v>
      </c>
      <c r="M434" s="18">
        <v>10000000</v>
      </c>
      <c r="N434" s="46">
        <v>20150200</v>
      </c>
      <c r="O434" s="20">
        <f t="shared" si="133"/>
        <v>37632600</v>
      </c>
      <c r="P434" s="47">
        <v>0.13938</v>
      </c>
      <c r="Q434" s="919">
        <v>0.99599899999999997</v>
      </c>
      <c r="R434" s="22">
        <f t="shared" si="134"/>
        <v>19919980</v>
      </c>
      <c r="S434" s="12">
        <v>0.13800000000000001</v>
      </c>
      <c r="T434" s="75">
        <f t="shared" si="135"/>
        <v>359937.36263736262</v>
      </c>
      <c r="U434" s="563"/>
      <c r="V434" s="13">
        <f t="shared" si="136"/>
        <v>359937.36263736262</v>
      </c>
      <c r="W434" s="13"/>
      <c r="Z434" s="30"/>
      <c r="AA434" s="30"/>
      <c r="AB434" s="30"/>
      <c r="AE434" s="30"/>
    </row>
    <row r="435" spans="1:31" s="29" customFormat="1" ht="22.5" customHeight="1" x14ac:dyDescent="0.25">
      <c r="A435" s="44" t="s">
        <v>320</v>
      </c>
      <c r="B435" s="45" t="s">
        <v>176</v>
      </c>
      <c r="C435" s="45"/>
      <c r="D435" s="736">
        <v>44879</v>
      </c>
      <c r="E435" s="736">
        <v>45061</v>
      </c>
      <c r="F435" s="73">
        <v>5278</v>
      </c>
      <c r="G435" s="73">
        <f t="shared" si="131"/>
        <v>4914</v>
      </c>
      <c r="H435" s="16"/>
      <c r="I435" s="16"/>
      <c r="J435" s="736">
        <f>D435+(364*14)</f>
        <v>49975</v>
      </c>
      <c r="K435" s="736">
        <f t="shared" si="132"/>
        <v>45243</v>
      </c>
      <c r="L435" s="46">
        <v>15000000</v>
      </c>
      <c r="M435" s="18">
        <v>10000000</v>
      </c>
      <c r="N435" s="46">
        <v>15071700</v>
      </c>
      <c r="O435" s="20">
        <f t="shared" si="133"/>
        <v>28224450</v>
      </c>
      <c r="P435" s="47">
        <v>0.13938</v>
      </c>
      <c r="Q435" s="919">
        <v>0.99599899999999997</v>
      </c>
      <c r="R435" s="22">
        <f t="shared" si="134"/>
        <v>14939985</v>
      </c>
      <c r="S435" s="12">
        <v>0.13850000000000001</v>
      </c>
      <c r="T435" s="75">
        <f t="shared" si="135"/>
        <v>269953.02197802201</v>
      </c>
      <c r="U435" s="563"/>
      <c r="V435" s="13">
        <f t="shared" si="136"/>
        <v>269953.02197802201</v>
      </c>
      <c r="W435" s="13"/>
      <c r="Z435" s="30"/>
      <c r="AA435" s="30"/>
      <c r="AB435" s="30"/>
      <c r="AE435" s="30"/>
    </row>
    <row r="436" spans="1:31" s="29" customFormat="1" ht="22.5" customHeight="1" x14ac:dyDescent="0.25">
      <c r="A436" s="44" t="s">
        <v>320</v>
      </c>
      <c r="B436" s="45" t="s">
        <v>176</v>
      </c>
      <c r="C436" s="45"/>
      <c r="D436" s="736">
        <v>44879</v>
      </c>
      <c r="E436" s="736">
        <v>45061</v>
      </c>
      <c r="F436" s="73">
        <v>5278</v>
      </c>
      <c r="G436" s="73">
        <f t="shared" si="131"/>
        <v>4914</v>
      </c>
      <c r="H436" s="16"/>
      <c r="I436" s="16"/>
      <c r="J436" s="736">
        <f>D436+(364*14)</f>
        <v>49975</v>
      </c>
      <c r="K436" s="736">
        <f t="shared" si="132"/>
        <v>45243</v>
      </c>
      <c r="L436" s="46">
        <v>20000000</v>
      </c>
      <c r="M436" s="18">
        <v>10000000</v>
      </c>
      <c r="N436" s="46">
        <v>20000000</v>
      </c>
      <c r="O436" s="20">
        <f t="shared" si="133"/>
        <v>37632600</v>
      </c>
      <c r="P436" s="47">
        <v>0.13938</v>
      </c>
      <c r="Q436" s="919">
        <v>0.99599899999999997</v>
      </c>
      <c r="R436" s="22">
        <f t="shared" si="134"/>
        <v>19919980</v>
      </c>
      <c r="S436" s="12">
        <v>0.13938</v>
      </c>
      <c r="T436" s="75">
        <f t="shared" si="135"/>
        <v>359937.36263736262</v>
      </c>
      <c r="U436" s="563"/>
      <c r="V436" s="13">
        <f t="shared" si="136"/>
        <v>359937.36263736262</v>
      </c>
      <c r="W436" s="13"/>
      <c r="Z436" s="30"/>
      <c r="AA436" s="30"/>
      <c r="AB436" s="30"/>
      <c r="AE436" s="30"/>
    </row>
    <row r="437" spans="1:31" s="29" customFormat="1" ht="22.5" customHeight="1" x14ac:dyDescent="0.25">
      <c r="A437" s="44" t="s">
        <v>282</v>
      </c>
      <c r="B437" s="45" t="s">
        <v>176</v>
      </c>
      <c r="C437" s="52"/>
      <c r="D437" s="736">
        <v>44396</v>
      </c>
      <c r="E437" s="736">
        <v>45068</v>
      </c>
      <c r="F437" s="73">
        <v>3969.42</v>
      </c>
      <c r="G437" s="73">
        <f t="shared" si="131"/>
        <v>3640</v>
      </c>
      <c r="H437" s="73"/>
      <c r="I437" s="73"/>
      <c r="J437" s="736">
        <f>D437+4312</f>
        <v>48708</v>
      </c>
      <c r="K437" s="736">
        <f t="shared" si="132"/>
        <v>45250</v>
      </c>
      <c r="L437" s="46">
        <v>30000000</v>
      </c>
      <c r="M437" s="53"/>
      <c r="N437" s="46">
        <v>30571500</v>
      </c>
      <c r="O437" s="20">
        <f t="shared" si="133"/>
        <v>37950000</v>
      </c>
      <c r="P437" s="47">
        <v>0.1265</v>
      </c>
      <c r="Q437" s="919">
        <v>0.89250399999999996</v>
      </c>
      <c r="R437" s="22">
        <f t="shared" si="134"/>
        <v>26775120</v>
      </c>
      <c r="S437" s="12">
        <v>0.1265</v>
      </c>
      <c r="T437" s="75">
        <f t="shared" si="135"/>
        <v>417032.96703296708</v>
      </c>
      <c r="U437" s="563"/>
      <c r="V437" s="13">
        <f t="shared" si="136"/>
        <v>417032.96703296708</v>
      </c>
      <c r="W437" s="13"/>
      <c r="Z437" s="30"/>
      <c r="AA437" s="30"/>
      <c r="AB437" s="30"/>
      <c r="AE437" s="30"/>
    </row>
    <row r="438" spans="1:31" s="29" customFormat="1" ht="22.5" customHeight="1" x14ac:dyDescent="0.25">
      <c r="A438" s="44" t="s">
        <v>300</v>
      </c>
      <c r="B438" s="45" t="s">
        <v>176</v>
      </c>
      <c r="C438" s="52"/>
      <c r="D438" s="736">
        <v>44543</v>
      </c>
      <c r="E438" s="736">
        <v>45068</v>
      </c>
      <c r="F438" s="73">
        <v>3969.42</v>
      </c>
      <c r="G438" s="73">
        <f t="shared" si="131"/>
        <v>2366</v>
      </c>
      <c r="H438" s="73"/>
      <c r="I438" s="73"/>
      <c r="J438" s="736">
        <f>D438+2891</f>
        <v>47434</v>
      </c>
      <c r="K438" s="736">
        <f t="shared" si="132"/>
        <v>45250</v>
      </c>
      <c r="L438" s="46">
        <v>20000000</v>
      </c>
      <c r="M438" s="53"/>
      <c r="N438" s="46">
        <v>19781600</v>
      </c>
      <c r="O438" s="20">
        <f t="shared" si="133"/>
        <v>15964000</v>
      </c>
      <c r="P438" s="47">
        <v>0.12280000000000001</v>
      </c>
      <c r="Q438" s="919">
        <v>0.90732900000000005</v>
      </c>
      <c r="R438" s="22">
        <f t="shared" si="134"/>
        <v>18146580</v>
      </c>
      <c r="S438" s="12">
        <v>0.12642</v>
      </c>
      <c r="T438" s="75">
        <f t="shared" si="135"/>
        <v>269890.10989010986</v>
      </c>
      <c r="U438" s="563"/>
      <c r="V438" s="13">
        <f t="shared" si="136"/>
        <v>269890.10989010986</v>
      </c>
      <c r="W438" s="13"/>
      <c r="Z438" s="30"/>
      <c r="AA438" s="30"/>
      <c r="AB438" s="30"/>
      <c r="AE438" s="30"/>
    </row>
    <row r="439" spans="1:31" s="29" customFormat="1" ht="22.5" customHeight="1" x14ac:dyDescent="0.25">
      <c r="A439" s="44" t="s">
        <v>167</v>
      </c>
      <c r="B439" s="45" t="s">
        <v>176</v>
      </c>
      <c r="C439" s="736"/>
      <c r="D439" s="736">
        <v>42352</v>
      </c>
      <c r="E439" s="736">
        <v>45082</v>
      </c>
      <c r="F439" s="73">
        <v>2730</v>
      </c>
      <c r="G439" s="73">
        <f t="shared" si="131"/>
        <v>546</v>
      </c>
      <c r="H439" s="16"/>
      <c r="I439" s="16"/>
      <c r="J439" s="736">
        <f>D439+364*9</f>
        <v>45628</v>
      </c>
      <c r="K439" s="736">
        <f t="shared" si="132"/>
        <v>45264</v>
      </c>
      <c r="L439" s="46">
        <f>13100000-6450000</f>
        <v>6650000</v>
      </c>
      <c r="M439" s="18"/>
      <c r="N439" s="46">
        <v>16849000</v>
      </c>
      <c r="O439" s="20">
        <f t="shared" si="133"/>
        <v>1097250</v>
      </c>
      <c r="P439" s="47">
        <v>0.11</v>
      </c>
      <c r="Q439" s="919">
        <v>1.031603</v>
      </c>
      <c r="R439" s="22">
        <f t="shared" si="134"/>
        <v>6860159.9500000002</v>
      </c>
      <c r="S439" s="12">
        <v>0.14752999999999999</v>
      </c>
      <c r="T439" s="75">
        <f t="shared" si="135"/>
        <v>52250</v>
      </c>
      <c r="U439" s="565"/>
      <c r="V439" s="50">
        <f t="shared" si="136"/>
        <v>52250</v>
      </c>
      <c r="W439" s="50"/>
      <c r="X439" s="51"/>
      <c r="Y439" s="51"/>
      <c r="Z439" s="30"/>
      <c r="AA439" s="30"/>
      <c r="AB439" s="30"/>
      <c r="AC439" s="51"/>
      <c r="AD439" s="51"/>
      <c r="AE439" s="51"/>
    </row>
    <row r="440" spans="1:31" s="29" customFormat="1" ht="22.5" customHeight="1" x14ac:dyDescent="0.25">
      <c r="A440" s="44" t="s">
        <v>167</v>
      </c>
      <c r="B440" s="45" t="s">
        <v>176</v>
      </c>
      <c r="C440" s="736"/>
      <c r="D440" s="736">
        <v>42352</v>
      </c>
      <c r="E440" s="736">
        <v>45082</v>
      </c>
      <c r="F440" s="73">
        <v>2730</v>
      </c>
      <c r="G440" s="73">
        <f t="shared" si="131"/>
        <v>546</v>
      </c>
      <c r="H440" s="16"/>
      <c r="I440" s="16"/>
      <c r="J440" s="736">
        <f>D440+364*9</f>
        <v>45628</v>
      </c>
      <c r="K440" s="736">
        <f t="shared" si="132"/>
        <v>45264</v>
      </c>
      <c r="L440" s="46">
        <f>13100000-6450000</f>
        <v>6650000</v>
      </c>
      <c r="M440" s="18"/>
      <c r="N440" s="46">
        <v>17949000</v>
      </c>
      <c r="O440" s="20">
        <f t="shared" si="133"/>
        <v>1097250</v>
      </c>
      <c r="P440" s="47">
        <v>0.11</v>
      </c>
      <c r="Q440" s="919">
        <v>1.031603</v>
      </c>
      <c r="R440" s="22">
        <f t="shared" si="134"/>
        <v>6860159.9500000002</v>
      </c>
      <c r="S440" s="12">
        <v>0.13239999999999999</v>
      </c>
      <c r="T440" s="75">
        <f t="shared" si="135"/>
        <v>52250</v>
      </c>
      <c r="U440" s="565"/>
      <c r="V440" s="50">
        <f t="shared" si="136"/>
        <v>52250</v>
      </c>
      <c r="W440" s="50"/>
      <c r="X440" s="51"/>
      <c r="Y440" s="51"/>
      <c r="Z440" s="30"/>
      <c r="AA440" s="30"/>
      <c r="AB440" s="30"/>
      <c r="AC440" s="51"/>
      <c r="AD440" s="51"/>
      <c r="AE440" s="51"/>
    </row>
    <row r="441" spans="1:31" s="29" customFormat="1" ht="22.5" customHeight="1" x14ac:dyDescent="0.25">
      <c r="A441" s="44" t="s">
        <v>167</v>
      </c>
      <c r="B441" s="45" t="s">
        <v>176</v>
      </c>
      <c r="C441" s="736"/>
      <c r="D441" s="736">
        <v>42352</v>
      </c>
      <c r="E441" s="736">
        <v>45082</v>
      </c>
      <c r="F441" s="73">
        <v>2730</v>
      </c>
      <c r="G441" s="73">
        <f t="shared" si="131"/>
        <v>546</v>
      </c>
      <c r="H441" s="16"/>
      <c r="I441" s="16"/>
      <c r="J441" s="736">
        <f>D441+364*9</f>
        <v>45628</v>
      </c>
      <c r="K441" s="736">
        <f t="shared" si="132"/>
        <v>45264</v>
      </c>
      <c r="L441" s="46">
        <f>19650000-9600000</f>
        <v>10050000</v>
      </c>
      <c r="M441" s="18"/>
      <c r="N441" s="46">
        <v>25337100</v>
      </c>
      <c r="O441" s="20">
        <f t="shared" si="133"/>
        <v>1658250</v>
      </c>
      <c r="P441" s="47">
        <v>0.11</v>
      </c>
      <c r="Q441" s="919">
        <v>1.031603</v>
      </c>
      <c r="R441" s="22">
        <f t="shared" si="134"/>
        <v>10367610.15</v>
      </c>
      <c r="S441" s="12">
        <v>0.14752999999999999</v>
      </c>
      <c r="T441" s="75">
        <f t="shared" si="135"/>
        <v>78964.28571428571</v>
      </c>
      <c r="U441" s="565"/>
      <c r="V441" s="50">
        <f t="shared" si="136"/>
        <v>78964.28571428571</v>
      </c>
      <c r="W441" s="50"/>
      <c r="X441" s="51"/>
      <c r="Y441" s="51"/>
      <c r="Z441" s="30"/>
      <c r="AA441" s="30"/>
      <c r="AB441" s="30"/>
      <c r="AC441" s="51"/>
      <c r="AD441" s="51"/>
      <c r="AE441" s="51"/>
    </row>
    <row r="442" spans="1:31" s="29" customFormat="1" ht="22.5" customHeight="1" x14ac:dyDescent="0.25">
      <c r="A442" s="44" t="s">
        <v>125</v>
      </c>
      <c r="B442" s="45" t="s">
        <v>176</v>
      </c>
      <c r="C442" s="736"/>
      <c r="D442" s="736">
        <v>40539</v>
      </c>
      <c r="E442" s="736">
        <v>45089</v>
      </c>
      <c r="F442" s="73">
        <v>3276</v>
      </c>
      <c r="G442" s="73">
        <f t="shared" si="131"/>
        <v>910</v>
      </c>
      <c r="H442" s="16"/>
      <c r="I442" s="16"/>
      <c r="J442" s="736">
        <f>D442+364*15</f>
        <v>45999</v>
      </c>
      <c r="K442" s="736">
        <f t="shared" si="132"/>
        <v>45271</v>
      </c>
      <c r="L442" s="46">
        <v>10000000</v>
      </c>
      <c r="M442" s="18"/>
      <c r="N442" s="46">
        <v>8238500</v>
      </c>
      <c r="O442" s="20">
        <f t="shared" si="133"/>
        <v>2250000</v>
      </c>
      <c r="P442" s="47">
        <v>0.09</v>
      </c>
      <c r="Q442" s="919">
        <v>0.93560200000000004</v>
      </c>
      <c r="R442" s="22">
        <f t="shared" si="134"/>
        <v>9356020</v>
      </c>
      <c r="S442" s="12">
        <v>0.1149</v>
      </c>
      <c r="T442" s="75">
        <f t="shared" si="135"/>
        <v>46978.021978021978</v>
      </c>
      <c r="U442" s="565"/>
      <c r="V442" s="50">
        <f t="shared" si="136"/>
        <v>46978.021978021978</v>
      </c>
      <c r="W442" s="50"/>
      <c r="X442" s="51"/>
      <c r="Y442" s="51"/>
      <c r="Z442" s="30"/>
      <c r="AA442" s="30"/>
      <c r="AB442" s="30"/>
      <c r="AC442" s="51"/>
      <c r="AD442" s="51"/>
      <c r="AE442" s="51"/>
    </row>
    <row r="443" spans="1:31" s="29" customFormat="1" ht="22.5" customHeight="1" x14ac:dyDescent="0.25">
      <c r="A443" s="44" t="s">
        <v>125</v>
      </c>
      <c r="B443" s="45" t="s">
        <v>176</v>
      </c>
      <c r="C443" s="736"/>
      <c r="D443" s="736">
        <v>40539</v>
      </c>
      <c r="E443" s="736">
        <v>45089</v>
      </c>
      <c r="F443" s="73">
        <v>3276</v>
      </c>
      <c r="G443" s="73">
        <f t="shared" si="131"/>
        <v>910</v>
      </c>
      <c r="H443" s="16"/>
      <c r="I443" s="16"/>
      <c r="J443" s="736">
        <f>D443+364*15</f>
        <v>45999</v>
      </c>
      <c r="K443" s="736">
        <f t="shared" si="132"/>
        <v>45271</v>
      </c>
      <c r="L443" s="46">
        <v>10000000</v>
      </c>
      <c r="M443" s="18">
        <v>10000000</v>
      </c>
      <c r="N443" s="46">
        <v>7946800</v>
      </c>
      <c r="O443" s="20">
        <f t="shared" si="133"/>
        <v>2250000</v>
      </c>
      <c r="P443" s="47">
        <v>0.09</v>
      </c>
      <c r="Q443" s="919">
        <v>0.93560200000000004</v>
      </c>
      <c r="R443" s="22">
        <f t="shared" si="134"/>
        <v>9356020</v>
      </c>
      <c r="S443" s="12">
        <v>0.1198</v>
      </c>
      <c r="T443" s="75">
        <f t="shared" si="135"/>
        <v>46978.021978021978</v>
      </c>
      <c r="U443" s="565"/>
      <c r="V443" s="50">
        <f t="shared" si="136"/>
        <v>46978.021978021978</v>
      </c>
      <c r="W443" s="50"/>
      <c r="X443" s="51"/>
      <c r="Y443" s="51"/>
      <c r="Z443" s="30"/>
      <c r="AA443" s="30"/>
      <c r="AB443" s="30"/>
      <c r="AC443" s="51"/>
      <c r="AD443" s="51"/>
      <c r="AE443" s="51"/>
    </row>
    <row r="444" spans="1:31" s="29" customFormat="1" ht="22.5" customHeight="1" x14ac:dyDescent="0.25">
      <c r="A444" s="44" t="s">
        <v>125</v>
      </c>
      <c r="B444" s="45" t="s">
        <v>176</v>
      </c>
      <c r="C444" s="736"/>
      <c r="D444" s="736">
        <v>40630</v>
      </c>
      <c r="E444" s="736">
        <v>45089</v>
      </c>
      <c r="F444" s="73">
        <v>3276</v>
      </c>
      <c r="G444" s="73">
        <f t="shared" si="131"/>
        <v>910</v>
      </c>
      <c r="H444" s="16"/>
      <c r="I444" s="16"/>
      <c r="J444" s="736">
        <f>D444+364*15-91</f>
        <v>45999</v>
      </c>
      <c r="K444" s="736">
        <f t="shared" si="132"/>
        <v>45271</v>
      </c>
      <c r="L444" s="46">
        <v>20000000</v>
      </c>
      <c r="M444" s="18"/>
      <c r="N444" s="46">
        <f>16477000+1218499</f>
        <v>17695499</v>
      </c>
      <c r="O444" s="20">
        <f t="shared" si="133"/>
        <v>4500000</v>
      </c>
      <c r="P444" s="47">
        <v>0.09</v>
      </c>
      <c r="Q444" s="919">
        <v>0.93560200000000004</v>
      </c>
      <c r="R444" s="22">
        <f t="shared" si="134"/>
        <v>18712040</v>
      </c>
      <c r="S444" s="12">
        <v>0.1149</v>
      </c>
      <c r="T444" s="75">
        <f t="shared" si="135"/>
        <v>93956.043956043955</v>
      </c>
      <c r="U444" s="565"/>
      <c r="V444" s="50">
        <f t="shared" si="136"/>
        <v>93956.043956043955</v>
      </c>
      <c r="W444" s="50"/>
      <c r="X444" s="51"/>
      <c r="Y444" s="51"/>
      <c r="Z444" s="30"/>
      <c r="AA444" s="30"/>
      <c r="AB444" s="30"/>
      <c r="AC444" s="51"/>
      <c r="AD444" s="51"/>
      <c r="AE444" s="51"/>
    </row>
    <row r="445" spans="1:31" s="29" customFormat="1" ht="22.5" customHeight="1" x14ac:dyDescent="0.25">
      <c r="A445" s="44" t="s">
        <v>125</v>
      </c>
      <c r="B445" s="45" t="s">
        <v>176</v>
      </c>
      <c r="C445" s="736"/>
      <c r="D445" s="736">
        <v>40630</v>
      </c>
      <c r="E445" s="736">
        <v>45089</v>
      </c>
      <c r="F445" s="73">
        <v>3276</v>
      </c>
      <c r="G445" s="73">
        <f t="shared" si="131"/>
        <v>910</v>
      </c>
      <c r="H445" s="16"/>
      <c r="I445" s="16"/>
      <c r="J445" s="736">
        <f>D445+364*15-91</f>
        <v>45999</v>
      </c>
      <c r="K445" s="736">
        <f t="shared" si="132"/>
        <v>45271</v>
      </c>
      <c r="L445" s="46">
        <v>20000000</v>
      </c>
      <c r="M445" s="18"/>
      <c r="N445" s="46">
        <f>15893600+1801472</f>
        <v>17695072</v>
      </c>
      <c r="O445" s="20">
        <f t="shared" si="133"/>
        <v>4500000</v>
      </c>
      <c r="P445" s="47">
        <v>0.09</v>
      </c>
      <c r="Q445" s="919">
        <v>0.93560200000000004</v>
      </c>
      <c r="R445" s="22">
        <f t="shared" si="134"/>
        <v>18712040</v>
      </c>
      <c r="S445" s="12">
        <v>0.1198</v>
      </c>
      <c r="T445" s="75">
        <f t="shared" si="135"/>
        <v>93956.043956043955</v>
      </c>
      <c r="U445" s="565"/>
      <c r="V445" s="50">
        <f t="shared" si="136"/>
        <v>93956.043956043955</v>
      </c>
      <c r="W445" s="50"/>
      <c r="X445" s="51"/>
      <c r="Y445" s="51"/>
      <c r="Z445" s="30"/>
      <c r="AA445" s="30"/>
      <c r="AB445" s="30"/>
      <c r="AC445" s="51"/>
      <c r="AD445" s="51"/>
      <c r="AE445" s="51"/>
    </row>
    <row r="446" spans="1:31" s="29" customFormat="1" ht="22.5" customHeight="1" x14ac:dyDescent="0.25">
      <c r="A446" s="44" t="s">
        <v>80</v>
      </c>
      <c r="B446" s="45" t="s">
        <v>176</v>
      </c>
      <c r="C446" s="736"/>
      <c r="D446" s="736">
        <v>40659</v>
      </c>
      <c r="E446" s="736">
        <v>45089</v>
      </c>
      <c r="F446" s="73">
        <v>3094</v>
      </c>
      <c r="G446" s="73">
        <f t="shared" si="131"/>
        <v>910</v>
      </c>
      <c r="H446" s="16"/>
      <c r="I446" s="16"/>
      <c r="J446" s="736">
        <f>D446+364*15-120</f>
        <v>45999</v>
      </c>
      <c r="K446" s="736">
        <f t="shared" si="132"/>
        <v>45271</v>
      </c>
      <c r="L446" s="46">
        <v>40000000</v>
      </c>
      <c r="M446" s="18">
        <v>20000000</v>
      </c>
      <c r="N446" s="46">
        <v>31876800</v>
      </c>
      <c r="O446" s="20">
        <f t="shared" si="133"/>
        <v>9000000</v>
      </c>
      <c r="P446" s="47">
        <v>0.09</v>
      </c>
      <c r="Q446" s="919">
        <v>0.93560200000000004</v>
      </c>
      <c r="R446" s="22">
        <f t="shared" si="134"/>
        <v>37424080</v>
      </c>
      <c r="S446" s="12">
        <v>0.1249</v>
      </c>
      <c r="T446" s="75">
        <f t="shared" si="135"/>
        <v>187912.08791208791</v>
      </c>
      <c r="U446" s="565"/>
      <c r="V446" s="50">
        <f t="shared" si="136"/>
        <v>187912.08791208791</v>
      </c>
      <c r="W446" s="50"/>
      <c r="X446" s="51"/>
      <c r="Y446" s="51"/>
      <c r="Z446" s="30"/>
      <c r="AA446" s="30"/>
      <c r="AB446" s="30"/>
      <c r="AC446" s="51"/>
      <c r="AD446" s="51"/>
      <c r="AE446" s="51"/>
    </row>
    <row r="447" spans="1:31" s="29" customFormat="1" ht="22.5" customHeight="1" x14ac:dyDescent="0.25">
      <c r="A447" s="44" t="s">
        <v>196</v>
      </c>
      <c r="B447" s="45" t="s">
        <v>176</v>
      </c>
      <c r="C447" s="52"/>
      <c r="D447" s="736">
        <v>42576</v>
      </c>
      <c r="E447" s="736">
        <v>45089</v>
      </c>
      <c r="F447" s="73">
        <v>3969.42</v>
      </c>
      <c r="G447" s="73">
        <f t="shared" si="131"/>
        <v>1820.4199999999983</v>
      </c>
      <c r="H447" s="73"/>
      <c r="I447" s="73"/>
      <c r="J447" s="736">
        <f>D447+364*11.905</f>
        <v>46909.42</v>
      </c>
      <c r="K447" s="736">
        <f t="shared" si="132"/>
        <v>45271</v>
      </c>
      <c r="L447" s="46">
        <v>10000000</v>
      </c>
      <c r="M447" s="53"/>
      <c r="N447" s="46">
        <v>9397500</v>
      </c>
      <c r="O447" s="20">
        <f t="shared" si="133"/>
        <v>6876586.5384615315</v>
      </c>
      <c r="P447" s="47">
        <v>0.13750000000000001</v>
      </c>
      <c r="Q447" s="919">
        <v>1.041415</v>
      </c>
      <c r="R447" s="22">
        <f t="shared" si="134"/>
        <v>10414150</v>
      </c>
      <c r="S447" s="12">
        <v>0.14835999999999999</v>
      </c>
      <c r="T447" s="75">
        <f t="shared" si="135"/>
        <v>71771.978021978022</v>
      </c>
      <c r="U447" s="563"/>
      <c r="V447" s="13">
        <f t="shared" si="136"/>
        <v>71771.978021978022</v>
      </c>
      <c r="W447" s="13"/>
      <c r="Z447" s="30"/>
      <c r="AA447" s="30"/>
      <c r="AB447" s="30"/>
      <c r="AE447" s="30"/>
    </row>
    <row r="448" spans="1:31" s="29" customFormat="1" ht="22.5" customHeight="1" x14ac:dyDescent="0.25">
      <c r="A448" s="44" t="s">
        <v>313</v>
      </c>
      <c r="B448" s="45" t="s">
        <v>176</v>
      </c>
      <c r="C448" s="52"/>
      <c r="D448" s="736">
        <v>44725</v>
      </c>
      <c r="E448" s="736">
        <v>45089</v>
      </c>
      <c r="F448" s="73">
        <v>3969.42</v>
      </c>
      <c r="G448" s="73">
        <f t="shared" si="131"/>
        <v>6188</v>
      </c>
      <c r="H448" s="73"/>
      <c r="I448" s="73"/>
      <c r="J448" s="736">
        <f>D448+(364*18)</f>
        <v>51277</v>
      </c>
      <c r="K448" s="736">
        <f t="shared" si="132"/>
        <v>45271</v>
      </c>
      <c r="L448" s="46">
        <v>20000000</v>
      </c>
      <c r="M448" s="53"/>
      <c r="N448" s="46">
        <v>20000000</v>
      </c>
      <c r="O448" s="20">
        <f t="shared" si="133"/>
        <v>46722799.999999993</v>
      </c>
      <c r="P448" s="47">
        <v>0.13741999999999999</v>
      </c>
      <c r="Q448" s="919">
        <v>1.045083</v>
      </c>
      <c r="R448" s="22">
        <f t="shared" si="134"/>
        <v>20901660</v>
      </c>
      <c r="S448" s="12">
        <v>0.13741999999999999</v>
      </c>
      <c r="T448" s="75">
        <f t="shared" si="135"/>
        <v>143460.43956043952</v>
      </c>
      <c r="U448" s="563"/>
      <c r="V448" s="13">
        <f t="shared" si="136"/>
        <v>143460.43956043952</v>
      </c>
      <c r="W448" s="13"/>
      <c r="Z448" s="30"/>
      <c r="AA448" s="30"/>
      <c r="AB448" s="30"/>
      <c r="AE448" s="30"/>
    </row>
    <row r="449" spans="1:31" s="29" customFormat="1" ht="22.5" customHeight="1" x14ac:dyDescent="0.25">
      <c r="A449" s="44" t="s">
        <v>313</v>
      </c>
      <c r="B449" s="45" t="s">
        <v>176</v>
      </c>
      <c r="C449" s="52"/>
      <c r="D449" s="736">
        <v>44725</v>
      </c>
      <c r="E449" s="736">
        <v>45089</v>
      </c>
      <c r="F449" s="73">
        <v>3969.42</v>
      </c>
      <c r="G449" s="73">
        <f t="shared" si="131"/>
        <v>6188</v>
      </c>
      <c r="H449" s="73"/>
      <c r="I449" s="73"/>
      <c r="J449" s="736">
        <f>D449+(364*18)</f>
        <v>51277</v>
      </c>
      <c r="K449" s="736">
        <f t="shared" si="132"/>
        <v>45271</v>
      </c>
      <c r="L449" s="46">
        <v>20000000</v>
      </c>
      <c r="M449" s="53"/>
      <c r="N449" s="46">
        <v>20650200</v>
      </c>
      <c r="O449" s="20">
        <f t="shared" si="133"/>
        <v>46722799.999999993</v>
      </c>
      <c r="P449" s="47">
        <v>0.13741999999999999</v>
      </c>
      <c r="Q449" s="919">
        <v>1.045083</v>
      </c>
      <c r="R449" s="22">
        <f t="shared" si="134"/>
        <v>20901660</v>
      </c>
      <c r="S449" s="12">
        <v>0.13200000000000001</v>
      </c>
      <c r="T449" s="75">
        <f t="shared" si="135"/>
        <v>143460.43956043952</v>
      </c>
      <c r="U449" s="563"/>
      <c r="V449" s="13">
        <f t="shared" si="136"/>
        <v>143460.43956043952</v>
      </c>
      <c r="W449" s="13"/>
      <c r="Z449" s="30"/>
      <c r="AA449" s="30"/>
      <c r="AB449" s="30"/>
      <c r="AE449" s="30"/>
    </row>
    <row r="450" spans="1:31" s="29" customFormat="1" ht="22.5" customHeight="1" x14ac:dyDescent="0.25">
      <c r="A450" s="44" t="s">
        <v>313</v>
      </c>
      <c r="B450" s="45" t="s">
        <v>176</v>
      </c>
      <c r="C450" s="52"/>
      <c r="D450" s="736">
        <v>44725</v>
      </c>
      <c r="E450" s="736">
        <v>45089</v>
      </c>
      <c r="F450" s="73">
        <v>3969.42</v>
      </c>
      <c r="G450" s="73">
        <f t="shared" si="131"/>
        <v>6188</v>
      </c>
      <c r="H450" s="73"/>
      <c r="I450" s="73"/>
      <c r="J450" s="736">
        <f>D450+(364*18)</f>
        <v>51277</v>
      </c>
      <c r="K450" s="736">
        <f t="shared" si="132"/>
        <v>45271</v>
      </c>
      <c r="L450" s="46">
        <v>20000000</v>
      </c>
      <c r="M450" s="53"/>
      <c r="N450" s="46">
        <v>20527600</v>
      </c>
      <c r="O450" s="20">
        <f t="shared" si="133"/>
        <v>46722799.999999993</v>
      </c>
      <c r="P450" s="47">
        <v>0.13741999999999999</v>
      </c>
      <c r="Q450" s="919">
        <v>1.045083</v>
      </c>
      <c r="R450" s="22">
        <f t="shared" si="134"/>
        <v>20901660</v>
      </c>
      <c r="S450" s="12">
        <v>0.13300000000000001</v>
      </c>
      <c r="T450" s="75">
        <f t="shared" si="135"/>
        <v>143460.43956043952</v>
      </c>
      <c r="U450" s="563"/>
      <c r="V450" s="13">
        <f t="shared" si="136"/>
        <v>143460.43956043952</v>
      </c>
      <c r="W450" s="13"/>
      <c r="Z450" s="30"/>
      <c r="AA450" s="30"/>
      <c r="AB450" s="30"/>
      <c r="AE450" s="30"/>
    </row>
    <row r="451" spans="1:31" s="29" customFormat="1" ht="22.5" customHeight="1" x14ac:dyDescent="0.25">
      <c r="A451" s="44"/>
      <c r="B451" s="45"/>
      <c r="C451" s="45"/>
      <c r="D451" s="736"/>
      <c r="E451" s="629"/>
      <c r="F451" s="73"/>
      <c r="G451" s="16"/>
      <c r="H451" s="16"/>
      <c r="I451" s="16"/>
      <c r="J451" s="736"/>
      <c r="K451" s="736"/>
      <c r="L451" s="46"/>
      <c r="M451" s="18"/>
      <c r="N451" s="46"/>
      <c r="O451" s="20"/>
      <c r="P451" s="47"/>
      <c r="Q451" s="48"/>
      <c r="R451" s="22"/>
      <c r="S451" s="12"/>
      <c r="T451" s="75"/>
      <c r="U451" s="28"/>
      <c r="V451" s="13"/>
      <c r="W451" s="13"/>
      <c r="Z451" s="30"/>
      <c r="AA451" s="30"/>
      <c r="AB451" s="30"/>
      <c r="AE451" s="30"/>
    </row>
    <row r="452" spans="1:31" s="29" customFormat="1" ht="23.5" customHeight="1" x14ac:dyDescent="0.25">
      <c r="A452" s="54" t="s">
        <v>0</v>
      </c>
      <c r="B452" s="45" t="s">
        <v>176</v>
      </c>
      <c r="C452" s="52"/>
      <c r="D452" s="16"/>
      <c r="E452" s="736"/>
      <c r="F452" s="16"/>
      <c r="G452" s="16"/>
      <c r="H452" s="16"/>
      <c r="I452" s="16"/>
      <c r="J452" s="736"/>
      <c r="K452" s="16"/>
      <c r="L452" s="55">
        <f t="shared" ref="L452:V452" si="137">SUM(L387:L451)</f>
        <v>1245940051</v>
      </c>
      <c r="M452" s="55">
        <f t="shared" si="137"/>
        <v>200000000</v>
      </c>
      <c r="N452" s="55">
        <f t="shared" si="137"/>
        <v>1306755671</v>
      </c>
      <c r="O452" s="55">
        <f t="shared" si="137"/>
        <v>1032946363.85</v>
      </c>
      <c r="P452" s="55">
        <f t="shared" si="137"/>
        <v>7.5476600000000005</v>
      </c>
      <c r="Q452" s="55">
        <f t="shared" si="137"/>
        <v>61.153967999999978</v>
      </c>
      <c r="R452" s="55">
        <f t="shared" si="137"/>
        <v>1182035295.5778832</v>
      </c>
      <c r="S452" s="55">
        <f t="shared" si="137"/>
        <v>8.0294899999999974</v>
      </c>
      <c r="T452" s="55">
        <f t="shared" si="137"/>
        <v>30894772.166895606</v>
      </c>
      <c r="U452" s="55">
        <f t="shared" si="137"/>
        <v>0</v>
      </c>
      <c r="V452" s="55">
        <f t="shared" si="137"/>
        <v>30894772.166895606</v>
      </c>
      <c r="W452" s="13"/>
      <c r="Z452" s="30"/>
      <c r="AA452" s="30"/>
      <c r="AB452" s="30"/>
      <c r="AE452" s="30"/>
    </row>
    <row r="453" spans="1:31" s="29" customFormat="1" ht="23.5" customHeight="1" x14ac:dyDescent="0.35">
      <c r="A453" s="54"/>
      <c r="B453" s="52"/>
      <c r="C453" s="52"/>
      <c r="D453" s="16"/>
      <c r="E453" s="73"/>
      <c r="F453" s="16"/>
      <c r="G453" s="16"/>
      <c r="H453" s="16"/>
      <c r="I453" s="16"/>
      <c r="J453" s="736"/>
      <c r="K453" s="16"/>
      <c r="L453" s="584"/>
      <c r="M453" s="78"/>
      <c r="N453" s="78"/>
      <c r="O453" s="78"/>
      <c r="P453" s="78"/>
      <c r="Q453" s="78"/>
      <c r="R453" s="78"/>
      <c r="S453" s="78"/>
      <c r="T453" s="574"/>
      <c r="U453" s="581"/>
      <c r="V453" s="568"/>
      <c r="W453" s="13"/>
      <c r="Z453" s="30"/>
      <c r="AA453" s="30"/>
      <c r="AB453" s="30"/>
      <c r="AE453" s="30"/>
    </row>
    <row r="454" spans="1:31" s="81" customFormat="1" ht="23.5" customHeight="1" thickBot="1" x14ac:dyDescent="0.3">
      <c r="A454" s="60" t="s">
        <v>4</v>
      </c>
      <c r="B454" s="7"/>
      <c r="C454" s="7"/>
      <c r="D454" s="7"/>
      <c r="E454" s="7"/>
      <c r="F454" s="7"/>
      <c r="G454" s="7"/>
      <c r="H454" s="7"/>
      <c r="I454" s="7"/>
      <c r="J454" s="76"/>
      <c r="K454" s="77"/>
      <c r="L454" s="79">
        <f>L452+L384</f>
        <v>4958789811</v>
      </c>
      <c r="M454" s="79">
        <f>M452+M384</f>
        <v>690000000</v>
      </c>
      <c r="N454" s="79">
        <f>N452+N384</f>
        <v>5176170171</v>
      </c>
      <c r="O454" s="79">
        <f>O452+O384</f>
        <v>4252695598.8099999</v>
      </c>
      <c r="P454" s="79"/>
      <c r="Q454" s="79"/>
      <c r="R454" s="79">
        <f>R452+R384</f>
        <v>4651838289.5769539</v>
      </c>
      <c r="S454" s="79"/>
      <c r="T454" s="575">
        <f>T452+T384</f>
        <v>122602511.91414839</v>
      </c>
      <c r="U454" s="582"/>
      <c r="V454" s="569">
        <f>V452+V384</f>
        <v>122602511.91414839</v>
      </c>
      <c r="W454" s="80"/>
      <c r="Z454" s="82"/>
      <c r="AA454" s="82"/>
      <c r="AB454" s="82"/>
      <c r="AE454" s="82"/>
    </row>
    <row r="455" spans="1:31" s="13" customFormat="1" ht="23.5" customHeight="1" x14ac:dyDescent="0.25">
      <c r="A455" s="85" t="s">
        <v>134</v>
      </c>
      <c r="B455" s="86"/>
      <c r="C455" s="86"/>
      <c r="D455" s="6"/>
      <c r="E455" s="6"/>
      <c r="F455" s="25"/>
      <c r="G455" s="25"/>
      <c r="H455" s="25"/>
      <c r="I455" s="25"/>
      <c r="J455" s="25"/>
      <c r="K455" s="25"/>
      <c r="L455" s="74"/>
      <c r="M455" s="9"/>
      <c r="N455" s="74"/>
      <c r="O455" s="20"/>
      <c r="P455" s="25"/>
      <c r="Q455" s="25"/>
      <c r="R455" s="25"/>
      <c r="S455" s="27"/>
      <c r="T455" s="98"/>
      <c r="U455" s="579"/>
      <c r="V455" s="90"/>
      <c r="Z455" s="6"/>
      <c r="AA455" s="6"/>
      <c r="AB455" s="6"/>
      <c r="AE455" s="6"/>
    </row>
    <row r="456" spans="1:31" s="13" customFormat="1" ht="23.5" customHeight="1" x14ac:dyDescent="0.25">
      <c r="A456" s="87"/>
      <c r="B456" s="6"/>
      <c r="C456" s="6"/>
      <c r="D456" s="6"/>
      <c r="E456" s="6"/>
      <c r="F456" s="16"/>
      <c r="G456" s="16"/>
      <c r="H456" s="16"/>
      <c r="I456" s="16"/>
      <c r="J456" s="25"/>
      <c r="K456" s="25"/>
      <c r="L456" s="88"/>
      <c r="M456" s="9"/>
      <c r="N456" s="74"/>
      <c r="O456" s="20"/>
      <c r="P456" s="25"/>
      <c r="Q456" s="25"/>
      <c r="R456" s="89"/>
      <c r="S456" s="31"/>
      <c r="T456" s="28"/>
      <c r="U456" s="563"/>
      <c r="V456" s="90"/>
      <c r="Z456" s="6"/>
      <c r="AA456" s="6"/>
      <c r="AB456" s="6"/>
      <c r="AE456" s="6"/>
    </row>
    <row r="457" spans="1:31" s="29" customFormat="1" ht="33" customHeight="1" x14ac:dyDescent="0.3">
      <c r="A457" s="648" t="s">
        <v>213</v>
      </c>
      <c r="B457" s="92"/>
      <c r="C457" s="554"/>
      <c r="D457" s="736">
        <v>43777</v>
      </c>
      <c r="E457" s="736">
        <v>45046</v>
      </c>
      <c r="F457" s="16">
        <v>1820</v>
      </c>
      <c r="G457" s="16">
        <f t="shared" ref="G457:G466" si="138">J457-E457</f>
        <v>558</v>
      </c>
      <c r="H457" s="16"/>
      <c r="I457" s="16"/>
      <c r="J457" s="736">
        <f>D457+1827</f>
        <v>45604</v>
      </c>
      <c r="K457" s="736">
        <f t="shared" ref="K457:K467" si="139">E457+90</f>
        <v>45136</v>
      </c>
      <c r="L457" s="46">
        <f>9000000-8000000</f>
        <v>1000000</v>
      </c>
      <c r="M457" s="18"/>
      <c r="N457" s="46">
        <v>9000000</v>
      </c>
      <c r="O457" s="20">
        <f t="shared" ref="O457:O466" si="140">L457*P457*G457/365</f>
        <v>187273.97260273973</v>
      </c>
      <c r="P457" s="47">
        <v>0.1225</v>
      </c>
      <c r="Q457" s="919">
        <v>1.0072479999999999</v>
      </c>
      <c r="R457" s="22">
        <f t="shared" ref="R457:R466" si="141">+L457*Q457</f>
        <v>1007247.9999999999</v>
      </c>
      <c r="S457" s="47">
        <v>0.1225</v>
      </c>
      <c r="T457" s="562">
        <f t="shared" ref="T457:T466" si="142">O457/G457*(T$1-E457+1)</f>
        <v>20808.219178082192</v>
      </c>
      <c r="U457" s="563"/>
      <c r="V457" s="29">
        <f t="shared" ref="V457:V466" si="143">T457-U457</f>
        <v>20808.219178082192</v>
      </c>
    </row>
    <row r="458" spans="1:31" s="29" customFormat="1" ht="33" customHeight="1" x14ac:dyDescent="0.3">
      <c r="A458" s="648" t="s">
        <v>276</v>
      </c>
      <c r="B458" s="92"/>
      <c r="C458" s="554"/>
      <c r="D458" s="736">
        <v>44344</v>
      </c>
      <c r="E458" s="736">
        <v>45046</v>
      </c>
      <c r="F458" s="16">
        <v>1820</v>
      </c>
      <c r="G458" s="16">
        <f t="shared" si="138"/>
        <v>558</v>
      </c>
      <c r="H458" s="16"/>
      <c r="I458" s="16"/>
      <c r="J458" s="736">
        <f>D458+1260</f>
        <v>45604</v>
      </c>
      <c r="K458" s="736">
        <f t="shared" si="139"/>
        <v>45136</v>
      </c>
      <c r="L458" s="46">
        <v>2000000</v>
      </c>
      <c r="M458" s="18"/>
      <c r="N458" s="46">
        <v>2000000</v>
      </c>
      <c r="O458" s="20">
        <f t="shared" si="140"/>
        <v>374547.94520547945</v>
      </c>
      <c r="P458" s="47">
        <v>0.1225</v>
      </c>
      <c r="Q458" s="919">
        <v>1.0072479999999999</v>
      </c>
      <c r="R458" s="22">
        <f t="shared" si="141"/>
        <v>2014495.9999999998</v>
      </c>
      <c r="S458" s="47">
        <v>0.1225</v>
      </c>
      <c r="T458" s="562">
        <f t="shared" si="142"/>
        <v>41616.438356164384</v>
      </c>
      <c r="U458" s="563"/>
      <c r="V458" s="29">
        <f t="shared" si="143"/>
        <v>41616.438356164384</v>
      </c>
    </row>
    <row r="459" spans="1:31" s="29" customFormat="1" ht="33" customHeight="1" x14ac:dyDescent="0.3">
      <c r="A459" s="676" t="s">
        <v>280</v>
      </c>
      <c r="B459" s="92"/>
      <c r="C459" s="554"/>
      <c r="D459" s="736">
        <v>44386</v>
      </c>
      <c r="E459" s="736">
        <v>45046</v>
      </c>
      <c r="F459" s="16">
        <v>1820</v>
      </c>
      <c r="G459" s="16">
        <f t="shared" si="138"/>
        <v>558</v>
      </c>
      <c r="H459" s="16"/>
      <c r="I459" s="16"/>
      <c r="J459" s="736">
        <f>D459+1218</f>
        <v>45604</v>
      </c>
      <c r="K459" s="736">
        <f t="shared" si="139"/>
        <v>45136</v>
      </c>
      <c r="L459" s="46">
        <v>1000000</v>
      </c>
      <c r="M459" s="18"/>
      <c r="N459" s="46">
        <v>1000000</v>
      </c>
      <c r="O459" s="20">
        <f t="shared" si="140"/>
        <v>187273.97260273973</v>
      </c>
      <c r="P459" s="47">
        <v>0.1225</v>
      </c>
      <c r="Q459" s="919">
        <v>1.0072479999999999</v>
      </c>
      <c r="R459" s="22">
        <f t="shared" si="141"/>
        <v>1007247.9999999999</v>
      </c>
      <c r="S459" s="47">
        <v>0.1225</v>
      </c>
      <c r="T459" s="562">
        <f t="shared" si="142"/>
        <v>20808.219178082192</v>
      </c>
      <c r="U459" s="563"/>
      <c r="V459" s="29">
        <f t="shared" si="143"/>
        <v>20808.219178082192</v>
      </c>
    </row>
    <row r="460" spans="1:31" s="29" customFormat="1" ht="33" customHeight="1" x14ac:dyDescent="0.3">
      <c r="A460" s="676" t="s">
        <v>295</v>
      </c>
      <c r="B460" s="92"/>
      <c r="C460" s="554"/>
      <c r="D460" s="736">
        <v>44477</v>
      </c>
      <c r="E460" s="736">
        <v>45046</v>
      </c>
      <c r="F460" s="16">
        <v>1820</v>
      </c>
      <c r="G460" s="16">
        <f t="shared" si="138"/>
        <v>558</v>
      </c>
      <c r="H460" s="16"/>
      <c r="I460" s="16"/>
      <c r="J460" s="736">
        <f>D460+1127</f>
        <v>45604</v>
      </c>
      <c r="K460" s="736">
        <f t="shared" si="139"/>
        <v>45136</v>
      </c>
      <c r="L460" s="46">
        <v>8000000</v>
      </c>
      <c r="M460" s="18"/>
      <c r="N460" s="46">
        <v>8000000</v>
      </c>
      <c r="O460" s="20">
        <f t="shared" si="140"/>
        <v>1498191.7808219178</v>
      </c>
      <c r="P460" s="47">
        <v>0.1225</v>
      </c>
      <c r="Q460" s="919">
        <v>1.0072479999999999</v>
      </c>
      <c r="R460" s="22">
        <f t="shared" si="141"/>
        <v>8057983.9999999991</v>
      </c>
      <c r="S460" s="47">
        <v>0.1225</v>
      </c>
      <c r="T460" s="562">
        <f t="shared" si="142"/>
        <v>166465.75342465754</v>
      </c>
      <c r="U460" s="563"/>
      <c r="V460" s="29">
        <f t="shared" si="143"/>
        <v>166465.75342465754</v>
      </c>
    </row>
    <row r="461" spans="1:31" s="29" customFormat="1" ht="33" customHeight="1" x14ac:dyDescent="0.3">
      <c r="A461" s="648" t="s">
        <v>311</v>
      </c>
      <c r="B461" s="92"/>
      <c r="C461" s="554"/>
      <c r="D461" s="736">
        <v>44708</v>
      </c>
      <c r="E461" s="736">
        <v>45046</v>
      </c>
      <c r="F461" s="16">
        <v>1820</v>
      </c>
      <c r="G461" s="16">
        <f t="shared" si="138"/>
        <v>558</v>
      </c>
      <c r="H461" s="16"/>
      <c r="I461" s="16"/>
      <c r="J461" s="736">
        <f>D461+896</f>
        <v>45604</v>
      </c>
      <c r="K461" s="736">
        <f t="shared" si="139"/>
        <v>45136</v>
      </c>
      <c r="L461" s="46">
        <v>4000000</v>
      </c>
      <c r="M461" s="18"/>
      <c r="N461" s="46">
        <v>4000000</v>
      </c>
      <c r="O461" s="20">
        <f t="shared" si="140"/>
        <v>749095.89041095891</v>
      </c>
      <c r="P461" s="47">
        <v>0.1225</v>
      </c>
      <c r="Q461" s="919">
        <v>1.0072479999999999</v>
      </c>
      <c r="R461" s="22">
        <f t="shared" si="141"/>
        <v>4028991.9999999995</v>
      </c>
      <c r="S461" s="47">
        <v>0.1225</v>
      </c>
      <c r="T461" s="562">
        <f t="shared" si="142"/>
        <v>83232.876712328769</v>
      </c>
      <c r="U461" s="563"/>
      <c r="V461" s="29">
        <f t="shared" si="143"/>
        <v>83232.876712328769</v>
      </c>
    </row>
    <row r="462" spans="1:31" s="29" customFormat="1" ht="33" customHeight="1" x14ac:dyDescent="0.3">
      <c r="A462" s="648" t="s">
        <v>315</v>
      </c>
      <c r="B462" s="92"/>
      <c r="C462" s="554"/>
      <c r="D462" s="736">
        <v>44785</v>
      </c>
      <c r="E462" s="736">
        <v>45046</v>
      </c>
      <c r="F462" s="16">
        <v>1820</v>
      </c>
      <c r="G462" s="16">
        <f t="shared" si="138"/>
        <v>558</v>
      </c>
      <c r="H462" s="16"/>
      <c r="I462" s="16"/>
      <c r="J462" s="736">
        <f>D462+819</f>
        <v>45604</v>
      </c>
      <c r="K462" s="736">
        <f t="shared" si="139"/>
        <v>45136</v>
      </c>
      <c r="L462" s="46">
        <v>1500000</v>
      </c>
      <c r="M462" s="18"/>
      <c r="N462" s="46">
        <v>1500000</v>
      </c>
      <c r="O462" s="20">
        <f t="shared" si="140"/>
        <v>280910.9589041096</v>
      </c>
      <c r="P462" s="47">
        <v>0.1225</v>
      </c>
      <c r="Q462" s="919">
        <v>1.0072479999999999</v>
      </c>
      <c r="R462" s="22">
        <f t="shared" si="141"/>
        <v>1510871.9999999998</v>
      </c>
      <c r="S462" s="47">
        <v>0.1225</v>
      </c>
      <c r="T462" s="562">
        <f t="shared" si="142"/>
        <v>31212.32876712329</v>
      </c>
      <c r="U462" s="563"/>
      <c r="V462" s="29">
        <f t="shared" si="143"/>
        <v>31212.32876712329</v>
      </c>
    </row>
    <row r="463" spans="1:31" s="29" customFormat="1" ht="33" customHeight="1" x14ac:dyDescent="0.3">
      <c r="A463" s="648" t="s">
        <v>241</v>
      </c>
      <c r="B463" s="92"/>
      <c r="C463" s="554"/>
      <c r="D463" s="736">
        <v>44861</v>
      </c>
      <c r="E463" s="736">
        <v>45046</v>
      </c>
      <c r="F463" s="16">
        <v>1820</v>
      </c>
      <c r="G463" s="16">
        <f t="shared" si="138"/>
        <v>558</v>
      </c>
      <c r="H463" s="16"/>
      <c r="I463" s="16"/>
      <c r="J463" s="736">
        <f>D463+743</f>
        <v>45604</v>
      </c>
      <c r="K463" s="736">
        <f t="shared" si="139"/>
        <v>45136</v>
      </c>
      <c r="L463" s="46">
        <f>11000000-1000000-6000000</f>
        <v>4000000</v>
      </c>
      <c r="M463" s="18"/>
      <c r="N463" s="46">
        <v>11000000</v>
      </c>
      <c r="O463" s="20">
        <f t="shared" si="140"/>
        <v>749095.89041095891</v>
      </c>
      <c r="P463" s="47">
        <v>0.1225</v>
      </c>
      <c r="Q463" s="919">
        <v>1.0072479999999999</v>
      </c>
      <c r="R463" s="22">
        <f t="shared" si="141"/>
        <v>4028991.9999999995</v>
      </c>
      <c r="S463" s="47">
        <v>0.1225</v>
      </c>
      <c r="T463" s="562">
        <f t="shared" si="142"/>
        <v>83232.876712328769</v>
      </c>
      <c r="U463" s="563"/>
      <c r="V463" s="29">
        <f t="shared" si="143"/>
        <v>83232.876712328769</v>
      </c>
    </row>
    <row r="464" spans="1:31" s="29" customFormat="1" ht="33" customHeight="1" x14ac:dyDescent="0.3">
      <c r="A464" s="648" t="s">
        <v>259</v>
      </c>
      <c r="B464" s="92"/>
      <c r="C464" s="554"/>
      <c r="D464" s="736">
        <v>44861</v>
      </c>
      <c r="E464" s="736">
        <v>45046</v>
      </c>
      <c r="F464" s="16">
        <v>1820</v>
      </c>
      <c r="G464" s="16">
        <f t="shared" si="138"/>
        <v>558</v>
      </c>
      <c r="H464" s="16"/>
      <c r="I464" s="16"/>
      <c r="J464" s="736">
        <f>D464+743</f>
        <v>45604</v>
      </c>
      <c r="K464" s="736">
        <f t="shared" si="139"/>
        <v>45136</v>
      </c>
      <c r="L464" s="46">
        <f>4000000-1000000-1000000</f>
        <v>2000000</v>
      </c>
      <c r="M464" s="18"/>
      <c r="N464" s="46">
        <v>4000000</v>
      </c>
      <c r="O464" s="20">
        <f t="shared" si="140"/>
        <v>374547.94520547945</v>
      </c>
      <c r="P464" s="47">
        <v>0.1225</v>
      </c>
      <c r="Q464" s="919">
        <v>1.0072479999999999</v>
      </c>
      <c r="R464" s="22">
        <f t="shared" si="141"/>
        <v>2014495.9999999998</v>
      </c>
      <c r="S464" s="47">
        <v>0.1225</v>
      </c>
      <c r="T464" s="562">
        <f t="shared" si="142"/>
        <v>41616.438356164384</v>
      </c>
      <c r="U464" s="563"/>
      <c r="V464" s="29">
        <f t="shared" si="143"/>
        <v>41616.438356164384</v>
      </c>
    </row>
    <row r="465" spans="1:31" s="29" customFormat="1" ht="33" customHeight="1" x14ac:dyDescent="0.3">
      <c r="A465" s="648" t="s">
        <v>264</v>
      </c>
      <c r="B465" s="92"/>
      <c r="C465" s="554"/>
      <c r="D465" s="736">
        <v>44861</v>
      </c>
      <c r="E465" s="736">
        <v>45046</v>
      </c>
      <c r="F465" s="16">
        <v>1820</v>
      </c>
      <c r="G465" s="16">
        <f t="shared" si="138"/>
        <v>558</v>
      </c>
      <c r="H465" s="16"/>
      <c r="I465" s="16"/>
      <c r="J465" s="736">
        <f>D465+743</f>
        <v>45604</v>
      </c>
      <c r="K465" s="736">
        <f t="shared" si="139"/>
        <v>45136</v>
      </c>
      <c r="L465" s="46">
        <f>4000000-1000000</f>
        <v>3000000</v>
      </c>
      <c r="M465" s="18"/>
      <c r="N465" s="46">
        <v>4000000</v>
      </c>
      <c r="O465" s="20">
        <f t="shared" si="140"/>
        <v>561821.91780821921</v>
      </c>
      <c r="P465" s="47">
        <v>0.1225</v>
      </c>
      <c r="Q465" s="919">
        <v>1.0072479999999999</v>
      </c>
      <c r="R465" s="22">
        <f t="shared" si="141"/>
        <v>3021743.9999999995</v>
      </c>
      <c r="S465" s="47">
        <v>0.1225</v>
      </c>
      <c r="T465" s="562">
        <f t="shared" si="142"/>
        <v>62424.65753424658</v>
      </c>
      <c r="U465" s="563"/>
      <c r="V465" s="29">
        <f t="shared" si="143"/>
        <v>62424.65753424658</v>
      </c>
    </row>
    <row r="466" spans="1:31" s="29" customFormat="1" ht="33" customHeight="1" x14ac:dyDescent="0.3">
      <c r="A466" s="648" t="s">
        <v>307</v>
      </c>
      <c r="B466" s="92"/>
      <c r="C466" s="554"/>
      <c r="D466" s="736">
        <v>44861</v>
      </c>
      <c r="E466" s="736">
        <v>45046</v>
      </c>
      <c r="F466" s="16">
        <v>1820</v>
      </c>
      <c r="G466" s="16">
        <f t="shared" si="138"/>
        <v>558</v>
      </c>
      <c r="H466" s="16"/>
      <c r="I466" s="16"/>
      <c r="J466" s="736">
        <f>D466+743</f>
        <v>45604</v>
      </c>
      <c r="K466" s="736">
        <f t="shared" si="139"/>
        <v>45136</v>
      </c>
      <c r="L466" s="46">
        <f>3000000-1000000</f>
        <v>2000000</v>
      </c>
      <c r="M466" s="18"/>
      <c r="N466" s="46">
        <v>3000000</v>
      </c>
      <c r="O466" s="20">
        <f t="shared" si="140"/>
        <v>374547.94520547945</v>
      </c>
      <c r="P466" s="47">
        <v>0.1225</v>
      </c>
      <c r="Q466" s="919">
        <v>1.0072479999999999</v>
      </c>
      <c r="R466" s="22">
        <f t="shared" si="141"/>
        <v>2014495.9999999998</v>
      </c>
      <c r="S466" s="47">
        <v>0.1225</v>
      </c>
      <c r="T466" s="562">
        <f t="shared" si="142"/>
        <v>41616.438356164384</v>
      </c>
      <c r="U466" s="563"/>
      <c r="V466" s="29">
        <f t="shared" si="143"/>
        <v>41616.438356164384</v>
      </c>
    </row>
    <row r="467" spans="1:31" s="29" customFormat="1" ht="33" customHeight="1" x14ac:dyDescent="0.3">
      <c r="A467" s="648" t="s">
        <v>319</v>
      </c>
      <c r="B467" s="92"/>
      <c r="C467" s="554"/>
      <c r="D467" s="736">
        <v>44874</v>
      </c>
      <c r="E467" s="736">
        <v>45046</v>
      </c>
      <c r="F467" s="16">
        <v>1820</v>
      </c>
      <c r="G467" s="16">
        <f t="shared" ref="G467" si="144">J467-E467</f>
        <v>558</v>
      </c>
      <c r="H467" s="16"/>
      <c r="I467" s="16"/>
      <c r="J467" s="736">
        <f>D467+730</f>
        <v>45604</v>
      </c>
      <c r="K467" s="736">
        <f t="shared" si="139"/>
        <v>45136</v>
      </c>
      <c r="L467" s="46">
        <v>3000000</v>
      </c>
      <c r="M467" s="18"/>
      <c r="N467" s="46">
        <v>3000000</v>
      </c>
      <c r="O467" s="20">
        <f t="shared" ref="O467" si="145">L467*P467*G467/365</f>
        <v>561821.91780821921</v>
      </c>
      <c r="P467" s="47">
        <v>0.1225</v>
      </c>
      <c r="Q467" s="919">
        <v>1.0072479999999999</v>
      </c>
      <c r="R467" s="22">
        <f t="shared" ref="R467" si="146">+L467*Q467</f>
        <v>3021743.9999999995</v>
      </c>
      <c r="S467" s="47">
        <v>0.1225</v>
      </c>
      <c r="T467" s="562">
        <f t="shared" ref="T467" si="147">O467/G467*(T$1-E467+1)</f>
        <v>62424.65753424658</v>
      </c>
      <c r="U467" s="563"/>
      <c r="V467" s="29">
        <f t="shared" ref="V467" si="148">T467-U467</f>
        <v>62424.65753424658</v>
      </c>
    </row>
    <row r="468" spans="1:31" s="29" customFormat="1" ht="33" customHeight="1" x14ac:dyDescent="0.3">
      <c r="A468" s="648" t="s">
        <v>321</v>
      </c>
      <c r="B468" s="92"/>
      <c r="C468" s="554"/>
      <c r="D468" s="736">
        <v>44916</v>
      </c>
      <c r="E468" s="736">
        <v>45046</v>
      </c>
      <c r="F468" s="16">
        <v>1820</v>
      </c>
      <c r="G468" s="16">
        <f t="shared" ref="G468" si="149">J468-E468</f>
        <v>558</v>
      </c>
      <c r="H468" s="16"/>
      <c r="I468" s="16"/>
      <c r="J468" s="736">
        <f>D468+688</f>
        <v>45604</v>
      </c>
      <c r="K468" s="736">
        <f t="shared" ref="K468" si="150">E468+90</f>
        <v>45136</v>
      </c>
      <c r="L468" s="46">
        <v>6000000</v>
      </c>
      <c r="M468" s="18"/>
      <c r="N468" s="46">
        <v>6000000</v>
      </c>
      <c r="O468" s="20">
        <f t="shared" ref="O468" si="151">L468*P468*G468/365</f>
        <v>1123643.8356164384</v>
      </c>
      <c r="P468" s="47">
        <v>0.1225</v>
      </c>
      <c r="Q468" s="919">
        <v>1.0072479999999999</v>
      </c>
      <c r="R468" s="22">
        <f t="shared" ref="R468" si="152">+L468*Q468</f>
        <v>6043487.9999999991</v>
      </c>
      <c r="S468" s="47">
        <v>0.1225</v>
      </c>
      <c r="T468" s="562">
        <f t="shared" ref="T468" si="153">O468/G468*(T$1-E468+1)</f>
        <v>124849.31506849316</v>
      </c>
      <c r="U468" s="563"/>
      <c r="V468" s="29">
        <f t="shared" ref="V468" si="154">T468-U468</f>
        <v>124849.31506849316</v>
      </c>
    </row>
    <row r="469" spans="1:31" s="29" customFormat="1" ht="28" customHeight="1" x14ac:dyDescent="0.25">
      <c r="A469" s="91"/>
      <c r="B469" s="92"/>
      <c r="C469" s="92"/>
      <c r="D469" s="736"/>
      <c r="E469" s="736"/>
      <c r="F469" s="16"/>
      <c r="G469" s="16"/>
      <c r="H469" s="16"/>
      <c r="I469" s="16"/>
      <c r="J469" s="736"/>
      <c r="K469" s="736"/>
      <c r="L469" s="46"/>
      <c r="M469" s="18"/>
      <c r="N469" s="46"/>
      <c r="O469" s="20"/>
      <c r="P469" s="47"/>
      <c r="Q469" s="46"/>
      <c r="R469" s="19"/>
      <c r="S469" s="47"/>
      <c r="T469" s="58"/>
      <c r="U469" s="566"/>
      <c r="V469" s="90"/>
      <c r="W469" s="13"/>
      <c r="Z469" s="30"/>
      <c r="AA469" s="30"/>
      <c r="AB469" s="30"/>
      <c r="AE469" s="30"/>
    </row>
    <row r="470" spans="1:31" s="81" customFormat="1" ht="33" customHeight="1" thickBot="1" x14ac:dyDescent="0.3">
      <c r="A470" s="93"/>
      <c r="B470" s="94"/>
      <c r="C470" s="94"/>
      <c r="D470" s="95"/>
      <c r="E470" s="95"/>
      <c r="F470" s="96"/>
      <c r="G470" s="96"/>
      <c r="H470" s="96"/>
      <c r="I470" s="96"/>
      <c r="J470" s="95"/>
      <c r="K470" s="95"/>
      <c r="L470" s="97">
        <f>SUM(L457:L469)</f>
        <v>37500000</v>
      </c>
      <c r="M470" s="97">
        <f t="shared" ref="M470:V470" si="155">SUM(M457:M469)</f>
        <v>0</v>
      </c>
      <c r="N470" s="97">
        <f t="shared" si="155"/>
        <v>56500000</v>
      </c>
      <c r="O470" s="97">
        <f t="shared" si="155"/>
        <v>7022773.9726027399</v>
      </c>
      <c r="P470" s="97">
        <f t="shared" si="155"/>
        <v>1.4700000000000004</v>
      </c>
      <c r="Q470" s="97">
        <f t="shared" si="155"/>
        <v>12.086976000000002</v>
      </c>
      <c r="R470" s="97">
        <f t="shared" si="155"/>
        <v>37771799.999999993</v>
      </c>
      <c r="S470" s="97">
        <f t="shared" si="155"/>
        <v>1.4700000000000004</v>
      </c>
      <c r="T470" s="97">
        <f t="shared" si="155"/>
        <v>780308.21917808219</v>
      </c>
      <c r="U470" s="97">
        <f t="shared" si="155"/>
        <v>0</v>
      </c>
      <c r="V470" s="97">
        <f t="shared" si="155"/>
        <v>780308.21917808219</v>
      </c>
      <c r="W470" s="80">
        <f>T470+L470</f>
        <v>38280308.219178081</v>
      </c>
      <c r="Z470" s="82"/>
      <c r="AA470" s="82"/>
      <c r="AB470" s="82"/>
      <c r="AE470" s="82"/>
    </row>
    <row r="471" spans="1:31" s="81" customFormat="1" ht="33.75" customHeight="1" x14ac:dyDescent="0.25">
      <c r="A471" s="91"/>
      <c r="B471" s="92"/>
      <c r="C471" s="92"/>
      <c r="D471" s="77"/>
      <c r="E471" s="77"/>
      <c r="F471" s="7"/>
      <c r="G471" s="7"/>
      <c r="H471" s="7"/>
      <c r="I471" s="7"/>
      <c r="J471" s="615"/>
      <c r="K471" s="77"/>
      <c r="L471" s="57"/>
      <c r="M471" s="57"/>
      <c r="N471" s="57"/>
      <c r="O471" s="646">
        <f>L471-N471</f>
        <v>0</v>
      </c>
      <c r="P471" s="57"/>
      <c r="Q471" s="57"/>
      <c r="R471" s="57"/>
      <c r="S471" s="57"/>
      <c r="T471" s="57"/>
      <c r="U471" s="579"/>
      <c r="V471" s="57"/>
      <c r="W471" s="80"/>
      <c r="Z471" s="82"/>
      <c r="AA471" s="82"/>
      <c r="AB471" s="82"/>
      <c r="AE471" s="82"/>
    </row>
    <row r="472" spans="1:31" s="29" customFormat="1" ht="33" customHeight="1" x14ac:dyDescent="0.3">
      <c r="A472" s="648" t="s">
        <v>214</v>
      </c>
      <c r="B472" s="92"/>
      <c r="C472" s="554"/>
      <c r="D472" s="736">
        <v>43777</v>
      </c>
      <c r="E472" s="736">
        <v>45046</v>
      </c>
      <c r="F472" s="16">
        <v>1820</v>
      </c>
      <c r="G472" s="16">
        <f t="shared" ref="G472:G481" si="156">J472-E472</f>
        <v>558</v>
      </c>
      <c r="H472" s="16"/>
      <c r="I472" s="16"/>
      <c r="J472" s="736">
        <f>D472+1827</f>
        <v>45604</v>
      </c>
      <c r="K472" s="736">
        <f t="shared" ref="K472:K482" si="157">E472+90</f>
        <v>45136</v>
      </c>
      <c r="L472" s="46">
        <f>9000000-8000000</f>
        <v>1000000</v>
      </c>
      <c r="M472" s="18"/>
      <c r="N472" s="46">
        <v>9000000</v>
      </c>
      <c r="O472" s="20">
        <f t="shared" ref="O472:O481" si="158">L472*P472*G472/365</f>
        <v>187273.97260273973</v>
      </c>
      <c r="P472" s="47">
        <v>0.1225</v>
      </c>
      <c r="Q472" s="919">
        <v>1.0072479999999999</v>
      </c>
      <c r="R472" s="22">
        <f t="shared" ref="R472:R481" si="159">+L472*Q472</f>
        <v>1007247.9999999999</v>
      </c>
      <c r="S472" s="47">
        <v>0.1225</v>
      </c>
      <c r="T472" s="562">
        <f t="shared" ref="T472:T481" si="160">O472/G472*(T$1-E472+1)</f>
        <v>20808.219178082192</v>
      </c>
      <c r="U472" s="563"/>
      <c r="V472" s="29">
        <f t="shared" ref="V472:V481" si="161">T472-U472</f>
        <v>20808.219178082192</v>
      </c>
    </row>
    <row r="473" spans="1:31" s="29" customFormat="1" ht="33" customHeight="1" x14ac:dyDescent="0.3">
      <c r="A473" s="648" t="s">
        <v>277</v>
      </c>
      <c r="B473" s="92"/>
      <c r="C473" s="554"/>
      <c r="D473" s="736">
        <v>44344</v>
      </c>
      <c r="E473" s="736">
        <v>45046</v>
      </c>
      <c r="F473" s="16">
        <v>1820</v>
      </c>
      <c r="G473" s="16">
        <f t="shared" si="156"/>
        <v>558</v>
      </c>
      <c r="H473" s="16"/>
      <c r="I473" s="16"/>
      <c r="J473" s="736">
        <f>D473+1260</f>
        <v>45604</v>
      </c>
      <c r="K473" s="736">
        <f t="shared" si="157"/>
        <v>45136</v>
      </c>
      <c r="L473" s="46">
        <v>2000000</v>
      </c>
      <c r="M473" s="18"/>
      <c r="N473" s="46">
        <v>2000000</v>
      </c>
      <c r="O473" s="20">
        <f t="shared" si="158"/>
        <v>374547.94520547945</v>
      </c>
      <c r="P473" s="47">
        <v>0.1225</v>
      </c>
      <c r="Q473" s="919">
        <v>1.0072479999999999</v>
      </c>
      <c r="R473" s="22">
        <f t="shared" si="159"/>
        <v>2014495.9999999998</v>
      </c>
      <c r="S473" s="47">
        <v>0.1225</v>
      </c>
      <c r="T473" s="562">
        <f t="shared" si="160"/>
        <v>41616.438356164384</v>
      </c>
      <c r="U473" s="563"/>
      <c r="V473" s="29">
        <f t="shared" si="161"/>
        <v>41616.438356164384</v>
      </c>
    </row>
    <row r="474" spans="1:31" s="29" customFormat="1" ht="33" customHeight="1" x14ac:dyDescent="0.3">
      <c r="A474" s="676" t="s">
        <v>281</v>
      </c>
      <c r="B474" s="92"/>
      <c r="C474" s="554"/>
      <c r="D474" s="736">
        <v>44386</v>
      </c>
      <c r="E474" s="736">
        <v>45046</v>
      </c>
      <c r="F474" s="16">
        <v>1820</v>
      </c>
      <c r="G474" s="16">
        <f t="shared" si="156"/>
        <v>558</v>
      </c>
      <c r="H474" s="16"/>
      <c r="I474" s="16"/>
      <c r="J474" s="736">
        <f>D474+1218</f>
        <v>45604</v>
      </c>
      <c r="K474" s="736">
        <f t="shared" si="157"/>
        <v>45136</v>
      </c>
      <c r="L474" s="46">
        <v>1000000</v>
      </c>
      <c r="M474" s="18"/>
      <c r="N474" s="46">
        <v>1000000</v>
      </c>
      <c r="O474" s="20">
        <f t="shared" si="158"/>
        <v>187273.97260273973</v>
      </c>
      <c r="P474" s="47">
        <v>0.1225</v>
      </c>
      <c r="Q474" s="919">
        <v>1.0072479999999999</v>
      </c>
      <c r="R474" s="22">
        <f t="shared" si="159"/>
        <v>1007247.9999999999</v>
      </c>
      <c r="S474" s="47">
        <v>0.1225</v>
      </c>
      <c r="T474" s="562">
        <f t="shared" si="160"/>
        <v>20808.219178082192</v>
      </c>
      <c r="U474" s="563"/>
      <c r="V474" s="29">
        <f t="shared" si="161"/>
        <v>20808.219178082192</v>
      </c>
    </row>
    <row r="475" spans="1:31" s="29" customFormat="1" ht="33" customHeight="1" x14ac:dyDescent="0.3">
      <c r="A475" s="676" t="s">
        <v>296</v>
      </c>
      <c r="B475" s="92"/>
      <c r="C475" s="554"/>
      <c r="D475" s="736">
        <v>44477</v>
      </c>
      <c r="E475" s="736">
        <v>45046</v>
      </c>
      <c r="F475" s="16">
        <v>1820</v>
      </c>
      <c r="G475" s="16">
        <f t="shared" si="156"/>
        <v>558</v>
      </c>
      <c r="H475" s="16"/>
      <c r="I475" s="16"/>
      <c r="J475" s="736">
        <f>D475+1127</f>
        <v>45604</v>
      </c>
      <c r="K475" s="736">
        <f t="shared" si="157"/>
        <v>45136</v>
      </c>
      <c r="L475" s="46">
        <v>8000000</v>
      </c>
      <c r="M475" s="18"/>
      <c r="N475" s="46">
        <v>8000000</v>
      </c>
      <c r="O475" s="20">
        <f t="shared" si="158"/>
        <v>1498191.7808219178</v>
      </c>
      <c r="P475" s="47">
        <v>0.1225</v>
      </c>
      <c r="Q475" s="919">
        <v>1.0072479999999999</v>
      </c>
      <c r="R475" s="22">
        <f t="shared" si="159"/>
        <v>8057983.9999999991</v>
      </c>
      <c r="S475" s="47">
        <v>0.1225</v>
      </c>
      <c r="T475" s="562">
        <f t="shared" si="160"/>
        <v>166465.75342465754</v>
      </c>
      <c r="U475" s="563"/>
      <c r="V475" s="29">
        <f t="shared" si="161"/>
        <v>166465.75342465754</v>
      </c>
    </row>
    <row r="476" spans="1:31" s="29" customFormat="1" ht="33" customHeight="1" x14ac:dyDescent="0.3">
      <c r="A476" s="648" t="s">
        <v>312</v>
      </c>
      <c r="B476" s="92"/>
      <c r="C476" s="554"/>
      <c r="D476" s="736">
        <v>44708</v>
      </c>
      <c r="E476" s="736">
        <v>45046</v>
      </c>
      <c r="F476" s="16">
        <v>1820</v>
      </c>
      <c r="G476" s="16">
        <f t="shared" si="156"/>
        <v>558</v>
      </c>
      <c r="H476" s="16"/>
      <c r="I476" s="16"/>
      <c r="J476" s="736">
        <f>D476+896</f>
        <v>45604</v>
      </c>
      <c r="K476" s="736">
        <f t="shared" si="157"/>
        <v>45136</v>
      </c>
      <c r="L476" s="46">
        <v>4000000</v>
      </c>
      <c r="M476" s="18"/>
      <c r="N476" s="46">
        <v>4000000</v>
      </c>
      <c r="O476" s="20">
        <f t="shared" si="158"/>
        <v>749095.89041095891</v>
      </c>
      <c r="P476" s="47">
        <v>0.1225</v>
      </c>
      <c r="Q476" s="919">
        <v>1.0072479999999999</v>
      </c>
      <c r="R476" s="22">
        <f t="shared" si="159"/>
        <v>4028991.9999999995</v>
      </c>
      <c r="S476" s="47">
        <v>0.1225</v>
      </c>
      <c r="T476" s="562">
        <f t="shared" si="160"/>
        <v>83232.876712328769</v>
      </c>
      <c r="U476" s="563"/>
      <c r="V476" s="29">
        <f t="shared" si="161"/>
        <v>83232.876712328769</v>
      </c>
    </row>
    <row r="477" spans="1:31" s="29" customFormat="1" ht="33" customHeight="1" x14ac:dyDescent="0.3">
      <c r="A477" s="648" t="s">
        <v>316</v>
      </c>
      <c r="B477" s="92"/>
      <c r="C477" s="554"/>
      <c r="D477" s="736">
        <v>44785</v>
      </c>
      <c r="E477" s="736">
        <v>45046</v>
      </c>
      <c r="F477" s="16">
        <v>1820</v>
      </c>
      <c r="G477" s="16">
        <f t="shared" si="156"/>
        <v>558</v>
      </c>
      <c r="H477" s="16"/>
      <c r="I477" s="16"/>
      <c r="J477" s="736">
        <f>D477+819</f>
        <v>45604</v>
      </c>
      <c r="K477" s="736">
        <f t="shared" si="157"/>
        <v>45136</v>
      </c>
      <c r="L477" s="46">
        <v>1000000</v>
      </c>
      <c r="M477" s="18"/>
      <c r="N477" s="46">
        <v>1000000</v>
      </c>
      <c r="O477" s="20">
        <f t="shared" si="158"/>
        <v>187273.97260273973</v>
      </c>
      <c r="P477" s="47">
        <v>0.1225</v>
      </c>
      <c r="Q477" s="919">
        <v>1.0072479999999999</v>
      </c>
      <c r="R477" s="22">
        <f t="shared" si="159"/>
        <v>1007247.9999999999</v>
      </c>
      <c r="S477" s="47">
        <v>0.1225</v>
      </c>
      <c r="T477" s="562">
        <f t="shared" si="160"/>
        <v>20808.219178082192</v>
      </c>
      <c r="U477" s="563"/>
      <c r="V477" s="29">
        <f t="shared" si="161"/>
        <v>20808.219178082192</v>
      </c>
    </row>
    <row r="478" spans="1:31" s="29" customFormat="1" ht="33" customHeight="1" x14ac:dyDescent="0.3">
      <c r="A478" s="648" t="s">
        <v>242</v>
      </c>
      <c r="B478" s="92"/>
      <c r="C478" s="554"/>
      <c r="D478" s="736">
        <v>44861</v>
      </c>
      <c r="E478" s="736">
        <v>45046</v>
      </c>
      <c r="F478" s="16">
        <v>1820</v>
      </c>
      <c r="G478" s="16">
        <f t="shared" si="156"/>
        <v>558</v>
      </c>
      <c r="H478" s="16"/>
      <c r="I478" s="16"/>
      <c r="J478" s="736">
        <f>D478+743</f>
        <v>45604</v>
      </c>
      <c r="K478" s="736">
        <f t="shared" si="157"/>
        <v>45136</v>
      </c>
      <c r="L478" s="46">
        <f>11000000-1000000-6000000</f>
        <v>4000000</v>
      </c>
      <c r="M478" s="18"/>
      <c r="N478" s="46">
        <v>11000000</v>
      </c>
      <c r="O478" s="20">
        <f t="shared" si="158"/>
        <v>749095.89041095891</v>
      </c>
      <c r="P478" s="47">
        <v>0.1225</v>
      </c>
      <c r="Q478" s="919">
        <v>1.0072479999999999</v>
      </c>
      <c r="R478" s="22">
        <f t="shared" si="159"/>
        <v>4028991.9999999995</v>
      </c>
      <c r="S478" s="47">
        <v>0.1225</v>
      </c>
      <c r="T478" s="562">
        <f t="shared" si="160"/>
        <v>83232.876712328769</v>
      </c>
      <c r="U478" s="563"/>
      <c r="V478" s="29">
        <f t="shared" si="161"/>
        <v>83232.876712328769</v>
      </c>
    </row>
    <row r="479" spans="1:31" s="29" customFormat="1" ht="33" customHeight="1" x14ac:dyDescent="0.3">
      <c r="A479" s="648" t="s">
        <v>258</v>
      </c>
      <c r="B479" s="92"/>
      <c r="C479" s="554"/>
      <c r="D479" s="736">
        <v>44861</v>
      </c>
      <c r="E479" s="736">
        <v>45046</v>
      </c>
      <c r="F479" s="16">
        <v>1820</v>
      </c>
      <c r="G479" s="16">
        <f t="shared" si="156"/>
        <v>558</v>
      </c>
      <c r="H479" s="16"/>
      <c r="I479" s="16"/>
      <c r="J479" s="736">
        <f>D479+743</f>
        <v>45604</v>
      </c>
      <c r="K479" s="736">
        <f t="shared" si="157"/>
        <v>45136</v>
      </c>
      <c r="L479" s="46">
        <f>4000000-1000000-1000000</f>
        <v>2000000</v>
      </c>
      <c r="M479" s="18"/>
      <c r="N479" s="46">
        <v>4000000</v>
      </c>
      <c r="O479" s="20">
        <f t="shared" si="158"/>
        <v>374547.94520547945</v>
      </c>
      <c r="P479" s="47">
        <v>0.1225</v>
      </c>
      <c r="Q479" s="919">
        <v>1.0072479999999999</v>
      </c>
      <c r="R479" s="22">
        <f t="shared" si="159"/>
        <v>2014495.9999999998</v>
      </c>
      <c r="S479" s="47">
        <v>0.1225</v>
      </c>
      <c r="T479" s="562">
        <f t="shared" si="160"/>
        <v>41616.438356164384</v>
      </c>
      <c r="U479" s="563"/>
      <c r="V479" s="29">
        <f t="shared" si="161"/>
        <v>41616.438356164384</v>
      </c>
    </row>
    <row r="480" spans="1:31" s="29" customFormat="1" ht="33" customHeight="1" x14ac:dyDescent="0.3">
      <c r="A480" s="648" t="s">
        <v>265</v>
      </c>
      <c r="B480" s="92"/>
      <c r="C480" s="554"/>
      <c r="D480" s="736">
        <v>44861</v>
      </c>
      <c r="E480" s="736">
        <v>45046</v>
      </c>
      <c r="F480" s="16">
        <v>1820</v>
      </c>
      <c r="G480" s="16">
        <f t="shared" si="156"/>
        <v>558</v>
      </c>
      <c r="H480" s="16"/>
      <c r="I480" s="16"/>
      <c r="J480" s="736">
        <f>D480+743</f>
        <v>45604</v>
      </c>
      <c r="K480" s="736">
        <f t="shared" si="157"/>
        <v>45136</v>
      </c>
      <c r="L480" s="46">
        <f>4000000-1000000</f>
        <v>3000000</v>
      </c>
      <c r="M480" s="18"/>
      <c r="N480" s="46">
        <v>4000000</v>
      </c>
      <c r="O480" s="20">
        <f t="shared" si="158"/>
        <v>561821.91780821921</v>
      </c>
      <c r="P480" s="47">
        <v>0.1225</v>
      </c>
      <c r="Q480" s="919">
        <v>1.0072479999999999</v>
      </c>
      <c r="R480" s="22">
        <f t="shared" si="159"/>
        <v>3021743.9999999995</v>
      </c>
      <c r="S480" s="47">
        <v>0.1225</v>
      </c>
      <c r="T480" s="562">
        <f t="shared" si="160"/>
        <v>62424.65753424658</v>
      </c>
      <c r="U480" s="563"/>
      <c r="V480" s="29">
        <f t="shared" si="161"/>
        <v>62424.65753424658</v>
      </c>
    </row>
    <row r="481" spans="1:31" s="29" customFormat="1" ht="33" customHeight="1" x14ac:dyDescent="0.3">
      <c r="A481" s="648" t="s">
        <v>308</v>
      </c>
      <c r="B481" s="92"/>
      <c r="C481" s="554"/>
      <c r="D481" s="736">
        <v>44861</v>
      </c>
      <c r="E481" s="736">
        <v>45046</v>
      </c>
      <c r="F481" s="16">
        <v>1820</v>
      </c>
      <c r="G481" s="16">
        <f t="shared" si="156"/>
        <v>558</v>
      </c>
      <c r="H481" s="16"/>
      <c r="I481" s="16"/>
      <c r="J481" s="736">
        <f>D481+743</f>
        <v>45604</v>
      </c>
      <c r="K481" s="736">
        <f t="shared" si="157"/>
        <v>45136</v>
      </c>
      <c r="L481" s="46">
        <f>3000000-1000000</f>
        <v>2000000</v>
      </c>
      <c r="M481" s="18"/>
      <c r="N481" s="46">
        <v>3000000</v>
      </c>
      <c r="O481" s="20">
        <f t="shared" si="158"/>
        <v>374547.94520547945</v>
      </c>
      <c r="P481" s="47">
        <v>0.1225</v>
      </c>
      <c r="Q481" s="919">
        <v>1.0072479999999999</v>
      </c>
      <c r="R481" s="22">
        <f t="shared" si="159"/>
        <v>2014495.9999999998</v>
      </c>
      <c r="S481" s="47">
        <v>0.1225</v>
      </c>
      <c r="T481" s="562">
        <f t="shared" si="160"/>
        <v>41616.438356164384</v>
      </c>
      <c r="U481" s="563"/>
      <c r="V481" s="29">
        <f t="shared" si="161"/>
        <v>41616.438356164384</v>
      </c>
    </row>
    <row r="482" spans="1:31" s="29" customFormat="1" ht="33" customHeight="1" x14ac:dyDescent="0.3">
      <c r="A482" s="648" t="s">
        <v>318</v>
      </c>
      <c r="B482" s="92"/>
      <c r="C482" s="554"/>
      <c r="D482" s="736">
        <v>44874</v>
      </c>
      <c r="E482" s="736">
        <v>45046</v>
      </c>
      <c r="F482" s="16">
        <v>1820</v>
      </c>
      <c r="G482" s="16">
        <f t="shared" ref="G482" si="162">J482-E482</f>
        <v>558</v>
      </c>
      <c r="H482" s="16"/>
      <c r="I482" s="16"/>
      <c r="J482" s="736">
        <f>D482+730</f>
        <v>45604</v>
      </c>
      <c r="K482" s="736">
        <f t="shared" si="157"/>
        <v>45136</v>
      </c>
      <c r="L482" s="46">
        <v>3000000</v>
      </c>
      <c r="M482" s="18"/>
      <c r="N482" s="46">
        <v>3000000</v>
      </c>
      <c r="O482" s="20">
        <f t="shared" ref="O482" si="163">L482*P482*G482/365</f>
        <v>561821.91780821921</v>
      </c>
      <c r="P482" s="47">
        <v>0.1225</v>
      </c>
      <c r="Q482" s="919">
        <v>1.0072479999999999</v>
      </c>
      <c r="R482" s="22">
        <f t="shared" ref="R482" si="164">+L482*Q482</f>
        <v>3021743.9999999995</v>
      </c>
      <c r="S482" s="47">
        <v>0.1225</v>
      </c>
      <c r="T482" s="562">
        <f t="shared" ref="T482" si="165">O482/G482*(T$1-E482+1)</f>
        <v>62424.65753424658</v>
      </c>
      <c r="U482" s="563"/>
      <c r="V482" s="29">
        <f t="shared" ref="V482" si="166">T482-U482</f>
        <v>62424.65753424658</v>
      </c>
    </row>
    <row r="483" spans="1:31" s="29" customFormat="1" ht="33" customHeight="1" x14ac:dyDescent="0.3">
      <c r="A483" s="648" t="s">
        <v>322</v>
      </c>
      <c r="B483" s="92"/>
      <c r="C483" s="554"/>
      <c r="D483" s="736">
        <v>44916</v>
      </c>
      <c r="E483" s="736">
        <v>45046</v>
      </c>
      <c r="F483" s="16">
        <v>1820</v>
      </c>
      <c r="G483" s="16">
        <f t="shared" ref="G483" si="167">J483-E483</f>
        <v>558</v>
      </c>
      <c r="H483" s="16"/>
      <c r="I483" s="16"/>
      <c r="J483" s="736">
        <f>D483+688</f>
        <v>45604</v>
      </c>
      <c r="K483" s="736">
        <f t="shared" ref="K483" si="168">E483+90</f>
        <v>45136</v>
      </c>
      <c r="L483" s="46">
        <v>6000000</v>
      </c>
      <c r="M483" s="18"/>
      <c r="N483" s="46">
        <v>6000000</v>
      </c>
      <c r="O483" s="20">
        <f t="shared" ref="O483" si="169">L483*P483*G483/365</f>
        <v>1123643.8356164384</v>
      </c>
      <c r="P483" s="47">
        <v>0.1225</v>
      </c>
      <c r="Q483" s="919">
        <v>1.0072479999999999</v>
      </c>
      <c r="R483" s="22">
        <f t="shared" ref="R483" si="170">+L483*Q483</f>
        <v>6043487.9999999991</v>
      </c>
      <c r="S483" s="47">
        <v>0.1225</v>
      </c>
      <c r="T483" s="562">
        <f t="shared" ref="T483" si="171">O483/G483*(T$1-E483+1)</f>
        <v>124849.31506849316</v>
      </c>
      <c r="U483" s="563"/>
      <c r="V483" s="29">
        <f t="shared" ref="V483" si="172">T483-U483</f>
        <v>124849.31506849316</v>
      </c>
    </row>
    <row r="484" spans="1:31" s="13" customFormat="1" ht="23.5" customHeight="1" x14ac:dyDescent="0.25">
      <c r="A484" s="87"/>
      <c r="B484" s="6"/>
      <c r="C484" s="6"/>
      <c r="D484" s="809"/>
      <c r="E484" s="6"/>
      <c r="F484" s="16"/>
      <c r="G484" s="16"/>
      <c r="H484" s="16"/>
      <c r="I484" s="16"/>
      <c r="J484" s="25"/>
      <c r="K484" s="25"/>
      <c r="L484" s="74"/>
      <c r="M484" s="9"/>
      <c r="N484" s="74"/>
      <c r="O484" s="20"/>
      <c r="P484" s="25"/>
      <c r="Q484" s="74"/>
      <c r="R484" s="25"/>
      <c r="S484" s="27"/>
      <c r="T484" s="98"/>
      <c r="U484" s="579"/>
      <c r="V484" s="98"/>
      <c r="Z484" s="6"/>
      <c r="AA484" s="6"/>
      <c r="AB484" s="6"/>
      <c r="AE484" s="6"/>
    </row>
    <row r="485" spans="1:31" s="81" customFormat="1" ht="23.5" customHeight="1" thickBot="1" x14ac:dyDescent="0.3">
      <c r="A485" s="91" t="s">
        <v>55</v>
      </c>
      <c r="B485" s="92"/>
      <c r="C485" s="92"/>
      <c r="D485" s="615"/>
      <c r="E485" s="77"/>
      <c r="F485" s="7"/>
      <c r="G485" s="7"/>
      <c r="H485" s="7"/>
      <c r="I485" s="7"/>
      <c r="J485" s="615"/>
      <c r="K485" s="77"/>
      <c r="L485" s="97">
        <f>SUM(L472:L484)</f>
        <v>37000000</v>
      </c>
      <c r="M485" s="97">
        <f>SUM(M472:M484)</f>
        <v>0</v>
      </c>
      <c r="N485" s="97">
        <f>SUM(N472:N484)</f>
        <v>56000000</v>
      </c>
      <c r="O485" s="97">
        <f>SUM(O472:O484)</f>
        <v>6929136.98630137</v>
      </c>
      <c r="P485" s="97"/>
      <c r="Q485" s="97"/>
      <c r="R485" s="97">
        <f>SUM(R472:R484)</f>
        <v>37268175.999999993</v>
      </c>
      <c r="S485" s="97"/>
      <c r="T485" s="97">
        <f>SUM(T472:T484)</f>
        <v>769904.10958904109</v>
      </c>
      <c r="U485" s="97"/>
      <c r="V485" s="97">
        <f>SUM(V472:V484)</f>
        <v>769904.10958904109</v>
      </c>
      <c r="W485" s="80">
        <f>T485+L485</f>
        <v>37769904.10958904</v>
      </c>
      <c r="Z485" s="82"/>
      <c r="AA485" s="82"/>
      <c r="AB485" s="82"/>
      <c r="AE485" s="82"/>
    </row>
    <row r="486" spans="1:31" s="81" customFormat="1" ht="23.5" customHeight="1" x14ac:dyDescent="0.25">
      <c r="A486" s="92"/>
      <c r="B486" s="92"/>
      <c r="C486" s="92"/>
      <c r="D486" s="77"/>
      <c r="E486" s="77"/>
      <c r="F486" s="7"/>
      <c r="G486" s="7"/>
      <c r="H486" s="7"/>
      <c r="I486" s="7"/>
      <c r="J486" s="77"/>
      <c r="K486" s="77"/>
      <c r="L486" s="57"/>
      <c r="M486" s="57"/>
      <c r="N486" s="57"/>
      <c r="O486" s="57"/>
      <c r="P486" s="57"/>
      <c r="Q486" s="57"/>
      <c r="R486" s="57"/>
      <c r="S486" s="57"/>
      <c r="T486" s="57"/>
      <c r="U486" s="564"/>
      <c r="V486" s="57"/>
      <c r="W486" s="80"/>
      <c r="Z486" s="82"/>
      <c r="AA486" s="82"/>
      <c r="AB486" s="82"/>
      <c r="AE486" s="82"/>
    </row>
    <row r="487" spans="1:31" s="81" customFormat="1" ht="23.5" customHeight="1" thickBot="1" x14ac:dyDescent="0.3">
      <c r="A487" s="60" t="s">
        <v>77</v>
      </c>
      <c r="B487" s="7"/>
      <c r="C487" s="7"/>
      <c r="D487" s="7"/>
      <c r="E487" s="7"/>
      <c r="F487" s="7"/>
      <c r="G487" s="7"/>
      <c r="H487" s="7"/>
      <c r="I487" s="7"/>
      <c r="J487" s="76"/>
      <c r="K487" s="77"/>
      <c r="L487" s="97">
        <f>L485+L470</f>
        <v>74500000</v>
      </c>
      <c r="M487" s="97">
        <f>M485+M470</f>
        <v>0</v>
      </c>
      <c r="N487" s="97">
        <f>N485+N470</f>
        <v>112500000</v>
      </c>
      <c r="O487" s="97">
        <f>O485+O470</f>
        <v>13951910.95890411</v>
      </c>
      <c r="P487" s="97"/>
      <c r="Q487" s="97"/>
      <c r="R487" s="97">
        <f>R485+R470</f>
        <v>75039975.999999985</v>
      </c>
      <c r="S487" s="97"/>
      <c r="T487" s="97">
        <f>T485+T470</f>
        <v>1550212.3287671232</v>
      </c>
      <c r="U487" s="97">
        <f>U485+U470</f>
        <v>0</v>
      </c>
      <c r="V487" s="97">
        <f>V485+V470</f>
        <v>1550212.3287671232</v>
      </c>
      <c r="W487" s="80"/>
      <c r="Z487" s="82"/>
      <c r="AA487" s="82"/>
      <c r="AB487" s="82"/>
      <c r="AE487" s="82"/>
    </row>
    <row r="488" spans="1:31" s="29" customFormat="1" ht="33" customHeight="1" thickBot="1" x14ac:dyDescent="0.3">
      <c r="A488" s="85" t="s">
        <v>135</v>
      </c>
      <c r="B488" s="86"/>
      <c r="C488" s="92"/>
      <c r="D488" s="736"/>
      <c r="E488" s="736"/>
      <c r="F488" s="16"/>
      <c r="G488" s="16"/>
      <c r="H488" s="16"/>
      <c r="I488" s="16"/>
      <c r="J488" s="736"/>
      <c r="K488" s="736"/>
      <c r="L488" s="46"/>
      <c r="M488" s="18"/>
      <c r="N488" s="46"/>
      <c r="O488" s="20"/>
      <c r="P488" s="47"/>
      <c r="Q488" s="47"/>
      <c r="R488" s="19"/>
      <c r="S488" s="47"/>
      <c r="T488" s="801"/>
      <c r="U488" s="563"/>
      <c r="V488" s="90"/>
      <c r="W488" s="13"/>
      <c r="Z488" s="30"/>
      <c r="AA488" s="30"/>
      <c r="AB488" s="30"/>
      <c r="AE488" s="30"/>
    </row>
    <row r="489" spans="1:31" s="29" customFormat="1" ht="33" customHeight="1" x14ac:dyDescent="0.3">
      <c r="A489" s="648"/>
      <c r="B489" s="92"/>
      <c r="C489" s="554"/>
      <c r="D489" s="736"/>
      <c r="E489" s="736"/>
      <c r="F489" s="16"/>
      <c r="G489" s="16"/>
      <c r="H489" s="16"/>
      <c r="I489" s="16"/>
      <c r="J489" s="736"/>
      <c r="K489" s="736"/>
      <c r="L489" s="46"/>
      <c r="M489" s="18"/>
      <c r="N489" s="46"/>
      <c r="O489" s="20"/>
      <c r="P489" s="47"/>
      <c r="Q489" s="48"/>
      <c r="R489" s="22"/>
      <c r="S489" s="47"/>
      <c r="T489" s="562"/>
      <c r="U489" s="563"/>
    </row>
    <row r="490" spans="1:31" s="29" customFormat="1" ht="33" customHeight="1" x14ac:dyDescent="0.3">
      <c r="A490" s="648"/>
      <c r="B490" s="92"/>
      <c r="C490" s="554"/>
      <c r="D490" s="736"/>
      <c r="E490" s="736"/>
      <c r="F490" s="16"/>
      <c r="G490" s="16"/>
      <c r="H490" s="16"/>
      <c r="I490" s="16"/>
      <c r="J490" s="736"/>
      <c r="K490" s="736"/>
      <c r="L490" s="46"/>
      <c r="M490" s="18"/>
      <c r="N490" s="46"/>
      <c r="O490" s="20"/>
      <c r="P490" s="47"/>
      <c r="Q490" s="48"/>
      <c r="R490" s="22"/>
      <c r="S490" s="47"/>
      <c r="T490" s="562"/>
      <c r="U490" s="563"/>
    </row>
    <row r="491" spans="1:31" s="29" customFormat="1" ht="33" customHeight="1" x14ac:dyDescent="0.3">
      <c r="A491" s="648" t="s">
        <v>213</v>
      </c>
      <c r="B491" s="92"/>
      <c r="C491" s="554"/>
      <c r="D491" s="736">
        <v>43777</v>
      </c>
      <c r="E491" s="736">
        <v>44866</v>
      </c>
      <c r="F491" s="16">
        <v>1820</v>
      </c>
      <c r="G491" s="16">
        <f t="shared" ref="G491:G514" si="173">J491-E491</f>
        <v>738</v>
      </c>
      <c r="H491" s="16"/>
      <c r="I491" s="16"/>
      <c r="J491" s="736">
        <f>D491+1827</f>
        <v>45604</v>
      </c>
      <c r="K491" s="736">
        <f t="shared" ref="K491:K514" si="174">E491+90</f>
        <v>44956</v>
      </c>
      <c r="L491" s="46">
        <f>9000000-8000000</f>
        <v>1000000</v>
      </c>
      <c r="M491" s="18"/>
      <c r="N491" s="46">
        <v>9000000</v>
      </c>
      <c r="O491" s="20">
        <f t="shared" ref="O491:O514" si="175">L491*P491*G491/365</f>
        <v>247684.9315068493</v>
      </c>
      <c r="P491" s="47">
        <v>0.1225</v>
      </c>
      <c r="Q491" s="48">
        <v>1</v>
      </c>
      <c r="R491" s="22">
        <f t="shared" ref="R491:R514" si="176">+L491*Q491</f>
        <v>1000000</v>
      </c>
      <c r="S491" s="47">
        <v>0.1225</v>
      </c>
      <c r="T491" s="562">
        <v>30205.479452054791</v>
      </c>
      <c r="U491" s="563">
        <v>20472.602739726026</v>
      </c>
      <c r="V491" s="29">
        <f t="shared" ref="V491:V514" si="177">T491-U491</f>
        <v>9732.8767123287653</v>
      </c>
    </row>
    <row r="492" spans="1:31" s="29" customFormat="1" ht="33" customHeight="1" x14ac:dyDescent="0.3">
      <c r="A492" s="648" t="s">
        <v>276</v>
      </c>
      <c r="B492" s="92"/>
      <c r="C492" s="554"/>
      <c r="D492" s="736">
        <v>44344</v>
      </c>
      <c r="E492" s="736">
        <v>44866</v>
      </c>
      <c r="F492" s="16">
        <v>1820</v>
      </c>
      <c r="G492" s="16">
        <f t="shared" si="173"/>
        <v>738</v>
      </c>
      <c r="H492" s="16"/>
      <c r="I492" s="16"/>
      <c r="J492" s="736">
        <f>D492+1260</f>
        <v>45604</v>
      </c>
      <c r="K492" s="736">
        <f t="shared" si="174"/>
        <v>44956</v>
      </c>
      <c r="L492" s="46">
        <v>2000000</v>
      </c>
      <c r="M492" s="18"/>
      <c r="N492" s="46">
        <v>2000000</v>
      </c>
      <c r="O492" s="20">
        <f t="shared" si="175"/>
        <v>495369.8630136986</v>
      </c>
      <c r="P492" s="47">
        <v>0.1225</v>
      </c>
      <c r="Q492" s="48">
        <v>1</v>
      </c>
      <c r="R492" s="22">
        <f t="shared" si="176"/>
        <v>2000000</v>
      </c>
      <c r="S492" s="47">
        <v>0.1225</v>
      </c>
      <c r="T492" s="562">
        <v>60410.958904109582</v>
      </c>
      <c r="U492" s="563">
        <v>40945.205479452052</v>
      </c>
      <c r="V492" s="29">
        <f t="shared" si="177"/>
        <v>19465.753424657531</v>
      </c>
    </row>
    <row r="493" spans="1:31" s="29" customFormat="1" ht="33" customHeight="1" x14ac:dyDescent="0.3">
      <c r="A493" s="676" t="s">
        <v>280</v>
      </c>
      <c r="B493" s="92"/>
      <c r="C493" s="554"/>
      <c r="D493" s="736">
        <v>44386</v>
      </c>
      <c r="E493" s="736">
        <v>44866</v>
      </c>
      <c r="F493" s="16">
        <v>1820</v>
      </c>
      <c r="G493" s="16">
        <f t="shared" si="173"/>
        <v>738</v>
      </c>
      <c r="H493" s="16"/>
      <c r="I493" s="16"/>
      <c r="J493" s="736">
        <f>D493+1218</f>
        <v>45604</v>
      </c>
      <c r="K493" s="736">
        <f t="shared" si="174"/>
        <v>44956</v>
      </c>
      <c r="L493" s="46">
        <v>1000000</v>
      </c>
      <c r="M493" s="18"/>
      <c r="N493" s="46">
        <v>1000000</v>
      </c>
      <c r="O493" s="20">
        <f t="shared" si="175"/>
        <v>247684.9315068493</v>
      </c>
      <c r="P493" s="47">
        <v>0.1225</v>
      </c>
      <c r="Q493" s="48">
        <v>1</v>
      </c>
      <c r="R493" s="22">
        <f t="shared" si="176"/>
        <v>1000000</v>
      </c>
      <c r="S493" s="47">
        <v>0.1225</v>
      </c>
      <c r="T493" s="562">
        <v>30205.479452054791</v>
      </c>
      <c r="U493" s="563">
        <v>20472.602739726026</v>
      </c>
      <c r="V493" s="29">
        <f t="shared" si="177"/>
        <v>9732.8767123287653</v>
      </c>
    </row>
    <row r="494" spans="1:31" s="29" customFormat="1" ht="33" customHeight="1" x14ac:dyDescent="0.3">
      <c r="A494" s="676" t="s">
        <v>295</v>
      </c>
      <c r="B494" s="92"/>
      <c r="C494" s="554"/>
      <c r="D494" s="736">
        <v>44477</v>
      </c>
      <c r="E494" s="736">
        <v>44866</v>
      </c>
      <c r="F494" s="16">
        <v>1820</v>
      </c>
      <c r="G494" s="16">
        <f t="shared" si="173"/>
        <v>738</v>
      </c>
      <c r="H494" s="16"/>
      <c r="I494" s="16"/>
      <c r="J494" s="736">
        <f>D494+1127</f>
        <v>45604</v>
      </c>
      <c r="K494" s="736">
        <f t="shared" si="174"/>
        <v>44956</v>
      </c>
      <c r="L494" s="46">
        <v>8000000</v>
      </c>
      <c r="M494" s="18"/>
      <c r="N494" s="46">
        <v>8000000</v>
      </c>
      <c r="O494" s="20">
        <f t="shared" si="175"/>
        <v>1981479.4520547944</v>
      </c>
      <c r="P494" s="47">
        <v>0.1225</v>
      </c>
      <c r="Q494" s="48">
        <v>1</v>
      </c>
      <c r="R494" s="22">
        <f t="shared" si="176"/>
        <v>8000000</v>
      </c>
      <c r="S494" s="47">
        <v>0.1225</v>
      </c>
      <c r="T494" s="562">
        <v>241643.83561643833</v>
      </c>
      <c r="U494" s="563">
        <v>163780.82191780821</v>
      </c>
      <c r="V494" s="29">
        <f t="shared" si="177"/>
        <v>77863.013698630122</v>
      </c>
    </row>
    <row r="495" spans="1:31" s="29" customFormat="1" ht="33" customHeight="1" x14ac:dyDescent="0.3">
      <c r="A495" s="648" t="s">
        <v>311</v>
      </c>
      <c r="B495" s="92"/>
      <c r="C495" s="554"/>
      <c r="D495" s="736">
        <v>44708</v>
      </c>
      <c r="E495" s="736">
        <v>44866</v>
      </c>
      <c r="F495" s="16">
        <v>1820</v>
      </c>
      <c r="G495" s="16">
        <f t="shared" si="173"/>
        <v>738</v>
      </c>
      <c r="H495" s="16"/>
      <c r="I495" s="16"/>
      <c r="J495" s="736">
        <f>D495+896</f>
        <v>45604</v>
      </c>
      <c r="K495" s="736">
        <f t="shared" si="174"/>
        <v>44956</v>
      </c>
      <c r="L495" s="46">
        <v>4000000</v>
      </c>
      <c r="M495" s="18"/>
      <c r="N495" s="46">
        <v>4000000</v>
      </c>
      <c r="O495" s="20">
        <f t="shared" si="175"/>
        <v>990739.72602739721</v>
      </c>
      <c r="P495" s="47">
        <v>0.1225</v>
      </c>
      <c r="Q495" s="48">
        <v>1</v>
      </c>
      <c r="R495" s="22">
        <f t="shared" si="176"/>
        <v>4000000</v>
      </c>
      <c r="S495" s="47">
        <v>0.1225</v>
      </c>
      <c r="T495" s="562">
        <v>120821.91780821916</v>
      </c>
      <c r="U495" s="563">
        <v>81890.410958904104</v>
      </c>
      <c r="V495" s="29">
        <f t="shared" si="177"/>
        <v>38931.506849315061</v>
      </c>
    </row>
    <row r="496" spans="1:31" s="29" customFormat="1" ht="33" customHeight="1" x14ac:dyDescent="0.3">
      <c r="A496" s="648" t="s">
        <v>315</v>
      </c>
      <c r="B496" s="92"/>
      <c r="C496" s="554"/>
      <c r="D496" s="736">
        <v>44785</v>
      </c>
      <c r="E496" s="736">
        <v>44866</v>
      </c>
      <c r="F496" s="16">
        <v>1820</v>
      </c>
      <c r="G496" s="16">
        <f t="shared" si="173"/>
        <v>738</v>
      </c>
      <c r="H496" s="16"/>
      <c r="I496" s="16"/>
      <c r="J496" s="736">
        <f>D496+819</f>
        <v>45604</v>
      </c>
      <c r="K496" s="736">
        <f t="shared" si="174"/>
        <v>44956</v>
      </c>
      <c r="L496" s="46">
        <v>1500000</v>
      </c>
      <c r="M496" s="18"/>
      <c r="N496" s="46">
        <v>1500000</v>
      </c>
      <c r="O496" s="20">
        <f t="shared" si="175"/>
        <v>371527.39726027398</v>
      </c>
      <c r="P496" s="47">
        <v>0.1225</v>
      </c>
      <c r="Q496" s="48">
        <v>1</v>
      </c>
      <c r="R496" s="22">
        <f t="shared" si="176"/>
        <v>1500000</v>
      </c>
      <c r="S496" s="47">
        <v>0.1225</v>
      </c>
      <c r="T496" s="562">
        <v>45308.219178082196</v>
      </c>
      <c r="U496" s="563">
        <v>30708.904109589042</v>
      </c>
      <c r="V496" s="29">
        <f t="shared" si="177"/>
        <v>14599.315068493153</v>
      </c>
    </row>
    <row r="497" spans="1:22" s="29" customFormat="1" ht="33" customHeight="1" x14ac:dyDescent="0.3">
      <c r="A497" s="648" t="s">
        <v>241</v>
      </c>
      <c r="B497" s="92"/>
      <c r="C497" s="554"/>
      <c r="D497" s="736">
        <v>44861</v>
      </c>
      <c r="E497" s="736">
        <v>44866</v>
      </c>
      <c r="F497" s="16">
        <v>1820</v>
      </c>
      <c r="G497" s="16">
        <f t="shared" si="173"/>
        <v>738</v>
      </c>
      <c r="H497" s="16"/>
      <c r="I497" s="16"/>
      <c r="J497" s="736">
        <f>D497+743</f>
        <v>45604</v>
      </c>
      <c r="K497" s="736">
        <f t="shared" si="174"/>
        <v>44956</v>
      </c>
      <c r="L497" s="46">
        <f>11000000-1000000-6000000</f>
        <v>4000000</v>
      </c>
      <c r="M497" s="18"/>
      <c r="N497" s="46">
        <v>11000000</v>
      </c>
      <c r="O497" s="20">
        <f t="shared" si="175"/>
        <v>990739.72602739721</v>
      </c>
      <c r="P497" s="47">
        <v>0.1225</v>
      </c>
      <c r="Q497" s="48">
        <v>1</v>
      </c>
      <c r="R497" s="22">
        <f t="shared" si="176"/>
        <v>4000000</v>
      </c>
      <c r="S497" s="47">
        <v>0.1225</v>
      </c>
      <c r="T497" s="562">
        <v>120821.91780821916</v>
      </c>
      <c r="U497" s="563">
        <v>81890.410958904104</v>
      </c>
      <c r="V497" s="29">
        <f t="shared" si="177"/>
        <v>38931.506849315061</v>
      </c>
    </row>
    <row r="498" spans="1:22" s="29" customFormat="1" ht="33" customHeight="1" x14ac:dyDescent="0.3">
      <c r="A498" s="648" t="s">
        <v>259</v>
      </c>
      <c r="B498" s="92"/>
      <c r="C498" s="554"/>
      <c r="D498" s="736">
        <v>44861</v>
      </c>
      <c r="E498" s="736">
        <v>44866</v>
      </c>
      <c r="F498" s="16">
        <v>1820</v>
      </c>
      <c r="G498" s="16">
        <f t="shared" si="173"/>
        <v>738</v>
      </c>
      <c r="H498" s="16"/>
      <c r="I498" s="16"/>
      <c r="J498" s="736">
        <f>D498+743</f>
        <v>45604</v>
      </c>
      <c r="K498" s="736">
        <f t="shared" si="174"/>
        <v>44956</v>
      </c>
      <c r="L498" s="46">
        <f>4000000-1000000-1000000</f>
        <v>2000000</v>
      </c>
      <c r="M498" s="18"/>
      <c r="N498" s="46">
        <v>4000000</v>
      </c>
      <c r="O498" s="20">
        <f t="shared" si="175"/>
        <v>495369.8630136986</v>
      </c>
      <c r="P498" s="47">
        <v>0.1225</v>
      </c>
      <c r="Q498" s="48">
        <v>1</v>
      </c>
      <c r="R498" s="22">
        <f t="shared" si="176"/>
        <v>2000000</v>
      </c>
      <c r="S498" s="47">
        <v>0.1225</v>
      </c>
      <c r="T498" s="562">
        <v>60410.958904109582</v>
      </c>
      <c r="U498" s="563">
        <v>40945.205479452052</v>
      </c>
      <c r="V498" s="29">
        <f t="shared" si="177"/>
        <v>19465.753424657531</v>
      </c>
    </row>
    <row r="499" spans="1:22" s="29" customFormat="1" ht="33" customHeight="1" x14ac:dyDescent="0.3">
      <c r="A499" s="648" t="s">
        <v>264</v>
      </c>
      <c r="B499" s="92"/>
      <c r="C499" s="554"/>
      <c r="D499" s="736">
        <v>44861</v>
      </c>
      <c r="E499" s="736">
        <v>44866</v>
      </c>
      <c r="F499" s="16">
        <v>1820</v>
      </c>
      <c r="G499" s="16">
        <f t="shared" si="173"/>
        <v>738</v>
      </c>
      <c r="H499" s="16"/>
      <c r="I499" s="16"/>
      <c r="J499" s="736">
        <f>D499+743</f>
        <v>45604</v>
      </c>
      <c r="K499" s="736">
        <f t="shared" si="174"/>
        <v>44956</v>
      </c>
      <c r="L499" s="46">
        <f>4000000-1000000</f>
        <v>3000000</v>
      </c>
      <c r="M499" s="18"/>
      <c r="N499" s="46">
        <v>4000000</v>
      </c>
      <c r="O499" s="20">
        <f t="shared" si="175"/>
        <v>743054.79452054796</v>
      </c>
      <c r="P499" s="47">
        <v>0.1225</v>
      </c>
      <c r="Q499" s="48">
        <v>1</v>
      </c>
      <c r="R499" s="22">
        <f t="shared" si="176"/>
        <v>3000000</v>
      </c>
      <c r="S499" s="47">
        <v>0.1225</v>
      </c>
      <c r="T499" s="562">
        <v>90616.438356164392</v>
      </c>
      <c r="U499" s="563">
        <v>61417.808219178085</v>
      </c>
      <c r="V499" s="29">
        <f t="shared" si="177"/>
        <v>29198.630136986307</v>
      </c>
    </row>
    <row r="500" spans="1:22" s="29" customFormat="1" ht="33" customHeight="1" x14ac:dyDescent="0.3">
      <c r="A500" s="648" t="s">
        <v>307</v>
      </c>
      <c r="B500" s="92"/>
      <c r="C500" s="554"/>
      <c r="D500" s="736">
        <v>44861</v>
      </c>
      <c r="E500" s="736">
        <v>44866</v>
      </c>
      <c r="F500" s="16">
        <v>1820</v>
      </c>
      <c r="G500" s="16">
        <f t="shared" si="173"/>
        <v>738</v>
      </c>
      <c r="H500" s="16"/>
      <c r="I500" s="16"/>
      <c r="J500" s="736">
        <f>D500+743</f>
        <v>45604</v>
      </c>
      <c r="K500" s="736">
        <f t="shared" si="174"/>
        <v>44956</v>
      </c>
      <c r="L500" s="46">
        <f>3000000-1000000</f>
        <v>2000000</v>
      </c>
      <c r="M500" s="18"/>
      <c r="N500" s="46">
        <v>3000000</v>
      </c>
      <c r="O500" s="20">
        <f t="shared" si="175"/>
        <v>495369.8630136986</v>
      </c>
      <c r="P500" s="47">
        <v>0.1225</v>
      </c>
      <c r="Q500" s="48">
        <v>1</v>
      </c>
      <c r="R500" s="22">
        <f t="shared" si="176"/>
        <v>2000000</v>
      </c>
      <c r="S500" s="47">
        <v>0.1225</v>
      </c>
      <c r="T500" s="562">
        <v>60410.958904109582</v>
      </c>
      <c r="U500" s="563">
        <v>40945.205479452052</v>
      </c>
      <c r="V500" s="29">
        <f t="shared" si="177"/>
        <v>19465.753424657531</v>
      </c>
    </row>
    <row r="501" spans="1:22" s="29" customFormat="1" ht="33" customHeight="1" x14ac:dyDescent="0.3">
      <c r="A501" s="648" t="s">
        <v>319</v>
      </c>
      <c r="B501" s="92"/>
      <c r="C501" s="554"/>
      <c r="D501" s="736">
        <v>44874</v>
      </c>
      <c r="E501" s="736">
        <v>44874</v>
      </c>
      <c r="F501" s="16">
        <v>1820</v>
      </c>
      <c r="G501" s="16">
        <f t="shared" si="173"/>
        <v>730</v>
      </c>
      <c r="H501" s="16"/>
      <c r="I501" s="16"/>
      <c r="J501" s="736">
        <f>D501+730</f>
        <v>45604</v>
      </c>
      <c r="K501" s="736">
        <f t="shared" si="174"/>
        <v>44964</v>
      </c>
      <c r="L501" s="46">
        <v>3000000</v>
      </c>
      <c r="M501" s="18"/>
      <c r="N501" s="46">
        <v>3000000</v>
      </c>
      <c r="O501" s="20">
        <f t="shared" si="175"/>
        <v>735000</v>
      </c>
      <c r="P501" s="47">
        <v>0.1225</v>
      </c>
      <c r="Q501" s="48">
        <v>1</v>
      </c>
      <c r="R501" s="22">
        <f t="shared" si="176"/>
        <v>3000000</v>
      </c>
      <c r="S501" s="47">
        <v>0.1225</v>
      </c>
      <c r="T501" s="562">
        <v>82561.643835616444</v>
      </c>
      <c r="U501" s="563">
        <v>53363.013698630137</v>
      </c>
      <c r="V501" s="29">
        <f t="shared" si="177"/>
        <v>29198.630136986307</v>
      </c>
    </row>
    <row r="502" spans="1:22" s="29" customFormat="1" ht="33" customHeight="1" x14ac:dyDescent="0.3">
      <c r="A502" s="648" t="s">
        <v>321</v>
      </c>
      <c r="B502" s="92"/>
      <c r="C502" s="554"/>
      <c r="D502" s="736">
        <v>44916</v>
      </c>
      <c r="E502" s="736">
        <v>44916</v>
      </c>
      <c r="F502" s="16">
        <v>1820</v>
      </c>
      <c r="G502" s="16">
        <f t="shared" si="173"/>
        <v>688</v>
      </c>
      <c r="H502" s="16"/>
      <c r="I502" s="16"/>
      <c r="J502" s="736">
        <f>D502+688</f>
        <v>45604</v>
      </c>
      <c r="K502" s="736">
        <f t="shared" si="174"/>
        <v>45006</v>
      </c>
      <c r="L502" s="46">
        <v>6000000</v>
      </c>
      <c r="M502" s="18"/>
      <c r="N502" s="46">
        <v>6000000</v>
      </c>
      <c r="O502" s="20">
        <f t="shared" si="175"/>
        <v>1385424.6575342466</v>
      </c>
      <c r="P502" s="47">
        <v>0.1225</v>
      </c>
      <c r="Q502" s="48">
        <v>1</v>
      </c>
      <c r="R502" s="22">
        <f t="shared" si="176"/>
        <v>6000000</v>
      </c>
      <c r="S502" s="47">
        <v>0.1225</v>
      </c>
      <c r="T502" s="562">
        <f>80547.9452054795+46314.25</f>
        <v>126862.1952054795</v>
      </c>
      <c r="U502" s="563">
        <v>22150.68493150685</v>
      </c>
      <c r="V502" s="29">
        <f t="shared" si="177"/>
        <v>104711.51027397264</v>
      </c>
    </row>
    <row r="503" spans="1:22" s="29" customFormat="1" ht="33" customHeight="1" x14ac:dyDescent="0.3">
      <c r="A503" s="648" t="s">
        <v>213</v>
      </c>
      <c r="B503" s="92"/>
      <c r="C503" s="554"/>
      <c r="D503" s="736">
        <v>43777</v>
      </c>
      <c r="E503" s="736">
        <v>44956</v>
      </c>
      <c r="F503" s="16">
        <v>1820</v>
      </c>
      <c r="G503" s="16">
        <f t="shared" si="173"/>
        <v>648</v>
      </c>
      <c r="H503" s="16"/>
      <c r="I503" s="16"/>
      <c r="J503" s="736">
        <f>D503+1827</f>
        <v>45604</v>
      </c>
      <c r="K503" s="736">
        <f t="shared" si="174"/>
        <v>45046</v>
      </c>
      <c r="L503" s="46">
        <f>9000000-8000000</f>
        <v>1000000</v>
      </c>
      <c r="M503" s="18"/>
      <c r="N503" s="46">
        <v>9000000</v>
      </c>
      <c r="O503" s="20">
        <f t="shared" si="175"/>
        <v>217479.45205479453</v>
      </c>
      <c r="P503" s="47">
        <v>0.1225</v>
      </c>
      <c r="Q503" s="48">
        <v>1</v>
      </c>
      <c r="R503" s="22">
        <f t="shared" si="176"/>
        <v>1000000</v>
      </c>
      <c r="S503" s="47">
        <v>0.1225</v>
      </c>
      <c r="T503" s="562">
        <v>30205.479452054795</v>
      </c>
      <c r="U503" s="563"/>
      <c r="V503" s="29">
        <f t="shared" si="177"/>
        <v>30205.479452054795</v>
      </c>
    </row>
    <row r="504" spans="1:22" s="29" customFormat="1" ht="33" customHeight="1" x14ac:dyDescent="0.3">
      <c r="A504" s="648" t="s">
        <v>276</v>
      </c>
      <c r="B504" s="92"/>
      <c r="C504" s="554"/>
      <c r="D504" s="736">
        <v>44344</v>
      </c>
      <c r="E504" s="736">
        <v>44956</v>
      </c>
      <c r="F504" s="16">
        <v>1820</v>
      </c>
      <c r="G504" s="16">
        <f t="shared" si="173"/>
        <v>648</v>
      </c>
      <c r="H504" s="16"/>
      <c r="I504" s="16"/>
      <c r="J504" s="736">
        <f>D504+1260</f>
        <v>45604</v>
      </c>
      <c r="K504" s="736">
        <f t="shared" si="174"/>
        <v>45046</v>
      </c>
      <c r="L504" s="46">
        <v>2000000</v>
      </c>
      <c r="M504" s="18"/>
      <c r="N504" s="46">
        <v>2000000</v>
      </c>
      <c r="O504" s="20">
        <f t="shared" si="175"/>
        <v>434958.90410958906</v>
      </c>
      <c r="P504" s="47">
        <v>0.1225</v>
      </c>
      <c r="Q504" s="48">
        <v>1</v>
      </c>
      <c r="R504" s="22">
        <f t="shared" si="176"/>
        <v>2000000</v>
      </c>
      <c r="S504" s="47">
        <v>0.1225</v>
      </c>
      <c r="T504" s="562">
        <v>60410.95890410959</v>
      </c>
      <c r="U504" s="563"/>
      <c r="V504" s="29">
        <f t="shared" si="177"/>
        <v>60410.95890410959</v>
      </c>
    </row>
    <row r="505" spans="1:22" s="29" customFormat="1" ht="33" customHeight="1" x14ac:dyDescent="0.3">
      <c r="A505" s="676" t="s">
        <v>280</v>
      </c>
      <c r="B505" s="92"/>
      <c r="C505" s="554"/>
      <c r="D505" s="736">
        <v>44386</v>
      </c>
      <c r="E505" s="736">
        <v>44956</v>
      </c>
      <c r="F505" s="16">
        <v>1820</v>
      </c>
      <c r="G505" s="16">
        <f t="shared" si="173"/>
        <v>648</v>
      </c>
      <c r="H505" s="16"/>
      <c r="I505" s="16"/>
      <c r="J505" s="736">
        <f>D505+1218</f>
        <v>45604</v>
      </c>
      <c r="K505" s="736">
        <f t="shared" si="174"/>
        <v>45046</v>
      </c>
      <c r="L505" s="46">
        <v>1000000</v>
      </c>
      <c r="M505" s="18"/>
      <c r="N505" s="46">
        <v>1000000</v>
      </c>
      <c r="O505" s="20">
        <f t="shared" si="175"/>
        <v>217479.45205479453</v>
      </c>
      <c r="P505" s="47">
        <v>0.1225</v>
      </c>
      <c r="Q505" s="48">
        <v>1</v>
      </c>
      <c r="R505" s="22">
        <f t="shared" si="176"/>
        <v>1000000</v>
      </c>
      <c r="S505" s="47">
        <v>0.1225</v>
      </c>
      <c r="T505" s="562">
        <v>30205.479452054795</v>
      </c>
      <c r="U505" s="563"/>
      <c r="V505" s="29">
        <f t="shared" si="177"/>
        <v>30205.479452054795</v>
      </c>
    </row>
    <row r="506" spans="1:22" s="29" customFormat="1" ht="33" customHeight="1" x14ac:dyDescent="0.3">
      <c r="A506" s="676" t="s">
        <v>295</v>
      </c>
      <c r="B506" s="92"/>
      <c r="C506" s="554"/>
      <c r="D506" s="736">
        <v>44477</v>
      </c>
      <c r="E506" s="736">
        <v>44956</v>
      </c>
      <c r="F506" s="16">
        <v>1820</v>
      </c>
      <c r="G506" s="16">
        <f t="shared" si="173"/>
        <v>648</v>
      </c>
      <c r="H506" s="16"/>
      <c r="I506" s="16"/>
      <c r="J506" s="736">
        <f>D506+1127</f>
        <v>45604</v>
      </c>
      <c r="K506" s="736">
        <f t="shared" si="174"/>
        <v>45046</v>
      </c>
      <c r="L506" s="46">
        <v>8000000</v>
      </c>
      <c r="M506" s="18"/>
      <c r="N506" s="46">
        <v>8000000</v>
      </c>
      <c r="O506" s="20">
        <f t="shared" si="175"/>
        <v>1739835.6164383562</v>
      </c>
      <c r="P506" s="47">
        <v>0.1225</v>
      </c>
      <c r="Q506" s="48">
        <v>1</v>
      </c>
      <c r="R506" s="22">
        <f t="shared" si="176"/>
        <v>8000000</v>
      </c>
      <c r="S506" s="47">
        <v>0.1225</v>
      </c>
      <c r="T506" s="562">
        <v>241643.83561643836</v>
      </c>
      <c r="U506" s="563"/>
      <c r="V506" s="29">
        <f t="shared" si="177"/>
        <v>241643.83561643836</v>
      </c>
    </row>
    <row r="507" spans="1:22" s="29" customFormat="1" ht="33" customHeight="1" x14ac:dyDescent="0.3">
      <c r="A507" s="648" t="s">
        <v>311</v>
      </c>
      <c r="B507" s="92"/>
      <c r="C507" s="554"/>
      <c r="D507" s="736">
        <v>44708</v>
      </c>
      <c r="E507" s="736">
        <v>44956</v>
      </c>
      <c r="F507" s="16">
        <v>1820</v>
      </c>
      <c r="G507" s="16">
        <f t="shared" si="173"/>
        <v>648</v>
      </c>
      <c r="H507" s="16"/>
      <c r="I507" s="16"/>
      <c r="J507" s="736">
        <f>D507+896</f>
        <v>45604</v>
      </c>
      <c r="K507" s="736">
        <f t="shared" si="174"/>
        <v>45046</v>
      </c>
      <c r="L507" s="46">
        <v>4000000</v>
      </c>
      <c r="M507" s="18"/>
      <c r="N507" s="46">
        <v>4000000</v>
      </c>
      <c r="O507" s="20">
        <f t="shared" si="175"/>
        <v>869917.80821917811</v>
      </c>
      <c r="P507" s="47">
        <v>0.1225</v>
      </c>
      <c r="Q507" s="48">
        <v>1</v>
      </c>
      <c r="R507" s="22">
        <f t="shared" si="176"/>
        <v>4000000</v>
      </c>
      <c r="S507" s="47">
        <v>0.1225</v>
      </c>
      <c r="T507" s="562">
        <v>120821.91780821918</v>
      </c>
      <c r="U507" s="563"/>
      <c r="V507" s="29">
        <f t="shared" si="177"/>
        <v>120821.91780821918</v>
      </c>
    </row>
    <row r="508" spans="1:22" s="29" customFormat="1" ht="33" customHeight="1" x14ac:dyDescent="0.3">
      <c r="A508" s="648" t="s">
        <v>315</v>
      </c>
      <c r="B508" s="92"/>
      <c r="C508" s="554"/>
      <c r="D508" s="736">
        <v>44785</v>
      </c>
      <c r="E508" s="736">
        <v>44956</v>
      </c>
      <c r="F508" s="16">
        <v>1820</v>
      </c>
      <c r="G508" s="16">
        <f t="shared" si="173"/>
        <v>648</v>
      </c>
      <c r="H508" s="16"/>
      <c r="I508" s="16"/>
      <c r="J508" s="736">
        <f>D508+819</f>
        <v>45604</v>
      </c>
      <c r="K508" s="736">
        <f t="shared" si="174"/>
        <v>45046</v>
      </c>
      <c r="L508" s="46">
        <v>1500000</v>
      </c>
      <c r="M508" s="18"/>
      <c r="N508" s="46">
        <v>1500000</v>
      </c>
      <c r="O508" s="20">
        <f t="shared" si="175"/>
        <v>326219.17808219179</v>
      </c>
      <c r="P508" s="47">
        <v>0.1225</v>
      </c>
      <c r="Q508" s="48">
        <v>1</v>
      </c>
      <c r="R508" s="22">
        <f t="shared" si="176"/>
        <v>1500000</v>
      </c>
      <c r="S508" s="47">
        <v>0.1225</v>
      </c>
      <c r="T508" s="562">
        <v>45308.219178082196</v>
      </c>
      <c r="U508" s="563"/>
      <c r="V508" s="29">
        <f t="shared" si="177"/>
        <v>45308.219178082196</v>
      </c>
    </row>
    <row r="509" spans="1:22" s="29" customFormat="1" ht="33" customHeight="1" x14ac:dyDescent="0.3">
      <c r="A509" s="648" t="s">
        <v>241</v>
      </c>
      <c r="B509" s="92"/>
      <c r="C509" s="554"/>
      <c r="D509" s="736">
        <v>44861</v>
      </c>
      <c r="E509" s="736">
        <v>44956</v>
      </c>
      <c r="F509" s="16">
        <v>1820</v>
      </c>
      <c r="G509" s="16">
        <f t="shared" si="173"/>
        <v>648</v>
      </c>
      <c r="H509" s="16"/>
      <c r="I509" s="16"/>
      <c r="J509" s="736">
        <f>D509+743</f>
        <v>45604</v>
      </c>
      <c r="K509" s="736">
        <f t="shared" si="174"/>
        <v>45046</v>
      </c>
      <c r="L509" s="46">
        <f>11000000-1000000-6000000</f>
        <v>4000000</v>
      </c>
      <c r="M509" s="18"/>
      <c r="N509" s="46">
        <v>11000000</v>
      </c>
      <c r="O509" s="20">
        <f t="shared" si="175"/>
        <v>869917.80821917811</v>
      </c>
      <c r="P509" s="47">
        <v>0.1225</v>
      </c>
      <c r="Q509" s="48">
        <v>1</v>
      </c>
      <c r="R509" s="22">
        <f t="shared" si="176"/>
        <v>4000000</v>
      </c>
      <c r="S509" s="47">
        <v>0.1225</v>
      </c>
      <c r="T509" s="562">
        <v>120821.91780821918</v>
      </c>
      <c r="U509" s="563"/>
      <c r="V509" s="29">
        <f t="shared" si="177"/>
        <v>120821.91780821918</v>
      </c>
    </row>
    <row r="510" spans="1:22" s="29" customFormat="1" ht="33" customHeight="1" x14ac:dyDescent="0.3">
      <c r="A510" s="648" t="s">
        <v>259</v>
      </c>
      <c r="B510" s="92"/>
      <c r="C510" s="554"/>
      <c r="D510" s="736">
        <v>44861</v>
      </c>
      <c r="E510" s="736">
        <v>44956</v>
      </c>
      <c r="F510" s="16">
        <v>1820</v>
      </c>
      <c r="G510" s="16">
        <f t="shared" si="173"/>
        <v>648</v>
      </c>
      <c r="H510" s="16"/>
      <c r="I510" s="16"/>
      <c r="J510" s="736">
        <f>D510+743</f>
        <v>45604</v>
      </c>
      <c r="K510" s="736">
        <f t="shared" si="174"/>
        <v>45046</v>
      </c>
      <c r="L510" s="46">
        <f>4000000-1000000-1000000</f>
        <v>2000000</v>
      </c>
      <c r="M510" s="18"/>
      <c r="N510" s="46">
        <v>4000000</v>
      </c>
      <c r="O510" s="20">
        <f t="shared" si="175"/>
        <v>434958.90410958906</v>
      </c>
      <c r="P510" s="47">
        <v>0.1225</v>
      </c>
      <c r="Q510" s="48">
        <v>1</v>
      </c>
      <c r="R510" s="22">
        <f t="shared" si="176"/>
        <v>2000000</v>
      </c>
      <c r="S510" s="47">
        <v>0.1225</v>
      </c>
      <c r="T510" s="562">
        <v>60410.95890410959</v>
      </c>
      <c r="U510" s="563"/>
      <c r="V510" s="29">
        <f t="shared" si="177"/>
        <v>60410.95890410959</v>
      </c>
    </row>
    <row r="511" spans="1:22" s="29" customFormat="1" ht="33" customHeight="1" x14ac:dyDescent="0.3">
      <c r="A511" s="648" t="s">
        <v>264</v>
      </c>
      <c r="B511" s="92"/>
      <c r="C511" s="554"/>
      <c r="D511" s="736">
        <v>44861</v>
      </c>
      <c r="E511" s="736">
        <v>44956</v>
      </c>
      <c r="F511" s="16">
        <v>1820</v>
      </c>
      <c r="G511" s="16">
        <f t="shared" si="173"/>
        <v>648</v>
      </c>
      <c r="H511" s="16"/>
      <c r="I511" s="16"/>
      <c r="J511" s="736">
        <f>D511+743</f>
        <v>45604</v>
      </c>
      <c r="K511" s="736">
        <f t="shared" si="174"/>
        <v>45046</v>
      </c>
      <c r="L511" s="46">
        <f>4000000-1000000</f>
        <v>3000000</v>
      </c>
      <c r="M511" s="18"/>
      <c r="N511" s="46">
        <v>4000000</v>
      </c>
      <c r="O511" s="20">
        <f t="shared" si="175"/>
        <v>652438.35616438359</v>
      </c>
      <c r="P511" s="47">
        <v>0.1225</v>
      </c>
      <c r="Q511" s="48">
        <v>1</v>
      </c>
      <c r="R511" s="22">
        <f t="shared" si="176"/>
        <v>3000000</v>
      </c>
      <c r="S511" s="47">
        <v>0.1225</v>
      </c>
      <c r="T511" s="562">
        <v>90616.438356164392</v>
      </c>
      <c r="U511" s="563"/>
      <c r="V511" s="29">
        <f t="shared" si="177"/>
        <v>90616.438356164392</v>
      </c>
    </row>
    <row r="512" spans="1:22" s="29" customFormat="1" ht="33" customHeight="1" x14ac:dyDescent="0.3">
      <c r="A512" s="648" t="s">
        <v>307</v>
      </c>
      <c r="B512" s="92"/>
      <c r="C512" s="554"/>
      <c r="D512" s="736">
        <v>44861</v>
      </c>
      <c r="E512" s="736">
        <v>44956</v>
      </c>
      <c r="F512" s="16">
        <v>1820</v>
      </c>
      <c r="G512" s="16">
        <f t="shared" si="173"/>
        <v>648</v>
      </c>
      <c r="H512" s="16"/>
      <c r="I512" s="16"/>
      <c r="J512" s="736">
        <f>D512+743</f>
        <v>45604</v>
      </c>
      <c r="K512" s="736">
        <f t="shared" si="174"/>
        <v>45046</v>
      </c>
      <c r="L512" s="46">
        <f>3000000-1000000</f>
        <v>2000000</v>
      </c>
      <c r="M512" s="18"/>
      <c r="N512" s="46">
        <v>3000000</v>
      </c>
      <c r="O512" s="20">
        <f t="shared" si="175"/>
        <v>434958.90410958906</v>
      </c>
      <c r="P512" s="47">
        <v>0.1225</v>
      </c>
      <c r="Q512" s="48">
        <v>1</v>
      </c>
      <c r="R512" s="22">
        <f t="shared" si="176"/>
        <v>2000000</v>
      </c>
      <c r="S512" s="47">
        <v>0.1225</v>
      </c>
      <c r="T512" s="562">
        <v>60410.95890410959</v>
      </c>
      <c r="U512" s="563"/>
      <c r="V512" s="29">
        <f t="shared" si="177"/>
        <v>60410.95890410959</v>
      </c>
    </row>
    <row r="513" spans="1:31" s="29" customFormat="1" ht="33" customHeight="1" x14ac:dyDescent="0.3">
      <c r="A513" s="648" t="s">
        <v>319</v>
      </c>
      <c r="B513" s="92"/>
      <c r="C513" s="554"/>
      <c r="D513" s="736">
        <v>44874</v>
      </c>
      <c r="E513" s="736">
        <v>44956</v>
      </c>
      <c r="F513" s="16">
        <v>1820</v>
      </c>
      <c r="G513" s="16">
        <f t="shared" si="173"/>
        <v>648</v>
      </c>
      <c r="H513" s="16"/>
      <c r="I513" s="16"/>
      <c r="J513" s="736">
        <f>D513+730</f>
        <v>45604</v>
      </c>
      <c r="K513" s="736">
        <f t="shared" si="174"/>
        <v>45046</v>
      </c>
      <c r="L513" s="46">
        <v>3000000</v>
      </c>
      <c r="M513" s="18"/>
      <c r="N513" s="46">
        <v>3000000</v>
      </c>
      <c r="O513" s="20">
        <f t="shared" si="175"/>
        <v>652438.35616438359</v>
      </c>
      <c r="P513" s="47">
        <v>0.1225</v>
      </c>
      <c r="Q513" s="48">
        <v>1</v>
      </c>
      <c r="R513" s="22">
        <f t="shared" si="176"/>
        <v>3000000</v>
      </c>
      <c r="S513" s="47">
        <v>0.1225</v>
      </c>
      <c r="T513" s="562">
        <v>90616.438356164392</v>
      </c>
      <c r="U513" s="563"/>
      <c r="V513" s="29">
        <f t="shared" si="177"/>
        <v>90616.438356164392</v>
      </c>
    </row>
    <row r="514" spans="1:31" s="29" customFormat="1" ht="33" customHeight="1" x14ac:dyDescent="0.3">
      <c r="A514" s="648" t="s">
        <v>321</v>
      </c>
      <c r="B514" s="92"/>
      <c r="C514" s="554"/>
      <c r="D514" s="736">
        <v>44916</v>
      </c>
      <c r="E514" s="736">
        <v>44956</v>
      </c>
      <c r="F514" s="16">
        <v>1820</v>
      </c>
      <c r="G514" s="16">
        <f t="shared" si="173"/>
        <v>648</v>
      </c>
      <c r="H514" s="16"/>
      <c r="I514" s="16"/>
      <c r="J514" s="736">
        <f>D514+688</f>
        <v>45604</v>
      </c>
      <c r="K514" s="736">
        <f t="shared" si="174"/>
        <v>45046</v>
      </c>
      <c r="L514" s="46">
        <v>6000000</v>
      </c>
      <c r="M514" s="18"/>
      <c r="N514" s="46">
        <v>6000000</v>
      </c>
      <c r="O514" s="20">
        <f t="shared" si="175"/>
        <v>1304876.7123287672</v>
      </c>
      <c r="P514" s="47">
        <v>0.1225</v>
      </c>
      <c r="Q514" s="48">
        <v>1</v>
      </c>
      <c r="R514" s="22">
        <f t="shared" si="176"/>
        <v>6000000</v>
      </c>
      <c r="S514" s="47">
        <v>0.1225</v>
      </c>
      <c r="T514" s="562">
        <f>181232.876712329-12585.5</f>
        <v>168647.37671232899</v>
      </c>
      <c r="U514" s="563"/>
      <c r="V514" s="29">
        <f t="shared" si="177"/>
        <v>168647.37671232899</v>
      </c>
    </row>
    <row r="515" spans="1:31" s="29" customFormat="1" ht="33" customHeight="1" x14ac:dyDescent="0.3">
      <c r="A515" s="648"/>
      <c r="B515" s="92"/>
      <c r="C515" s="554"/>
      <c r="D515" s="736"/>
      <c r="E515" s="736"/>
      <c r="F515" s="16"/>
      <c r="G515" s="16"/>
      <c r="H515" s="16"/>
      <c r="I515" s="16"/>
      <c r="J515" s="736"/>
      <c r="K515" s="736"/>
      <c r="L515" s="46"/>
      <c r="M515" s="18"/>
      <c r="N515" s="46"/>
      <c r="O515" s="20"/>
      <c r="P515" s="47"/>
      <c r="Q515" s="48"/>
      <c r="R515" s="22"/>
      <c r="S515" s="47"/>
      <c r="T515" s="562"/>
      <c r="U515" s="563"/>
    </row>
    <row r="516" spans="1:31" s="29" customFormat="1" ht="33" customHeight="1" x14ac:dyDescent="0.25">
      <c r="A516" s="91"/>
      <c r="B516" s="92"/>
      <c r="C516" s="554"/>
      <c r="D516" s="736"/>
      <c r="E516" s="736"/>
      <c r="F516" s="16"/>
      <c r="G516" s="16"/>
      <c r="H516" s="16"/>
      <c r="I516" s="16"/>
      <c r="J516" s="736"/>
      <c r="K516" s="736"/>
      <c r="L516" s="46"/>
      <c r="M516" s="18"/>
      <c r="N516" s="46"/>
      <c r="O516" s="20"/>
      <c r="P516" s="47"/>
      <c r="Q516" s="48"/>
      <c r="R516" s="22"/>
      <c r="S516" s="583"/>
      <c r="T516" s="562"/>
      <c r="U516" s="563"/>
      <c r="V516" s="29">
        <f>T516-U516</f>
        <v>0</v>
      </c>
    </row>
    <row r="517" spans="1:31" s="81" customFormat="1" ht="23.5" customHeight="1" thickBot="1" x14ac:dyDescent="0.3">
      <c r="A517" s="91" t="s">
        <v>209</v>
      </c>
      <c r="B517" s="92"/>
      <c r="C517" s="92"/>
      <c r="D517" s="77"/>
      <c r="E517" s="615"/>
      <c r="F517" s="7"/>
      <c r="G517" s="7"/>
      <c r="H517" s="7"/>
      <c r="I517" s="7"/>
      <c r="J517" s="77"/>
      <c r="K517" s="77"/>
      <c r="L517" s="97">
        <f t="shared" ref="L517:V517" si="178">SUM(L489:L516)</f>
        <v>75000000</v>
      </c>
      <c r="M517" s="97">
        <f t="shared" si="178"/>
        <v>0</v>
      </c>
      <c r="N517" s="97">
        <f t="shared" si="178"/>
        <v>113000000</v>
      </c>
      <c r="O517" s="97">
        <f t="shared" si="178"/>
        <v>17334924.657534249</v>
      </c>
      <c r="P517" s="97">
        <f t="shared" si="178"/>
        <v>2.9400000000000008</v>
      </c>
      <c r="Q517" s="97">
        <f t="shared" si="178"/>
        <v>24</v>
      </c>
      <c r="R517" s="97">
        <f t="shared" si="178"/>
        <v>75000000</v>
      </c>
      <c r="S517" s="97">
        <f t="shared" si="178"/>
        <v>2.9400000000000008</v>
      </c>
      <c r="T517" s="97">
        <f t="shared" si="178"/>
        <v>2190399.9828767125</v>
      </c>
      <c r="U517" s="97">
        <f t="shared" si="178"/>
        <v>658982.87671232875</v>
      </c>
      <c r="V517" s="97">
        <f t="shared" si="178"/>
        <v>1531417.1061643839</v>
      </c>
      <c r="W517" s="80"/>
      <c r="Z517" s="82"/>
      <c r="AA517" s="82"/>
      <c r="AB517" s="82"/>
      <c r="AE517" s="82"/>
    </row>
    <row r="518" spans="1:31" s="29" customFormat="1" ht="26.25" customHeight="1" x14ac:dyDescent="0.25">
      <c r="A518" s="91"/>
      <c r="B518" s="92"/>
      <c r="C518" s="92"/>
      <c r="D518" s="736"/>
      <c r="E518" s="736"/>
      <c r="F518" s="736">
        <v>182</v>
      </c>
      <c r="G518" s="736"/>
      <c r="H518" s="736"/>
      <c r="I518" s="736"/>
      <c r="J518" s="736"/>
      <c r="K518" s="736"/>
      <c r="L518" s="46"/>
      <c r="M518" s="18"/>
      <c r="N518" s="46"/>
      <c r="O518" s="20"/>
      <c r="P518" s="47"/>
      <c r="Q518" s="47"/>
      <c r="R518" s="19"/>
      <c r="S518" s="47"/>
      <c r="T518" s="562"/>
      <c r="U518" s="563"/>
      <c r="V518" s="90"/>
      <c r="W518" s="13"/>
      <c r="Z518" s="30"/>
      <c r="AA518" s="30"/>
      <c r="AB518" s="30"/>
      <c r="AE518" s="30"/>
    </row>
    <row r="519" spans="1:31" s="29" customFormat="1" ht="33" customHeight="1" x14ac:dyDescent="0.3">
      <c r="A519" s="648"/>
      <c r="B519" s="92"/>
      <c r="C519" s="554"/>
      <c r="D519" s="736"/>
      <c r="E519" s="736"/>
      <c r="F519" s="16"/>
      <c r="G519" s="16"/>
      <c r="H519" s="16"/>
      <c r="I519" s="16"/>
      <c r="J519" s="736"/>
      <c r="K519" s="736"/>
      <c r="L519" s="46"/>
      <c r="M519" s="18"/>
      <c r="N519" s="46"/>
      <c r="O519" s="20"/>
      <c r="P519" s="47"/>
      <c r="Q519" s="48"/>
      <c r="R519" s="22"/>
      <c r="S519" s="47"/>
      <c r="T519" s="562"/>
      <c r="U519" s="563"/>
    </row>
    <row r="520" spans="1:31" s="29" customFormat="1" ht="33" customHeight="1" x14ac:dyDescent="0.3">
      <c r="A520" s="648" t="s">
        <v>214</v>
      </c>
      <c r="B520" s="92"/>
      <c r="C520" s="554"/>
      <c r="D520" s="736">
        <v>43777</v>
      </c>
      <c r="E520" s="736">
        <v>44866</v>
      </c>
      <c r="F520" s="16">
        <v>1820</v>
      </c>
      <c r="G520" s="16">
        <f t="shared" ref="G520:G543" si="179">J520-E520</f>
        <v>738</v>
      </c>
      <c r="H520" s="16"/>
      <c r="I520" s="16"/>
      <c r="J520" s="736">
        <f>D520+1827</f>
        <v>45604</v>
      </c>
      <c r="K520" s="736">
        <f t="shared" ref="K520:K543" si="180">E520+90</f>
        <v>44956</v>
      </c>
      <c r="L520" s="46">
        <f>9000000-8000000</f>
        <v>1000000</v>
      </c>
      <c r="M520" s="18"/>
      <c r="N520" s="46">
        <v>9000000</v>
      </c>
      <c r="O520" s="20">
        <f t="shared" ref="O520:O543" si="181">L520*P520*G520/365</f>
        <v>247684.9315068493</v>
      </c>
      <c r="P520" s="47">
        <v>0.1225</v>
      </c>
      <c r="Q520" s="48">
        <v>1</v>
      </c>
      <c r="R520" s="22">
        <f t="shared" ref="R520:R543" si="182">+L520*Q520</f>
        <v>1000000</v>
      </c>
      <c r="S520" s="47">
        <v>0.1225</v>
      </c>
      <c r="T520" s="562">
        <v>30205.479452054791</v>
      </c>
      <c r="U520" s="563">
        <v>20472.602739726026</v>
      </c>
      <c r="V520" s="29">
        <f t="shared" ref="V520:V543" si="183">T520-U520</f>
        <v>9732.8767123287653</v>
      </c>
    </row>
    <row r="521" spans="1:31" s="29" customFormat="1" ht="33" customHeight="1" x14ac:dyDescent="0.3">
      <c r="A521" s="648" t="s">
        <v>277</v>
      </c>
      <c r="B521" s="92"/>
      <c r="C521" s="554"/>
      <c r="D521" s="736">
        <v>44344</v>
      </c>
      <c r="E521" s="736">
        <v>44866</v>
      </c>
      <c r="F521" s="16">
        <v>1820</v>
      </c>
      <c r="G521" s="16">
        <f t="shared" si="179"/>
        <v>738</v>
      </c>
      <c r="H521" s="16"/>
      <c r="I521" s="16"/>
      <c r="J521" s="736">
        <f>D521+1260</f>
        <v>45604</v>
      </c>
      <c r="K521" s="736">
        <f t="shared" si="180"/>
        <v>44956</v>
      </c>
      <c r="L521" s="46">
        <v>2000000</v>
      </c>
      <c r="M521" s="18"/>
      <c r="N521" s="46">
        <v>2000000</v>
      </c>
      <c r="O521" s="20">
        <f t="shared" si="181"/>
        <v>495369.8630136986</v>
      </c>
      <c r="P521" s="47">
        <v>0.1225</v>
      </c>
      <c r="Q521" s="48">
        <v>1</v>
      </c>
      <c r="R521" s="22">
        <f t="shared" si="182"/>
        <v>2000000</v>
      </c>
      <c r="S521" s="47">
        <v>0.1225</v>
      </c>
      <c r="T521" s="562">
        <v>60410.958904109582</v>
      </c>
      <c r="U521" s="563">
        <v>40945.205479452052</v>
      </c>
      <c r="V521" s="29">
        <f t="shared" si="183"/>
        <v>19465.753424657531</v>
      </c>
    </row>
    <row r="522" spans="1:31" s="29" customFormat="1" ht="33" customHeight="1" x14ac:dyDescent="0.3">
      <c r="A522" s="676" t="s">
        <v>281</v>
      </c>
      <c r="B522" s="92"/>
      <c r="C522" s="554"/>
      <c r="D522" s="736">
        <v>44386</v>
      </c>
      <c r="E522" s="736">
        <v>44866</v>
      </c>
      <c r="F522" s="16">
        <v>1820</v>
      </c>
      <c r="G522" s="16">
        <f t="shared" si="179"/>
        <v>738</v>
      </c>
      <c r="H522" s="16"/>
      <c r="I522" s="16"/>
      <c r="J522" s="736">
        <f>D522+1218</f>
        <v>45604</v>
      </c>
      <c r="K522" s="736">
        <f t="shared" si="180"/>
        <v>44956</v>
      </c>
      <c r="L522" s="46">
        <v>1000000</v>
      </c>
      <c r="M522" s="18"/>
      <c r="N522" s="46">
        <v>1000000</v>
      </c>
      <c r="O522" s="20">
        <f t="shared" si="181"/>
        <v>247684.9315068493</v>
      </c>
      <c r="P522" s="47">
        <v>0.1225</v>
      </c>
      <c r="Q522" s="48">
        <v>1</v>
      </c>
      <c r="R522" s="22">
        <f t="shared" si="182"/>
        <v>1000000</v>
      </c>
      <c r="S522" s="47">
        <v>0.1225</v>
      </c>
      <c r="T522" s="562">
        <v>30205.479452054791</v>
      </c>
      <c r="U522" s="563">
        <v>20472.602739726026</v>
      </c>
      <c r="V522" s="29">
        <f t="shared" si="183"/>
        <v>9732.8767123287653</v>
      </c>
    </row>
    <row r="523" spans="1:31" s="29" customFormat="1" ht="33" customHeight="1" x14ac:dyDescent="0.3">
      <c r="A523" s="676" t="s">
        <v>296</v>
      </c>
      <c r="B523" s="92"/>
      <c r="C523" s="554"/>
      <c r="D523" s="736">
        <v>44477</v>
      </c>
      <c r="E523" s="736">
        <v>44866</v>
      </c>
      <c r="F523" s="16">
        <v>1820</v>
      </c>
      <c r="G523" s="16">
        <f t="shared" si="179"/>
        <v>738</v>
      </c>
      <c r="H523" s="16"/>
      <c r="I523" s="16"/>
      <c r="J523" s="736">
        <f>D523+1127</f>
        <v>45604</v>
      </c>
      <c r="K523" s="736">
        <f t="shared" si="180"/>
        <v>44956</v>
      </c>
      <c r="L523" s="46">
        <v>8000000</v>
      </c>
      <c r="M523" s="18"/>
      <c r="N523" s="46">
        <v>8000000</v>
      </c>
      <c r="O523" s="20">
        <f t="shared" si="181"/>
        <v>1981479.4520547944</v>
      </c>
      <c r="P523" s="47">
        <v>0.1225</v>
      </c>
      <c r="Q523" s="48">
        <v>1</v>
      </c>
      <c r="R523" s="22">
        <f t="shared" si="182"/>
        <v>8000000</v>
      </c>
      <c r="S523" s="47">
        <v>0.1225</v>
      </c>
      <c r="T523" s="562">
        <v>241643.83561643833</v>
      </c>
      <c r="U523" s="563">
        <v>163780.82191780821</v>
      </c>
      <c r="V523" s="29">
        <f t="shared" si="183"/>
        <v>77863.013698630122</v>
      </c>
    </row>
    <row r="524" spans="1:31" s="29" customFormat="1" ht="33" customHeight="1" x14ac:dyDescent="0.3">
      <c r="A524" s="648" t="s">
        <v>312</v>
      </c>
      <c r="B524" s="92"/>
      <c r="C524" s="554"/>
      <c r="D524" s="736">
        <v>44708</v>
      </c>
      <c r="E524" s="736">
        <v>44866</v>
      </c>
      <c r="F524" s="16">
        <v>1820</v>
      </c>
      <c r="G524" s="16">
        <f t="shared" si="179"/>
        <v>738</v>
      </c>
      <c r="H524" s="16"/>
      <c r="I524" s="16"/>
      <c r="J524" s="736">
        <f>D524+896</f>
        <v>45604</v>
      </c>
      <c r="K524" s="736">
        <f t="shared" si="180"/>
        <v>44956</v>
      </c>
      <c r="L524" s="46">
        <v>4000000</v>
      </c>
      <c r="M524" s="18"/>
      <c r="N524" s="46">
        <v>4000000</v>
      </c>
      <c r="O524" s="20">
        <f t="shared" si="181"/>
        <v>990739.72602739721</v>
      </c>
      <c r="P524" s="47">
        <v>0.1225</v>
      </c>
      <c r="Q524" s="48">
        <v>1</v>
      </c>
      <c r="R524" s="22">
        <f t="shared" si="182"/>
        <v>4000000</v>
      </c>
      <c r="S524" s="47">
        <v>0.1225</v>
      </c>
      <c r="T524" s="562">
        <v>120821.91780821916</v>
      </c>
      <c r="U524" s="563">
        <v>81890.410958904104</v>
      </c>
      <c r="V524" s="29">
        <f t="shared" si="183"/>
        <v>38931.506849315061</v>
      </c>
    </row>
    <row r="525" spans="1:31" s="29" customFormat="1" ht="33" customHeight="1" x14ac:dyDescent="0.3">
      <c r="A525" s="648" t="s">
        <v>316</v>
      </c>
      <c r="B525" s="92"/>
      <c r="C525" s="554"/>
      <c r="D525" s="736">
        <v>44785</v>
      </c>
      <c r="E525" s="736">
        <v>44866</v>
      </c>
      <c r="F525" s="16">
        <v>1820</v>
      </c>
      <c r="G525" s="16">
        <f t="shared" si="179"/>
        <v>738</v>
      </c>
      <c r="H525" s="16"/>
      <c r="I525" s="16"/>
      <c r="J525" s="736">
        <f>D525+819</f>
        <v>45604</v>
      </c>
      <c r="K525" s="736">
        <f t="shared" si="180"/>
        <v>44956</v>
      </c>
      <c r="L525" s="46">
        <v>1000000</v>
      </c>
      <c r="M525" s="18"/>
      <c r="N525" s="46">
        <v>1000000</v>
      </c>
      <c r="O525" s="20">
        <f t="shared" si="181"/>
        <v>247684.9315068493</v>
      </c>
      <c r="P525" s="47">
        <v>0.1225</v>
      </c>
      <c r="Q525" s="48">
        <v>1</v>
      </c>
      <c r="R525" s="22">
        <f t="shared" si="182"/>
        <v>1000000</v>
      </c>
      <c r="S525" s="47">
        <v>0.1225</v>
      </c>
      <c r="T525" s="562">
        <v>30205.479452054791</v>
      </c>
      <c r="U525" s="563">
        <v>20472.602739726026</v>
      </c>
      <c r="V525" s="29">
        <f t="shared" si="183"/>
        <v>9732.8767123287653</v>
      </c>
    </row>
    <row r="526" spans="1:31" s="29" customFormat="1" ht="33" customHeight="1" x14ac:dyDescent="0.3">
      <c r="A526" s="648" t="s">
        <v>242</v>
      </c>
      <c r="B526" s="92"/>
      <c r="C526" s="554"/>
      <c r="D526" s="736">
        <v>44861</v>
      </c>
      <c r="E526" s="736">
        <v>44866</v>
      </c>
      <c r="F526" s="16">
        <v>1820</v>
      </c>
      <c r="G526" s="16">
        <f t="shared" si="179"/>
        <v>738</v>
      </c>
      <c r="H526" s="16"/>
      <c r="I526" s="16"/>
      <c r="J526" s="736">
        <f>D526+743</f>
        <v>45604</v>
      </c>
      <c r="K526" s="736">
        <f t="shared" si="180"/>
        <v>44956</v>
      </c>
      <c r="L526" s="46">
        <f>11000000-1000000-6000000</f>
        <v>4000000</v>
      </c>
      <c r="M526" s="18"/>
      <c r="N526" s="46">
        <v>11000000</v>
      </c>
      <c r="O526" s="20">
        <f t="shared" si="181"/>
        <v>990739.72602739721</v>
      </c>
      <c r="P526" s="47">
        <v>0.1225</v>
      </c>
      <c r="Q526" s="48">
        <v>1</v>
      </c>
      <c r="R526" s="22">
        <f t="shared" si="182"/>
        <v>4000000</v>
      </c>
      <c r="S526" s="47">
        <v>0.1225</v>
      </c>
      <c r="T526" s="562">
        <v>120821.91780821916</v>
      </c>
      <c r="U526" s="563">
        <v>81890.410958904104</v>
      </c>
      <c r="V526" s="29">
        <f t="shared" si="183"/>
        <v>38931.506849315061</v>
      </c>
    </row>
    <row r="527" spans="1:31" s="29" customFormat="1" ht="33" customHeight="1" x14ac:dyDescent="0.3">
      <c r="A527" s="648" t="s">
        <v>258</v>
      </c>
      <c r="B527" s="92"/>
      <c r="C527" s="554"/>
      <c r="D527" s="736">
        <v>44861</v>
      </c>
      <c r="E527" s="736">
        <v>44866</v>
      </c>
      <c r="F527" s="16">
        <v>1820</v>
      </c>
      <c r="G527" s="16">
        <f t="shared" si="179"/>
        <v>738</v>
      </c>
      <c r="H527" s="16"/>
      <c r="I527" s="16"/>
      <c r="J527" s="736">
        <f>D527+743</f>
        <v>45604</v>
      </c>
      <c r="K527" s="736">
        <f t="shared" si="180"/>
        <v>44956</v>
      </c>
      <c r="L527" s="46">
        <f>4000000-1000000-1000000</f>
        <v>2000000</v>
      </c>
      <c r="M527" s="18"/>
      <c r="N527" s="46">
        <v>4000000</v>
      </c>
      <c r="O527" s="20">
        <f t="shared" si="181"/>
        <v>495369.8630136986</v>
      </c>
      <c r="P527" s="47">
        <v>0.1225</v>
      </c>
      <c r="Q527" s="48">
        <v>1</v>
      </c>
      <c r="R527" s="22">
        <f t="shared" si="182"/>
        <v>2000000</v>
      </c>
      <c r="S527" s="47">
        <v>0.1225</v>
      </c>
      <c r="T527" s="562">
        <v>60410.958904109582</v>
      </c>
      <c r="U527" s="563">
        <v>40945.205479452052</v>
      </c>
      <c r="V527" s="29">
        <f t="shared" si="183"/>
        <v>19465.753424657531</v>
      </c>
    </row>
    <row r="528" spans="1:31" s="29" customFormat="1" ht="33" customHeight="1" x14ac:dyDescent="0.3">
      <c r="A528" s="648" t="s">
        <v>265</v>
      </c>
      <c r="B528" s="92"/>
      <c r="C528" s="554"/>
      <c r="D528" s="736">
        <v>44861</v>
      </c>
      <c r="E528" s="736">
        <v>44866</v>
      </c>
      <c r="F528" s="16">
        <v>1820</v>
      </c>
      <c r="G528" s="16">
        <f t="shared" si="179"/>
        <v>738</v>
      </c>
      <c r="H528" s="16"/>
      <c r="I528" s="16"/>
      <c r="J528" s="736">
        <f>D528+743</f>
        <v>45604</v>
      </c>
      <c r="K528" s="736">
        <f t="shared" si="180"/>
        <v>44956</v>
      </c>
      <c r="L528" s="46">
        <f>4000000-1000000</f>
        <v>3000000</v>
      </c>
      <c r="M528" s="18"/>
      <c r="N528" s="46">
        <v>4000000</v>
      </c>
      <c r="O528" s="20">
        <f t="shared" si="181"/>
        <v>743054.79452054796</v>
      </c>
      <c r="P528" s="47">
        <v>0.1225</v>
      </c>
      <c r="Q528" s="48">
        <v>1</v>
      </c>
      <c r="R528" s="22">
        <f t="shared" si="182"/>
        <v>3000000</v>
      </c>
      <c r="S528" s="47">
        <v>0.1225</v>
      </c>
      <c r="T528" s="562">
        <v>90616.438356164392</v>
      </c>
      <c r="U528" s="563">
        <v>61417.808219178085</v>
      </c>
      <c r="V528" s="29">
        <f t="shared" si="183"/>
        <v>29198.630136986307</v>
      </c>
    </row>
    <row r="529" spans="1:31" s="29" customFormat="1" ht="33" customHeight="1" x14ac:dyDescent="0.3">
      <c r="A529" s="648" t="s">
        <v>308</v>
      </c>
      <c r="B529" s="92"/>
      <c r="C529" s="554"/>
      <c r="D529" s="736">
        <v>44861</v>
      </c>
      <c r="E529" s="736">
        <v>44866</v>
      </c>
      <c r="F529" s="16">
        <v>1820</v>
      </c>
      <c r="G529" s="16">
        <f t="shared" si="179"/>
        <v>738</v>
      </c>
      <c r="H529" s="16"/>
      <c r="I529" s="16"/>
      <c r="J529" s="736">
        <f>D529+743</f>
        <v>45604</v>
      </c>
      <c r="K529" s="736">
        <f t="shared" si="180"/>
        <v>44956</v>
      </c>
      <c r="L529" s="46">
        <f>3000000-1000000</f>
        <v>2000000</v>
      </c>
      <c r="M529" s="18"/>
      <c r="N529" s="46">
        <v>3000000</v>
      </c>
      <c r="O529" s="20">
        <f t="shared" si="181"/>
        <v>495369.8630136986</v>
      </c>
      <c r="P529" s="47">
        <v>0.1225</v>
      </c>
      <c r="Q529" s="48">
        <v>1</v>
      </c>
      <c r="R529" s="22">
        <f t="shared" si="182"/>
        <v>2000000</v>
      </c>
      <c r="S529" s="47">
        <v>0.1225</v>
      </c>
      <c r="T529" s="562">
        <v>60410.958904109582</v>
      </c>
      <c r="U529" s="563">
        <v>40945.205479452052</v>
      </c>
      <c r="V529" s="29">
        <f t="shared" si="183"/>
        <v>19465.753424657531</v>
      </c>
    </row>
    <row r="530" spans="1:31" s="29" customFormat="1" ht="33" customHeight="1" x14ac:dyDescent="0.3">
      <c r="A530" s="648" t="s">
        <v>318</v>
      </c>
      <c r="B530" s="92"/>
      <c r="C530" s="554"/>
      <c r="D530" s="736">
        <v>44874</v>
      </c>
      <c r="E530" s="736">
        <v>44874</v>
      </c>
      <c r="F530" s="16">
        <v>1820</v>
      </c>
      <c r="G530" s="16">
        <f t="shared" si="179"/>
        <v>730</v>
      </c>
      <c r="H530" s="16"/>
      <c r="I530" s="16"/>
      <c r="J530" s="736">
        <f>D530+730</f>
        <v>45604</v>
      </c>
      <c r="K530" s="736">
        <f t="shared" si="180"/>
        <v>44964</v>
      </c>
      <c r="L530" s="46">
        <v>3000000</v>
      </c>
      <c r="M530" s="18"/>
      <c r="N530" s="46">
        <v>3000000</v>
      </c>
      <c r="O530" s="20">
        <f t="shared" si="181"/>
        <v>735000</v>
      </c>
      <c r="P530" s="47">
        <v>0.1225</v>
      </c>
      <c r="Q530" s="48">
        <v>1</v>
      </c>
      <c r="R530" s="22">
        <f t="shared" si="182"/>
        <v>3000000</v>
      </c>
      <c r="S530" s="47">
        <v>0.1225</v>
      </c>
      <c r="T530" s="562">
        <v>82561.643835616444</v>
      </c>
      <c r="U530" s="563">
        <v>53363.013698630137</v>
      </c>
      <c r="V530" s="29">
        <f t="shared" si="183"/>
        <v>29198.630136986307</v>
      </c>
    </row>
    <row r="531" spans="1:31" s="29" customFormat="1" ht="33" customHeight="1" x14ac:dyDescent="0.3">
      <c r="A531" s="648" t="s">
        <v>322</v>
      </c>
      <c r="B531" s="92"/>
      <c r="C531" s="554"/>
      <c r="D531" s="736">
        <v>44916</v>
      </c>
      <c r="E531" s="736">
        <v>44916</v>
      </c>
      <c r="F531" s="16">
        <v>1820</v>
      </c>
      <c r="G531" s="16">
        <f t="shared" si="179"/>
        <v>688</v>
      </c>
      <c r="H531" s="16"/>
      <c r="I531" s="16"/>
      <c r="J531" s="736">
        <f>D531+688</f>
        <v>45604</v>
      </c>
      <c r="K531" s="736">
        <f t="shared" si="180"/>
        <v>45006</v>
      </c>
      <c r="L531" s="46">
        <v>6000000</v>
      </c>
      <c r="M531" s="18"/>
      <c r="N531" s="46">
        <v>6000000</v>
      </c>
      <c r="O531" s="20">
        <f t="shared" si="181"/>
        <v>1385424.6575342466</v>
      </c>
      <c r="P531" s="47">
        <v>0.1225</v>
      </c>
      <c r="Q531" s="48">
        <v>1</v>
      </c>
      <c r="R531" s="22">
        <f t="shared" si="182"/>
        <v>6000000</v>
      </c>
      <c r="S531" s="47">
        <v>0.1225</v>
      </c>
      <c r="T531" s="562">
        <f>80547.9452054795+45978.99</f>
        <v>126526.9352054795</v>
      </c>
      <c r="U531" s="563">
        <v>22150.68493150685</v>
      </c>
      <c r="V531" s="29">
        <f t="shared" si="183"/>
        <v>104376.25027397265</v>
      </c>
    </row>
    <row r="532" spans="1:31" s="29" customFormat="1" ht="33" customHeight="1" x14ac:dyDescent="0.3">
      <c r="A532" s="648" t="s">
        <v>214</v>
      </c>
      <c r="B532" s="92"/>
      <c r="C532" s="554"/>
      <c r="D532" s="736">
        <v>43777</v>
      </c>
      <c r="E532" s="736">
        <v>44956</v>
      </c>
      <c r="F532" s="16">
        <v>1820</v>
      </c>
      <c r="G532" s="16">
        <f t="shared" si="179"/>
        <v>648</v>
      </c>
      <c r="H532" s="16"/>
      <c r="I532" s="16"/>
      <c r="J532" s="736">
        <f>D532+1827</f>
        <v>45604</v>
      </c>
      <c r="K532" s="736">
        <f t="shared" si="180"/>
        <v>45046</v>
      </c>
      <c r="L532" s="46">
        <f>9000000-8000000</f>
        <v>1000000</v>
      </c>
      <c r="M532" s="18"/>
      <c r="N532" s="46">
        <v>9000000</v>
      </c>
      <c r="O532" s="20">
        <f t="shared" si="181"/>
        <v>217479.45205479453</v>
      </c>
      <c r="P532" s="47">
        <v>0.1225</v>
      </c>
      <c r="Q532" s="48">
        <v>1</v>
      </c>
      <c r="R532" s="22">
        <f t="shared" si="182"/>
        <v>1000000</v>
      </c>
      <c r="S532" s="47">
        <v>0.1225</v>
      </c>
      <c r="T532" s="562">
        <v>30205.479452054795</v>
      </c>
      <c r="U532" s="563"/>
      <c r="V532" s="29">
        <f t="shared" si="183"/>
        <v>30205.479452054795</v>
      </c>
    </row>
    <row r="533" spans="1:31" s="29" customFormat="1" ht="33" customHeight="1" x14ac:dyDescent="0.3">
      <c r="A533" s="648" t="s">
        <v>277</v>
      </c>
      <c r="B533" s="92"/>
      <c r="C533" s="554"/>
      <c r="D533" s="736">
        <v>44344</v>
      </c>
      <c r="E533" s="736">
        <v>44956</v>
      </c>
      <c r="F533" s="16">
        <v>1820</v>
      </c>
      <c r="G533" s="16">
        <f t="shared" si="179"/>
        <v>648</v>
      </c>
      <c r="H533" s="16"/>
      <c r="I533" s="16"/>
      <c r="J533" s="736">
        <f>D533+1260</f>
        <v>45604</v>
      </c>
      <c r="K533" s="736">
        <f t="shared" si="180"/>
        <v>45046</v>
      </c>
      <c r="L533" s="46">
        <v>2000000</v>
      </c>
      <c r="M533" s="18"/>
      <c r="N533" s="46">
        <v>2000000</v>
      </c>
      <c r="O533" s="20">
        <f t="shared" si="181"/>
        <v>434958.90410958906</v>
      </c>
      <c r="P533" s="47">
        <v>0.1225</v>
      </c>
      <c r="Q533" s="48">
        <v>1</v>
      </c>
      <c r="R533" s="22">
        <f t="shared" si="182"/>
        <v>2000000</v>
      </c>
      <c r="S533" s="47">
        <v>0.1225</v>
      </c>
      <c r="T533" s="562">
        <v>60410.95890410959</v>
      </c>
      <c r="U533" s="563"/>
      <c r="V533" s="29">
        <f t="shared" si="183"/>
        <v>60410.95890410959</v>
      </c>
    </row>
    <row r="534" spans="1:31" s="29" customFormat="1" ht="33" customHeight="1" x14ac:dyDescent="0.3">
      <c r="A534" s="676" t="s">
        <v>281</v>
      </c>
      <c r="B534" s="92"/>
      <c r="C534" s="554"/>
      <c r="D534" s="736">
        <v>44386</v>
      </c>
      <c r="E534" s="736">
        <v>44956</v>
      </c>
      <c r="F534" s="16">
        <v>1820</v>
      </c>
      <c r="G534" s="16">
        <f t="shared" si="179"/>
        <v>648</v>
      </c>
      <c r="H534" s="16"/>
      <c r="I534" s="16"/>
      <c r="J534" s="736">
        <f>D534+1218</f>
        <v>45604</v>
      </c>
      <c r="K534" s="736">
        <f t="shared" si="180"/>
        <v>45046</v>
      </c>
      <c r="L534" s="46">
        <v>1000000</v>
      </c>
      <c r="M534" s="18"/>
      <c r="N534" s="46">
        <v>1000000</v>
      </c>
      <c r="O534" s="20">
        <f t="shared" si="181"/>
        <v>217479.45205479453</v>
      </c>
      <c r="P534" s="47">
        <v>0.1225</v>
      </c>
      <c r="Q534" s="48">
        <v>1</v>
      </c>
      <c r="R534" s="22">
        <f t="shared" si="182"/>
        <v>1000000</v>
      </c>
      <c r="S534" s="47">
        <v>0.1225</v>
      </c>
      <c r="T534" s="562">
        <v>30205.479452054795</v>
      </c>
      <c r="U534" s="563"/>
      <c r="V534" s="29">
        <f t="shared" si="183"/>
        <v>30205.479452054795</v>
      </c>
    </row>
    <row r="535" spans="1:31" s="29" customFormat="1" ht="33" customHeight="1" x14ac:dyDescent="0.3">
      <c r="A535" s="676" t="s">
        <v>296</v>
      </c>
      <c r="B535" s="92"/>
      <c r="C535" s="554"/>
      <c r="D535" s="736">
        <v>44477</v>
      </c>
      <c r="E535" s="736">
        <v>44956</v>
      </c>
      <c r="F535" s="16">
        <v>1820</v>
      </c>
      <c r="G535" s="16">
        <f t="shared" si="179"/>
        <v>648</v>
      </c>
      <c r="H535" s="16"/>
      <c r="I535" s="16"/>
      <c r="J535" s="736">
        <f>D535+1127</f>
        <v>45604</v>
      </c>
      <c r="K535" s="736">
        <f t="shared" si="180"/>
        <v>45046</v>
      </c>
      <c r="L535" s="46">
        <v>8000000</v>
      </c>
      <c r="M535" s="18"/>
      <c r="N535" s="46">
        <v>8000000</v>
      </c>
      <c r="O535" s="20">
        <f t="shared" si="181"/>
        <v>1739835.6164383562</v>
      </c>
      <c r="P535" s="47">
        <v>0.1225</v>
      </c>
      <c r="Q535" s="48">
        <v>1</v>
      </c>
      <c r="R535" s="22">
        <f t="shared" si="182"/>
        <v>8000000</v>
      </c>
      <c r="S535" s="47">
        <v>0.1225</v>
      </c>
      <c r="T535" s="562">
        <v>241643.83561643836</v>
      </c>
      <c r="U535" s="563"/>
      <c r="V535" s="29">
        <f t="shared" si="183"/>
        <v>241643.83561643836</v>
      </c>
    </row>
    <row r="536" spans="1:31" s="29" customFormat="1" ht="33" customHeight="1" x14ac:dyDescent="0.3">
      <c r="A536" s="648" t="s">
        <v>312</v>
      </c>
      <c r="B536" s="92"/>
      <c r="C536" s="554"/>
      <c r="D536" s="736">
        <v>44708</v>
      </c>
      <c r="E536" s="736">
        <v>44956</v>
      </c>
      <c r="F536" s="16">
        <v>1820</v>
      </c>
      <c r="G536" s="16">
        <f t="shared" si="179"/>
        <v>648</v>
      </c>
      <c r="H536" s="16"/>
      <c r="I536" s="16"/>
      <c r="J536" s="736">
        <f>D536+896</f>
        <v>45604</v>
      </c>
      <c r="K536" s="736">
        <f t="shared" si="180"/>
        <v>45046</v>
      </c>
      <c r="L536" s="46">
        <v>4000000</v>
      </c>
      <c r="M536" s="18"/>
      <c r="N536" s="46">
        <v>4000000</v>
      </c>
      <c r="O536" s="20">
        <f t="shared" si="181"/>
        <v>869917.80821917811</v>
      </c>
      <c r="P536" s="47">
        <v>0.1225</v>
      </c>
      <c r="Q536" s="48">
        <v>1</v>
      </c>
      <c r="R536" s="22">
        <f t="shared" si="182"/>
        <v>4000000</v>
      </c>
      <c r="S536" s="47">
        <v>0.1225</v>
      </c>
      <c r="T536" s="562">
        <v>120821.91780821918</v>
      </c>
      <c r="U536" s="563"/>
      <c r="V536" s="29">
        <f t="shared" si="183"/>
        <v>120821.91780821918</v>
      </c>
    </row>
    <row r="537" spans="1:31" s="29" customFormat="1" ht="33" customHeight="1" x14ac:dyDescent="0.3">
      <c r="A537" s="648" t="s">
        <v>316</v>
      </c>
      <c r="B537" s="92"/>
      <c r="C537" s="554"/>
      <c r="D537" s="736">
        <v>44785</v>
      </c>
      <c r="E537" s="736">
        <v>44956</v>
      </c>
      <c r="F537" s="16">
        <v>1820</v>
      </c>
      <c r="G537" s="16">
        <f t="shared" si="179"/>
        <v>648</v>
      </c>
      <c r="H537" s="16"/>
      <c r="I537" s="16"/>
      <c r="J537" s="736">
        <f>D537+819</f>
        <v>45604</v>
      </c>
      <c r="K537" s="736">
        <f t="shared" si="180"/>
        <v>45046</v>
      </c>
      <c r="L537" s="46">
        <v>1000000</v>
      </c>
      <c r="M537" s="18"/>
      <c r="N537" s="46">
        <v>1000000</v>
      </c>
      <c r="O537" s="20">
        <f t="shared" si="181"/>
        <v>217479.45205479453</v>
      </c>
      <c r="P537" s="47">
        <v>0.1225</v>
      </c>
      <c r="Q537" s="48">
        <v>1</v>
      </c>
      <c r="R537" s="22">
        <f t="shared" si="182"/>
        <v>1000000</v>
      </c>
      <c r="S537" s="47">
        <v>0.1225</v>
      </c>
      <c r="T537" s="562">
        <v>30205.479452054795</v>
      </c>
      <c r="U537" s="563"/>
      <c r="V537" s="29">
        <f t="shared" si="183"/>
        <v>30205.479452054795</v>
      </c>
    </row>
    <row r="538" spans="1:31" s="29" customFormat="1" ht="33" customHeight="1" x14ac:dyDescent="0.3">
      <c r="A538" s="648" t="s">
        <v>242</v>
      </c>
      <c r="B538" s="92"/>
      <c r="C538" s="554"/>
      <c r="D538" s="736">
        <v>44861</v>
      </c>
      <c r="E538" s="736">
        <v>44956</v>
      </c>
      <c r="F538" s="16">
        <v>1820</v>
      </c>
      <c r="G538" s="16">
        <f t="shared" si="179"/>
        <v>648</v>
      </c>
      <c r="H538" s="16"/>
      <c r="I538" s="16"/>
      <c r="J538" s="736">
        <f>D538+743</f>
        <v>45604</v>
      </c>
      <c r="K538" s="736">
        <f t="shared" si="180"/>
        <v>45046</v>
      </c>
      <c r="L538" s="46">
        <f>11000000-1000000-6000000</f>
        <v>4000000</v>
      </c>
      <c r="M538" s="18"/>
      <c r="N538" s="46">
        <v>11000000</v>
      </c>
      <c r="O538" s="20">
        <f t="shared" si="181"/>
        <v>869917.80821917811</v>
      </c>
      <c r="P538" s="47">
        <v>0.1225</v>
      </c>
      <c r="Q538" s="48">
        <v>1</v>
      </c>
      <c r="R538" s="22">
        <f t="shared" si="182"/>
        <v>4000000</v>
      </c>
      <c r="S538" s="47">
        <v>0.1225</v>
      </c>
      <c r="T538" s="562">
        <v>120821.91780821918</v>
      </c>
      <c r="U538" s="563"/>
      <c r="V538" s="29">
        <f t="shared" si="183"/>
        <v>120821.91780821918</v>
      </c>
    </row>
    <row r="539" spans="1:31" s="29" customFormat="1" ht="33" customHeight="1" x14ac:dyDescent="0.3">
      <c r="A539" s="648" t="s">
        <v>258</v>
      </c>
      <c r="B539" s="92"/>
      <c r="C539" s="554"/>
      <c r="D539" s="736">
        <v>44861</v>
      </c>
      <c r="E539" s="736">
        <v>44956</v>
      </c>
      <c r="F539" s="16">
        <v>1820</v>
      </c>
      <c r="G539" s="16">
        <f t="shared" si="179"/>
        <v>648</v>
      </c>
      <c r="H539" s="16"/>
      <c r="I539" s="16"/>
      <c r="J539" s="736">
        <f>D539+743</f>
        <v>45604</v>
      </c>
      <c r="K539" s="736">
        <f t="shared" si="180"/>
        <v>45046</v>
      </c>
      <c r="L539" s="46">
        <f>4000000-1000000-1000000</f>
        <v>2000000</v>
      </c>
      <c r="M539" s="18"/>
      <c r="N539" s="46">
        <v>4000000</v>
      </c>
      <c r="O539" s="20">
        <f t="shared" si="181"/>
        <v>434958.90410958906</v>
      </c>
      <c r="P539" s="47">
        <v>0.1225</v>
      </c>
      <c r="Q539" s="48">
        <v>1</v>
      </c>
      <c r="R539" s="22">
        <f t="shared" si="182"/>
        <v>2000000</v>
      </c>
      <c r="S539" s="47">
        <v>0.1225</v>
      </c>
      <c r="T539" s="562">
        <v>60410.95890410959</v>
      </c>
      <c r="U539" s="563"/>
      <c r="V539" s="29">
        <f t="shared" si="183"/>
        <v>60410.95890410959</v>
      </c>
    </row>
    <row r="540" spans="1:31" s="29" customFormat="1" ht="33" customHeight="1" x14ac:dyDescent="0.3">
      <c r="A540" s="648" t="s">
        <v>265</v>
      </c>
      <c r="B540" s="92"/>
      <c r="C540" s="554"/>
      <c r="D540" s="736">
        <v>44861</v>
      </c>
      <c r="E540" s="736">
        <v>44956</v>
      </c>
      <c r="F540" s="16">
        <v>1820</v>
      </c>
      <c r="G540" s="16">
        <f t="shared" si="179"/>
        <v>648</v>
      </c>
      <c r="H540" s="16"/>
      <c r="I540" s="16"/>
      <c r="J540" s="736">
        <f>D540+743</f>
        <v>45604</v>
      </c>
      <c r="K540" s="736">
        <f t="shared" si="180"/>
        <v>45046</v>
      </c>
      <c r="L540" s="46">
        <f>4000000-1000000</f>
        <v>3000000</v>
      </c>
      <c r="M540" s="18"/>
      <c r="N540" s="46">
        <v>4000000</v>
      </c>
      <c r="O540" s="20">
        <f t="shared" si="181"/>
        <v>652438.35616438359</v>
      </c>
      <c r="P540" s="47">
        <v>0.1225</v>
      </c>
      <c r="Q540" s="48">
        <v>1</v>
      </c>
      <c r="R540" s="22">
        <f t="shared" si="182"/>
        <v>3000000</v>
      </c>
      <c r="S540" s="47">
        <v>0.1225</v>
      </c>
      <c r="T540" s="562">
        <v>90616.438356164392</v>
      </c>
      <c r="U540" s="563"/>
      <c r="V540" s="29">
        <f t="shared" si="183"/>
        <v>90616.438356164392</v>
      </c>
    </row>
    <row r="541" spans="1:31" s="29" customFormat="1" ht="33" customHeight="1" x14ac:dyDescent="0.3">
      <c r="A541" s="648" t="s">
        <v>308</v>
      </c>
      <c r="B541" s="92"/>
      <c r="C541" s="554"/>
      <c r="D541" s="736">
        <v>44861</v>
      </c>
      <c r="E541" s="736">
        <v>44956</v>
      </c>
      <c r="F541" s="16">
        <v>1820</v>
      </c>
      <c r="G541" s="16">
        <f t="shared" si="179"/>
        <v>648</v>
      </c>
      <c r="H541" s="16"/>
      <c r="I541" s="16"/>
      <c r="J541" s="736">
        <f>D541+743</f>
        <v>45604</v>
      </c>
      <c r="K541" s="736">
        <f t="shared" si="180"/>
        <v>45046</v>
      </c>
      <c r="L541" s="46">
        <f>3000000-1000000</f>
        <v>2000000</v>
      </c>
      <c r="M541" s="18"/>
      <c r="N541" s="46">
        <v>3000000</v>
      </c>
      <c r="O541" s="20">
        <f t="shared" si="181"/>
        <v>434958.90410958906</v>
      </c>
      <c r="P541" s="47">
        <v>0.1225</v>
      </c>
      <c r="Q541" s="48">
        <v>1</v>
      </c>
      <c r="R541" s="22">
        <f t="shared" si="182"/>
        <v>2000000</v>
      </c>
      <c r="S541" s="47">
        <v>0.1225</v>
      </c>
      <c r="T541" s="562">
        <v>60410.95890410959</v>
      </c>
      <c r="U541" s="563"/>
      <c r="V541" s="29">
        <f t="shared" si="183"/>
        <v>60410.95890410959</v>
      </c>
    </row>
    <row r="542" spans="1:31" s="29" customFormat="1" ht="33" customHeight="1" x14ac:dyDescent="0.3">
      <c r="A542" s="648" t="s">
        <v>318</v>
      </c>
      <c r="B542" s="92"/>
      <c r="C542" s="554"/>
      <c r="D542" s="736">
        <v>44874</v>
      </c>
      <c r="E542" s="736">
        <v>44956</v>
      </c>
      <c r="F542" s="16">
        <v>1820</v>
      </c>
      <c r="G542" s="16">
        <f t="shared" si="179"/>
        <v>648</v>
      </c>
      <c r="H542" s="16"/>
      <c r="I542" s="16"/>
      <c r="J542" s="736">
        <f>D542+730</f>
        <v>45604</v>
      </c>
      <c r="K542" s="736">
        <f t="shared" si="180"/>
        <v>45046</v>
      </c>
      <c r="L542" s="46">
        <v>3000000</v>
      </c>
      <c r="M542" s="18"/>
      <c r="N542" s="46">
        <v>3000000</v>
      </c>
      <c r="O542" s="20">
        <f t="shared" si="181"/>
        <v>652438.35616438359</v>
      </c>
      <c r="P542" s="47">
        <v>0.1225</v>
      </c>
      <c r="Q542" s="48">
        <v>1</v>
      </c>
      <c r="R542" s="22">
        <f t="shared" si="182"/>
        <v>3000000</v>
      </c>
      <c r="S542" s="47">
        <v>0.1225</v>
      </c>
      <c r="T542" s="562">
        <v>90616.438356164392</v>
      </c>
      <c r="U542" s="563"/>
      <c r="V542" s="29">
        <f t="shared" si="183"/>
        <v>90616.438356164392</v>
      </c>
    </row>
    <row r="543" spans="1:31" s="29" customFormat="1" ht="33" customHeight="1" x14ac:dyDescent="0.3">
      <c r="A543" s="648" t="s">
        <v>322</v>
      </c>
      <c r="B543" s="92"/>
      <c r="C543" s="554"/>
      <c r="D543" s="736">
        <v>44916</v>
      </c>
      <c r="E543" s="736">
        <v>44956</v>
      </c>
      <c r="F543" s="16">
        <v>1820</v>
      </c>
      <c r="G543" s="16">
        <f t="shared" si="179"/>
        <v>648</v>
      </c>
      <c r="H543" s="16"/>
      <c r="I543" s="16"/>
      <c r="J543" s="736">
        <f>D543+688</f>
        <v>45604</v>
      </c>
      <c r="K543" s="736">
        <f t="shared" si="180"/>
        <v>45046</v>
      </c>
      <c r="L543" s="46">
        <v>6000000</v>
      </c>
      <c r="M543" s="18"/>
      <c r="N543" s="46">
        <v>6000000</v>
      </c>
      <c r="O543" s="20">
        <f t="shared" si="181"/>
        <v>1304876.7123287672</v>
      </c>
      <c r="P543" s="47">
        <v>0.1225</v>
      </c>
      <c r="Q543" s="48">
        <v>1</v>
      </c>
      <c r="R543" s="22">
        <f t="shared" si="182"/>
        <v>6000000</v>
      </c>
      <c r="S543" s="47">
        <v>0.1225</v>
      </c>
      <c r="T543" s="562">
        <f>181232.876712329-12417.76</f>
        <v>168815.11671232898</v>
      </c>
      <c r="U543" s="563"/>
      <c r="V543" s="29">
        <f t="shared" si="183"/>
        <v>168815.11671232898</v>
      </c>
    </row>
    <row r="544" spans="1:31" s="29" customFormat="1" ht="23.5" customHeight="1" x14ac:dyDescent="0.25">
      <c r="A544" s="91"/>
      <c r="B544" s="92"/>
      <c r="C544" s="92"/>
      <c r="D544" s="736"/>
      <c r="E544" s="736"/>
      <c r="F544" s="16"/>
      <c r="G544" s="16"/>
      <c r="H544" s="16"/>
      <c r="I544" s="16"/>
      <c r="J544" s="736"/>
      <c r="K544" s="736"/>
      <c r="L544" s="46"/>
      <c r="M544" s="18"/>
      <c r="N544" s="46"/>
      <c r="O544" s="20"/>
      <c r="P544" s="47"/>
      <c r="Q544" s="47"/>
      <c r="R544" s="19"/>
      <c r="S544" s="47"/>
      <c r="T544" s="562"/>
      <c r="U544" s="28"/>
      <c r="V544" s="13"/>
      <c r="W544" s="13"/>
      <c r="Z544" s="30"/>
      <c r="AA544" s="30"/>
      <c r="AB544" s="30"/>
      <c r="AE544" s="30"/>
    </row>
    <row r="545" spans="1:31" s="81" customFormat="1" ht="23.5" customHeight="1" thickBot="1" x14ac:dyDescent="0.3">
      <c r="A545" s="91" t="s">
        <v>208</v>
      </c>
      <c r="B545" s="92"/>
      <c r="C545" s="92"/>
      <c r="D545" s="77"/>
      <c r="E545" s="77"/>
      <c r="F545" s="7"/>
      <c r="G545" s="783"/>
      <c r="H545" s="7"/>
      <c r="I545" s="7"/>
      <c r="J545" s="77"/>
      <c r="K545" s="77"/>
      <c r="L545" s="97">
        <f t="shared" ref="L545:V545" si="184">SUM(L519:L544)</f>
        <v>74000000</v>
      </c>
      <c r="M545" s="97">
        <f t="shared" si="184"/>
        <v>0</v>
      </c>
      <c r="N545" s="97">
        <f t="shared" si="184"/>
        <v>112000000</v>
      </c>
      <c r="O545" s="97">
        <f t="shared" si="184"/>
        <v>17102342.465753425</v>
      </c>
      <c r="P545" s="97">
        <f t="shared" si="184"/>
        <v>2.9400000000000008</v>
      </c>
      <c r="Q545" s="97">
        <f t="shared" si="184"/>
        <v>24</v>
      </c>
      <c r="R545" s="97">
        <f t="shared" si="184"/>
        <v>74000000</v>
      </c>
      <c r="S545" s="97">
        <f t="shared" si="184"/>
        <v>2.9400000000000008</v>
      </c>
      <c r="T545" s="97">
        <f t="shared" si="184"/>
        <v>2160026.9834246575</v>
      </c>
      <c r="U545" s="97">
        <f t="shared" si="184"/>
        <v>648746.57534246577</v>
      </c>
      <c r="V545" s="97">
        <f t="shared" si="184"/>
        <v>1511280.4080821921</v>
      </c>
      <c r="W545" s="80"/>
      <c r="Z545" s="82"/>
      <c r="AA545" s="82"/>
      <c r="AB545" s="82"/>
      <c r="AE545" s="82"/>
    </row>
  </sheetData>
  <sortState ref="A387:AE450">
    <sortCondition ref="K387:K450"/>
  </sortState>
  <printOptions horizontalCentered="1" gridLines="1"/>
  <pageMargins left="0.31496062992125984" right="0.15748031496062992" top="0.78740157480314965" bottom="0.98425196850393704" header="0.51181102362204722" footer="0.51181102362204722"/>
  <pageSetup paperSize="8" scale="64" fitToHeight="0" orientation="landscape" r:id="rId1"/>
  <headerFooter alignWithMargins="0">
    <oddHeader>&amp;R&amp;"Arial,Bold"&amp;20Appendix 4A</oddHeader>
  </headerFooter>
  <rowBreaks count="4" manualBreakCount="4">
    <brk id="50" max="21" man="1"/>
    <brk id="102" max="21" man="1"/>
    <brk id="454" max="21" man="1"/>
    <brk id="490" max="21" man="1"/>
  </rowBreak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>
    <pageSetUpPr fitToPage="1"/>
  </sheetPr>
  <dimension ref="A1:M43"/>
  <sheetViews>
    <sheetView view="pageBreakPreview" topLeftCell="A4" zoomScale="99" zoomScaleNormal="100" zoomScaleSheetLayoutView="99" workbookViewId="0">
      <selection activeCell="A25" sqref="A25:XFD33"/>
    </sheetView>
  </sheetViews>
  <sheetFormatPr defaultColWidth="9.1796875" defaultRowHeight="12.5" x14ac:dyDescent="0.25"/>
  <cols>
    <col min="1" max="1" width="29" style="139" customWidth="1"/>
    <col min="2" max="2" width="12.1796875" style="139" customWidth="1"/>
    <col min="3" max="3" width="14.81640625" style="139" customWidth="1"/>
    <col min="4" max="4" width="17.1796875" style="140" customWidth="1"/>
    <col min="5" max="5" width="26.81640625" style="528" customWidth="1"/>
    <col min="6" max="6" width="24.1796875" style="528" customWidth="1"/>
    <col min="7" max="7" width="26.54296875" style="528" bestFit="1" customWidth="1"/>
    <col min="8" max="11" width="27.1796875" style="528" customWidth="1"/>
    <col min="12" max="12" width="36.1796875" style="528" bestFit="1" customWidth="1"/>
    <col min="13" max="13" width="17.54296875" style="139" bestFit="1" customWidth="1"/>
    <col min="14" max="16384" width="9.1796875" style="139"/>
  </cols>
  <sheetData>
    <row r="1" spans="1:13" s="102" customFormat="1" ht="15.5" x14ac:dyDescent="0.35">
      <c r="A1" s="105" t="s">
        <v>16</v>
      </c>
      <c r="B1" s="106"/>
      <c r="C1" s="107"/>
      <c r="D1" s="108"/>
      <c r="E1" s="510"/>
      <c r="F1" s="511"/>
      <c r="G1" s="511"/>
      <c r="H1" s="510"/>
      <c r="I1" s="510"/>
      <c r="J1" s="510"/>
      <c r="K1" s="510"/>
      <c r="L1" s="509"/>
    </row>
    <row r="2" spans="1:13" s="102" customFormat="1" ht="15.5" x14ac:dyDescent="0.35">
      <c r="A2" s="105" t="s">
        <v>147</v>
      </c>
      <c r="B2" s="106"/>
      <c r="C2" s="107"/>
      <c r="D2" s="108"/>
      <c r="E2" s="510"/>
      <c r="F2" s="511"/>
      <c r="G2" s="511"/>
      <c r="H2" s="510"/>
      <c r="I2" s="510"/>
      <c r="J2" s="510"/>
      <c r="K2" s="510"/>
      <c r="L2" s="509"/>
    </row>
    <row r="3" spans="1:13" s="104" customFormat="1" ht="22.5" customHeight="1" x14ac:dyDescent="0.35">
      <c r="A3" s="109" t="str">
        <f>DATE!A3</f>
        <v>AT 30TH JUNE 2023</v>
      </c>
      <c r="B3" s="109"/>
      <c r="C3" s="102"/>
      <c r="D3" s="103"/>
      <c r="E3" s="509"/>
      <c r="F3" s="509"/>
      <c r="G3" s="509"/>
      <c r="H3" s="509"/>
      <c r="I3" s="509"/>
      <c r="J3" s="509"/>
      <c r="K3" s="509"/>
      <c r="L3" s="531">
        <f>DATE!A1</f>
        <v>45107</v>
      </c>
    </row>
    <row r="4" spans="1:13" s="104" customFormat="1" ht="22.5" customHeight="1" x14ac:dyDescent="0.35">
      <c r="A4" s="105" t="s">
        <v>148</v>
      </c>
      <c r="B4" s="105"/>
      <c r="C4" s="102"/>
      <c r="D4" s="103"/>
      <c r="E4" s="509"/>
      <c r="F4" s="509"/>
      <c r="G4" s="509"/>
      <c r="H4" s="509"/>
      <c r="I4" s="509"/>
      <c r="J4" s="509"/>
      <c r="K4" s="123"/>
      <c r="L4" s="509"/>
    </row>
    <row r="5" spans="1:13" s="114" customFormat="1" ht="29.25" customHeight="1" x14ac:dyDescent="0.35">
      <c r="A5" s="112" t="s">
        <v>18</v>
      </c>
      <c r="B5" s="112" t="s">
        <v>34</v>
      </c>
      <c r="C5" s="112" t="s">
        <v>20</v>
      </c>
      <c r="D5" s="113" t="s">
        <v>21</v>
      </c>
      <c r="E5" s="512" t="s">
        <v>23</v>
      </c>
      <c r="F5" s="512" t="s">
        <v>24</v>
      </c>
      <c r="G5" s="513" t="s">
        <v>25</v>
      </c>
      <c r="H5" s="514" t="s">
        <v>100</v>
      </c>
      <c r="I5" s="514" t="s">
        <v>115</v>
      </c>
      <c r="J5" s="514" t="s">
        <v>115</v>
      </c>
      <c r="K5" s="514" t="s">
        <v>115</v>
      </c>
      <c r="L5" s="513" t="s">
        <v>114</v>
      </c>
    </row>
    <row r="6" spans="1:13" s="114" customFormat="1" ht="22.5" customHeight="1" x14ac:dyDescent="0.35">
      <c r="A6" s="115" t="s">
        <v>30</v>
      </c>
      <c r="B6" s="115" t="s">
        <v>19</v>
      </c>
      <c r="C6" s="115" t="s">
        <v>33</v>
      </c>
      <c r="D6" s="116" t="s">
        <v>19</v>
      </c>
      <c r="E6" s="515" t="s">
        <v>34</v>
      </c>
      <c r="F6" s="515" t="s">
        <v>31</v>
      </c>
      <c r="G6" s="516" t="s">
        <v>101</v>
      </c>
      <c r="H6" s="517" t="s">
        <v>118</v>
      </c>
      <c r="I6" s="517" t="s">
        <v>327</v>
      </c>
      <c r="J6" s="517" t="s">
        <v>326</v>
      </c>
      <c r="K6" s="517" t="s">
        <v>116</v>
      </c>
      <c r="L6" s="516" t="str">
        <f>DATE!A3</f>
        <v>AT 30TH JUNE 2023</v>
      </c>
    </row>
    <row r="7" spans="1:13" s="102" customFormat="1" ht="22.5" customHeight="1" x14ac:dyDescent="0.35">
      <c r="A7" s="117"/>
      <c r="B7" s="118"/>
      <c r="C7" s="119"/>
      <c r="D7" s="118"/>
      <c r="E7" s="121"/>
      <c r="F7" s="120"/>
      <c r="G7" s="120"/>
      <c r="H7" s="121"/>
      <c r="I7" s="121"/>
      <c r="J7" s="121"/>
      <c r="K7" s="121"/>
      <c r="L7" s="123"/>
      <c r="M7" s="509"/>
    </row>
    <row r="8" spans="1:13" s="102" customFormat="1" ht="22.5" customHeight="1" x14ac:dyDescent="0.35">
      <c r="A8" s="117" t="s">
        <v>303</v>
      </c>
      <c r="B8" s="118">
        <v>44578</v>
      </c>
      <c r="C8" s="119">
        <v>364</v>
      </c>
      <c r="D8" s="118">
        <f>+B8+C8</f>
        <v>44942</v>
      </c>
      <c r="E8" s="121">
        <v>20000000</v>
      </c>
      <c r="F8" s="120">
        <v>18273600</v>
      </c>
      <c r="G8" s="120">
        <f>E8-F8</f>
        <v>1726400</v>
      </c>
      <c r="H8" s="121">
        <v>0</v>
      </c>
      <c r="I8" s="121">
        <v>1655257.142857143</v>
      </c>
      <c r="J8" s="121">
        <f>+K8-I8</f>
        <v>71142.857142857043</v>
      </c>
      <c r="K8" s="121">
        <v>1726400</v>
      </c>
      <c r="L8" s="123">
        <f>+E8-H8</f>
        <v>20000000</v>
      </c>
    </row>
    <row r="9" spans="1:13" s="102" customFormat="1" ht="22.5" customHeight="1" x14ac:dyDescent="0.35">
      <c r="A9" s="117" t="s">
        <v>304</v>
      </c>
      <c r="B9" s="118">
        <v>44578</v>
      </c>
      <c r="C9" s="119">
        <v>364</v>
      </c>
      <c r="D9" s="118">
        <f>+B9+C9</f>
        <v>44942</v>
      </c>
      <c r="E9" s="121">
        <v>60000000</v>
      </c>
      <c r="F9" s="120">
        <v>54832800</v>
      </c>
      <c r="G9" s="120">
        <f>E9-F9</f>
        <v>5167200</v>
      </c>
      <c r="H9" s="121">
        <v>0</v>
      </c>
      <c r="I9" s="121">
        <v>4954265.9340659343</v>
      </c>
      <c r="J9" s="121">
        <f>+K9-I9</f>
        <v>212934.06593406573</v>
      </c>
      <c r="K9" s="121">
        <v>5167200</v>
      </c>
      <c r="L9" s="123">
        <f>+E9-H9</f>
        <v>60000000</v>
      </c>
    </row>
    <row r="10" spans="1:13" s="102" customFormat="1" ht="22.5" customHeight="1" x14ac:dyDescent="0.35">
      <c r="A10" s="117" t="s">
        <v>305</v>
      </c>
      <c r="B10" s="118">
        <v>44578</v>
      </c>
      <c r="C10" s="119">
        <v>364</v>
      </c>
      <c r="D10" s="118">
        <f>+B10+C10</f>
        <v>44942</v>
      </c>
      <c r="E10" s="121">
        <v>60000000</v>
      </c>
      <c r="F10" s="120">
        <v>54817800</v>
      </c>
      <c r="G10" s="120">
        <f>E10-F10</f>
        <v>5182200</v>
      </c>
      <c r="H10" s="121">
        <v>0</v>
      </c>
      <c r="I10" s="121">
        <v>4968647.8021978028</v>
      </c>
      <c r="J10" s="121">
        <f>+K10-I10</f>
        <v>213552.19780219719</v>
      </c>
      <c r="K10" s="121">
        <v>5182200</v>
      </c>
      <c r="L10" s="123">
        <f>+E10-H10</f>
        <v>60000000</v>
      </c>
    </row>
    <row r="11" spans="1:13" s="102" customFormat="1" ht="22.5" customHeight="1" x14ac:dyDescent="0.35">
      <c r="A11" s="117" t="s">
        <v>306</v>
      </c>
      <c r="B11" s="118">
        <v>44578</v>
      </c>
      <c r="C11" s="119">
        <v>364</v>
      </c>
      <c r="D11" s="118">
        <f>+B11+C11</f>
        <v>44942</v>
      </c>
      <c r="E11" s="121">
        <v>60000000</v>
      </c>
      <c r="F11" s="120">
        <v>54807600</v>
      </c>
      <c r="G11" s="120">
        <f>E11-F11</f>
        <v>5192400</v>
      </c>
      <c r="H11" s="121">
        <v>0</v>
      </c>
      <c r="I11" s="121">
        <v>4978427.4725274723</v>
      </c>
      <c r="J11" s="121">
        <f>+K11-I11</f>
        <v>213972.5274725277</v>
      </c>
      <c r="K11" s="121">
        <v>5192400</v>
      </c>
      <c r="L11" s="123">
        <f>+E11-H11</f>
        <v>60000000</v>
      </c>
    </row>
    <row r="12" spans="1:13" s="104" customFormat="1" ht="22.5" customHeight="1" x14ac:dyDescent="0.35">
      <c r="A12" s="105"/>
      <c r="B12" s="105"/>
      <c r="C12" s="102"/>
      <c r="D12" s="103"/>
      <c r="E12" s="509"/>
      <c r="F12" s="509"/>
      <c r="G12" s="509"/>
      <c r="H12" s="509"/>
      <c r="I12" s="509"/>
      <c r="J12" s="509"/>
      <c r="K12" s="123"/>
      <c r="L12" s="509"/>
    </row>
    <row r="13" spans="1:13" s="122" customFormat="1" ht="22.5" customHeight="1" thickBot="1" x14ac:dyDescent="0.4">
      <c r="A13" s="105" t="s">
        <v>149</v>
      </c>
      <c r="B13" s="105"/>
      <c r="C13" s="105"/>
      <c r="D13" s="110"/>
      <c r="E13" s="518">
        <f>SUM(E8:E12)</f>
        <v>200000000</v>
      </c>
      <c r="F13" s="518">
        <f t="shared" ref="F13:L13" si="0">SUM(F8:F12)</f>
        <v>182731800</v>
      </c>
      <c r="G13" s="518">
        <f t="shared" si="0"/>
        <v>17268200</v>
      </c>
      <c r="H13" s="518">
        <f t="shared" si="0"/>
        <v>0</v>
      </c>
      <c r="I13" s="518">
        <f t="shared" si="0"/>
        <v>16556598.351648351</v>
      </c>
      <c r="J13" s="518">
        <f t="shared" si="0"/>
        <v>711601.64835164766</v>
      </c>
      <c r="K13" s="518">
        <f t="shared" si="0"/>
        <v>17268200</v>
      </c>
      <c r="L13" s="518">
        <f t="shared" si="0"/>
        <v>200000000</v>
      </c>
      <c r="M13" s="518">
        <f>SUM(M12:M12)</f>
        <v>0</v>
      </c>
    </row>
    <row r="14" spans="1:13" s="104" customFormat="1" ht="22.5" customHeight="1" thickTop="1" x14ac:dyDescent="0.35">
      <c r="A14" s="105"/>
      <c r="B14" s="105"/>
      <c r="C14" s="102"/>
      <c r="D14" s="103"/>
      <c r="E14" s="509"/>
      <c r="F14" s="509"/>
      <c r="G14" s="509"/>
      <c r="H14" s="509"/>
      <c r="I14" s="509"/>
      <c r="J14" s="509"/>
      <c r="K14" s="123"/>
      <c r="L14" s="509"/>
    </row>
    <row r="15" spans="1:13" s="102" customFormat="1" ht="22.5" customHeight="1" x14ac:dyDescent="0.35">
      <c r="A15" s="117" t="s">
        <v>303</v>
      </c>
      <c r="B15" s="118">
        <v>44578</v>
      </c>
      <c r="C15" s="119">
        <v>364</v>
      </c>
      <c r="D15" s="118">
        <f>+B15+C15</f>
        <v>44942</v>
      </c>
      <c r="E15" s="121">
        <v>20000000</v>
      </c>
      <c r="F15" s="120">
        <v>18273600</v>
      </c>
      <c r="G15" s="120">
        <f>E15-F15</f>
        <v>1726400</v>
      </c>
      <c r="H15" s="121">
        <v>0</v>
      </c>
      <c r="I15" s="121">
        <v>1655257.142857143</v>
      </c>
      <c r="J15" s="121">
        <f>+K15-I15</f>
        <v>71142.857142857043</v>
      </c>
      <c r="K15" s="121">
        <v>1726400</v>
      </c>
      <c r="L15" s="123">
        <f>+E15-H15</f>
        <v>20000000</v>
      </c>
    </row>
    <row r="16" spans="1:13" s="102" customFormat="1" ht="22.5" customHeight="1" x14ac:dyDescent="0.35">
      <c r="A16" s="117"/>
      <c r="B16" s="118"/>
      <c r="C16" s="119"/>
      <c r="D16" s="118"/>
      <c r="E16" s="121"/>
      <c r="F16" s="120"/>
      <c r="G16" s="120"/>
      <c r="H16" s="121"/>
      <c r="I16" s="121"/>
      <c r="J16" s="121"/>
      <c r="K16" s="121"/>
      <c r="L16" s="123"/>
      <c r="M16" s="628"/>
    </row>
    <row r="17" spans="1:13" s="104" customFormat="1" ht="22.5" customHeight="1" thickBot="1" x14ac:dyDescent="0.4">
      <c r="A17" s="105" t="s">
        <v>150</v>
      </c>
      <c r="B17" s="105"/>
      <c r="C17" s="102"/>
      <c r="D17" s="103"/>
      <c r="E17" s="518">
        <f t="shared" ref="E17:M17" si="1">SUM(E15:E16)</f>
        <v>20000000</v>
      </c>
      <c r="F17" s="518">
        <f t="shared" si="1"/>
        <v>18273600</v>
      </c>
      <c r="G17" s="518">
        <f t="shared" si="1"/>
        <v>1726400</v>
      </c>
      <c r="H17" s="518">
        <f t="shared" si="1"/>
        <v>0</v>
      </c>
      <c r="I17" s="518">
        <f t="shared" si="1"/>
        <v>1655257.142857143</v>
      </c>
      <c r="J17" s="518">
        <f t="shared" si="1"/>
        <v>71142.857142857043</v>
      </c>
      <c r="K17" s="518">
        <f t="shared" si="1"/>
        <v>1726400</v>
      </c>
      <c r="L17" s="518">
        <f t="shared" si="1"/>
        <v>20000000</v>
      </c>
      <c r="M17" s="518">
        <f t="shared" si="1"/>
        <v>0</v>
      </c>
    </row>
    <row r="18" spans="1:13" s="104" customFormat="1" ht="22.5" customHeight="1" thickTop="1" x14ac:dyDescent="0.35">
      <c r="A18" s="105"/>
      <c r="B18" s="105"/>
      <c r="C18" s="102"/>
      <c r="D18" s="103"/>
      <c r="E18" s="509"/>
      <c r="F18" s="509"/>
      <c r="G18" s="509"/>
      <c r="H18" s="509"/>
      <c r="I18" s="509"/>
      <c r="J18" s="509"/>
      <c r="K18" s="123"/>
      <c r="L18" s="509"/>
    </row>
    <row r="19" spans="1:13" s="122" customFormat="1" ht="22.5" customHeight="1" thickBot="1" x14ac:dyDescent="0.4">
      <c r="A19" s="105"/>
      <c r="B19" s="105"/>
      <c r="C19" s="105"/>
      <c r="D19" s="110"/>
      <c r="E19" s="518">
        <f t="shared" ref="E19:M19" si="2">+E17+E13</f>
        <v>220000000</v>
      </c>
      <c r="F19" s="518">
        <f t="shared" si="2"/>
        <v>201005400</v>
      </c>
      <c r="G19" s="518">
        <f t="shared" si="2"/>
        <v>18994600</v>
      </c>
      <c r="H19" s="518">
        <f t="shared" si="2"/>
        <v>0</v>
      </c>
      <c r="I19" s="518">
        <f t="shared" si="2"/>
        <v>18211855.494505495</v>
      </c>
      <c r="J19" s="518">
        <f t="shared" si="2"/>
        <v>782744.5054945047</v>
      </c>
      <c r="K19" s="518">
        <f t="shared" si="2"/>
        <v>18994600</v>
      </c>
      <c r="L19" s="518">
        <f t="shared" si="2"/>
        <v>220000000</v>
      </c>
      <c r="M19" s="518">
        <f t="shared" si="2"/>
        <v>0</v>
      </c>
    </row>
    <row r="20" spans="1:13" s="104" customFormat="1" ht="22.5" customHeight="1" thickTop="1" x14ac:dyDescent="0.35">
      <c r="A20" s="105"/>
      <c r="B20" s="105"/>
      <c r="C20" s="102"/>
      <c r="D20" s="103"/>
      <c r="E20" s="509">
        <f t="shared" ref="E20:L20" si="3">+E13+E17-E19</f>
        <v>0</v>
      </c>
      <c r="F20" s="509">
        <f t="shared" si="3"/>
        <v>0</v>
      </c>
      <c r="G20" s="509">
        <f t="shared" si="3"/>
        <v>0</v>
      </c>
      <c r="H20" s="509">
        <f t="shared" si="3"/>
        <v>0</v>
      </c>
      <c r="I20" s="509">
        <f t="shared" si="3"/>
        <v>0</v>
      </c>
      <c r="J20" s="509">
        <f t="shared" si="3"/>
        <v>0</v>
      </c>
      <c r="K20" s="509">
        <f t="shared" si="3"/>
        <v>0</v>
      </c>
      <c r="L20" s="509">
        <f t="shared" si="3"/>
        <v>0</v>
      </c>
    </row>
    <row r="21" spans="1:13" s="104" customFormat="1" ht="28.5" customHeight="1" x14ac:dyDescent="0.35">
      <c r="A21" s="124" t="s">
        <v>99</v>
      </c>
      <c r="B21" s="124"/>
      <c r="C21" s="102"/>
      <c r="D21" s="103"/>
      <c r="E21" s="509"/>
      <c r="F21" s="509"/>
      <c r="G21" s="509"/>
      <c r="H21" s="509"/>
      <c r="I21" s="509"/>
      <c r="J21" s="509"/>
      <c r="K21" s="509"/>
      <c r="L21" s="509"/>
    </row>
    <row r="22" spans="1:13" s="104" customFormat="1" ht="22.5" customHeight="1" x14ac:dyDescent="0.35">
      <c r="A22" s="105"/>
      <c r="B22" s="105"/>
      <c r="C22" s="102"/>
      <c r="D22" s="103"/>
      <c r="E22" s="509"/>
      <c r="F22" s="509"/>
      <c r="G22" s="509"/>
      <c r="H22" s="509"/>
      <c r="I22" s="509"/>
      <c r="J22" s="509"/>
      <c r="K22" s="509"/>
      <c r="L22" s="509"/>
    </row>
    <row r="23" spans="1:13" s="114" customFormat="1" ht="29.25" customHeight="1" x14ac:dyDescent="0.35">
      <c r="A23" s="112" t="s">
        <v>18</v>
      </c>
      <c r="B23" s="112" t="s">
        <v>34</v>
      </c>
      <c r="C23" s="112" t="s">
        <v>20</v>
      </c>
      <c r="D23" s="113" t="s">
        <v>21</v>
      </c>
      <c r="E23" s="512" t="s">
        <v>23</v>
      </c>
      <c r="F23" s="512" t="s">
        <v>24</v>
      </c>
      <c r="G23" s="513" t="s">
        <v>25</v>
      </c>
      <c r="H23" s="514" t="s">
        <v>100</v>
      </c>
      <c r="I23" s="514" t="s">
        <v>115</v>
      </c>
      <c r="J23" s="514" t="s">
        <v>115</v>
      </c>
      <c r="K23" s="514" t="s">
        <v>115</v>
      </c>
      <c r="L23" s="513" t="s">
        <v>114</v>
      </c>
    </row>
    <row r="24" spans="1:13" s="114" customFormat="1" ht="22.5" customHeight="1" x14ac:dyDescent="0.35">
      <c r="A24" s="115" t="s">
        <v>30</v>
      </c>
      <c r="B24" s="115" t="s">
        <v>19</v>
      </c>
      <c r="C24" s="115" t="s">
        <v>33</v>
      </c>
      <c r="D24" s="116" t="s">
        <v>19</v>
      </c>
      <c r="E24" s="515" t="s">
        <v>34</v>
      </c>
      <c r="F24" s="515" t="s">
        <v>31</v>
      </c>
      <c r="G24" s="516" t="s">
        <v>101</v>
      </c>
      <c r="H24" s="517" t="s">
        <v>118</v>
      </c>
      <c r="I24" s="517" t="s">
        <v>327</v>
      </c>
      <c r="J24" s="517" t="s">
        <v>326</v>
      </c>
      <c r="K24" s="517" t="s">
        <v>116</v>
      </c>
      <c r="L24" s="516" t="str">
        <f>DATE!A3</f>
        <v>AT 30TH JUNE 2023</v>
      </c>
    </row>
    <row r="25" spans="1:13" s="114" customFormat="1" ht="22.5" customHeight="1" x14ac:dyDescent="0.35">
      <c r="A25" s="677"/>
      <c r="B25" s="678"/>
      <c r="C25" s="678"/>
      <c r="D25" s="679"/>
      <c r="E25" s="680"/>
      <c r="F25" s="680"/>
      <c r="G25" s="681"/>
      <c r="H25" s="682"/>
      <c r="I25" s="682"/>
      <c r="J25" s="682"/>
      <c r="K25" s="682"/>
      <c r="L25" s="681"/>
    </row>
    <row r="26" spans="1:13" s="102" customFormat="1" ht="22.5" customHeight="1" x14ac:dyDescent="0.35">
      <c r="A26" s="129"/>
      <c r="B26" s="556"/>
      <c r="C26" s="125"/>
      <c r="D26" s="126"/>
      <c r="E26" s="519"/>
      <c r="F26" s="127"/>
      <c r="G26" s="127"/>
      <c r="H26" s="128"/>
      <c r="I26" s="128"/>
      <c r="J26" s="128"/>
      <c r="K26" s="128"/>
      <c r="L26" s="130"/>
    </row>
    <row r="27" spans="1:13" s="102" customFormat="1" ht="22.5" customHeight="1" x14ac:dyDescent="0.35">
      <c r="A27" s="129"/>
      <c r="B27" s="631"/>
      <c r="C27" s="125"/>
      <c r="D27" s="126"/>
      <c r="E27" s="519"/>
      <c r="F27" s="127"/>
      <c r="G27" s="127"/>
      <c r="H27" s="128"/>
      <c r="I27" s="128"/>
      <c r="J27" s="128"/>
      <c r="K27" s="128"/>
      <c r="L27" s="130"/>
    </row>
    <row r="28" spans="1:13" s="134" customFormat="1" ht="22.5" customHeight="1" thickBot="1" x14ac:dyDescent="0.4">
      <c r="A28" s="131" t="s">
        <v>151</v>
      </c>
      <c r="B28" s="131"/>
      <c r="C28" s="132"/>
      <c r="D28" s="133"/>
      <c r="E28" s="520">
        <f t="shared" ref="E28:M28" si="4">SUM(E26:E27)</f>
        <v>0</v>
      </c>
      <c r="F28" s="520">
        <f t="shared" si="4"/>
        <v>0</v>
      </c>
      <c r="G28" s="520">
        <f t="shared" si="4"/>
        <v>0</v>
      </c>
      <c r="H28" s="520">
        <f t="shared" si="4"/>
        <v>0</v>
      </c>
      <c r="I28" s="520">
        <f t="shared" si="4"/>
        <v>0</v>
      </c>
      <c r="J28" s="520">
        <f t="shared" si="4"/>
        <v>0</v>
      </c>
      <c r="K28" s="520">
        <f t="shared" si="4"/>
        <v>0</v>
      </c>
      <c r="L28" s="520">
        <f t="shared" si="4"/>
        <v>0</v>
      </c>
      <c r="M28" s="520">
        <f t="shared" si="4"/>
        <v>0</v>
      </c>
    </row>
    <row r="29" spans="1:13" s="104" customFormat="1" ht="22.5" customHeight="1" x14ac:dyDescent="0.35">
      <c r="A29" s="557"/>
      <c r="B29" s="558"/>
      <c r="C29" s="125"/>
      <c r="D29" s="126"/>
      <c r="E29" s="521"/>
      <c r="F29" s="522"/>
      <c r="G29" s="522"/>
      <c r="H29" s="128"/>
      <c r="I29" s="128"/>
      <c r="J29" s="128"/>
      <c r="K29" s="128"/>
      <c r="L29" s="130"/>
    </row>
    <row r="30" spans="1:13" s="102" customFormat="1" ht="22.5" customHeight="1" x14ac:dyDescent="0.35">
      <c r="A30" s="129"/>
      <c r="B30" s="556"/>
      <c r="C30" s="125"/>
      <c r="D30" s="126"/>
      <c r="E30" s="519"/>
      <c r="F30" s="127"/>
      <c r="G30" s="127"/>
      <c r="H30" s="128"/>
      <c r="I30" s="128"/>
      <c r="J30" s="128"/>
      <c r="K30" s="128"/>
      <c r="L30" s="130"/>
    </row>
    <row r="31" spans="1:13" s="102" customFormat="1" ht="22.5" customHeight="1" x14ac:dyDescent="0.35">
      <c r="A31" s="129"/>
      <c r="B31" s="631"/>
      <c r="C31" s="125"/>
      <c r="D31" s="126"/>
      <c r="E31" s="519"/>
      <c r="F31" s="127"/>
      <c r="G31" s="127"/>
      <c r="H31" s="128"/>
      <c r="I31" s="128"/>
      <c r="J31" s="128"/>
      <c r="K31" s="128"/>
      <c r="L31" s="130"/>
    </row>
    <row r="32" spans="1:13" s="134" customFormat="1" ht="22.5" customHeight="1" x14ac:dyDescent="0.35">
      <c r="A32" s="131" t="s">
        <v>117</v>
      </c>
      <c r="B32" s="131"/>
      <c r="C32" s="132"/>
      <c r="D32" s="133"/>
      <c r="E32" s="520">
        <f t="shared" ref="E32:M32" si="5">SUM(E30:E31)</f>
        <v>0</v>
      </c>
      <c r="F32" s="520">
        <f t="shared" si="5"/>
        <v>0</v>
      </c>
      <c r="G32" s="520">
        <f t="shared" si="5"/>
        <v>0</v>
      </c>
      <c r="H32" s="520">
        <f t="shared" si="5"/>
        <v>0</v>
      </c>
      <c r="I32" s="520">
        <f t="shared" si="5"/>
        <v>0</v>
      </c>
      <c r="J32" s="520">
        <f t="shared" si="5"/>
        <v>0</v>
      </c>
      <c r="K32" s="520">
        <f t="shared" si="5"/>
        <v>0</v>
      </c>
      <c r="L32" s="520">
        <f t="shared" si="5"/>
        <v>0</v>
      </c>
      <c r="M32" s="520">
        <f t="shared" si="5"/>
        <v>0</v>
      </c>
    </row>
    <row r="33" spans="1:13" s="102" customFormat="1" ht="22.5" customHeight="1" x14ac:dyDescent="0.35">
      <c r="A33" s="131"/>
      <c r="B33" s="131"/>
      <c r="C33" s="135"/>
      <c r="D33" s="136"/>
      <c r="E33" s="523"/>
      <c r="F33" s="523"/>
      <c r="G33" s="524"/>
      <c r="H33" s="524"/>
      <c r="I33" s="524"/>
      <c r="J33" s="524"/>
      <c r="K33" s="524"/>
      <c r="L33" s="524"/>
    </row>
    <row r="34" spans="1:13" ht="15.5" x14ac:dyDescent="0.35">
      <c r="A34" s="137"/>
      <c r="B34" s="137"/>
      <c r="C34" s="138"/>
      <c r="D34" s="136"/>
      <c r="E34" s="525"/>
      <c r="F34" s="525"/>
      <c r="G34" s="526"/>
      <c r="H34" s="526"/>
      <c r="I34" s="526"/>
      <c r="J34" s="526"/>
      <c r="K34" s="526"/>
      <c r="L34" s="526"/>
    </row>
    <row r="35" spans="1:13" s="134" customFormat="1" ht="22.5" customHeight="1" x14ac:dyDescent="0.35">
      <c r="A35" s="132" t="s">
        <v>72</v>
      </c>
      <c r="B35" s="132"/>
      <c r="C35" s="132"/>
      <c r="D35" s="133"/>
      <c r="E35" s="520">
        <f t="shared" ref="E35:M35" si="6">E32+E28</f>
        <v>0</v>
      </c>
      <c r="F35" s="520">
        <f t="shared" si="6"/>
        <v>0</v>
      </c>
      <c r="G35" s="520">
        <f t="shared" si="6"/>
        <v>0</v>
      </c>
      <c r="H35" s="520">
        <f t="shared" si="6"/>
        <v>0</v>
      </c>
      <c r="I35" s="520">
        <f t="shared" si="6"/>
        <v>0</v>
      </c>
      <c r="J35" s="520">
        <f t="shared" si="6"/>
        <v>0</v>
      </c>
      <c r="K35" s="520">
        <f t="shared" si="6"/>
        <v>0</v>
      </c>
      <c r="L35" s="520">
        <f t="shared" si="6"/>
        <v>0</v>
      </c>
      <c r="M35" s="520">
        <f t="shared" si="6"/>
        <v>0</v>
      </c>
    </row>
    <row r="36" spans="1:13" x14ac:dyDescent="0.25">
      <c r="E36" s="527"/>
      <c r="F36" s="527"/>
      <c r="G36" s="527"/>
      <c r="H36" s="527"/>
      <c r="I36" s="527"/>
      <c r="J36" s="527"/>
      <c r="K36" s="527"/>
      <c r="L36" s="527"/>
      <c r="M36" s="623"/>
    </row>
    <row r="37" spans="1:13" x14ac:dyDescent="0.25">
      <c r="A37" s="11"/>
      <c r="B37" s="11"/>
      <c r="C37" s="11"/>
      <c r="D37" s="11"/>
      <c r="E37" s="527"/>
      <c r="F37" s="527"/>
      <c r="G37" s="527"/>
      <c r="H37" s="527"/>
      <c r="I37" s="527"/>
      <c r="J37" s="527"/>
    </row>
    <row r="38" spans="1:13" x14ac:dyDescent="0.25">
      <c r="A38" s="11"/>
      <c r="B38" s="11"/>
      <c r="C38" s="11"/>
      <c r="D38" s="11"/>
      <c r="E38" s="527"/>
      <c r="F38" s="527"/>
      <c r="G38" s="527"/>
      <c r="H38" s="527"/>
      <c r="I38" s="527"/>
      <c r="J38" s="527"/>
      <c r="M38" s="623"/>
    </row>
    <row r="39" spans="1:13" x14ac:dyDescent="0.25">
      <c r="A39" s="11"/>
      <c r="B39" s="11"/>
      <c r="C39" s="11"/>
      <c r="D39" s="11"/>
      <c r="E39" s="527"/>
      <c r="F39" s="527"/>
      <c r="G39" s="527"/>
      <c r="H39" s="527"/>
      <c r="I39" s="527"/>
      <c r="J39" s="527"/>
    </row>
    <row r="41" spans="1:13" x14ac:dyDescent="0.25">
      <c r="A41" s="11"/>
      <c r="B41" s="11"/>
      <c r="C41" s="11"/>
      <c r="D41" s="11"/>
      <c r="E41" s="527"/>
      <c r="F41" s="527"/>
      <c r="G41" s="527"/>
      <c r="H41" s="527"/>
      <c r="I41" s="527"/>
      <c r="J41" s="527"/>
    </row>
    <row r="43" spans="1:13" ht="13" x14ac:dyDescent="0.3">
      <c r="H43" s="529"/>
      <c r="I43" s="529"/>
      <c r="J43" s="529"/>
      <c r="K43" s="529"/>
    </row>
  </sheetData>
  <sortState ref="A43:M58">
    <sortCondition ref="D43:D58"/>
  </sortState>
  <printOptions horizontalCentered="1" gridLines="1"/>
  <pageMargins left="0.74803149606299213" right="0.74803149606299213" top="0.98425196850393704" bottom="0.98425196850393704" header="0.51181102362204722" footer="0.51181102362204722"/>
  <pageSetup paperSize="9" scale="42" fitToHeight="0" orientation="landscape" r:id="rId1"/>
  <headerFooter alignWithMargins="0"/>
  <rowBreaks count="1" manualBreakCount="1">
    <brk id="20" max="16383" man="1"/>
  </rowBreak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>
    <pageSetUpPr fitToPage="1"/>
  </sheetPr>
  <dimension ref="A1:R287"/>
  <sheetViews>
    <sheetView zoomScale="70" zoomScaleNormal="70" zoomScaleSheetLayoutView="100" workbookViewId="0">
      <pane xSplit="5" ySplit="5" topLeftCell="G247" activePane="bottomRight" state="frozen"/>
      <selection activeCell="L231" sqref="L231"/>
      <selection pane="topRight" activeCell="L231" sqref="L231"/>
      <selection pane="bottomLeft" activeCell="L231" sqref="L231"/>
      <selection pane="bottomRight" activeCell="N213" sqref="N213"/>
    </sheetView>
  </sheetViews>
  <sheetFormatPr defaultColWidth="9.1796875" defaultRowHeight="23.5" customHeight="1" x14ac:dyDescent="0.3"/>
  <cols>
    <col min="1" max="1" width="35" style="148" customWidth="1"/>
    <col min="2" max="2" width="25.453125" style="148" customWidth="1"/>
    <col min="3" max="3" width="16.453125" style="184" bestFit="1" customWidth="1"/>
    <col min="4" max="4" width="23.1796875" style="184" bestFit="1" customWidth="1"/>
    <col min="5" max="5" width="15.81640625" style="148" customWidth="1"/>
    <col min="6" max="6" width="11.81640625" style="148" hidden="1" customWidth="1"/>
    <col min="7" max="7" width="31.08984375" style="157" bestFit="1" customWidth="1"/>
    <col min="8" max="8" width="24.54296875" style="157" bestFit="1" customWidth="1"/>
    <col min="9" max="9" width="24.81640625" style="184" customWidth="1"/>
    <col min="10" max="12" width="21.54296875" style="184" hidden="1" customWidth="1"/>
    <col min="13" max="13" width="19.54296875" style="189" customWidth="1"/>
    <col min="14" max="14" width="23.81640625" style="157" customWidth="1"/>
    <col min="15" max="16" width="21.54296875" style="157" bestFit="1" customWidth="1"/>
    <col min="17" max="17" width="17.7265625" style="157" bestFit="1" customWidth="1"/>
    <col min="18" max="18" width="15.26953125" style="157" bestFit="1" customWidth="1"/>
    <col min="19" max="16384" width="9.1796875" style="157"/>
  </cols>
  <sheetData>
    <row r="1" spans="1:16" s="148" customFormat="1" ht="23.5" customHeight="1" x14ac:dyDescent="0.3">
      <c r="A1" s="141" t="s">
        <v>16</v>
      </c>
      <c r="B1" s="142"/>
      <c r="C1" s="143"/>
      <c r="D1" s="143"/>
      <c r="E1" s="144"/>
      <c r="F1" s="144"/>
      <c r="G1" s="145"/>
      <c r="H1" s="145"/>
      <c r="I1" s="145"/>
      <c r="J1" s="145"/>
      <c r="K1" s="145"/>
      <c r="L1" s="145"/>
      <c r="M1" s="146"/>
      <c r="N1" s="147">
        <f>DATE!A1</f>
        <v>45107</v>
      </c>
      <c r="O1" s="147">
        <v>44926</v>
      </c>
      <c r="P1" s="647" t="s">
        <v>328</v>
      </c>
    </row>
    <row r="2" spans="1:16" ht="23.5" customHeight="1" x14ac:dyDescent="0.3">
      <c r="A2" s="149" t="s">
        <v>81</v>
      </c>
      <c r="B2" s="150"/>
      <c r="C2" s="151"/>
      <c r="D2" s="152"/>
      <c r="E2" s="2"/>
      <c r="F2" s="2"/>
      <c r="G2" s="2"/>
      <c r="H2" s="2"/>
      <c r="I2" s="2"/>
      <c r="J2" s="2"/>
      <c r="K2" s="2"/>
      <c r="L2" s="2"/>
      <c r="M2" s="153"/>
      <c r="N2" s="154"/>
      <c r="O2" s="155" t="s">
        <v>76</v>
      </c>
      <c r="P2" s="156" t="s">
        <v>102</v>
      </c>
    </row>
    <row r="3" spans="1:16" ht="23.5" customHeight="1" x14ac:dyDescent="0.3">
      <c r="A3" s="149" t="str">
        <f>DATE!A3</f>
        <v>AT 30TH JUNE 2023</v>
      </c>
      <c r="B3" s="150"/>
      <c r="C3" s="151"/>
      <c r="D3" s="152"/>
      <c r="E3" s="603"/>
      <c r="F3" s="157"/>
      <c r="G3" s="2"/>
      <c r="H3" s="2"/>
      <c r="I3" s="158"/>
      <c r="J3" s="158"/>
      <c r="K3" s="158"/>
      <c r="L3" s="158"/>
      <c r="M3" s="159"/>
      <c r="P3" s="160"/>
    </row>
    <row r="4" spans="1:16" ht="23.5" customHeight="1" x14ac:dyDescent="0.3">
      <c r="A4" s="161" t="s">
        <v>40</v>
      </c>
      <c r="B4" s="162"/>
      <c r="C4" s="162" t="s">
        <v>78</v>
      </c>
      <c r="D4" s="162" t="s">
        <v>20</v>
      </c>
      <c r="E4" s="162" t="s">
        <v>21</v>
      </c>
      <c r="F4" s="162" t="s">
        <v>178</v>
      </c>
      <c r="G4" s="163" t="s">
        <v>23</v>
      </c>
      <c r="H4" s="163" t="s">
        <v>133</v>
      </c>
      <c r="I4" s="163" t="s">
        <v>25</v>
      </c>
      <c r="J4" s="163"/>
      <c r="K4" s="163"/>
      <c r="L4" s="163"/>
      <c r="M4" s="164" t="s">
        <v>41</v>
      </c>
      <c r="N4" s="163" t="s">
        <v>42</v>
      </c>
      <c r="O4" s="165"/>
      <c r="P4" s="166"/>
    </row>
    <row r="5" spans="1:16" ht="23.5" customHeight="1" x14ac:dyDescent="0.3">
      <c r="A5" s="167" t="s">
        <v>43</v>
      </c>
      <c r="B5" s="168"/>
      <c r="C5" s="168" t="s">
        <v>31</v>
      </c>
      <c r="D5" s="168" t="s">
        <v>33</v>
      </c>
      <c r="E5" s="168" t="s">
        <v>19</v>
      </c>
      <c r="F5" s="168"/>
      <c r="G5" s="169" t="s">
        <v>34</v>
      </c>
      <c r="H5" s="169" t="s">
        <v>31</v>
      </c>
      <c r="I5" s="169" t="s">
        <v>42</v>
      </c>
      <c r="J5" s="169"/>
      <c r="K5" s="169"/>
      <c r="L5" s="169"/>
      <c r="M5" s="170" t="s">
        <v>36</v>
      </c>
      <c r="N5" s="169" t="s">
        <v>38</v>
      </c>
      <c r="O5" s="171"/>
      <c r="P5" s="172"/>
    </row>
    <row r="6" spans="1:16" ht="23.5" customHeight="1" x14ac:dyDescent="0.3">
      <c r="A6" s="173"/>
      <c r="B6" s="187"/>
      <c r="C6" s="175"/>
      <c r="D6" s="151"/>
      <c r="E6" s="175"/>
      <c r="F6" s="175"/>
      <c r="I6" s="157"/>
      <c r="J6" s="157"/>
      <c r="K6" s="157"/>
      <c r="L6" s="157"/>
      <c r="M6" s="159"/>
      <c r="N6" s="2"/>
      <c r="P6" s="160"/>
    </row>
    <row r="7" spans="1:16" s="3" customFormat="1" ht="26.25" customHeight="1" x14ac:dyDescent="0.3">
      <c r="A7" s="183"/>
      <c r="B7" s="148"/>
      <c r="C7" s="184"/>
      <c r="D7" s="184"/>
      <c r="E7" s="148"/>
      <c r="F7" s="148"/>
      <c r="G7" s="201"/>
      <c r="H7" s="201"/>
      <c r="I7" s="201"/>
      <c r="J7" s="202"/>
      <c r="K7" s="202"/>
      <c r="L7" s="202"/>
      <c r="M7" s="189"/>
      <c r="N7" s="157"/>
      <c r="O7" s="157"/>
      <c r="P7" s="160"/>
    </row>
    <row r="8" spans="1:16" ht="23.5" customHeight="1" x14ac:dyDescent="0.3">
      <c r="A8" s="173" t="s">
        <v>146</v>
      </c>
      <c r="B8" s="187"/>
      <c r="C8" s="175">
        <v>44622</v>
      </c>
      <c r="D8" s="151">
        <f>+E8-C8</f>
        <v>329</v>
      </c>
      <c r="E8" s="175">
        <v>44951</v>
      </c>
      <c r="F8" s="175"/>
      <c r="G8" s="157">
        <f>6000+675.37</f>
        <v>6675.37</v>
      </c>
      <c r="H8" s="157">
        <f>G8</f>
        <v>6675.37</v>
      </c>
      <c r="I8" s="157">
        <v>135.79</v>
      </c>
      <c r="J8" s="157"/>
      <c r="K8" s="157"/>
      <c r="L8" s="157"/>
      <c r="M8" s="159">
        <v>2.2499999999999999E-2</v>
      </c>
      <c r="N8" s="2">
        <v>20688.832101575343</v>
      </c>
      <c r="O8" s="157">
        <v>18635.308936779758</v>
      </c>
      <c r="P8" s="160">
        <f>N8-O8</f>
        <v>2053.5231647955843</v>
      </c>
    </row>
    <row r="9" spans="1:16" ht="23.5" customHeight="1" x14ac:dyDescent="0.3">
      <c r="A9" s="183"/>
      <c r="G9" s="201">
        <v>148.48133999999999</v>
      </c>
      <c r="H9" s="201">
        <v>148.48133999999999</v>
      </c>
      <c r="I9" s="201">
        <v>148.48133999999999</v>
      </c>
      <c r="J9" s="202"/>
      <c r="K9" s="202"/>
      <c r="L9" s="202"/>
      <c r="P9" s="160">
        <f>N9-O9</f>
        <v>0</v>
      </c>
    </row>
    <row r="10" spans="1:16" ht="23.5" customHeight="1" x14ac:dyDescent="0.3">
      <c r="A10" s="173" t="s">
        <v>146</v>
      </c>
      <c r="B10" s="187"/>
      <c r="C10" s="175">
        <v>43187</v>
      </c>
      <c r="D10" s="151">
        <f>+E10-C10</f>
        <v>1764</v>
      </c>
      <c r="E10" s="175">
        <v>44951</v>
      </c>
      <c r="F10" s="175"/>
      <c r="G10" s="157">
        <f>7000-5000</f>
        <v>2000</v>
      </c>
      <c r="H10" s="157">
        <f>G10</f>
        <v>2000</v>
      </c>
      <c r="I10" s="157">
        <v>193.32</v>
      </c>
      <c r="J10" s="157"/>
      <c r="K10" s="157"/>
      <c r="L10" s="157"/>
      <c r="M10" s="159">
        <v>0.02</v>
      </c>
      <c r="N10" s="2">
        <v>27604.057906849313</v>
      </c>
      <c r="O10" s="157">
        <v>28313.146520547947</v>
      </c>
      <c r="P10" s="160">
        <f>N10-O10</f>
        <v>-709.08861369863371</v>
      </c>
    </row>
    <row r="11" spans="1:16" ht="23.5" customHeight="1" x14ac:dyDescent="0.3">
      <c r="A11" s="183"/>
      <c r="G11" s="201">
        <v>148.48133999999999</v>
      </c>
      <c r="H11" s="201">
        <v>148.48133999999999</v>
      </c>
      <c r="I11" s="201">
        <v>148.48133999999999</v>
      </c>
      <c r="J11" s="202"/>
      <c r="K11" s="202"/>
      <c r="L11" s="202"/>
      <c r="P11" s="160"/>
    </row>
    <row r="12" spans="1:16" ht="22.5" customHeight="1" x14ac:dyDescent="0.3">
      <c r="A12" s="173"/>
      <c r="B12" s="174"/>
      <c r="C12" s="175"/>
      <c r="D12" s="151"/>
      <c r="E12" s="175"/>
      <c r="F12" s="175"/>
      <c r="G12" s="2"/>
      <c r="H12" s="2"/>
      <c r="I12" s="2"/>
      <c r="J12" s="2"/>
      <c r="K12" s="2"/>
      <c r="L12" s="2"/>
      <c r="M12" s="159"/>
      <c r="N12" s="2"/>
      <c r="P12" s="160"/>
    </row>
    <row r="13" spans="1:16" ht="23.5" customHeight="1" x14ac:dyDescent="0.3">
      <c r="A13" s="178" t="s">
        <v>138</v>
      </c>
      <c r="B13" s="179"/>
      <c r="C13" s="151"/>
      <c r="D13" s="180"/>
      <c r="E13" s="180"/>
      <c r="F13" s="180"/>
      <c r="G13" s="181"/>
      <c r="H13" s="181"/>
      <c r="I13" s="181"/>
      <c r="J13" s="181">
        <f t="shared" ref="J13:P13" si="0">SUM(J6:J12)</f>
        <v>0</v>
      </c>
      <c r="K13" s="181">
        <f t="shared" si="0"/>
        <v>0</v>
      </c>
      <c r="L13" s="181">
        <f t="shared" si="0"/>
        <v>0</v>
      </c>
      <c r="M13" s="181">
        <f t="shared" si="0"/>
        <v>4.2499999999999996E-2</v>
      </c>
      <c r="N13" s="181">
        <f t="shared" si="0"/>
        <v>48292.890008424656</v>
      </c>
      <c r="O13" s="181">
        <f t="shared" si="0"/>
        <v>46948.455457327706</v>
      </c>
      <c r="P13" s="181">
        <f t="shared" si="0"/>
        <v>1344.4345510969506</v>
      </c>
    </row>
    <row r="14" spans="1:16" ht="23.5" customHeight="1" x14ac:dyDescent="0.3">
      <c r="A14" s="183"/>
      <c r="D14" s="185"/>
      <c r="E14" s="157"/>
      <c r="F14" s="157"/>
      <c r="I14" s="152"/>
      <c r="J14" s="152"/>
      <c r="K14" s="152"/>
      <c r="L14" s="152"/>
      <c r="M14" s="186"/>
      <c r="P14" s="156"/>
    </row>
    <row r="15" spans="1:16" ht="23.15" customHeight="1" x14ac:dyDescent="0.3">
      <c r="A15" s="173"/>
      <c r="B15" s="187"/>
      <c r="C15" s="175"/>
      <c r="D15" s="645"/>
      <c r="E15" s="637"/>
      <c r="F15" s="175"/>
      <c r="I15" s="157"/>
      <c r="J15" s="157"/>
      <c r="K15" s="157"/>
      <c r="L15" s="157"/>
      <c r="M15" s="159"/>
      <c r="N15" s="2"/>
      <c r="P15" s="160"/>
    </row>
    <row r="16" spans="1:16" ht="23.15" customHeight="1" x14ac:dyDescent="0.3">
      <c r="A16" s="173" t="s">
        <v>216</v>
      </c>
      <c r="B16" s="187"/>
      <c r="C16" s="175">
        <v>44925</v>
      </c>
      <c r="D16" s="645">
        <f t="shared" ref="D16:D21" si="1">+(E16-C16)</f>
        <v>6</v>
      </c>
      <c r="E16" s="637">
        <v>44931</v>
      </c>
      <c r="F16" s="175"/>
      <c r="G16" s="157">
        <v>36000000</v>
      </c>
      <c r="H16" s="157">
        <f t="shared" ref="H16:H21" si="2">G16</f>
        <v>36000000</v>
      </c>
      <c r="I16" s="157">
        <f t="shared" ref="I16:I21" si="3">G16*M16*D16/365</f>
        <v>47342.465753424658</v>
      </c>
      <c r="J16" s="157"/>
      <c r="K16" s="157"/>
      <c r="L16" s="157"/>
      <c r="M16" s="159">
        <v>0.08</v>
      </c>
      <c r="N16" s="2">
        <v>47342.465753424658</v>
      </c>
      <c r="O16" s="157">
        <v>15780.82191780822</v>
      </c>
      <c r="P16" s="160">
        <f t="shared" ref="P16:P21" si="4">N16-O16</f>
        <v>31561.643835616436</v>
      </c>
    </row>
    <row r="17" spans="1:17" ht="23.15" customHeight="1" x14ac:dyDescent="0.3">
      <c r="A17" s="173" t="s">
        <v>216</v>
      </c>
      <c r="B17" s="187"/>
      <c r="C17" s="175">
        <v>44943</v>
      </c>
      <c r="D17" s="645">
        <f t="shared" si="1"/>
        <v>8</v>
      </c>
      <c r="E17" s="637">
        <v>44951</v>
      </c>
      <c r="F17" s="175"/>
      <c r="G17" s="157">
        <v>175000000</v>
      </c>
      <c r="H17" s="157">
        <f t="shared" si="2"/>
        <v>175000000</v>
      </c>
      <c r="I17" s="157">
        <f t="shared" si="3"/>
        <v>326027.39726027404</v>
      </c>
      <c r="J17" s="157"/>
      <c r="K17" s="157"/>
      <c r="L17" s="157"/>
      <c r="M17" s="159">
        <v>8.5000000000000006E-2</v>
      </c>
      <c r="N17" s="2">
        <v>326027.39726027404</v>
      </c>
      <c r="P17" s="160">
        <f t="shared" si="4"/>
        <v>326027.39726027404</v>
      </c>
    </row>
    <row r="18" spans="1:17" ht="23.15" customHeight="1" x14ac:dyDescent="0.3">
      <c r="A18" s="173" t="s">
        <v>216</v>
      </c>
      <c r="B18" s="187"/>
      <c r="C18" s="175">
        <v>44904</v>
      </c>
      <c r="D18" s="645">
        <f t="shared" si="1"/>
        <v>68</v>
      </c>
      <c r="E18" s="637">
        <v>44972</v>
      </c>
      <c r="F18" s="175"/>
      <c r="G18" s="157">
        <v>60000000</v>
      </c>
      <c r="H18" s="157">
        <f t="shared" si="2"/>
        <v>60000000</v>
      </c>
      <c r="I18" s="157">
        <f t="shared" si="3"/>
        <v>782465.75342465751</v>
      </c>
      <c r="J18" s="157"/>
      <c r="K18" s="157"/>
      <c r="L18" s="157"/>
      <c r="M18" s="159">
        <v>7.0000000000000007E-2</v>
      </c>
      <c r="N18" s="2">
        <v>782465.75342465751</v>
      </c>
      <c r="O18" s="157">
        <v>264657.53424657538</v>
      </c>
      <c r="P18" s="160">
        <f t="shared" si="4"/>
        <v>517808.21917808213</v>
      </c>
    </row>
    <row r="19" spans="1:17" ht="23.15" customHeight="1" x14ac:dyDescent="0.3">
      <c r="A19" s="173" t="s">
        <v>216</v>
      </c>
      <c r="B19" s="187"/>
      <c r="C19" s="175">
        <v>44980</v>
      </c>
      <c r="D19" s="645">
        <f t="shared" si="1"/>
        <v>33</v>
      </c>
      <c r="E19" s="637">
        <v>45013</v>
      </c>
      <c r="F19" s="175"/>
      <c r="G19" s="157">
        <v>40000000</v>
      </c>
      <c r="H19" s="157">
        <f t="shared" si="2"/>
        <v>40000000</v>
      </c>
      <c r="I19" s="157">
        <f t="shared" si="3"/>
        <v>361643.83561643836</v>
      </c>
      <c r="J19" s="157"/>
      <c r="K19" s="157"/>
      <c r="L19" s="157"/>
      <c r="M19" s="159">
        <v>0.1</v>
      </c>
      <c r="N19" s="2">
        <v>361643.83561643836</v>
      </c>
      <c r="P19" s="160">
        <f t="shared" si="4"/>
        <v>361643.83561643836</v>
      </c>
    </row>
    <row r="20" spans="1:17" ht="23.15" customHeight="1" x14ac:dyDescent="0.3">
      <c r="A20" s="173" t="s">
        <v>216</v>
      </c>
      <c r="B20" s="187"/>
      <c r="C20" s="175">
        <v>44987</v>
      </c>
      <c r="D20" s="645">
        <f t="shared" si="1"/>
        <v>26</v>
      </c>
      <c r="E20" s="637">
        <v>45013</v>
      </c>
      <c r="F20" s="175"/>
      <c r="G20" s="157">
        <v>30000000</v>
      </c>
      <c r="H20" s="157">
        <f t="shared" si="2"/>
        <v>30000000</v>
      </c>
      <c r="I20" s="157">
        <f t="shared" si="3"/>
        <v>213698.63013698629</v>
      </c>
      <c r="J20" s="157"/>
      <c r="K20" s="157"/>
      <c r="L20" s="157"/>
      <c r="M20" s="159">
        <v>0.1</v>
      </c>
      <c r="N20" s="2">
        <v>213698.63013698629</v>
      </c>
      <c r="P20" s="160">
        <f t="shared" si="4"/>
        <v>213698.63013698629</v>
      </c>
    </row>
    <row r="21" spans="1:17" ht="23.15" customHeight="1" x14ac:dyDescent="0.3">
      <c r="A21" s="173" t="s">
        <v>216</v>
      </c>
      <c r="B21" s="187"/>
      <c r="C21" s="175">
        <v>44972</v>
      </c>
      <c r="D21" s="645">
        <f t="shared" si="1"/>
        <v>70</v>
      </c>
      <c r="E21" s="637">
        <v>45042</v>
      </c>
      <c r="F21" s="175"/>
      <c r="G21" s="157">
        <f>60000000-40000000</f>
        <v>20000000</v>
      </c>
      <c r="H21" s="157">
        <f t="shared" si="2"/>
        <v>20000000</v>
      </c>
      <c r="I21" s="157">
        <f t="shared" si="3"/>
        <v>326027.39726027404</v>
      </c>
      <c r="J21" s="157"/>
      <c r="K21" s="157"/>
      <c r="L21" s="157"/>
      <c r="M21" s="159">
        <v>8.5000000000000006E-2</v>
      </c>
      <c r="N21" s="2">
        <v>326027.39726027404</v>
      </c>
      <c r="P21" s="160">
        <f t="shared" si="4"/>
        <v>326027.39726027404</v>
      </c>
    </row>
    <row r="22" spans="1:17" ht="23.15" customHeight="1" x14ac:dyDescent="0.3">
      <c r="A22" s="173" t="s">
        <v>216</v>
      </c>
      <c r="B22" s="187"/>
      <c r="C22" s="175">
        <v>45068</v>
      </c>
      <c r="D22" s="645">
        <f>+(E22-C22)</f>
        <v>39</v>
      </c>
      <c r="E22" s="861">
        <v>45107</v>
      </c>
      <c r="F22" s="175"/>
      <c r="G22" s="157">
        <v>20000000</v>
      </c>
      <c r="H22" s="157">
        <f>G22</f>
        <v>20000000</v>
      </c>
      <c r="I22" s="157">
        <f>G22*M22*D22/365</f>
        <v>224383.56164383562</v>
      </c>
      <c r="J22" s="157"/>
      <c r="K22" s="157"/>
      <c r="L22" s="157"/>
      <c r="M22" s="159">
        <v>0.105</v>
      </c>
      <c r="N22" s="2">
        <f>I22/D22*(N$1-C22+1)</f>
        <v>230136.98630136988</v>
      </c>
      <c r="P22" s="160">
        <f>N22-O22</f>
        <v>230136.98630136988</v>
      </c>
    </row>
    <row r="23" spans="1:17" ht="23.15" customHeight="1" x14ac:dyDescent="0.3">
      <c r="A23" s="173"/>
      <c r="B23" s="187"/>
      <c r="C23" s="175"/>
      <c r="D23" s="645"/>
      <c r="E23" s="637"/>
      <c r="F23" s="175"/>
      <c r="I23" s="157"/>
      <c r="J23" s="157"/>
      <c r="K23" s="157"/>
      <c r="L23" s="157"/>
      <c r="M23" s="159"/>
      <c r="N23" s="2"/>
      <c r="P23" s="160"/>
    </row>
    <row r="24" spans="1:17" ht="23.5" customHeight="1" x14ac:dyDescent="0.3">
      <c r="A24" s="173"/>
      <c r="B24" s="187"/>
      <c r="C24" s="175"/>
      <c r="D24" s="151"/>
      <c r="E24" s="175"/>
      <c r="F24" s="175"/>
      <c r="I24" s="157"/>
      <c r="J24" s="157"/>
      <c r="K24" s="157"/>
      <c r="L24" s="157"/>
      <c r="M24" s="159"/>
      <c r="N24" s="2"/>
      <c r="P24" s="160"/>
      <c r="Q24" s="157">
        <f t="shared" ref="Q24" si="5">I24-N24</f>
        <v>0</v>
      </c>
    </row>
    <row r="25" spans="1:17" ht="23.5" customHeight="1" x14ac:dyDescent="0.3">
      <c r="A25" s="178" t="s">
        <v>139</v>
      </c>
      <c r="B25" s="179"/>
      <c r="C25" s="151"/>
      <c r="D25" s="180"/>
      <c r="E25" s="180"/>
      <c r="F25" s="180"/>
      <c r="G25" s="181">
        <f t="shared" ref="G25:P25" si="6">SUM(G15:G24)</f>
        <v>381000000</v>
      </c>
      <c r="H25" s="181">
        <f t="shared" si="6"/>
        <v>381000000</v>
      </c>
      <c r="I25" s="181">
        <f t="shared" si="6"/>
        <v>2281589.0410958906</v>
      </c>
      <c r="J25" s="181">
        <f t="shared" si="6"/>
        <v>0</v>
      </c>
      <c r="K25" s="181">
        <f t="shared" si="6"/>
        <v>0</v>
      </c>
      <c r="L25" s="181">
        <f t="shared" si="6"/>
        <v>0</v>
      </c>
      <c r="M25" s="181">
        <f t="shared" si="6"/>
        <v>0.625</v>
      </c>
      <c r="N25" s="181">
        <f t="shared" si="6"/>
        <v>2287342.4657534249</v>
      </c>
      <c r="O25" s="181">
        <f t="shared" si="6"/>
        <v>280438.35616438359</v>
      </c>
      <c r="P25" s="181">
        <f t="shared" si="6"/>
        <v>2006904.1095890412</v>
      </c>
    </row>
    <row r="26" spans="1:17" ht="23.5" customHeight="1" x14ac:dyDescent="0.3">
      <c r="A26" s="149"/>
      <c r="B26" s="150"/>
      <c r="C26" s="151"/>
      <c r="D26" s="151"/>
      <c r="E26" s="188"/>
      <c r="F26" s="188"/>
      <c r="G26" s="2"/>
      <c r="H26" s="2"/>
      <c r="I26" s="152"/>
      <c r="J26" s="152"/>
      <c r="K26" s="152"/>
      <c r="L26" s="152"/>
      <c r="P26" s="172"/>
    </row>
    <row r="27" spans="1:17" s="3" customFormat="1" ht="26" customHeight="1" x14ac:dyDescent="0.3">
      <c r="A27" s="183"/>
      <c r="B27" s="148"/>
      <c r="C27" s="184"/>
      <c r="D27" s="184"/>
      <c r="E27" s="148"/>
      <c r="F27" s="148"/>
      <c r="G27" s="201"/>
      <c r="H27" s="201"/>
      <c r="I27" s="201"/>
      <c r="J27" s="202"/>
      <c r="K27" s="202"/>
      <c r="L27" s="202"/>
      <c r="M27" s="189"/>
      <c r="N27" s="157"/>
      <c r="O27" s="157"/>
      <c r="P27" s="160"/>
    </row>
    <row r="28" spans="1:17" ht="23.5" customHeight="1" x14ac:dyDescent="0.3">
      <c r="A28" s="173"/>
      <c r="B28" s="187"/>
      <c r="C28" s="175"/>
      <c r="D28" s="151"/>
      <c r="E28" s="175"/>
      <c r="F28" s="175"/>
      <c r="I28" s="157"/>
      <c r="J28" s="157"/>
      <c r="K28" s="157"/>
      <c r="L28" s="157"/>
      <c r="M28" s="159"/>
      <c r="N28" s="2"/>
      <c r="P28" s="160"/>
    </row>
    <row r="29" spans="1:17" ht="23.5" customHeight="1" x14ac:dyDescent="0.3">
      <c r="A29" s="173" t="s">
        <v>245</v>
      </c>
      <c r="B29" s="187"/>
      <c r="C29" s="175">
        <v>44797</v>
      </c>
      <c r="D29" s="151">
        <f>+(E29-C29)</f>
        <v>216</v>
      </c>
      <c r="E29" s="175">
        <v>45013</v>
      </c>
      <c r="F29" s="175"/>
      <c r="G29" s="157">
        <v>550000</v>
      </c>
      <c r="H29" s="157">
        <f>G29</f>
        <v>550000</v>
      </c>
      <c r="I29" s="157">
        <v>6600</v>
      </c>
      <c r="J29" s="157"/>
      <c r="K29" s="157"/>
      <c r="L29" s="157"/>
      <c r="M29" s="159">
        <v>0.02</v>
      </c>
      <c r="N29" s="2">
        <v>773759.6975342466</v>
      </c>
      <c r="O29" s="157">
        <v>482822.84931506851</v>
      </c>
      <c r="P29" s="160">
        <f>N29-O29</f>
        <v>290936.84821917809</v>
      </c>
    </row>
    <row r="30" spans="1:17" s="3" customFormat="1" ht="26" customHeight="1" x14ac:dyDescent="0.3">
      <c r="A30" s="183"/>
      <c r="B30" s="148"/>
      <c r="C30" s="184"/>
      <c r="D30" s="184"/>
      <c r="E30" s="148"/>
      <c r="F30" s="148"/>
      <c r="G30" s="201">
        <v>123.238</v>
      </c>
      <c r="H30" s="201">
        <v>123.238</v>
      </c>
      <c r="I30" s="201">
        <v>123.238</v>
      </c>
      <c r="J30" s="202"/>
      <c r="K30" s="202"/>
      <c r="L30" s="202"/>
      <c r="M30" s="189"/>
      <c r="N30" s="157"/>
      <c r="O30" s="157"/>
      <c r="P30" s="160"/>
    </row>
    <row r="31" spans="1:17" ht="23.5" customHeight="1" x14ac:dyDescent="0.3">
      <c r="A31" s="173" t="s">
        <v>245</v>
      </c>
      <c r="B31" s="187"/>
      <c r="C31" s="175">
        <v>44957</v>
      </c>
      <c r="D31" s="151">
        <f>+(E31-C31)</f>
        <v>56</v>
      </c>
      <c r="E31" s="175">
        <v>45013</v>
      </c>
      <c r="F31" s="175"/>
      <c r="G31" s="157">
        <v>150000</v>
      </c>
      <c r="H31" s="157">
        <f>G31</f>
        <v>150000</v>
      </c>
      <c r="I31" s="157">
        <v>466.67</v>
      </c>
      <c r="J31" s="157"/>
      <c r="K31" s="157"/>
      <c r="L31" s="157"/>
      <c r="M31" s="159">
        <v>0.02</v>
      </c>
      <c r="N31" s="2">
        <v>56723.243835616442</v>
      </c>
      <c r="P31" s="160">
        <f>N31-O31</f>
        <v>56723.243835616442</v>
      </c>
    </row>
    <row r="32" spans="1:17" s="3" customFormat="1" ht="26" customHeight="1" x14ac:dyDescent="0.3">
      <c r="A32" s="183"/>
      <c r="B32" s="148"/>
      <c r="C32" s="184"/>
      <c r="D32" s="184"/>
      <c r="E32" s="148"/>
      <c r="F32" s="148"/>
      <c r="G32" s="201">
        <v>123.238</v>
      </c>
      <c r="H32" s="201">
        <v>123.238</v>
      </c>
      <c r="I32" s="201">
        <v>123.238</v>
      </c>
      <c r="J32" s="202"/>
      <c r="K32" s="202"/>
      <c r="L32" s="202"/>
      <c r="M32" s="189"/>
      <c r="N32" s="157"/>
      <c r="O32" s="157"/>
      <c r="P32" s="160"/>
    </row>
    <row r="33" spans="1:17" ht="23.5" customHeight="1" x14ac:dyDescent="0.3">
      <c r="A33" s="173" t="s">
        <v>245</v>
      </c>
      <c r="B33" s="187"/>
      <c r="C33" s="175">
        <v>44980</v>
      </c>
      <c r="D33" s="151">
        <f>+(E33-C33)</f>
        <v>78</v>
      </c>
      <c r="E33" s="175">
        <v>45058</v>
      </c>
      <c r="F33" s="175"/>
      <c r="G33" s="157">
        <v>200000</v>
      </c>
      <c r="H33" s="157">
        <f>G33</f>
        <v>200000</v>
      </c>
      <c r="I33" s="157">
        <v>1300</v>
      </c>
      <c r="J33" s="157"/>
      <c r="K33" s="157"/>
      <c r="L33" s="157"/>
      <c r="M33" s="159">
        <v>0.03</v>
      </c>
      <c r="N33" s="2">
        <v>160122.54575342467</v>
      </c>
      <c r="P33" s="160">
        <f>N33-O33</f>
        <v>160122.54575342467</v>
      </c>
    </row>
    <row r="34" spans="1:17" s="3" customFormat="1" ht="26" customHeight="1" x14ac:dyDescent="0.3">
      <c r="A34" s="183"/>
      <c r="B34" s="148"/>
      <c r="C34" s="184"/>
      <c r="D34" s="184"/>
      <c r="E34" s="148"/>
      <c r="F34" s="148"/>
      <c r="G34" s="201">
        <v>132.3981</v>
      </c>
      <c r="H34" s="201">
        <v>132.3981</v>
      </c>
      <c r="I34" s="201">
        <v>132.3981</v>
      </c>
      <c r="J34" s="202"/>
      <c r="K34" s="202"/>
      <c r="L34" s="202"/>
      <c r="M34" s="189"/>
      <c r="N34" s="157"/>
      <c r="O34" s="157"/>
      <c r="P34" s="160"/>
    </row>
    <row r="35" spans="1:17" s="11" customFormat="1" ht="23.25" customHeight="1" x14ac:dyDescent="0.3">
      <c r="A35" s="173"/>
      <c r="B35" s="174"/>
      <c r="C35" s="175"/>
      <c r="D35" s="151"/>
      <c r="E35" s="175"/>
      <c r="F35" s="175"/>
      <c r="G35" s="559"/>
      <c r="H35" s="157"/>
      <c r="I35" s="157"/>
      <c r="J35" s="157"/>
      <c r="K35" s="157"/>
      <c r="L35" s="157"/>
      <c r="M35" s="159"/>
      <c r="N35" s="2"/>
      <c r="O35" s="157"/>
      <c r="P35" s="160"/>
    </row>
    <row r="36" spans="1:17" ht="23.5" customHeight="1" x14ac:dyDescent="0.3">
      <c r="A36" s="178" t="s">
        <v>75</v>
      </c>
      <c r="B36" s="179"/>
      <c r="C36" s="151"/>
      <c r="D36" s="180"/>
      <c r="E36" s="180"/>
      <c r="F36" s="180"/>
      <c r="G36" s="181"/>
      <c r="H36" s="181"/>
      <c r="I36" s="181"/>
      <c r="J36" s="181" t="e">
        <f>(#REF!*#REF!)+(#REF!*#REF!)+(#REF!*#REF!)+(#REF!*#REF!)+(#REF!*#REF!)+(#REF!*#REF!)+(#REF!*#REF!)+(#REF!*#REF!)+(#REF!*#REF!)+(#REF!*#REF!)+(#REF!*#REF!)+(#REF!*#REF!)+(#REF!*#REF!)+(#REF!*#REF!)+(#REF!*#REF!)+(#REF!*#REF!)</f>
        <v>#REF!</v>
      </c>
      <c r="K36" s="181" t="e">
        <f>(#REF!*#REF!)+(#REF!*#REF!)+(#REF!*#REF!)+(#REF!*#REF!)+(#REF!*#REF!)+(#REF!*#REF!)+(#REF!*#REF!)+(#REF!*#REF!)+(#REF!*#REF!)+(#REF!*#REF!)+(#REF!*#REF!)+(#REF!*#REF!)+(#REF!*#REF!)+(#REF!*#REF!)+(#REF!*#REF!)+(#REF!*#REF!)</f>
        <v>#REF!</v>
      </c>
      <c r="L36" s="181" t="e">
        <f>(#REF!*#REF!)+(#REF!*#REF!)+(#REF!*#REF!)+(#REF!*#REF!)+(#REF!*#REF!)+(#REF!*#REF!)+(#REF!*#REF!)+(#REF!*#REF!)+(#REF!*#REF!)+(#REF!*#REF!)+(#REF!*#REF!)+(#REF!*#REF!)+(#REF!*#REF!)+(#REF!*#REF!)+(#REF!*#REF!)+(#REF!*#REF!)</f>
        <v>#REF!</v>
      </c>
      <c r="M36" s="181"/>
      <c r="N36" s="181">
        <f>SUM(N27:N35)</f>
        <v>990605.48712328763</v>
      </c>
      <c r="O36" s="181">
        <f>SUM(O27:O35)</f>
        <v>482822.84931506851</v>
      </c>
      <c r="P36" s="181">
        <f>SUM(P27:P35)</f>
        <v>507782.63780821918</v>
      </c>
    </row>
    <row r="37" spans="1:17" ht="23.5" customHeight="1" x14ac:dyDescent="0.3">
      <c r="A37" s="178"/>
      <c r="B37" s="179"/>
      <c r="C37" s="151"/>
      <c r="D37" s="180"/>
      <c r="E37" s="180"/>
      <c r="F37" s="180"/>
      <c r="G37" s="154"/>
      <c r="H37" s="154"/>
      <c r="I37" s="193"/>
      <c r="J37" s="193"/>
      <c r="K37" s="193"/>
      <c r="L37" s="193"/>
      <c r="M37" s="194"/>
      <c r="N37" s="154"/>
      <c r="O37" s="154"/>
      <c r="P37" s="195"/>
    </row>
    <row r="38" spans="1:17" ht="21" customHeight="1" thickBot="1" x14ac:dyDescent="0.35">
      <c r="A38" s="178" t="s">
        <v>188</v>
      </c>
      <c r="B38" s="179"/>
      <c r="C38" s="151"/>
      <c r="D38" s="180"/>
      <c r="E38" s="180"/>
      <c r="F38" s="180"/>
      <c r="G38" s="603"/>
      <c r="H38" s="603"/>
      <c r="I38" s="603"/>
      <c r="J38" s="603"/>
      <c r="K38" s="603"/>
      <c r="L38" s="603"/>
      <c r="M38" s="603"/>
      <c r="N38" s="196">
        <f>N36+N25+N13</f>
        <v>3326240.8428851375</v>
      </c>
      <c r="O38" s="196">
        <f>O36+O25+O13</f>
        <v>810209.66093677981</v>
      </c>
      <c r="P38" s="196">
        <f>P36+P25+P13</f>
        <v>2516031.1819483573</v>
      </c>
    </row>
    <row r="39" spans="1:17" s="11" customFormat="1" ht="23.25" customHeight="1" thickTop="1" x14ac:dyDescent="0.3">
      <c r="A39" s="173"/>
      <c r="B39" s="174"/>
      <c r="C39" s="151"/>
      <c r="D39" s="175"/>
      <c r="E39" s="176"/>
      <c r="F39" s="176"/>
      <c r="G39" s="2"/>
      <c r="H39" s="2"/>
      <c r="I39" s="177"/>
      <c r="J39" s="177"/>
      <c r="K39" s="177"/>
      <c r="L39" s="177"/>
      <c r="M39" s="159"/>
      <c r="N39" s="157"/>
      <c r="O39" s="157"/>
      <c r="P39" s="160"/>
    </row>
    <row r="40" spans="1:17" ht="22.5" customHeight="1" x14ac:dyDescent="0.3">
      <c r="A40" s="173"/>
      <c r="B40" s="187"/>
      <c r="C40" s="175"/>
      <c r="D40" s="684"/>
      <c r="E40" s="175"/>
      <c r="F40" s="175"/>
      <c r="I40" s="157"/>
      <c r="J40" s="157"/>
      <c r="K40" s="157"/>
      <c r="L40" s="157"/>
      <c r="M40" s="159"/>
      <c r="N40" s="2"/>
      <c r="P40" s="160"/>
    </row>
    <row r="41" spans="1:17" ht="22.5" customHeight="1" x14ac:dyDescent="0.3">
      <c r="A41" s="173" t="s">
        <v>215</v>
      </c>
      <c r="B41" s="187"/>
      <c r="C41" s="175">
        <v>44925</v>
      </c>
      <c r="D41" s="684">
        <f>+(E41-C41)</f>
        <v>6</v>
      </c>
      <c r="E41" s="175">
        <v>44931</v>
      </c>
      <c r="F41" s="175"/>
      <c r="G41" s="157">
        <f>25000000-7600000</f>
        <v>17400000</v>
      </c>
      <c r="H41" s="157">
        <f>G41</f>
        <v>17400000</v>
      </c>
      <c r="I41" s="157">
        <f>G41*M41*D41/365</f>
        <v>20021.917808219179</v>
      </c>
      <c r="J41" s="157"/>
      <c r="K41" s="157"/>
      <c r="L41" s="157"/>
      <c r="M41" s="159">
        <v>7.0000000000000007E-2</v>
      </c>
      <c r="N41" s="2">
        <v>20021.917808219179</v>
      </c>
      <c r="O41" s="157">
        <v>6673.9726027397264</v>
      </c>
      <c r="P41" s="160">
        <f>N41-O41</f>
        <v>13347.945205479453</v>
      </c>
      <c r="Q41" s="157">
        <f>I41-N41</f>
        <v>0</v>
      </c>
    </row>
    <row r="42" spans="1:17" ht="22.5" customHeight="1" x14ac:dyDescent="0.3">
      <c r="A42" s="173" t="s">
        <v>215</v>
      </c>
      <c r="B42" s="187"/>
      <c r="C42" s="175">
        <v>44957</v>
      </c>
      <c r="D42" s="645">
        <f>+(E42-C42)</f>
        <v>15</v>
      </c>
      <c r="E42" s="175">
        <v>44972</v>
      </c>
      <c r="F42" s="175"/>
      <c r="G42" s="157">
        <v>25000000</v>
      </c>
      <c r="H42" s="157">
        <f>G42</f>
        <v>25000000</v>
      </c>
      <c r="I42" s="157">
        <f>G42*M42*D42/365</f>
        <v>82191.780821917811</v>
      </c>
      <c r="J42" s="157"/>
      <c r="K42" s="157"/>
      <c r="L42" s="157"/>
      <c r="M42" s="159">
        <v>0.08</v>
      </c>
      <c r="N42" s="2">
        <v>82191.780821917811</v>
      </c>
      <c r="P42" s="160">
        <f>N42-O42</f>
        <v>82191.780821917811</v>
      </c>
      <c r="Q42" s="157">
        <f t="shared" ref="Q42:Q45" si="7">I42-N42</f>
        <v>0</v>
      </c>
    </row>
    <row r="43" spans="1:17" ht="22.5" customHeight="1" x14ac:dyDescent="0.3">
      <c r="A43" s="173" t="s">
        <v>215</v>
      </c>
      <c r="B43" s="187"/>
      <c r="C43" s="175">
        <v>44980</v>
      </c>
      <c r="D43" s="645">
        <f>+(E43-C43)</f>
        <v>33</v>
      </c>
      <c r="E43" s="175">
        <v>45013</v>
      </c>
      <c r="F43" s="175"/>
      <c r="G43" s="157">
        <v>25000000</v>
      </c>
      <c r="H43" s="157">
        <f>G43</f>
        <v>25000000</v>
      </c>
      <c r="I43" s="157">
        <f>G43*M43*D43/365</f>
        <v>226027.39726027398</v>
      </c>
      <c r="J43" s="157"/>
      <c r="K43" s="157"/>
      <c r="L43" s="157"/>
      <c r="M43" s="159">
        <v>0.1</v>
      </c>
      <c r="N43" s="2">
        <v>226027.39726027398</v>
      </c>
      <c r="P43" s="160">
        <f>N43-O43</f>
        <v>226027.39726027398</v>
      </c>
      <c r="Q43" s="157">
        <f t="shared" si="7"/>
        <v>0</v>
      </c>
    </row>
    <row r="44" spans="1:17" ht="22.5" customHeight="1" x14ac:dyDescent="0.3">
      <c r="A44" s="173" t="s">
        <v>215</v>
      </c>
      <c r="B44" s="187"/>
      <c r="C44" s="175">
        <v>44943</v>
      </c>
      <c r="D44" s="684">
        <f>+(E44-C44)</f>
        <v>113</v>
      </c>
      <c r="E44" s="175">
        <v>45056</v>
      </c>
      <c r="F44" s="175"/>
      <c r="G44" s="157">
        <v>35000000</v>
      </c>
      <c r="H44" s="157">
        <f>G44</f>
        <v>35000000</v>
      </c>
      <c r="I44" s="157">
        <f>G44*M44*D44/365</f>
        <v>921027.39726027392</v>
      </c>
      <c r="J44" s="157"/>
      <c r="K44" s="157"/>
      <c r="L44" s="157"/>
      <c r="M44" s="159">
        <v>8.5000000000000006E-2</v>
      </c>
      <c r="N44" s="2">
        <v>921027.39726027392</v>
      </c>
      <c r="P44" s="160">
        <f>N44-O44</f>
        <v>921027.39726027392</v>
      </c>
      <c r="Q44" s="157">
        <f t="shared" si="7"/>
        <v>0</v>
      </c>
    </row>
    <row r="45" spans="1:17" ht="22.5" customHeight="1" x14ac:dyDescent="0.3">
      <c r="A45" s="173" t="s">
        <v>215</v>
      </c>
      <c r="B45" s="187"/>
      <c r="C45" s="175">
        <v>45043</v>
      </c>
      <c r="D45" s="684">
        <f>+(E45-C45)</f>
        <v>13</v>
      </c>
      <c r="E45" s="175">
        <v>45056</v>
      </c>
      <c r="F45" s="175"/>
      <c r="G45" s="157">
        <v>70000000</v>
      </c>
      <c r="H45" s="157">
        <f>G45</f>
        <v>70000000</v>
      </c>
      <c r="I45" s="157">
        <f>G45*M45*D45/365</f>
        <v>255547.94520547945</v>
      </c>
      <c r="J45" s="157"/>
      <c r="K45" s="157"/>
      <c r="L45" s="157"/>
      <c r="M45" s="159">
        <v>0.10249999999999999</v>
      </c>
      <c r="N45" s="2">
        <v>255547.94520547945</v>
      </c>
      <c r="P45" s="160">
        <f>N45-O45</f>
        <v>255547.94520547945</v>
      </c>
      <c r="Q45" s="157">
        <f t="shared" si="7"/>
        <v>0</v>
      </c>
    </row>
    <row r="46" spans="1:17" ht="22.5" customHeight="1" x14ac:dyDescent="0.3">
      <c r="A46" s="173"/>
      <c r="B46" s="187"/>
      <c r="C46" s="175"/>
      <c r="D46" s="684"/>
      <c r="E46" s="175"/>
      <c r="F46" s="175"/>
      <c r="I46" s="157"/>
      <c r="J46" s="157"/>
      <c r="K46" s="157"/>
      <c r="L46" s="157"/>
      <c r="M46" s="159"/>
      <c r="N46" s="2"/>
      <c r="P46" s="160"/>
    </row>
    <row r="47" spans="1:17" ht="23.15" customHeight="1" x14ac:dyDescent="0.3">
      <c r="A47" s="173"/>
      <c r="B47" s="187"/>
      <c r="C47" s="175"/>
      <c r="D47" s="669"/>
      <c r="E47" s="175"/>
      <c r="F47" s="175"/>
      <c r="I47" s="157"/>
      <c r="J47" s="157"/>
      <c r="K47" s="157"/>
      <c r="L47" s="157"/>
      <c r="M47" s="159"/>
      <c r="N47" s="2"/>
      <c r="P47" s="160"/>
      <c r="Q47" s="157">
        <f>N47-I47</f>
        <v>0</v>
      </c>
    </row>
    <row r="48" spans="1:17" ht="25.5" customHeight="1" x14ac:dyDescent="0.3">
      <c r="A48" s="178" t="s">
        <v>189</v>
      </c>
      <c r="B48" s="179"/>
      <c r="C48" s="151"/>
      <c r="D48" s="180"/>
      <c r="E48" s="180"/>
      <c r="F48" s="180"/>
      <c r="G48" s="181">
        <f t="shared" ref="G48:P48" si="8">SUM(G40:G47)</f>
        <v>172400000</v>
      </c>
      <c r="H48" s="181">
        <f t="shared" si="8"/>
        <v>172400000</v>
      </c>
      <c r="I48" s="181">
        <f t="shared" si="8"/>
        <v>1504816.4383561644</v>
      </c>
      <c r="J48" s="181">
        <f t="shared" si="8"/>
        <v>0</v>
      </c>
      <c r="K48" s="181">
        <f t="shared" si="8"/>
        <v>0</v>
      </c>
      <c r="L48" s="181">
        <f t="shared" si="8"/>
        <v>0</v>
      </c>
      <c r="M48" s="181">
        <f t="shared" si="8"/>
        <v>0.4375</v>
      </c>
      <c r="N48" s="181">
        <f t="shared" si="8"/>
        <v>1504816.4383561644</v>
      </c>
      <c r="O48" s="181">
        <f t="shared" si="8"/>
        <v>6673.9726027397264</v>
      </c>
      <c r="P48" s="181">
        <f t="shared" si="8"/>
        <v>1498142.4657534244</v>
      </c>
    </row>
    <row r="49" spans="1:16" s="3" customFormat="1" ht="23.25" customHeight="1" x14ac:dyDescent="0.3">
      <c r="A49" s="173"/>
      <c r="B49" s="187"/>
      <c r="C49" s="175"/>
      <c r="D49" s="151"/>
      <c r="E49" s="175"/>
      <c r="F49" s="175"/>
      <c r="G49" s="2"/>
      <c r="H49" s="2"/>
      <c r="I49" s="157"/>
      <c r="J49" s="157"/>
      <c r="K49" s="157"/>
      <c r="L49" s="157"/>
      <c r="M49" s="190"/>
      <c r="N49" s="2"/>
      <c r="O49" s="157"/>
      <c r="P49" s="160"/>
    </row>
    <row r="50" spans="1:16" s="3" customFormat="1" ht="26.25" customHeight="1" x14ac:dyDescent="0.3">
      <c r="A50" s="183"/>
      <c r="B50" s="148"/>
      <c r="C50" s="184"/>
      <c r="D50" s="184"/>
      <c r="E50" s="148"/>
      <c r="F50" s="148"/>
      <c r="G50" s="201"/>
      <c r="H50" s="201"/>
      <c r="I50" s="201"/>
      <c r="J50" s="202"/>
      <c r="K50" s="202"/>
      <c r="L50" s="202"/>
      <c r="M50" s="189"/>
      <c r="N50" s="157"/>
      <c r="O50" s="157"/>
      <c r="P50" s="160"/>
    </row>
    <row r="51" spans="1:16" s="3" customFormat="1" ht="26.15" customHeight="1" x14ac:dyDescent="0.3">
      <c r="A51" s="183"/>
      <c r="B51" s="148"/>
      <c r="C51" s="184"/>
      <c r="D51" s="184"/>
      <c r="E51" s="148"/>
      <c r="F51" s="148"/>
      <c r="G51" s="201"/>
      <c r="H51" s="201"/>
      <c r="I51" s="201"/>
      <c r="J51" s="202"/>
      <c r="K51" s="202"/>
      <c r="L51" s="202"/>
      <c r="M51" s="189"/>
      <c r="N51" s="157"/>
      <c r="O51" s="157"/>
      <c r="P51" s="160"/>
    </row>
    <row r="52" spans="1:16" ht="23.5" customHeight="1" x14ac:dyDescent="0.3">
      <c r="A52" s="173" t="s">
        <v>244</v>
      </c>
      <c r="B52" s="187"/>
      <c r="C52" s="175">
        <v>44400</v>
      </c>
      <c r="D52" s="151">
        <f>+(E52-C52)</f>
        <v>572</v>
      </c>
      <c r="E52" s="175">
        <v>44972</v>
      </c>
      <c r="F52" s="175"/>
      <c r="G52" s="157">
        <v>16000</v>
      </c>
      <c r="H52" s="157">
        <f>G52</f>
        <v>16000</v>
      </c>
      <c r="I52" s="157">
        <v>508.44</v>
      </c>
      <c r="J52" s="157"/>
      <c r="K52" s="157"/>
      <c r="L52" s="157"/>
      <c r="M52" s="159">
        <v>0.02</v>
      </c>
      <c r="N52" s="2">
        <v>54097.045742465751</v>
      </c>
      <c r="O52" s="157">
        <v>56783.760437158468</v>
      </c>
      <c r="P52" s="160">
        <f>N52-O52</f>
        <v>-2686.7146946927169</v>
      </c>
    </row>
    <row r="53" spans="1:16" s="3" customFormat="1" ht="26.15" customHeight="1" x14ac:dyDescent="0.3">
      <c r="A53" s="183"/>
      <c r="B53" s="148"/>
      <c r="C53" s="184"/>
      <c r="D53" s="184"/>
      <c r="E53" s="148"/>
      <c r="F53" s="148"/>
      <c r="G53" s="201">
        <v>123.238</v>
      </c>
      <c r="H53" s="201">
        <v>123.238</v>
      </c>
      <c r="I53" s="201">
        <v>123.238</v>
      </c>
      <c r="J53" s="202"/>
      <c r="K53" s="202"/>
      <c r="L53" s="202"/>
      <c r="M53" s="189"/>
      <c r="N53" s="157"/>
      <c r="O53" s="157"/>
      <c r="P53" s="160"/>
    </row>
    <row r="54" spans="1:16" ht="23.5" customHeight="1" x14ac:dyDescent="0.3">
      <c r="A54" s="173" t="s">
        <v>244</v>
      </c>
      <c r="B54" s="187"/>
      <c r="C54" s="175">
        <v>44484</v>
      </c>
      <c r="D54" s="151">
        <f>+(E54-C54)</f>
        <v>488</v>
      </c>
      <c r="E54" s="175">
        <v>44972</v>
      </c>
      <c r="F54" s="175"/>
      <c r="G54" s="157">
        <v>20000</v>
      </c>
      <c r="H54" s="157">
        <f>G54</f>
        <v>20000</v>
      </c>
      <c r="I54" s="157">
        <v>542.22</v>
      </c>
      <c r="J54" s="157"/>
      <c r="K54" s="157"/>
      <c r="L54" s="157"/>
      <c r="M54" s="159">
        <v>0.02</v>
      </c>
      <c r="N54" s="2">
        <v>59093.297095890412</v>
      </c>
      <c r="O54" s="157">
        <v>59666.0480874317</v>
      </c>
      <c r="P54" s="160">
        <f>N54-O54</f>
        <v>-572.75099154128839</v>
      </c>
    </row>
    <row r="55" spans="1:16" s="3" customFormat="1" ht="26.15" customHeight="1" x14ac:dyDescent="0.3">
      <c r="A55" s="183"/>
      <c r="B55" s="148"/>
      <c r="C55" s="184"/>
      <c r="D55" s="184"/>
      <c r="E55" s="148"/>
      <c r="F55" s="148"/>
      <c r="G55" s="201">
        <v>123.238</v>
      </c>
      <c r="H55" s="201">
        <v>123.238</v>
      </c>
      <c r="I55" s="201">
        <v>123.238</v>
      </c>
      <c r="J55" s="202"/>
      <c r="K55" s="202"/>
      <c r="L55" s="202"/>
      <c r="M55" s="189"/>
      <c r="N55" s="157"/>
      <c r="O55" s="157"/>
      <c r="P55" s="160"/>
    </row>
    <row r="56" spans="1:16" ht="23.5" customHeight="1" x14ac:dyDescent="0.3">
      <c r="A56" s="173" t="s">
        <v>244</v>
      </c>
      <c r="B56" s="187"/>
      <c r="C56" s="175">
        <v>44519</v>
      </c>
      <c r="D56" s="151">
        <f>+(E56-C56)</f>
        <v>453</v>
      </c>
      <c r="E56" s="175">
        <v>44972</v>
      </c>
      <c r="F56" s="175"/>
      <c r="G56" s="157">
        <v>30000</v>
      </c>
      <c r="H56" s="157">
        <f>G56</f>
        <v>30000</v>
      </c>
      <c r="I56" s="157">
        <v>755</v>
      </c>
      <c r="J56" s="157"/>
      <c r="K56" s="157"/>
      <c r="L56" s="157"/>
      <c r="M56" s="159">
        <v>0.02</v>
      </c>
      <c r="N56" s="2">
        <v>82831.757424657539</v>
      </c>
      <c r="O56" s="157">
        <v>82428.039344262303</v>
      </c>
      <c r="P56" s="160">
        <f>N56-O56</f>
        <v>403.71808039523603</v>
      </c>
    </row>
    <row r="57" spans="1:16" s="3" customFormat="1" ht="26" customHeight="1" x14ac:dyDescent="0.3">
      <c r="A57" s="183"/>
      <c r="B57" s="148"/>
      <c r="C57" s="184"/>
      <c r="D57" s="184"/>
      <c r="E57" s="148"/>
      <c r="F57" s="148"/>
      <c r="G57" s="201">
        <v>123.238</v>
      </c>
      <c r="H57" s="201">
        <v>123.238</v>
      </c>
      <c r="I57" s="201">
        <v>123.238</v>
      </c>
      <c r="J57" s="202"/>
      <c r="K57" s="202"/>
      <c r="L57" s="202"/>
      <c r="M57" s="189"/>
      <c r="N57" s="157"/>
      <c r="O57" s="157"/>
      <c r="P57" s="160"/>
    </row>
    <row r="58" spans="1:16" ht="23.5" customHeight="1" x14ac:dyDescent="0.3">
      <c r="A58" s="173" t="s">
        <v>244</v>
      </c>
      <c r="B58" s="187"/>
      <c r="C58" s="175">
        <v>44792</v>
      </c>
      <c r="D58" s="151">
        <f>+(E58-C58)</f>
        <v>221</v>
      </c>
      <c r="E58" s="175">
        <v>45013</v>
      </c>
      <c r="F58" s="175"/>
      <c r="G58" s="157">
        <v>45000</v>
      </c>
      <c r="H58" s="157">
        <f>G58</f>
        <v>45000</v>
      </c>
      <c r="I58" s="157">
        <v>552.5</v>
      </c>
      <c r="J58" s="157"/>
      <c r="K58" s="157"/>
      <c r="L58" s="157"/>
      <c r="M58" s="159">
        <v>0.02</v>
      </c>
      <c r="N58" s="2">
        <v>65066.156383561647</v>
      </c>
      <c r="O58" s="157">
        <v>40910.975409836065</v>
      </c>
      <c r="P58" s="160">
        <f>N58-O58</f>
        <v>24155.180973725583</v>
      </c>
    </row>
    <row r="59" spans="1:16" s="3" customFormat="1" ht="26.15" customHeight="1" x14ac:dyDescent="0.3">
      <c r="A59" s="183"/>
      <c r="B59" s="148"/>
      <c r="C59" s="184"/>
      <c r="D59" s="184"/>
      <c r="E59" s="148"/>
      <c r="F59" s="148"/>
      <c r="G59" s="201">
        <v>123.238</v>
      </c>
      <c r="H59" s="201">
        <v>123.238</v>
      </c>
      <c r="I59" s="201">
        <v>123.238</v>
      </c>
      <c r="J59" s="202"/>
      <c r="K59" s="202"/>
      <c r="L59" s="202"/>
      <c r="M59" s="189"/>
      <c r="N59" s="157"/>
      <c r="O59" s="157"/>
      <c r="P59" s="160"/>
    </row>
    <row r="60" spans="1:16" ht="23.5" customHeight="1" x14ac:dyDescent="0.3">
      <c r="A60" s="173"/>
      <c r="B60" s="187"/>
      <c r="C60" s="175"/>
      <c r="D60" s="151"/>
      <c r="E60" s="175"/>
      <c r="F60" s="175"/>
      <c r="I60" s="157"/>
      <c r="J60" s="157"/>
      <c r="K60" s="157"/>
      <c r="L60" s="157"/>
      <c r="M60" s="159"/>
      <c r="N60" s="2"/>
      <c r="P60" s="160"/>
    </row>
    <row r="61" spans="1:16" s="3" customFormat="1" ht="25.5" customHeight="1" x14ac:dyDescent="0.3">
      <c r="A61" s="178" t="s">
        <v>190</v>
      </c>
      <c r="B61" s="179"/>
      <c r="C61" s="151"/>
      <c r="D61" s="180"/>
      <c r="E61" s="180"/>
      <c r="F61" s="180"/>
      <c r="G61" s="181"/>
      <c r="H61" s="181"/>
      <c r="I61" s="181"/>
      <c r="J61" s="181">
        <f>SUM(J50:J60)</f>
        <v>0</v>
      </c>
      <c r="K61" s="181">
        <f>SUM(K50:K60)</f>
        <v>0</v>
      </c>
      <c r="L61" s="181">
        <f>SUM(L50:L60)</f>
        <v>0</v>
      </c>
      <c r="M61" s="181"/>
      <c r="N61" s="181">
        <f>SUM(N50:N60)</f>
        <v>261088.25664657532</v>
      </c>
      <c r="O61" s="181">
        <f>SUM(O50:O60)</f>
        <v>239788.82327868853</v>
      </c>
      <c r="P61" s="181">
        <f>SUM(P50:P60)</f>
        <v>21299.433367886813</v>
      </c>
    </row>
    <row r="62" spans="1:16" ht="23.5" customHeight="1" x14ac:dyDescent="0.3">
      <c r="A62" s="178"/>
      <c r="B62" s="187"/>
      <c r="C62" s="175"/>
      <c r="D62" s="152"/>
      <c r="E62" s="175"/>
      <c r="F62" s="175"/>
      <c r="I62" s="157"/>
      <c r="J62" s="157"/>
      <c r="K62" s="157"/>
      <c r="L62" s="157"/>
      <c r="M62" s="159"/>
      <c r="N62" s="2"/>
      <c r="P62" s="160"/>
    </row>
    <row r="63" spans="1:16" ht="23.25" customHeight="1" x14ac:dyDescent="0.3">
      <c r="A63" s="178" t="s">
        <v>191</v>
      </c>
      <c r="B63" s="179"/>
      <c r="C63" s="151"/>
      <c r="D63" s="180"/>
      <c r="E63" s="180"/>
      <c r="F63" s="180"/>
      <c r="G63" s="181"/>
      <c r="H63" s="181"/>
      <c r="I63" s="182"/>
      <c r="J63" s="182"/>
      <c r="K63" s="182"/>
      <c r="L63" s="182"/>
      <c r="M63" s="182"/>
      <c r="N63" s="181">
        <f>N61+N48</f>
        <v>1765904.6950027398</v>
      </c>
      <c r="O63" s="181">
        <f>O61+O48</f>
        <v>246462.79588142826</v>
      </c>
      <c r="P63" s="181">
        <f>P61+P48</f>
        <v>1519441.8991213113</v>
      </c>
    </row>
    <row r="64" spans="1:16" s="155" customFormat="1" ht="23.25" customHeight="1" x14ac:dyDescent="0.3">
      <c r="A64" s="173"/>
      <c r="B64" s="174"/>
      <c r="C64" s="151"/>
      <c r="D64" s="175"/>
      <c r="E64" s="175"/>
      <c r="F64" s="175"/>
      <c r="G64" s="2"/>
      <c r="H64" s="2"/>
      <c r="I64" s="152"/>
      <c r="J64" s="152"/>
      <c r="K64" s="152"/>
      <c r="L64" s="152"/>
      <c r="M64" s="159"/>
      <c r="N64" s="2"/>
      <c r="O64" s="157"/>
      <c r="P64" s="156"/>
    </row>
    <row r="65" spans="1:16" ht="23.25" customHeight="1" x14ac:dyDescent="0.3">
      <c r="A65" s="539" t="s">
        <v>12</v>
      </c>
      <c r="B65" s="540"/>
      <c r="C65" s="541"/>
      <c r="D65" s="223"/>
      <c r="E65" s="223"/>
      <c r="F65" s="223"/>
      <c r="G65" s="181"/>
      <c r="H65" s="181"/>
      <c r="I65" s="182"/>
      <c r="J65" s="182"/>
      <c r="K65" s="182"/>
      <c r="L65" s="182"/>
      <c r="M65" s="182"/>
      <c r="N65" s="181">
        <f>N63+N38</f>
        <v>5092145.5378878769</v>
      </c>
      <c r="O65" s="181">
        <f>O63+O38</f>
        <v>1056672.4568182081</v>
      </c>
      <c r="P65" s="181">
        <f>P63+P38</f>
        <v>4035473.0810696688</v>
      </c>
    </row>
    <row r="66" spans="1:16" ht="23.25" customHeight="1" x14ac:dyDescent="0.3">
      <c r="A66" s="197"/>
      <c r="B66" s="198"/>
      <c r="C66" s="151"/>
      <c r="D66" s="175"/>
      <c r="E66" s="176"/>
      <c r="F66" s="176"/>
      <c r="G66" s="2"/>
      <c r="H66" s="2"/>
      <c r="I66" s="176"/>
      <c r="J66" s="176"/>
      <c r="K66" s="176"/>
      <c r="L66" s="176"/>
      <c r="M66" s="153"/>
      <c r="N66" s="154"/>
      <c r="O66" s="154"/>
      <c r="P66" s="195"/>
    </row>
    <row r="67" spans="1:16" ht="23.25" customHeight="1" x14ac:dyDescent="0.3">
      <c r="A67" s="149" t="s">
        <v>44</v>
      </c>
      <c r="B67" s="150"/>
      <c r="C67" s="152"/>
      <c r="D67" s="175"/>
      <c r="E67" s="176"/>
      <c r="F67" s="176"/>
      <c r="G67" s="2"/>
      <c r="H67" s="2"/>
      <c r="I67" s="177"/>
      <c r="J67" s="177"/>
      <c r="K67" s="177"/>
      <c r="L67" s="177"/>
      <c r="M67" s="159"/>
      <c r="P67" s="160"/>
    </row>
    <row r="68" spans="1:16" ht="23.25" customHeight="1" x14ac:dyDescent="0.3">
      <c r="A68" s="149" t="str">
        <f>DATE!A3</f>
        <v>AT 30TH JUNE 2023</v>
      </c>
      <c r="B68" s="150"/>
      <c r="C68" s="151"/>
      <c r="D68" s="175"/>
      <c r="E68" s="176"/>
      <c r="F68" s="176"/>
      <c r="G68" s="2"/>
      <c r="H68" s="2"/>
      <c r="I68" s="177"/>
      <c r="J68" s="177"/>
      <c r="K68" s="177"/>
      <c r="L68" s="177"/>
      <c r="M68" s="159"/>
      <c r="P68" s="160"/>
    </row>
    <row r="69" spans="1:16" ht="22.5" customHeight="1" x14ac:dyDescent="0.3">
      <c r="A69" s="183"/>
      <c r="C69" s="148"/>
      <c r="D69" s="151"/>
      <c r="E69" s="175"/>
      <c r="F69" s="175"/>
      <c r="G69" s="2"/>
      <c r="H69" s="2"/>
      <c r="I69" s="152"/>
      <c r="J69" s="152"/>
      <c r="K69" s="152"/>
      <c r="L69" s="152"/>
      <c r="M69" s="159"/>
      <c r="N69" s="2"/>
      <c r="P69" s="160"/>
    </row>
    <row r="70" spans="1:16" ht="23.25" customHeight="1" x14ac:dyDescent="0.3">
      <c r="A70" s="161" t="s">
        <v>40</v>
      </c>
      <c r="B70" s="162"/>
      <c r="C70" s="162" t="s">
        <v>78</v>
      </c>
      <c r="D70" s="162" t="s">
        <v>20</v>
      </c>
      <c r="E70" s="162" t="s">
        <v>21</v>
      </c>
      <c r="F70" s="162" t="s">
        <v>178</v>
      </c>
      <c r="G70" s="163" t="s">
        <v>23</v>
      </c>
      <c r="H70" s="163" t="s">
        <v>133</v>
      </c>
      <c r="I70" s="163" t="s">
        <v>25</v>
      </c>
      <c r="J70" s="163"/>
      <c r="K70" s="163"/>
      <c r="L70" s="163"/>
      <c r="M70" s="164" t="s">
        <v>41</v>
      </c>
      <c r="N70" s="163" t="s">
        <v>42</v>
      </c>
      <c r="O70" s="165"/>
      <c r="P70" s="166"/>
    </row>
    <row r="71" spans="1:16" ht="23.5" customHeight="1" x14ac:dyDescent="0.3">
      <c r="A71" s="167"/>
      <c r="B71" s="168"/>
      <c r="C71" s="168" t="s">
        <v>31</v>
      </c>
      <c r="D71" s="168" t="s">
        <v>33</v>
      </c>
      <c r="E71" s="168" t="s">
        <v>19</v>
      </c>
      <c r="F71" s="168"/>
      <c r="G71" s="169" t="s">
        <v>34</v>
      </c>
      <c r="H71" s="169" t="s">
        <v>31</v>
      </c>
      <c r="I71" s="169" t="s">
        <v>42</v>
      </c>
      <c r="J71" s="169"/>
      <c r="K71" s="169"/>
      <c r="L71" s="169"/>
      <c r="M71" s="170" t="s">
        <v>36</v>
      </c>
      <c r="N71" s="169" t="s">
        <v>38</v>
      </c>
      <c r="O71" s="171"/>
      <c r="P71" s="172"/>
    </row>
    <row r="72" spans="1:16" ht="23.5" customHeight="1" x14ac:dyDescent="0.3">
      <c r="A72" s="199" t="s">
        <v>136</v>
      </c>
      <c r="B72" s="200"/>
      <c r="C72" s="200"/>
      <c r="D72" s="158"/>
      <c r="E72" s="194"/>
      <c r="F72" s="194"/>
      <c r="G72" s="158"/>
      <c r="H72" s="158"/>
      <c r="I72" s="158"/>
      <c r="J72" s="158"/>
      <c r="K72" s="158"/>
      <c r="L72" s="158"/>
      <c r="M72" s="153"/>
      <c r="N72" s="158"/>
      <c r="P72" s="160"/>
    </row>
    <row r="73" spans="1:16" s="3" customFormat="1" ht="26.25" customHeight="1" x14ac:dyDescent="0.3">
      <c r="A73" s="199"/>
      <c r="B73" s="200"/>
      <c r="C73" s="200"/>
      <c r="D73" s="158"/>
      <c r="E73" s="194"/>
      <c r="F73" s="194"/>
      <c r="G73" s="158"/>
      <c r="H73" s="158"/>
      <c r="I73" s="158"/>
      <c r="J73" s="158"/>
      <c r="K73" s="158"/>
      <c r="L73" s="158"/>
      <c r="M73" s="153"/>
      <c r="N73" s="158"/>
      <c r="O73" s="157"/>
      <c r="P73" s="160"/>
    </row>
    <row r="74" spans="1:16" ht="23.5" customHeight="1" x14ac:dyDescent="0.3">
      <c r="A74" s="173"/>
      <c r="B74" s="187"/>
      <c r="C74" s="175"/>
      <c r="D74" s="151"/>
      <c r="E74" s="175"/>
      <c r="F74" s="175"/>
      <c r="I74" s="157"/>
      <c r="J74" s="157"/>
      <c r="K74" s="157"/>
      <c r="L74" s="157"/>
      <c r="M74" s="159"/>
      <c r="N74" s="2"/>
      <c r="P74" s="160"/>
    </row>
    <row r="75" spans="1:16" ht="23.5" customHeight="1" x14ac:dyDescent="0.3">
      <c r="A75" s="183"/>
      <c r="G75" s="201"/>
      <c r="H75" s="201"/>
      <c r="I75" s="201"/>
      <c r="J75" s="202"/>
      <c r="K75" s="202"/>
      <c r="L75" s="202"/>
      <c r="P75" s="160"/>
    </row>
    <row r="76" spans="1:16" ht="23.5" customHeight="1" x14ac:dyDescent="0.3">
      <c r="A76" s="173"/>
      <c r="B76" s="187"/>
      <c r="C76" s="175"/>
      <c r="D76" s="151"/>
      <c r="E76" s="175"/>
      <c r="F76" s="175"/>
      <c r="I76" s="157"/>
      <c r="J76" s="157"/>
      <c r="K76" s="157"/>
      <c r="L76" s="157"/>
      <c r="M76" s="159"/>
      <c r="N76" s="2"/>
      <c r="P76" s="160"/>
    </row>
    <row r="77" spans="1:16" ht="23.5" customHeight="1" x14ac:dyDescent="0.3">
      <c r="A77" s="183"/>
      <c r="G77" s="201"/>
      <c r="H77" s="201"/>
      <c r="I77" s="201"/>
      <c r="J77" s="202"/>
      <c r="K77" s="202"/>
      <c r="L77" s="202"/>
      <c r="P77" s="160"/>
    </row>
    <row r="78" spans="1:16" ht="23.5" customHeight="1" x14ac:dyDescent="0.3">
      <c r="A78" s="183"/>
      <c r="G78" s="2"/>
      <c r="H78" s="2"/>
      <c r="I78" s="201"/>
      <c r="J78" s="203"/>
      <c r="K78" s="203"/>
      <c r="L78" s="203"/>
      <c r="M78" s="159"/>
      <c r="N78" s="2"/>
      <c r="O78" s="2"/>
      <c r="P78" s="160"/>
    </row>
    <row r="79" spans="1:16" ht="23.5" customHeight="1" x14ac:dyDescent="0.3">
      <c r="A79" s="178" t="s">
        <v>137</v>
      </c>
      <c r="B79" s="174"/>
      <c r="C79" s="175"/>
      <c r="D79" s="152"/>
      <c r="E79" s="175"/>
      <c r="F79" s="175"/>
      <c r="G79" s="181">
        <f>+(G74*G75)+(G76*G77)</f>
        <v>0</v>
      </c>
      <c r="H79" s="181">
        <f>+(H74*H75)+(H76*H77)</f>
        <v>0</v>
      </c>
      <c r="I79" s="181">
        <f>+(I74*I75)+(I76*I77)</f>
        <v>0</v>
      </c>
      <c r="J79" s="182" t="e">
        <f>+(#REF!*#REF!)</f>
        <v>#REF!</v>
      </c>
      <c r="K79" s="182" t="e">
        <f>+(#REF!*#REF!)</f>
        <v>#REF!</v>
      </c>
      <c r="L79" s="182" t="e">
        <f>+(#REF!*#REF!)</f>
        <v>#REF!</v>
      </c>
      <c r="M79" s="182"/>
      <c r="N79" s="181">
        <f>SUM(N74:N78)</f>
        <v>0</v>
      </c>
      <c r="O79" s="181">
        <f>SUM(O74:O78)</f>
        <v>0</v>
      </c>
      <c r="P79" s="181">
        <f>SUM(P74:P78)</f>
        <v>0</v>
      </c>
    </row>
    <row r="80" spans="1:16" ht="23.5" customHeight="1" x14ac:dyDescent="0.3">
      <c r="A80" s="178"/>
      <c r="B80" s="174"/>
      <c r="C80" s="175"/>
      <c r="D80" s="152"/>
      <c r="E80" s="175"/>
      <c r="F80" s="175"/>
      <c r="G80" s="154"/>
      <c r="H80" s="154"/>
      <c r="I80" s="193"/>
      <c r="J80" s="193"/>
      <c r="K80" s="193"/>
      <c r="L80" s="193"/>
      <c r="M80" s="194"/>
      <c r="N80" s="154"/>
      <c r="O80" s="154"/>
      <c r="P80" s="195"/>
    </row>
    <row r="81" spans="1:18" s="3" customFormat="1" ht="26.25" customHeight="1" x14ac:dyDescent="0.3">
      <c r="A81" s="199" t="s">
        <v>73</v>
      </c>
      <c r="B81" s="200"/>
      <c r="C81" s="200"/>
      <c r="D81" s="158"/>
      <c r="E81" s="194"/>
      <c r="F81" s="194"/>
      <c r="G81" s="158"/>
      <c r="H81" s="158"/>
      <c r="I81" s="158"/>
      <c r="J81" s="158"/>
      <c r="K81" s="158"/>
      <c r="L81" s="158"/>
      <c r="M81" s="153"/>
      <c r="N81" s="158"/>
      <c r="O81" s="157"/>
      <c r="P81" s="160"/>
    </row>
    <row r="82" spans="1:18" s="3" customFormat="1" ht="26.25" customHeight="1" x14ac:dyDescent="0.3">
      <c r="A82" s="183"/>
      <c r="B82" s="148"/>
      <c r="C82" s="184"/>
      <c r="D82" s="184"/>
      <c r="E82" s="148"/>
      <c r="F82" s="148"/>
      <c r="G82" s="201"/>
      <c r="H82" s="201"/>
      <c r="I82" s="201"/>
      <c r="J82" s="202"/>
      <c r="K82" s="202"/>
      <c r="L82" s="202"/>
      <c r="M82" s="189"/>
      <c r="N82" s="157"/>
      <c r="O82" s="157"/>
      <c r="P82" s="160"/>
    </row>
    <row r="83" spans="1:18" ht="23.5" customHeight="1" x14ac:dyDescent="0.3">
      <c r="A83" s="173" t="s">
        <v>245</v>
      </c>
      <c r="B83" s="187"/>
      <c r="C83" s="175">
        <v>44895</v>
      </c>
      <c r="D83" s="151">
        <f>+(E83-C83)</f>
        <v>212</v>
      </c>
      <c r="E83" s="175">
        <f>$N$1</f>
        <v>45107</v>
      </c>
      <c r="F83" s="175"/>
      <c r="G83" s="157">
        <v>80000</v>
      </c>
      <c r="H83" s="157">
        <f>G83</f>
        <v>80000</v>
      </c>
      <c r="I83" s="157">
        <f>G83*M83*D83/365</f>
        <v>929.31506849315065</v>
      </c>
      <c r="J83" s="157"/>
      <c r="K83" s="157"/>
      <c r="L83" s="157"/>
      <c r="M83" s="159">
        <v>0.02</v>
      </c>
      <c r="N83" s="2">
        <f>I83/D83*(N$1-C83+1)*140.1749</f>
        <v>130881.11210958904</v>
      </c>
      <c r="O83" s="157">
        <v>17287.083835616439</v>
      </c>
      <c r="P83" s="160">
        <f>N83-O83</f>
        <v>113594.0282739726</v>
      </c>
    </row>
    <row r="84" spans="1:18" s="3" customFormat="1" ht="26" customHeight="1" x14ac:dyDescent="0.3">
      <c r="A84" s="183"/>
      <c r="B84" s="148"/>
      <c r="C84" s="184"/>
      <c r="D84" s="184"/>
      <c r="E84" s="148"/>
      <c r="F84" s="148"/>
      <c r="G84" s="201">
        <v>140.17490000000001</v>
      </c>
      <c r="H84" s="201">
        <v>140.17490000000001</v>
      </c>
      <c r="I84" s="201">
        <v>140.17490000000001</v>
      </c>
      <c r="J84" s="202"/>
      <c r="K84" s="202"/>
      <c r="L84" s="202"/>
      <c r="M84" s="189"/>
      <c r="N84" s="157"/>
      <c r="O84" s="157"/>
      <c r="P84" s="160"/>
    </row>
    <row r="85" spans="1:18" ht="23.5" customHeight="1" x14ac:dyDescent="0.3">
      <c r="A85" s="173" t="s">
        <v>245</v>
      </c>
      <c r="B85" s="187"/>
      <c r="C85" s="175">
        <v>44925</v>
      </c>
      <c r="D85" s="151">
        <f>+(E85-C85)</f>
        <v>182</v>
      </c>
      <c r="E85" s="175">
        <f>$N$1</f>
        <v>45107</v>
      </c>
      <c r="F85" s="175"/>
      <c r="G85" s="157">
        <v>400000</v>
      </c>
      <c r="H85" s="157">
        <f>G85</f>
        <v>400000</v>
      </c>
      <c r="I85" s="157">
        <f>G85*M85*D85/365</f>
        <v>5983.5616438356165</v>
      </c>
      <c r="J85" s="157"/>
      <c r="K85" s="157"/>
      <c r="L85" s="157"/>
      <c r="M85" s="159">
        <v>0.03</v>
      </c>
      <c r="N85" s="2">
        <f>I85/D85*(N$1-C85+1)*140.1749</f>
        <v>843353.64493150706</v>
      </c>
      <c r="O85" s="157">
        <v>8103.3205479452063</v>
      </c>
      <c r="P85" s="160">
        <f>N85-O85</f>
        <v>835250.32438356185</v>
      </c>
    </row>
    <row r="86" spans="1:18" s="3" customFormat="1" ht="26" customHeight="1" x14ac:dyDescent="0.3">
      <c r="A86" s="183"/>
      <c r="B86" s="148"/>
      <c r="C86" s="184"/>
      <c r="D86" s="184"/>
      <c r="E86" s="148"/>
      <c r="F86" s="148"/>
      <c r="G86" s="201">
        <v>140.17490000000001</v>
      </c>
      <c r="H86" s="201">
        <v>140.17490000000001</v>
      </c>
      <c r="I86" s="201">
        <v>140.17490000000001</v>
      </c>
      <c r="J86" s="202"/>
      <c r="K86" s="202"/>
      <c r="L86" s="202"/>
      <c r="M86" s="189"/>
      <c r="N86" s="157"/>
      <c r="O86" s="157"/>
      <c r="P86" s="160"/>
    </row>
    <row r="87" spans="1:18" ht="23.5" customHeight="1" x14ac:dyDescent="0.3">
      <c r="A87" s="173" t="s">
        <v>245</v>
      </c>
      <c r="B87" s="187"/>
      <c r="C87" s="175">
        <v>45068</v>
      </c>
      <c r="D87" s="151">
        <f>+(E87-C87)</f>
        <v>39</v>
      </c>
      <c r="E87" s="175">
        <f>$N$1</f>
        <v>45107</v>
      </c>
      <c r="F87" s="175"/>
      <c r="G87" s="157">
        <v>300000</v>
      </c>
      <c r="H87" s="157">
        <f>G87</f>
        <v>300000</v>
      </c>
      <c r="I87" s="157">
        <f>G87*M87*D87/365</f>
        <v>961.64383561643831</v>
      </c>
      <c r="J87" s="157"/>
      <c r="K87" s="157"/>
      <c r="L87" s="157"/>
      <c r="M87" s="159">
        <v>0.03</v>
      </c>
      <c r="N87" s="2">
        <f>I87/D87*(N$1-C87+1)*140.1749</f>
        <v>138254.69589041095</v>
      </c>
      <c r="P87" s="160">
        <f>N87-O87</f>
        <v>138254.69589041095</v>
      </c>
    </row>
    <row r="88" spans="1:18" s="3" customFormat="1" ht="26" customHeight="1" x14ac:dyDescent="0.3">
      <c r="A88" s="183"/>
      <c r="B88" s="148"/>
      <c r="C88" s="184"/>
      <c r="D88" s="184"/>
      <c r="E88" s="148"/>
      <c r="F88" s="148"/>
      <c r="G88" s="201">
        <v>140.17490000000001</v>
      </c>
      <c r="H88" s="201">
        <v>140.17490000000001</v>
      </c>
      <c r="I88" s="201">
        <v>140.17490000000001</v>
      </c>
      <c r="J88" s="202"/>
      <c r="K88" s="202"/>
      <c r="L88" s="202"/>
      <c r="M88" s="189"/>
      <c r="N88" s="157"/>
      <c r="O88" s="157"/>
      <c r="P88" s="160"/>
    </row>
    <row r="89" spans="1:18" ht="23.5" customHeight="1" x14ac:dyDescent="0.3">
      <c r="A89" s="173" t="s">
        <v>245</v>
      </c>
      <c r="B89" s="187"/>
      <c r="C89" s="175">
        <v>45107</v>
      </c>
      <c r="D89" s="864">
        <v>1</v>
      </c>
      <c r="E89" s="175">
        <f>$N$1</f>
        <v>45107</v>
      </c>
      <c r="F89" s="175"/>
      <c r="G89" s="157">
        <v>275000</v>
      </c>
      <c r="H89" s="157">
        <f>G89</f>
        <v>275000</v>
      </c>
      <c r="I89" s="157">
        <f>G89*M89*D89/365</f>
        <v>26.369863013698634</v>
      </c>
      <c r="J89" s="157"/>
      <c r="K89" s="157"/>
      <c r="L89" s="157"/>
      <c r="M89" s="159">
        <v>3.5000000000000003E-2</v>
      </c>
      <c r="N89" s="2">
        <f>I89/D89*(N$1-C89+1)*140.1749</f>
        <v>3696.3929109589048</v>
      </c>
      <c r="P89" s="160">
        <f>N89-O89</f>
        <v>3696.3929109589048</v>
      </c>
    </row>
    <row r="90" spans="1:18" s="3" customFormat="1" ht="26" customHeight="1" x14ac:dyDescent="0.3">
      <c r="A90" s="183"/>
      <c r="B90" s="148"/>
      <c r="C90" s="184"/>
      <c r="D90" s="184"/>
      <c r="E90" s="148"/>
      <c r="F90" s="148"/>
      <c r="G90" s="201">
        <v>140.17490000000001</v>
      </c>
      <c r="H90" s="201">
        <v>140.17490000000001</v>
      </c>
      <c r="I90" s="201">
        <v>140.17490000000001</v>
      </c>
      <c r="J90" s="202"/>
      <c r="K90" s="202"/>
      <c r="L90" s="202"/>
      <c r="M90" s="189"/>
      <c r="N90" s="157"/>
      <c r="O90" s="157"/>
      <c r="P90" s="160"/>
    </row>
    <row r="91" spans="1:18" ht="23.5" customHeight="1" x14ac:dyDescent="0.3">
      <c r="A91" s="173"/>
      <c r="B91" s="187"/>
      <c r="C91" s="175"/>
      <c r="D91" s="740"/>
      <c r="E91" s="175"/>
      <c r="F91" s="175"/>
      <c r="I91" s="157"/>
      <c r="J91" s="157"/>
      <c r="K91" s="157"/>
      <c r="L91" s="157"/>
      <c r="M91" s="159"/>
      <c r="N91" s="2"/>
      <c r="P91" s="160"/>
    </row>
    <row r="92" spans="1:18" ht="23.25" customHeight="1" x14ac:dyDescent="0.3">
      <c r="A92" s="178" t="s">
        <v>74</v>
      </c>
      <c r="B92" s="174"/>
      <c r="C92" s="201"/>
      <c r="D92" s="152"/>
      <c r="E92" s="175"/>
      <c r="F92" s="175"/>
      <c r="G92" s="181">
        <f>+(G83*G84)+(G85*G86)+(G87*G88)+(G89*G90)</f>
        <v>147884519.5</v>
      </c>
      <c r="H92" s="181">
        <f t="shared" ref="H92:I92" si="9">+(H83*H84)+(H85*H86)+(H87*H88)+(H89*H90)</f>
        <v>147884519.5</v>
      </c>
      <c r="I92" s="181">
        <f t="shared" si="9"/>
        <v>1107506.5232671234</v>
      </c>
      <c r="J92" s="181">
        <f t="shared" ref="J92:M92" si="10">+(J83*J84)+(J85*J86)+(J87*J88)</f>
        <v>0</v>
      </c>
      <c r="K92" s="181">
        <f t="shared" si="10"/>
        <v>0</v>
      </c>
      <c r="L92" s="181">
        <f t="shared" si="10"/>
        <v>0</v>
      </c>
      <c r="M92" s="181">
        <f t="shared" si="10"/>
        <v>0</v>
      </c>
      <c r="N92" s="181">
        <f>SUM(N83:N91)</f>
        <v>1116185.845842466</v>
      </c>
      <c r="O92" s="181">
        <f>SUM(O83:O91)</f>
        <v>25390.404383561647</v>
      </c>
      <c r="P92" s="181">
        <f>SUM(P83:P91)</f>
        <v>1090795.4414589044</v>
      </c>
      <c r="R92" s="155"/>
    </row>
    <row r="93" spans="1:18" s="11" customFormat="1" ht="22.5" customHeight="1" x14ac:dyDescent="0.3">
      <c r="A93" s="604"/>
      <c r="B93" s="179"/>
      <c r="C93" s="158"/>
      <c r="D93" s="158"/>
      <c r="E93" s="158"/>
      <c r="F93" s="158"/>
      <c r="G93" s="181"/>
      <c r="H93" s="152"/>
      <c r="I93" s="152"/>
      <c r="J93" s="152"/>
      <c r="K93" s="152"/>
      <c r="L93" s="152"/>
      <c r="M93" s="153"/>
      <c r="N93" s="152"/>
      <c r="O93" s="157"/>
      <c r="P93" s="160"/>
    </row>
    <row r="94" spans="1:18" ht="23.5" customHeight="1" x14ac:dyDescent="0.3">
      <c r="A94" s="173"/>
      <c r="B94" s="187"/>
      <c r="C94" s="175"/>
      <c r="D94" s="674"/>
      <c r="E94" s="175"/>
      <c r="F94" s="175"/>
      <c r="I94" s="157"/>
      <c r="J94" s="157"/>
      <c r="K94" s="157"/>
      <c r="L94" s="157"/>
      <c r="M94" s="159"/>
      <c r="N94" s="2"/>
      <c r="P94" s="160"/>
    </row>
    <row r="95" spans="1:18" ht="23.15" customHeight="1" x14ac:dyDescent="0.3">
      <c r="A95" s="173"/>
      <c r="B95" s="187"/>
      <c r="C95" s="175"/>
      <c r="D95" s="643"/>
      <c r="E95" s="637"/>
      <c r="F95" s="175"/>
      <c r="I95" s="157"/>
      <c r="J95" s="157"/>
      <c r="K95" s="157"/>
      <c r="L95" s="157"/>
      <c r="M95" s="159"/>
      <c r="N95" s="2"/>
      <c r="P95" s="160"/>
    </row>
    <row r="96" spans="1:18" ht="23.15" customHeight="1" x14ac:dyDescent="0.3">
      <c r="A96" s="173" t="s">
        <v>216</v>
      </c>
      <c r="B96" s="187"/>
      <c r="C96" s="175">
        <v>45107</v>
      </c>
      <c r="D96" s="862">
        <v>1</v>
      </c>
      <c r="E96" s="637">
        <f>$N$1</f>
        <v>45107</v>
      </c>
      <c r="F96" s="175"/>
      <c r="G96" s="157">
        <v>80000000</v>
      </c>
      <c r="H96" s="157">
        <f>G96</f>
        <v>80000000</v>
      </c>
      <c r="I96" s="157">
        <f>G96*M96*D96/365</f>
        <v>23013.698630136987</v>
      </c>
      <c r="J96" s="157"/>
      <c r="K96" s="157"/>
      <c r="L96" s="157"/>
      <c r="M96" s="159">
        <v>0.105</v>
      </c>
      <c r="N96" s="2">
        <f>I96/D96*(N$1-C96+1)</f>
        <v>23013.698630136987</v>
      </c>
      <c r="P96" s="160">
        <f>N96-O96</f>
        <v>23013.698630136987</v>
      </c>
    </row>
    <row r="97" spans="1:16" ht="23.15" customHeight="1" x14ac:dyDescent="0.3">
      <c r="A97" s="173"/>
      <c r="B97" s="187"/>
      <c r="C97" s="175"/>
      <c r="D97" s="643"/>
      <c r="E97" s="637"/>
      <c r="F97" s="175"/>
      <c r="I97" s="157"/>
      <c r="J97" s="157"/>
      <c r="K97" s="157"/>
      <c r="L97" s="157"/>
      <c r="M97" s="159"/>
      <c r="N97" s="2"/>
    </row>
    <row r="98" spans="1:16" ht="23.5" customHeight="1" x14ac:dyDescent="0.3">
      <c r="A98" s="178" t="s">
        <v>9</v>
      </c>
      <c r="B98" s="179"/>
      <c r="C98" s="174"/>
      <c r="D98" s="151"/>
      <c r="E98" s="175"/>
      <c r="F98" s="175"/>
      <c r="G98" s="553">
        <f t="shared" ref="G98:P98" si="11">SUM(G96:G97)</f>
        <v>80000000</v>
      </c>
      <c r="H98" s="553">
        <f t="shared" si="11"/>
        <v>80000000</v>
      </c>
      <c r="I98" s="553">
        <f t="shared" si="11"/>
        <v>23013.698630136987</v>
      </c>
      <c r="J98" s="553">
        <f t="shared" si="11"/>
        <v>0</v>
      </c>
      <c r="K98" s="553">
        <f t="shared" si="11"/>
        <v>0</v>
      </c>
      <c r="L98" s="553">
        <f t="shared" si="11"/>
        <v>0</v>
      </c>
      <c r="M98" s="553">
        <f t="shared" si="11"/>
        <v>0.105</v>
      </c>
      <c r="N98" s="553">
        <f t="shared" si="11"/>
        <v>23013.698630136987</v>
      </c>
      <c r="O98" s="553">
        <f t="shared" si="11"/>
        <v>0</v>
      </c>
      <c r="P98" s="553">
        <f t="shared" si="11"/>
        <v>23013.698630136987</v>
      </c>
    </row>
    <row r="99" spans="1:16" ht="23.5" customHeight="1" x14ac:dyDescent="0.3">
      <c r="A99" s="178"/>
      <c r="B99" s="179"/>
      <c r="C99" s="174"/>
      <c r="D99" s="151"/>
      <c r="E99" s="175"/>
      <c r="F99" s="175"/>
      <c r="G99" s="154"/>
      <c r="H99" s="154"/>
      <c r="I99" s="191"/>
      <c r="J99" s="191"/>
      <c r="K99" s="191"/>
      <c r="L99" s="191"/>
      <c r="M99" s="204"/>
      <c r="N99" s="154"/>
      <c r="O99" s="154"/>
      <c r="P99" s="195"/>
    </row>
    <row r="100" spans="1:16" ht="23.5" customHeight="1" thickBot="1" x14ac:dyDescent="0.35">
      <c r="A100" s="178" t="s">
        <v>192</v>
      </c>
      <c r="B100" s="179"/>
      <c r="C100" s="174"/>
      <c r="D100" s="151"/>
      <c r="E100" s="175"/>
      <c r="F100" s="175"/>
      <c r="G100" s="542">
        <f t="shared" ref="G100:P100" si="12">G98+G92+G79</f>
        <v>227884519.5</v>
      </c>
      <c r="H100" s="542">
        <f t="shared" si="12"/>
        <v>227884519.5</v>
      </c>
      <c r="I100" s="542">
        <f t="shared" si="12"/>
        <v>1130520.2218972603</v>
      </c>
      <c r="J100" s="542" t="e">
        <f t="shared" si="12"/>
        <v>#REF!</v>
      </c>
      <c r="K100" s="542" t="e">
        <f t="shared" si="12"/>
        <v>#REF!</v>
      </c>
      <c r="L100" s="542" t="e">
        <f t="shared" si="12"/>
        <v>#REF!</v>
      </c>
      <c r="M100" s="542">
        <f t="shared" si="12"/>
        <v>0.105</v>
      </c>
      <c r="N100" s="542">
        <f t="shared" si="12"/>
        <v>1139199.5444726029</v>
      </c>
      <c r="O100" s="542">
        <f t="shared" si="12"/>
        <v>25390.404383561647</v>
      </c>
      <c r="P100" s="542">
        <f t="shared" si="12"/>
        <v>1113809.1400890413</v>
      </c>
    </row>
    <row r="101" spans="1:16" ht="23.5" customHeight="1" x14ac:dyDescent="0.35">
      <c r="A101" s="178" t="s">
        <v>15</v>
      </c>
      <c r="B101" s="179"/>
      <c r="C101" s="205"/>
      <c r="D101" s="616"/>
      <c r="E101" s="151"/>
      <c r="F101" s="151"/>
      <c r="G101" s="584"/>
      <c r="H101" s="2"/>
      <c r="I101" s="2"/>
      <c r="J101" s="2"/>
      <c r="K101" s="2"/>
      <c r="L101" s="2"/>
      <c r="M101" s="153"/>
      <c r="N101" s="152"/>
      <c r="O101" s="2"/>
      <c r="P101" s="160"/>
    </row>
    <row r="102" spans="1:16" ht="23.5" customHeight="1" x14ac:dyDescent="0.3">
      <c r="A102" s="178"/>
      <c r="B102" s="179"/>
      <c r="C102" s="205"/>
      <c r="D102" s="616"/>
      <c r="E102" s="151"/>
      <c r="F102" s="151"/>
      <c r="G102" s="2"/>
      <c r="H102" s="2"/>
      <c r="I102" s="2"/>
      <c r="J102" s="2"/>
      <c r="K102" s="2"/>
      <c r="L102" s="2"/>
      <c r="M102" s="153"/>
      <c r="N102" s="152"/>
      <c r="O102" s="2"/>
      <c r="P102" s="160"/>
    </row>
    <row r="103" spans="1:16" ht="23.5" customHeight="1" x14ac:dyDescent="0.3">
      <c r="A103" s="199" t="s">
        <v>179</v>
      </c>
      <c r="B103" s="200"/>
      <c r="C103" s="200"/>
      <c r="D103" s="158"/>
      <c r="E103" s="194"/>
      <c r="F103" s="194"/>
      <c r="G103" s="158"/>
      <c r="H103" s="158"/>
      <c r="I103" s="158"/>
      <c r="J103" s="158"/>
      <c r="K103" s="158"/>
      <c r="L103" s="158"/>
      <c r="M103" s="153"/>
      <c r="N103" s="158"/>
      <c r="P103" s="160"/>
    </row>
    <row r="104" spans="1:16" s="3" customFormat="1" ht="26.25" customHeight="1" x14ac:dyDescent="0.3">
      <c r="A104" s="199"/>
      <c r="B104" s="200"/>
      <c r="C104" s="200"/>
      <c r="D104" s="158"/>
      <c r="E104" s="194"/>
      <c r="F104" s="194"/>
      <c r="G104" s="158"/>
      <c r="H104" s="158"/>
      <c r="I104" s="158"/>
      <c r="J104" s="158"/>
      <c r="K104" s="158"/>
      <c r="L104" s="158"/>
      <c r="M104" s="153"/>
      <c r="N104" s="158"/>
      <c r="O104" s="157"/>
      <c r="P104" s="160"/>
    </row>
    <row r="105" spans="1:16" ht="23.5" customHeight="1" x14ac:dyDescent="0.3">
      <c r="A105" s="173"/>
      <c r="B105" s="187"/>
      <c r="C105" s="175"/>
      <c r="D105" s="151"/>
      <c r="E105" s="175"/>
      <c r="F105" s="175"/>
      <c r="I105" s="157"/>
      <c r="J105" s="157"/>
      <c r="K105" s="157"/>
      <c r="L105" s="157"/>
      <c r="M105" s="159"/>
      <c r="N105" s="2"/>
      <c r="P105" s="160"/>
    </row>
    <row r="106" spans="1:16" ht="23.5" customHeight="1" x14ac:dyDescent="0.3">
      <c r="A106" s="173" t="s">
        <v>244</v>
      </c>
      <c r="B106" s="187"/>
      <c r="C106" s="175">
        <v>44746</v>
      </c>
      <c r="D106" s="151">
        <f>+(E106-C106)</f>
        <v>361</v>
      </c>
      <c r="E106" s="175">
        <f>$N$1</f>
        <v>45107</v>
      </c>
      <c r="F106" s="175"/>
      <c r="G106" s="157">
        <f>940124-848197</f>
        <v>91927</v>
      </c>
      <c r="H106" s="157">
        <f>G106</f>
        <v>91927</v>
      </c>
      <c r="I106" s="157">
        <f>G106*M106*D106/366</f>
        <v>1813.4233333333332</v>
      </c>
      <c r="J106" s="157"/>
      <c r="K106" s="157"/>
      <c r="L106" s="157"/>
      <c r="M106" s="159">
        <v>0.02</v>
      </c>
      <c r="N106" s="2">
        <f>I106/D106*(N$1-C106+1)*140.1749</f>
        <v>254900.57965533333</v>
      </c>
      <c r="O106" s="157">
        <v>112050.86515333333</v>
      </c>
      <c r="P106" s="160">
        <f>N106-O106</f>
        <v>142849.71450200002</v>
      </c>
    </row>
    <row r="107" spans="1:16" s="3" customFormat="1" ht="26.15" customHeight="1" x14ac:dyDescent="0.3">
      <c r="A107" s="183"/>
      <c r="B107" s="148"/>
      <c r="C107" s="184"/>
      <c r="D107" s="184"/>
      <c r="E107" s="148"/>
      <c r="F107" s="148"/>
      <c r="G107" s="201">
        <v>140.17490000000001</v>
      </c>
      <c r="H107" s="201">
        <v>140.17490000000001</v>
      </c>
      <c r="I107" s="201">
        <v>140.17490000000001</v>
      </c>
      <c r="J107" s="202"/>
      <c r="K107" s="202"/>
      <c r="L107" s="202"/>
      <c r="M107" s="189"/>
      <c r="N107" s="157"/>
      <c r="O107" s="157"/>
      <c r="P107" s="160"/>
    </row>
    <row r="108" spans="1:16" ht="23.5" customHeight="1" x14ac:dyDescent="0.3">
      <c r="A108" s="173" t="s">
        <v>244</v>
      </c>
      <c r="B108" s="187"/>
      <c r="C108" s="175">
        <v>44734</v>
      </c>
      <c r="D108" s="151">
        <f>+(E108-C108)</f>
        <v>373</v>
      </c>
      <c r="E108" s="175">
        <f>$N$1</f>
        <v>45107</v>
      </c>
      <c r="F108" s="175"/>
      <c r="G108" s="157">
        <v>30000</v>
      </c>
      <c r="H108" s="157">
        <f>G108</f>
        <v>30000</v>
      </c>
      <c r="I108" s="157">
        <f>G108*M108*D108/366</f>
        <v>611.47540983606552</v>
      </c>
      <c r="J108" s="157"/>
      <c r="K108" s="157"/>
      <c r="L108" s="157"/>
      <c r="M108" s="159">
        <v>0.02</v>
      </c>
      <c r="N108" s="2">
        <f>I108/D108*(N$1-C108+1)*140.1749</f>
        <v>85943.299344262283</v>
      </c>
      <c r="O108" s="157">
        <v>38991.695081967213</v>
      </c>
      <c r="P108" s="160">
        <f>N108-O108</f>
        <v>46951.60426229507</v>
      </c>
    </row>
    <row r="109" spans="1:16" s="3" customFormat="1" ht="26.15" customHeight="1" x14ac:dyDescent="0.3">
      <c r="A109" s="183"/>
      <c r="B109" s="148"/>
      <c r="C109" s="184"/>
      <c r="D109" s="184"/>
      <c r="E109" s="148"/>
      <c r="F109" s="148"/>
      <c r="G109" s="201">
        <v>140.17490000000001</v>
      </c>
      <c r="H109" s="201">
        <v>140.17490000000001</v>
      </c>
      <c r="I109" s="201">
        <v>140.17490000000001</v>
      </c>
      <c r="J109" s="202"/>
      <c r="K109" s="202"/>
      <c r="L109" s="202"/>
      <c r="M109" s="189"/>
      <c r="N109" s="157"/>
      <c r="O109" s="157"/>
      <c r="P109" s="160"/>
    </row>
    <row r="110" spans="1:16" ht="23.5" customHeight="1" x14ac:dyDescent="0.3">
      <c r="A110" s="173" t="s">
        <v>244</v>
      </c>
      <c r="B110" s="187"/>
      <c r="C110" s="175">
        <v>44833</v>
      </c>
      <c r="D110" s="151">
        <f>+(E110-C110)</f>
        <v>274</v>
      </c>
      <c r="E110" s="175">
        <f>$N$1</f>
        <v>45107</v>
      </c>
      <c r="F110" s="175"/>
      <c r="G110" s="157">
        <v>25000</v>
      </c>
      <c r="H110" s="157">
        <f>G110</f>
        <v>25000</v>
      </c>
      <c r="I110" s="157">
        <f>G110*M110*D110/366</f>
        <v>374.31693989071039</v>
      </c>
      <c r="J110" s="157"/>
      <c r="K110" s="157"/>
      <c r="L110" s="157"/>
      <c r="M110" s="159">
        <v>0.02</v>
      </c>
      <c r="N110" s="2">
        <f>I110/D110*(N$1-C110+1)*140.1749</f>
        <v>52661.335382513666</v>
      </c>
      <c r="O110" s="157">
        <v>15825.644808743171</v>
      </c>
      <c r="P110" s="160">
        <f>N110-O110</f>
        <v>36835.690573770495</v>
      </c>
    </row>
    <row r="111" spans="1:16" s="3" customFormat="1" ht="26.15" customHeight="1" x14ac:dyDescent="0.3">
      <c r="A111" s="183"/>
      <c r="B111" s="148"/>
      <c r="C111" s="184"/>
      <c r="D111" s="184"/>
      <c r="E111" s="148"/>
      <c r="F111" s="148"/>
      <c r="G111" s="201">
        <v>140.17490000000001</v>
      </c>
      <c r="H111" s="201">
        <v>140.17490000000001</v>
      </c>
      <c r="I111" s="201">
        <v>140.17490000000001</v>
      </c>
      <c r="J111" s="202"/>
      <c r="K111" s="202"/>
      <c r="L111" s="202"/>
      <c r="M111" s="189"/>
      <c r="N111" s="157"/>
      <c r="O111" s="157"/>
      <c r="P111" s="160"/>
    </row>
    <row r="112" spans="1:16" ht="23.5" customHeight="1" x14ac:dyDescent="0.3">
      <c r="A112" s="173" t="s">
        <v>244</v>
      </c>
      <c r="B112" s="187"/>
      <c r="C112" s="175">
        <v>45068</v>
      </c>
      <c r="D112" s="151">
        <f>+(E112-C112)</f>
        <v>39</v>
      </c>
      <c r="E112" s="175">
        <f>$N$1</f>
        <v>45107</v>
      </c>
      <c r="F112" s="175"/>
      <c r="G112" s="157">
        <v>420000</v>
      </c>
      <c r="H112" s="157">
        <f>G112</f>
        <v>420000</v>
      </c>
      <c r="I112" s="157">
        <f>G112*M112*D112/366</f>
        <v>1566.3934426229512</v>
      </c>
      <c r="J112" s="157"/>
      <c r="K112" s="157"/>
      <c r="L112" s="157"/>
      <c r="M112" s="159">
        <v>3.5000000000000003E-2</v>
      </c>
      <c r="N112" s="2">
        <f>I112/D112*(N$1-C112+1)*140.1749</f>
        <v>225199.01967213119</v>
      </c>
      <c r="P112" s="160">
        <f>N112-O112</f>
        <v>225199.01967213119</v>
      </c>
    </row>
    <row r="113" spans="1:16" s="3" customFormat="1" ht="26.15" customHeight="1" x14ac:dyDescent="0.3">
      <c r="A113" s="183"/>
      <c r="B113" s="148"/>
      <c r="C113" s="184"/>
      <c r="D113" s="184"/>
      <c r="E113" s="148"/>
      <c r="F113" s="148"/>
      <c r="G113" s="201">
        <v>140.17490000000001</v>
      </c>
      <c r="H113" s="201">
        <v>140.17490000000001</v>
      </c>
      <c r="I113" s="201">
        <v>140.17490000000001</v>
      </c>
      <c r="J113" s="202"/>
      <c r="K113" s="202"/>
      <c r="L113" s="202"/>
      <c r="M113" s="189"/>
      <c r="N113" s="157"/>
      <c r="O113" s="157"/>
      <c r="P113" s="160"/>
    </row>
    <row r="114" spans="1:16" ht="23.5" customHeight="1" x14ac:dyDescent="0.3">
      <c r="A114" s="173" t="s">
        <v>244</v>
      </c>
      <c r="B114" s="187"/>
      <c r="C114" s="175">
        <v>45107</v>
      </c>
      <c r="D114" s="864">
        <v>1</v>
      </c>
      <c r="E114" s="175">
        <f>$N$1</f>
        <v>45107</v>
      </c>
      <c r="F114" s="175"/>
      <c r="G114" s="157">
        <v>45000</v>
      </c>
      <c r="H114" s="157">
        <f>G114</f>
        <v>45000</v>
      </c>
      <c r="I114" s="157">
        <f>G114*M114*D114/366</f>
        <v>4.3032786885245908</v>
      </c>
      <c r="J114" s="157"/>
      <c r="K114" s="157"/>
      <c r="L114" s="157"/>
      <c r="M114" s="159">
        <v>3.5000000000000003E-2</v>
      </c>
      <c r="N114" s="2">
        <f>I114/D114*(N$1-C114+1)*140.1749</f>
        <v>603.21165983606568</v>
      </c>
      <c r="P114" s="160">
        <f>N114-O114</f>
        <v>603.21165983606568</v>
      </c>
    </row>
    <row r="115" spans="1:16" s="3" customFormat="1" ht="26.15" customHeight="1" x14ac:dyDescent="0.3">
      <c r="A115" s="183"/>
      <c r="B115" s="148"/>
      <c r="C115" s="184"/>
      <c r="D115" s="184"/>
      <c r="E115" s="148"/>
      <c r="F115" s="148"/>
      <c r="G115" s="201">
        <v>140.17490000000001</v>
      </c>
      <c r="H115" s="201">
        <v>140.17490000000001</v>
      </c>
      <c r="I115" s="201">
        <v>140.17490000000001</v>
      </c>
      <c r="J115" s="202"/>
      <c r="K115" s="202"/>
      <c r="L115" s="202"/>
      <c r="M115" s="189"/>
      <c r="N115" s="157"/>
      <c r="O115" s="157"/>
      <c r="P115" s="160"/>
    </row>
    <row r="116" spans="1:16" ht="23.5" customHeight="1" x14ac:dyDescent="0.3">
      <c r="A116" s="199"/>
      <c r="B116" s="200"/>
      <c r="C116" s="200"/>
      <c r="D116" s="158"/>
      <c r="E116" s="194"/>
      <c r="F116" s="194"/>
      <c r="G116" s="158"/>
      <c r="H116" s="158"/>
      <c r="I116" s="158"/>
      <c r="J116" s="158"/>
      <c r="K116" s="158"/>
      <c r="L116" s="158"/>
      <c r="M116" s="153"/>
      <c r="N116" s="158"/>
      <c r="P116" s="160"/>
    </row>
    <row r="117" spans="1:16" ht="22.5" customHeight="1" x14ac:dyDescent="0.3">
      <c r="A117" s="178" t="s">
        <v>180</v>
      </c>
      <c r="B117" s="174"/>
      <c r="C117" s="175"/>
      <c r="D117" s="152"/>
      <c r="E117" s="175"/>
      <c r="F117" s="175"/>
      <c r="G117" s="181">
        <f>+(G106*G107)+(G108*G109)+(G110*G111)+(G112*G113)+(G114*G115)</f>
        <v>85776806.032299995</v>
      </c>
      <c r="H117" s="181">
        <f t="shared" ref="H117:I117" si="13">+(H106*H107)+(H108*H109)+(H110*H111)+(H112*H113)+(H114*H115)</f>
        <v>85776806.032299995</v>
      </c>
      <c r="I117" s="181">
        <f t="shared" si="13"/>
        <v>612552.03429154656</v>
      </c>
      <c r="J117" s="181" t="e">
        <f>+(#REF!*#REF!)+(#REF!*#REF!)+(#REF!*#REF!)+(J106*J107)+(J108*J109)+(#REF!*#REF!)+(#REF!*#REF!)+(J110*J111)</f>
        <v>#REF!</v>
      </c>
      <c r="K117" s="181" t="e">
        <f>+(#REF!*#REF!)+(#REF!*#REF!)+(#REF!*#REF!)+(K106*K107)+(K108*K109)+(#REF!*#REF!)+(#REF!*#REF!)+(K110*K111)</f>
        <v>#REF!</v>
      </c>
      <c r="L117" s="181" t="e">
        <f>+(#REF!*#REF!)+(#REF!*#REF!)+(#REF!*#REF!)+(L106*L107)+(L108*L109)+(#REF!*#REF!)+(#REF!*#REF!)+(L110*L111)</f>
        <v>#REF!</v>
      </c>
      <c r="M117" s="181"/>
      <c r="N117" s="181">
        <f>SUM(N105:N116)</f>
        <v>619307.44571407663</v>
      </c>
      <c r="O117" s="181">
        <f t="shared" ref="O117:P117" si="14">SUM(O105:O116)</f>
        <v>166868.20504404372</v>
      </c>
      <c r="P117" s="181">
        <f t="shared" si="14"/>
        <v>452439.24067003286</v>
      </c>
    </row>
    <row r="118" spans="1:16" s="11" customFormat="1" ht="25.5" customHeight="1" x14ac:dyDescent="0.3">
      <c r="A118" s="178"/>
      <c r="B118" s="179"/>
      <c r="C118" s="205"/>
      <c r="D118" s="151"/>
      <c r="E118" s="151"/>
      <c r="F118" s="151"/>
      <c r="G118" s="2"/>
      <c r="H118" s="2"/>
      <c r="I118" s="2"/>
      <c r="J118" s="2"/>
      <c r="K118" s="2"/>
      <c r="L118" s="2"/>
      <c r="M118" s="153"/>
      <c r="N118" s="152"/>
      <c r="O118" s="2"/>
      <c r="P118" s="160"/>
    </row>
    <row r="119" spans="1:16" ht="23.15" customHeight="1" x14ac:dyDescent="0.3">
      <c r="A119" s="173"/>
      <c r="B119" s="187"/>
      <c r="C119" s="175"/>
      <c r="D119" s="684"/>
      <c r="E119" s="175"/>
      <c r="F119" s="175"/>
      <c r="I119" s="157"/>
      <c r="J119" s="157"/>
      <c r="K119" s="157"/>
      <c r="L119" s="157"/>
      <c r="M119" s="159"/>
      <c r="N119" s="2"/>
      <c r="P119" s="160"/>
    </row>
    <row r="120" spans="1:16" ht="22.5" customHeight="1" x14ac:dyDescent="0.3">
      <c r="A120" s="173" t="s">
        <v>215</v>
      </c>
      <c r="B120" s="187"/>
      <c r="C120" s="175">
        <v>45068</v>
      </c>
      <c r="D120" s="684">
        <f>+(E120-C120)</f>
        <v>39</v>
      </c>
      <c r="E120" s="175">
        <f>$N$1</f>
        <v>45107</v>
      </c>
      <c r="F120" s="175"/>
      <c r="G120" s="157">
        <v>15000000</v>
      </c>
      <c r="H120" s="157">
        <f>G120</f>
        <v>15000000</v>
      </c>
      <c r="I120" s="157">
        <f>G120*M120*D120/365</f>
        <v>168287.67123287672</v>
      </c>
      <c r="J120" s="157"/>
      <c r="K120" s="157"/>
      <c r="L120" s="157"/>
      <c r="M120" s="159">
        <v>0.105</v>
      </c>
      <c r="N120" s="2">
        <f>I120/D120*(N$1-C120+1)</f>
        <v>172602.73972602739</v>
      </c>
      <c r="P120" s="160">
        <f>N120-O120</f>
        <v>172602.73972602739</v>
      </c>
    </row>
    <row r="121" spans="1:16" ht="22.5" customHeight="1" x14ac:dyDescent="0.3">
      <c r="A121" s="173" t="s">
        <v>215</v>
      </c>
      <c r="B121" s="187"/>
      <c r="C121" s="175">
        <v>45107</v>
      </c>
      <c r="D121" s="863">
        <v>1</v>
      </c>
      <c r="E121" s="175">
        <f>$N$1</f>
        <v>45107</v>
      </c>
      <c r="F121" s="175"/>
      <c r="G121" s="157">
        <v>70000000</v>
      </c>
      <c r="H121" s="157">
        <f>G121</f>
        <v>70000000</v>
      </c>
      <c r="I121" s="157">
        <f>G121*M121*D121/365</f>
        <v>20136.986301369863</v>
      </c>
      <c r="J121" s="157"/>
      <c r="K121" s="157"/>
      <c r="L121" s="157"/>
      <c r="M121" s="159">
        <v>0.105</v>
      </c>
      <c r="N121" s="2">
        <f>I121/D121*(N$1-C121+1)</f>
        <v>20136.986301369863</v>
      </c>
      <c r="P121" s="160">
        <f>N121-O121</f>
        <v>20136.986301369863</v>
      </c>
    </row>
    <row r="122" spans="1:16" ht="23.15" customHeight="1" x14ac:dyDescent="0.3">
      <c r="A122" s="173"/>
      <c r="B122" s="187"/>
      <c r="C122" s="175"/>
      <c r="D122" s="151"/>
      <c r="E122" s="175"/>
      <c r="F122" s="175"/>
      <c r="I122" s="157"/>
      <c r="J122" s="157"/>
      <c r="K122" s="157"/>
      <c r="L122" s="157"/>
      <c r="M122" s="159"/>
      <c r="N122" s="2"/>
    </row>
    <row r="123" spans="1:16" ht="23.5" customHeight="1" x14ac:dyDescent="0.3">
      <c r="A123" s="178" t="s">
        <v>10</v>
      </c>
      <c r="B123" s="179"/>
      <c r="C123" s="205"/>
      <c r="D123" s="151"/>
      <c r="E123" s="175"/>
      <c r="F123" s="175"/>
      <c r="G123" s="181">
        <f t="shared" ref="G123:P123" si="15">SUM(G120:G122)</f>
        <v>85000000</v>
      </c>
      <c r="H123" s="181">
        <f t="shared" si="15"/>
        <v>85000000</v>
      </c>
      <c r="I123" s="181">
        <f t="shared" si="15"/>
        <v>188424.65753424657</v>
      </c>
      <c r="J123" s="181">
        <f t="shared" si="15"/>
        <v>0</v>
      </c>
      <c r="K123" s="181">
        <f t="shared" si="15"/>
        <v>0</v>
      </c>
      <c r="L123" s="181">
        <f t="shared" si="15"/>
        <v>0</v>
      </c>
      <c r="M123" s="181">
        <f t="shared" si="15"/>
        <v>0.21</v>
      </c>
      <c r="N123" s="181">
        <f t="shared" si="15"/>
        <v>192739.72602739726</v>
      </c>
      <c r="O123" s="181">
        <f t="shared" si="15"/>
        <v>0</v>
      </c>
      <c r="P123" s="181">
        <f t="shared" si="15"/>
        <v>192739.72602739726</v>
      </c>
    </row>
    <row r="124" spans="1:16" ht="23.5" customHeight="1" x14ac:dyDescent="0.3">
      <c r="A124" s="178"/>
      <c r="B124" s="179"/>
      <c r="C124" s="205"/>
      <c r="D124" s="598"/>
      <c r="E124" s="175"/>
      <c r="F124" s="175"/>
      <c r="G124" s="154"/>
      <c r="H124" s="154"/>
      <c r="I124" s="193"/>
      <c r="J124" s="193"/>
      <c r="K124" s="193"/>
      <c r="L124" s="193"/>
      <c r="M124" s="193"/>
      <c r="N124" s="154"/>
      <c r="O124" s="154"/>
      <c r="P124" s="195"/>
    </row>
    <row r="125" spans="1:16" ht="23.25" customHeight="1" thickBot="1" x14ac:dyDescent="0.35">
      <c r="A125" s="178" t="s">
        <v>193</v>
      </c>
      <c r="B125" s="179"/>
      <c r="C125" s="205"/>
      <c r="D125" s="151"/>
      <c r="E125" s="175"/>
      <c r="F125" s="175"/>
      <c r="G125" s="196">
        <f t="shared" ref="G125:P125" si="16">G123+G117</f>
        <v>170776806.0323</v>
      </c>
      <c r="H125" s="196">
        <f t="shared" si="16"/>
        <v>170776806.0323</v>
      </c>
      <c r="I125" s="196">
        <f t="shared" si="16"/>
        <v>800976.69182579312</v>
      </c>
      <c r="J125" s="196" t="e">
        <f t="shared" si="16"/>
        <v>#REF!</v>
      </c>
      <c r="K125" s="196" t="e">
        <f t="shared" si="16"/>
        <v>#REF!</v>
      </c>
      <c r="L125" s="196" t="e">
        <f t="shared" si="16"/>
        <v>#REF!</v>
      </c>
      <c r="M125" s="196">
        <f t="shared" si="16"/>
        <v>0.21</v>
      </c>
      <c r="N125" s="196">
        <f t="shared" si="16"/>
        <v>812047.17174147395</v>
      </c>
      <c r="O125" s="196">
        <f t="shared" si="16"/>
        <v>166868.20504404372</v>
      </c>
      <c r="P125" s="196">
        <f t="shared" si="16"/>
        <v>645178.96669743012</v>
      </c>
    </row>
    <row r="126" spans="1:16" ht="23.25" customHeight="1" thickTop="1" x14ac:dyDescent="0.35">
      <c r="A126" s="206"/>
      <c r="B126" s="205"/>
      <c r="C126" s="205"/>
      <c r="D126" s="151"/>
      <c r="E126" s="175"/>
      <c r="F126" s="175"/>
      <c r="G126" s="584"/>
      <c r="H126" s="2"/>
      <c r="I126" s="152"/>
      <c r="J126" s="152"/>
      <c r="K126" s="152"/>
      <c r="L126" s="152"/>
      <c r="M126" s="159"/>
      <c r="N126" s="2" t="s">
        <v>43</v>
      </c>
      <c r="P126" s="172"/>
    </row>
    <row r="127" spans="1:16" ht="13.5" customHeight="1" x14ac:dyDescent="0.3">
      <c r="A127" s="543" t="s">
        <v>11</v>
      </c>
      <c r="B127" s="544"/>
      <c r="C127" s="545"/>
      <c r="D127" s="546"/>
      <c r="E127" s="546"/>
      <c r="F127" s="546"/>
      <c r="G127" s="181">
        <f t="shared" ref="G127:P127" si="17">G125+G100</f>
        <v>398661325.5323</v>
      </c>
      <c r="H127" s="181">
        <f t="shared" si="17"/>
        <v>398661325.5323</v>
      </c>
      <c r="I127" s="181">
        <f t="shared" si="17"/>
        <v>1931496.9137230534</v>
      </c>
      <c r="J127" s="181" t="e">
        <f t="shared" si="17"/>
        <v>#REF!</v>
      </c>
      <c r="K127" s="181" t="e">
        <f t="shared" si="17"/>
        <v>#REF!</v>
      </c>
      <c r="L127" s="181" t="e">
        <f t="shared" si="17"/>
        <v>#REF!</v>
      </c>
      <c r="M127" s="181">
        <f t="shared" si="17"/>
        <v>0.315</v>
      </c>
      <c r="N127" s="181">
        <f t="shared" si="17"/>
        <v>1951246.7162140768</v>
      </c>
      <c r="O127" s="181">
        <f t="shared" si="17"/>
        <v>192258.60942760535</v>
      </c>
      <c r="P127" s="181">
        <f t="shared" si="17"/>
        <v>1758988.1067864713</v>
      </c>
    </row>
    <row r="128" spans="1:16" ht="23.25" customHeight="1" x14ac:dyDescent="0.3">
      <c r="A128" s="207"/>
      <c r="B128" s="188"/>
      <c r="C128" s="151"/>
      <c r="D128" s="616"/>
      <c r="E128" s="151"/>
      <c r="F128" s="151"/>
      <c r="G128" s="2"/>
      <c r="H128" s="2"/>
      <c r="I128" s="2"/>
      <c r="J128" s="2"/>
      <c r="K128" s="2"/>
      <c r="L128" s="2"/>
      <c r="M128" s="159"/>
      <c r="N128" s="2"/>
      <c r="P128" s="160"/>
    </row>
    <row r="129" spans="1:17" ht="23.25" customHeight="1" x14ac:dyDescent="0.4">
      <c r="A129" s="149" t="s">
        <v>45</v>
      </c>
      <c r="B129" s="150"/>
      <c r="C129" s="151"/>
      <c r="D129" s="151"/>
      <c r="E129" s="151"/>
      <c r="F129" s="151"/>
      <c r="G129" s="605"/>
      <c r="H129" s="2"/>
      <c r="I129" s="2"/>
      <c r="J129" s="2"/>
      <c r="K129" s="2"/>
      <c r="L129" s="2"/>
      <c r="M129" s="190"/>
      <c r="N129" s="2"/>
      <c r="P129" s="160"/>
    </row>
    <row r="130" spans="1:17" ht="23.25" customHeight="1" x14ac:dyDescent="0.3">
      <c r="A130" s="149" t="str">
        <f>A3</f>
        <v>AT 30TH JUNE 2023</v>
      </c>
      <c r="B130" s="150"/>
      <c r="C130" s="151"/>
      <c r="D130" s="151"/>
      <c r="E130" s="151"/>
      <c r="F130" s="151"/>
      <c r="G130" s="154"/>
      <c r="H130" s="2"/>
      <c r="I130" s="2"/>
      <c r="J130" s="2"/>
      <c r="K130" s="2"/>
      <c r="L130" s="2"/>
      <c r="M130" s="159"/>
      <c r="N130" s="2"/>
      <c r="P130" s="160"/>
    </row>
    <row r="131" spans="1:17" ht="23.5" customHeight="1" thickBot="1" x14ac:dyDescent="0.35">
      <c r="A131" s="207"/>
      <c r="B131" s="188"/>
      <c r="C131" s="151"/>
      <c r="D131" s="151"/>
      <c r="E131" s="151"/>
      <c r="F131" s="151"/>
      <c r="G131" s="2"/>
      <c r="H131" s="2"/>
      <c r="I131" s="2"/>
      <c r="J131" s="2"/>
      <c r="K131" s="2"/>
      <c r="L131" s="2"/>
      <c r="M131" s="159"/>
      <c r="N131" s="2"/>
      <c r="P131" s="160"/>
    </row>
    <row r="132" spans="1:17" ht="23.5" customHeight="1" x14ac:dyDescent="0.3">
      <c r="A132" s="161" t="s">
        <v>40</v>
      </c>
      <c r="B132" s="162"/>
      <c r="C132" s="162" t="s">
        <v>78</v>
      </c>
      <c r="D132" s="162" t="s">
        <v>20</v>
      </c>
      <c r="E132" s="162" t="s">
        <v>21</v>
      </c>
      <c r="F132" s="162" t="s">
        <v>178</v>
      </c>
      <c r="G132" s="163" t="s">
        <v>23</v>
      </c>
      <c r="H132" s="163" t="s">
        <v>133</v>
      </c>
      <c r="I132" s="163" t="s">
        <v>25</v>
      </c>
      <c r="J132" s="163"/>
      <c r="K132" s="163"/>
      <c r="L132" s="163"/>
      <c r="M132" s="164" t="s">
        <v>41</v>
      </c>
      <c r="N132" s="163" t="s">
        <v>42</v>
      </c>
      <c r="O132" s="147">
        <f>O1</f>
        <v>44926</v>
      </c>
      <c r="P132" s="647" t="str">
        <f>P1</f>
        <v>2023</v>
      </c>
    </row>
    <row r="133" spans="1:17" ht="23.5" customHeight="1" x14ac:dyDescent="0.3">
      <c r="A133" s="167"/>
      <c r="B133" s="168"/>
      <c r="C133" s="168" t="s">
        <v>31</v>
      </c>
      <c r="D133" s="168" t="s">
        <v>33</v>
      </c>
      <c r="E133" s="168" t="s">
        <v>21</v>
      </c>
      <c r="F133" s="168"/>
      <c r="G133" s="169" t="s">
        <v>34</v>
      </c>
      <c r="H133" s="169" t="s">
        <v>31</v>
      </c>
      <c r="I133" s="169" t="s">
        <v>42</v>
      </c>
      <c r="J133" s="169"/>
      <c r="K133" s="169"/>
      <c r="L133" s="169"/>
      <c r="M133" s="170" t="s">
        <v>36</v>
      </c>
      <c r="N133" s="169" t="s">
        <v>38</v>
      </c>
      <c r="O133" s="208" t="s">
        <v>76</v>
      </c>
      <c r="P133" s="209" t="s">
        <v>102</v>
      </c>
    </row>
    <row r="134" spans="1:17" s="155" customFormat="1" ht="23.5" customHeight="1" x14ac:dyDescent="0.3">
      <c r="A134" s="206"/>
      <c r="B134" s="205"/>
      <c r="C134" s="210"/>
      <c r="D134" s="211"/>
      <c r="E134" s="210"/>
      <c r="F134" s="210"/>
      <c r="G134" s="212"/>
      <c r="H134" s="212"/>
      <c r="I134" s="213"/>
      <c r="J134" s="213"/>
      <c r="K134" s="213"/>
      <c r="L134" s="213"/>
      <c r="M134" s="214"/>
      <c r="N134" s="215"/>
      <c r="O134" s="212"/>
      <c r="P134" s="216"/>
    </row>
    <row r="135" spans="1:17" ht="23.5" customHeight="1" x14ac:dyDescent="0.3">
      <c r="A135" s="217"/>
      <c r="B135" s="218"/>
      <c r="C135" s="219"/>
      <c r="D135" s="168"/>
      <c r="E135" s="219"/>
      <c r="F135" s="219"/>
      <c r="G135" s="220"/>
      <c r="H135" s="220"/>
      <c r="I135" s="221"/>
      <c r="J135" s="221"/>
      <c r="K135" s="221"/>
      <c r="L135" s="221"/>
      <c r="M135" s="170"/>
      <c r="N135" s="169"/>
      <c r="O135" s="220"/>
      <c r="P135" s="209"/>
    </row>
    <row r="136" spans="1:17" ht="24.75" customHeight="1" x14ac:dyDescent="0.3">
      <c r="A136" s="173"/>
      <c r="B136" s="187"/>
      <c r="C136" s="175"/>
      <c r="D136" s="151"/>
      <c r="E136" s="175"/>
      <c r="F136" s="175"/>
      <c r="G136" s="2"/>
      <c r="H136" s="2"/>
      <c r="I136" s="2"/>
      <c r="J136" s="2"/>
      <c r="K136" s="2"/>
      <c r="L136" s="2"/>
      <c r="M136" s="159"/>
      <c r="N136" s="2"/>
      <c r="P136" s="160"/>
    </row>
    <row r="137" spans="1:17" ht="24.75" customHeight="1" x14ac:dyDescent="0.3">
      <c r="A137" s="173"/>
      <c r="B137" s="187"/>
      <c r="C137" s="175"/>
      <c r="D137" s="151"/>
      <c r="E137" s="175"/>
      <c r="F137" s="175"/>
      <c r="G137" s="2"/>
      <c r="H137" s="2"/>
      <c r="I137" s="2"/>
      <c r="J137" s="2"/>
      <c r="K137" s="2"/>
      <c r="L137" s="2"/>
      <c r="M137" s="159"/>
      <c r="N137" s="2"/>
      <c r="P137" s="160"/>
    </row>
    <row r="138" spans="1:17" ht="24.75" customHeight="1" x14ac:dyDescent="0.3">
      <c r="A138" s="173" t="s">
        <v>153</v>
      </c>
      <c r="B138" s="187"/>
      <c r="C138" s="175">
        <v>44587</v>
      </c>
      <c r="D138" s="151">
        <v>364</v>
      </c>
      <c r="E138" s="175">
        <f t="shared" ref="E138:E140" si="18">+C138+D138</f>
        <v>44951</v>
      </c>
      <c r="F138" s="175" t="s">
        <v>140</v>
      </c>
      <c r="G138" s="2">
        <f>80000000+7978082.19+8773704.63+8732047.48</f>
        <v>105483834.3</v>
      </c>
      <c r="H138" s="2">
        <f t="shared" ref="H138:H140" si="19">G138</f>
        <v>105483834.3</v>
      </c>
      <c r="I138" s="2">
        <f>G138*M138*D138/365</f>
        <v>10046106.98064822</v>
      </c>
      <c r="J138" s="2">
        <f t="shared" ref="J138:J140" si="20">+I138+G138</f>
        <v>115529941.28064822</v>
      </c>
      <c r="K138" s="2"/>
      <c r="L138" s="2"/>
      <c r="M138" s="159">
        <v>9.5500000000000002E-2</v>
      </c>
      <c r="N138" s="2">
        <v>10046106.98064822</v>
      </c>
      <c r="O138" s="157">
        <v>9383726.3006054796</v>
      </c>
      <c r="P138" s="160">
        <f t="shared" ref="P138:P140" si="21">+N138-O138</f>
        <v>662380.68004273996</v>
      </c>
    </row>
    <row r="139" spans="1:17" ht="24.75" customHeight="1" x14ac:dyDescent="0.3">
      <c r="A139" s="173" t="s">
        <v>165</v>
      </c>
      <c r="B139" s="187"/>
      <c r="C139" s="175">
        <v>44628</v>
      </c>
      <c r="D139" s="151">
        <v>365</v>
      </c>
      <c r="E139" s="175">
        <f t="shared" si="18"/>
        <v>44993</v>
      </c>
      <c r="F139" s="175" t="s">
        <v>140</v>
      </c>
      <c r="G139" s="2">
        <f>100000000+8975342.47</f>
        <v>108975342.47</v>
      </c>
      <c r="H139" s="2">
        <f t="shared" si="19"/>
        <v>108975342.47</v>
      </c>
      <c r="I139" s="2">
        <f>G139*M139*D139/365</f>
        <v>10897534.247000001</v>
      </c>
      <c r="J139" s="2">
        <f t="shared" si="20"/>
        <v>119872876.71700001</v>
      </c>
      <c r="K139" s="2"/>
      <c r="L139" s="2"/>
      <c r="M139" s="159">
        <v>0.1</v>
      </c>
      <c r="N139" s="2">
        <v>10897534.247000001</v>
      </c>
      <c r="O139" s="157">
        <v>8927021.2050767131</v>
      </c>
      <c r="P139" s="160">
        <f t="shared" si="21"/>
        <v>1970513.0419232883</v>
      </c>
    </row>
    <row r="140" spans="1:17" ht="24.75" customHeight="1" x14ac:dyDescent="0.3">
      <c r="A140" s="173" t="s">
        <v>165</v>
      </c>
      <c r="B140" s="187"/>
      <c r="C140" s="175">
        <v>44657</v>
      </c>
      <c r="D140" s="151">
        <v>364</v>
      </c>
      <c r="E140" s="175">
        <f t="shared" si="18"/>
        <v>45021</v>
      </c>
      <c r="F140" s="175" t="s">
        <v>140</v>
      </c>
      <c r="G140" s="2">
        <f>88537376.9434932+8167269.81+8993532.15</f>
        <v>105698178.90349321</v>
      </c>
      <c r="H140" s="2">
        <f t="shared" si="19"/>
        <v>105698178.90349321</v>
      </c>
      <c r="I140" s="2">
        <f>G140*M140*D140/365</f>
        <v>10540859.485170282</v>
      </c>
      <c r="J140" s="2">
        <f t="shared" si="20"/>
        <v>116239038.3886635</v>
      </c>
      <c r="K140" s="2"/>
      <c r="L140" s="2"/>
      <c r="M140" s="159">
        <v>0.1</v>
      </c>
      <c r="N140" s="2">
        <v>10540859.485170282</v>
      </c>
      <c r="O140" s="157">
        <v>7840249.5340503203</v>
      </c>
      <c r="P140" s="160">
        <f t="shared" si="21"/>
        <v>2700609.9511199621</v>
      </c>
    </row>
    <row r="141" spans="1:17" ht="24.75" customHeight="1" x14ac:dyDescent="0.3">
      <c r="A141" s="173"/>
      <c r="B141" s="187"/>
      <c r="C141" s="175"/>
      <c r="D141" s="151"/>
      <c r="E141" s="175"/>
      <c r="F141" s="175"/>
      <c r="G141" s="2"/>
      <c r="H141" s="2"/>
      <c r="I141" s="2"/>
      <c r="J141" s="2"/>
      <c r="K141" s="2"/>
      <c r="L141" s="2"/>
      <c r="M141" s="159"/>
      <c r="N141" s="2"/>
      <c r="P141" s="160"/>
    </row>
    <row r="142" spans="1:17" ht="24.75" customHeight="1" x14ac:dyDescent="0.3">
      <c r="A142" s="173"/>
      <c r="B142" s="187"/>
      <c r="C142" s="175"/>
      <c r="D142" s="151"/>
      <c r="E142" s="175"/>
      <c r="F142" s="175"/>
      <c r="G142" s="2"/>
      <c r="H142" s="2"/>
      <c r="I142" s="2"/>
      <c r="J142" s="2"/>
      <c r="K142" s="2"/>
      <c r="L142" s="2"/>
      <c r="M142" s="159"/>
      <c r="N142" s="2"/>
      <c r="P142" s="160"/>
    </row>
    <row r="143" spans="1:17" ht="24.75" customHeight="1" x14ac:dyDescent="0.3">
      <c r="A143" s="173"/>
      <c r="B143" s="187"/>
      <c r="C143" s="175"/>
      <c r="D143" s="151"/>
      <c r="E143" s="175"/>
      <c r="F143" s="175"/>
      <c r="G143" s="2"/>
      <c r="H143" s="2"/>
      <c r="I143" s="2"/>
      <c r="J143" s="2"/>
      <c r="K143" s="2"/>
      <c r="L143" s="2"/>
      <c r="M143" s="159"/>
      <c r="N143" s="2"/>
      <c r="P143" s="160"/>
      <c r="Q143" s="157">
        <f t="shared" ref="Q143" si="22">N143-I143</f>
        <v>0</v>
      </c>
    </row>
    <row r="144" spans="1:17" s="148" customFormat="1" ht="22.5" customHeight="1" x14ac:dyDescent="0.3">
      <c r="A144" s="547" t="s">
        <v>123</v>
      </c>
      <c r="B144" s="222"/>
      <c r="C144" s="223"/>
      <c r="D144" s="224"/>
      <c r="E144" s="223"/>
      <c r="F144" s="223"/>
      <c r="G144" s="181">
        <f>SUM(G137:G143)</f>
        <v>320157355.67349321</v>
      </c>
      <c r="H144" s="181">
        <f t="shared" ref="H144:P144" si="23">SUM(H137:H143)</f>
        <v>320157355.67349321</v>
      </c>
      <c r="I144" s="181">
        <f t="shared" si="23"/>
        <v>31484500.712818503</v>
      </c>
      <c r="J144" s="181">
        <f t="shared" si="23"/>
        <v>351641856.38631177</v>
      </c>
      <c r="K144" s="181">
        <f t="shared" si="23"/>
        <v>0</v>
      </c>
      <c r="L144" s="181">
        <f t="shared" si="23"/>
        <v>0</v>
      </c>
      <c r="M144" s="181">
        <f t="shared" si="23"/>
        <v>0.29549999999999998</v>
      </c>
      <c r="N144" s="181">
        <f t="shared" si="23"/>
        <v>31484500.712818503</v>
      </c>
      <c r="O144" s="181">
        <f t="shared" si="23"/>
        <v>26150997.039732512</v>
      </c>
      <c r="P144" s="181">
        <f t="shared" si="23"/>
        <v>5333503.6730859904</v>
      </c>
    </row>
    <row r="145" spans="1:16" ht="23.5" customHeight="1" x14ac:dyDescent="0.3">
      <c r="A145" s="231"/>
      <c r="B145" s="151"/>
      <c r="C145" s="175"/>
      <c r="D145" s="151"/>
      <c r="E145" s="175"/>
      <c r="F145" s="200"/>
      <c r="G145" s="152"/>
      <c r="H145" s="152"/>
      <c r="I145" s="2"/>
      <c r="J145" s="2"/>
      <c r="K145" s="2"/>
      <c r="L145" s="2"/>
      <c r="M145" s="159"/>
      <c r="N145" s="2"/>
      <c r="P145" s="160"/>
    </row>
    <row r="146" spans="1:16" ht="23.5" customHeight="1" x14ac:dyDescent="0.3">
      <c r="A146" s="231"/>
      <c r="B146" s="151"/>
      <c r="C146" s="175"/>
      <c r="D146" s="151"/>
      <c r="E146" s="175"/>
      <c r="F146" s="200"/>
      <c r="G146" s="152"/>
      <c r="H146" s="152"/>
      <c r="I146" s="2"/>
      <c r="J146" s="2"/>
      <c r="K146" s="2"/>
      <c r="L146" s="2"/>
      <c r="M146" s="159"/>
      <c r="N146" s="2"/>
      <c r="P146" s="160"/>
    </row>
    <row r="147" spans="1:16" ht="23.5" customHeight="1" x14ac:dyDescent="0.3">
      <c r="A147" s="231" t="s">
        <v>185</v>
      </c>
      <c r="B147" s="151"/>
      <c r="C147" s="175">
        <v>44859</v>
      </c>
      <c r="D147" s="151">
        <v>91</v>
      </c>
      <c r="E147" s="175">
        <f>+C147+D147</f>
        <v>44950</v>
      </c>
      <c r="F147" s="200"/>
      <c r="G147" s="152">
        <v>225000000</v>
      </c>
      <c r="H147" s="152">
        <f>G147</f>
        <v>225000000</v>
      </c>
      <c r="I147" s="2">
        <v>2692602.73</v>
      </c>
      <c r="J147" s="2">
        <f>+I147+G147</f>
        <v>227692602.72999999</v>
      </c>
      <c r="K147" s="2"/>
      <c r="L147" s="2"/>
      <c r="M147" s="159">
        <v>0.06</v>
      </c>
      <c r="N147" s="2">
        <v>400625.63013698632</v>
      </c>
      <c r="O147" s="157">
        <v>319539.45205479453</v>
      </c>
      <c r="P147" s="160">
        <f>+N147-O147</f>
        <v>81086.178082191793</v>
      </c>
    </row>
    <row r="148" spans="1:16" s="155" customFormat="1" ht="23.5" customHeight="1" x14ac:dyDescent="0.3">
      <c r="A148" s="173"/>
      <c r="B148" s="174"/>
      <c r="C148" s="175"/>
      <c r="D148" s="225"/>
      <c r="E148" s="175"/>
      <c r="F148" s="175"/>
      <c r="G148" s="794">
        <v>0.12075</v>
      </c>
      <c r="H148" s="794">
        <v>0.12075</v>
      </c>
      <c r="I148" s="794">
        <v>0.12075</v>
      </c>
      <c r="J148" s="202">
        <v>0.14799999999999999</v>
      </c>
      <c r="K148" s="202">
        <v>0.14799999999999999</v>
      </c>
      <c r="L148" s="202">
        <v>0.14799999999999999</v>
      </c>
      <c r="M148" s="202"/>
      <c r="N148" s="157"/>
      <c r="O148" s="2"/>
      <c r="P148" s="228"/>
    </row>
    <row r="149" spans="1:16" ht="23.5" customHeight="1" x14ac:dyDescent="0.3">
      <c r="A149" s="231" t="s">
        <v>185</v>
      </c>
      <c r="B149" s="151"/>
      <c r="C149" s="175">
        <v>44894</v>
      </c>
      <c r="D149" s="151">
        <v>91</v>
      </c>
      <c r="E149" s="175">
        <f>+C149+D149</f>
        <v>44985</v>
      </c>
      <c r="F149" s="200"/>
      <c r="G149" s="152">
        <v>145000000</v>
      </c>
      <c r="H149" s="152">
        <f>G149</f>
        <v>145000000</v>
      </c>
      <c r="I149" s="2">
        <v>1590630.14</v>
      </c>
      <c r="J149" s="2">
        <f>+I149+G149</f>
        <v>146590630.13999999</v>
      </c>
      <c r="K149" s="2"/>
      <c r="L149" s="2"/>
      <c r="M149" s="159">
        <v>5.5E-2</v>
      </c>
      <c r="N149" s="2">
        <v>234299.81917808219</v>
      </c>
      <c r="O149" s="157">
        <v>91606.530821917797</v>
      </c>
      <c r="P149" s="160">
        <f>+N149-O149</f>
        <v>142693.28835616441</v>
      </c>
    </row>
    <row r="150" spans="1:16" s="155" customFormat="1" ht="23.5" customHeight="1" x14ac:dyDescent="0.3">
      <c r="A150" s="173"/>
      <c r="B150" s="174"/>
      <c r="C150" s="175"/>
      <c r="D150" s="225"/>
      <c r="E150" s="175"/>
      <c r="F150" s="175"/>
      <c r="G150" s="794">
        <v>0.12075</v>
      </c>
      <c r="H150" s="794">
        <v>0.12075</v>
      </c>
      <c r="I150" s="794">
        <v>0.12075</v>
      </c>
      <c r="J150" s="202">
        <v>0.14799999999999999</v>
      </c>
      <c r="K150" s="202">
        <v>0.14799999999999999</v>
      </c>
      <c r="L150" s="202">
        <v>0.14799999999999999</v>
      </c>
      <c r="M150" s="202"/>
      <c r="N150" s="157"/>
      <c r="O150" s="2"/>
      <c r="P150" s="228"/>
    </row>
    <row r="151" spans="1:16" ht="23.5" customHeight="1" x14ac:dyDescent="0.3">
      <c r="A151" s="231" t="s">
        <v>185</v>
      </c>
      <c r="B151" s="151"/>
      <c r="C151" s="175">
        <v>44925</v>
      </c>
      <c r="D151" s="151">
        <v>91</v>
      </c>
      <c r="E151" s="175">
        <f>+C151+D151</f>
        <v>45016</v>
      </c>
      <c r="F151" s="200"/>
      <c r="G151" s="152">
        <v>135000000</v>
      </c>
      <c r="H151" s="152">
        <f>G151</f>
        <v>135000000</v>
      </c>
      <c r="I151" s="2">
        <v>1615561.64</v>
      </c>
      <c r="J151" s="2">
        <f>+I151+G151</f>
        <v>136615561.63999999</v>
      </c>
      <c r="K151" s="2"/>
      <c r="L151" s="2"/>
      <c r="M151" s="159">
        <v>0.06</v>
      </c>
      <c r="N151" s="2">
        <v>242899.69</v>
      </c>
      <c r="O151" s="157">
        <v>5359.3150684931506</v>
      </c>
      <c r="P151" s="160">
        <f>+N151-O151</f>
        <v>237540.37493150684</v>
      </c>
    </row>
    <row r="152" spans="1:16" s="155" customFormat="1" ht="23.5" customHeight="1" x14ac:dyDescent="0.3">
      <c r="A152" s="173"/>
      <c r="B152" s="174"/>
      <c r="C152" s="175"/>
      <c r="D152" s="225"/>
      <c r="E152" s="175"/>
      <c r="F152" s="175"/>
      <c r="G152" s="794">
        <v>0.12075</v>
      </c>
      <c r="H152" s="794">
        <v>0.12075</v>
      </c>
      <c r="I152" s="794">
        <v>0.12075</v>
      </c>
      <c r="J152" s="202">
        <v>0.14799999999999999</v>
      </c>
      <c r="K152" s="202">
        <v>0.14799999999999999</v>
      </c>
      <c r="L152" s="202">
        <v>0.14799999999999999</v>
      </c>
      <c r="M152" s="202"/>
      <c r="N152" s="157"/>
      <c r="O152" s="2"/>
      <c r="P152" s="228"/>
    </row>
    <row r="153" spans="1:16" ht="23.5" customHeight="1" x14ac:dyDescent="0.3">
      <c r="A153" s="231" t="s">
        <v>185</v>
      </c>
      <c r="B153" s="151"/>
      <c r="C153" s="175">
        <v>44952</v>
      </c>
      <c r="D153" s="151">
        <v>91</v>
      </c>
      <c r="E153" s="175">
        <f>+C153+D153</f>
        <v>45043</v>
      </c>
      <c r="F153" s="200"/>
      <c r="G153" s="152">
        <v>245000000</v>
      </c>
      <c r="H153" s="152">
        <f>G153</f>
        <v>245000000</v>
      </c>
      <c r="I153" s="2">
        <v>3420602.73</v>
      </c>
      <c r="J153" s="2">
        <f>+I153+G153</f>
        <v>248420602.72999999</v>
      </c>
      <c r="K153" s="2"/>
      <c r="L153" s="2"/>
      <c r="M153" s="159">
        <v>0.06</v>
      </c>
      <c r="N153" s="2">
        <v>516297.22602739726</v>
      </c>
      <c r="P153" s="160">
        <f>+N153-O153</f>
        <v>516297.22602739726</v>
      </c>
    </row>
    <row r="154" spans="1:16" s="155" customFormat="1" ht="23.5" customHeight="1" x14ac:dyDescent="0.3">
      <c r="A154" s="173"/>
      <c r="B154" s="174"/>
      <c r="C154" s="175"/>
      <c r="D154" s="225"/>
      <c r="E154" s="175"/>
      <c r="F154" s="175"/>
      <c r="G154" s="794">
        <v>0.129525</v>
      </c>
      <c r="H154" s="794">
        <v>0.129525</v>
      </c>
      <c r="I154" s="794">
        <v>0.129525</v>
      </c>
      <c r="J154" s="202">
        <v>0.14799999999999999</v>
      </c>
      <c r="K154" s="202">
        <v>0.14799999999999999</v>
      </c>
      <c r="L154" s="202">
        <v>0.14799999999999999</v>
      </c>
      <c r="M154" s="202"/>
      <c r="N154" s="157"/>
      <c r="O154" s="2"/>
      <c r="P154" s="228"/>
    </row>
    <row r="155" spans="1:16" ht="23.5" customHeight="1" x14ac:dyDescent="0.3">
      <c r="A155" s="231" t="s">
        <v>185</v>
      </c>
      <c r="B155" s="151"/>
      <c r="C155" s="175">
        <v>44970</v>
      </c>
      <c r="D155" s="151">
        <v>91</v>
      </c>
      <c r="E155" s="175">
        <f>+C155+D155</f>
        <v>45061</v>
      </c>
      <c r="F155" s="200"/>
      <c r="G155" s="152">
        <v>85000000</v>
      </c>
      <c r="H155" s="152">
        <f>G155</f>
        <v>85000000</v>
      </c>
      <c r="I155" s="2">
        <v>1186739.73</v>
      </c>
      <c r="J155" s="2">
        <f>+I155+G155</f>
        <v>86186739.730000004</v>
      </c>
      <c r="K155" s="2"/>
      <c r="L155" s="2"/>
      <c r="M155" s="159">
        <v>7.0000000000000007E-2</v>
      </c>
      <c r="N155" s="2">
        <v>179702.06301369864</v>
      </c>
      <c r="P155" s="160">
        <f>+N155-O155</f>
        <v>179702.06301369864</v>
      </c>
    </row>
    <row r="156" spans="1:16" s="155" customFormat="1" ht="23.5" customHeight="1" x14ac:dyDescent="0.3">
      <c r="A156" s="173"/>
      <c r="B156" s="174"/>
      <c r="C156" s="175"/>
      <c r="D156" s="225"/>
      <c r="E156" s="175"/>
      <c r="F156" s="175"/>
      <c r="G156" s="794">
        <v>0.129525</v>
      </c>
      <c r="H156" s="794">
        <v>0.129525</v>
      </c>
      <c r="I156" s="794">
        <v>0.129525</v>
      </c>
      <c r="J156" s="202">
        <v>0.14799999999999999</v>
      </c>
      <c r="K156" s="202">
        <v>0.14799999999999999</v>
      </c>
      <c r="L156" s="202">
        <v>0.14799999999999999</v>
      </c>
      <c r="M156" s="202"/>
      <c r="N156" s="157"/>
      <c r="O156" s="2"/>
      <c r="P156" s="228"/>
    </row>
    <row r="157" spans="1:16" ht="23.5" customHeight="1" x14ac:dyDescent="0.3">
      <c r="A157" s="231" t="s">
        <v>185</v>
      </c>
      <c r="B157" s="151"/>
      <c r="C157" s="175">
        <v>44991</v>
      </c>
      <c r="D157" s="151">
        <v>91</v>
      </c>
      <c r="E157" s="859">
        <f>+C157+D157</f>
        <v>45082</v>
      </c>
      <c r="F157" s="200"/>
      <c r="G157" s="152">
        <v>145000000</v>
      </c>
      <c r="H157" s="152">
        <f>G157</f>
        <v>145000000</v>
      </c>
      <c r="I157" s="860">
        <v>2024438.36</v>
      </c>
      <c r="J157" s="2">
        <f>+I157+G157</f>
        <v>147024438.36000001</v>
      </c>
      <c r="K157" s="2"/>
      <c r="L157" s="2"/>
      <c r="M157" s="159">
        <v>7.0000000000000007E-2</v>
      </c>
      <c r="N157" s="860">
        <v>402865</v>
      </c>
      <c r="P157" s="160">
        <f>+N157-O157</f>
        <v>402865</v>
      </c>
    </row>
    <row r="158" spans="1:16" s="155" customFormat="1" ht="23.5" customHeight="1" x14ac:dyDescent="0.3">
      <c r="A158" s="173"/>
      <c r="B158" s="174"/>
      <c r="C158" s="175"/>
      <c r="D158" s="225"/>
      <c r="E158" s="175"/>
      <c r="F158" s="175"/>
      <c r="G158" s="794">
        <v>0.129525</v>
      </c>
      <c r="H158" s="794">
        <v>0.129525</v>
      </c>
      <c r="I158" s="794">
        <v>0.129525</v>
      </c>
      <c r="J158" s="202">
        <v>0.14799999999999999</v>
      </c>
      <c r="K158" s="202">
        <v>0.14799999999999999</v>
      </c>
      <c r="L158" s="202">
        <v>0.14799999999999999</v>
      </c>
      <c r="M158" s="202"/>
      <c r="N158" s="157"/>
      <c r="O158" s="2"/>
      <c r="P158" s="228"/>
    </row>
    <row r="159" spans="1:16" s="155" customFormat="1" ht="23.5" customHeight="1" x14ac:dyDescent="0.3">
      <c r="A159" s="173"/>
      <c r="B159" s="174"/>
      <c r="C159" s="175"/>
      <c r="D159" s="225"/>
      <c r="E159" s="175"/>
      <c r="F159" s="175"/>
      <c r="G159" s="794"/>
      <c r="H159" s="794"/>
      <c r="I159" s="794"/>
      <c r="J159" s="202"/>
      <c r="K159" s="202"/>
      <c r="L159" s="202"/>
      <c r="M159" s="202"/>
      <c r="N159" s="157"/>
      <c r="O159" s="2"/>
      <c r="P159" s="228"/>
    </row>
    <row r="160" spans="1:16" s="155" customFormat="1" ht="23.5" customHeight="1" x14ac:dyDescent="0.3">
      <c r="A160" s="173"/>
      <c r="B160" s="174"/>
      <c r="C160" s="175"/>
      <c r="D160" s="225"/>
      <c r="E160" s="175"/>
      <c r="F160" s="175"/>
      <c r="G160" s="649"/>
      <c r="H160" s="649"/>
      <c r="I160" s="649"/>
      <c r="J160" s="202"/>
      <c r="K160" s="202"/>
      <c r="L160" s="202"/>
      <c r="M160" s="202"/>
      <c r="N160" s="157"/>
      <c r="O160" s="2"/>
      <c r="P160" s="228"/>
    </row>
    <row r="161" spans="1:16" ht="22.5" customHeight="1" x14ac:dyDescent="0.3">
      <c r="A161" s="547" t="s">
        <v>204</v>
      </c>
      <c r="B161" s="222"/>
      <c r="C161" s="223"/>
      <c r="D161" s="224"/>
      <c r="E161" s="223"/>
      <c r="F161" s="223"/>
      <c r="G161" s="181">
        <f t="shared" ref="G161:P161" si="24">SUM(G146:G160)</f>
        <v>980000000.75082493</v>
      </c>
      <c r="H161" s="181">
        <f t="shared" si="24"/>
        <v>980000000.75082493</v>
      </c>
      <c r="I161" s="181">
        <f t="shared" si="24"/>
        <v>12530576.080824999</v>
      </c>
      <c r="J161" s="181">
        <f t="shared" si="24"/>
        <v>992530576.21800005</v>
      </c>
      <c r="K161" s="181">
        <f t="shared" si="24"/>
        <v>0.88800000000000001</v>
      </c>
      <c r="L161" s="181">
        <f t="shared" si="24"/>
        <v>0.88800000000000001</v>
      </c>
      <c r="M161" s="181">
        <f t="shared" si="24"/>
        <v>0.375</v>
      </c>
      <c r="N161" s="181">
        <f t="shared" si="24"/>
        <v>1976689.4283561644</v>
      </c>
      <c r="O161" s="181">
        <f t="shared" si="24"/>
        <v>416505.29794520547</v>
      </c>
      <c r="P161" s="181">
        <f t="shared" si="24"/>
        <v>1560184.130410959</v>
      </c>
    </row>
    <row r="162" spans="1:16" s="155" customFormat="1" ht="23.5" customHeight="1" x14ac:dyDescent="0.3">
      <c r="A162" s="173"/>
      <c r="B162" s="174"/>
      <c r="C162" s="175"/>
      <c r="D162" s="225"/>
      <c r="E162" s="175"/>
      <c r="F162" s="175"/>
      <c r="G162" s="201"/>
      <c r="H162" s="201"/>
      <c r="I162" s="201"/>
      <c r="J162" s="202"/>
      <c r="K162" s="202"/>
      <c r="L162" s="202"/>
      <c r="M162" s="202"/>
      <c r="N162" s="157"/>
      <c r="O162" s="2"/>
      <c r="P162" s="228"/>
    </row>
    <row r="163" spans="1:16" s="155" customFormat="1" ht="23.5" customHeight="1" x14ac:dyDescent="0.3">
      <c r="A163" s="173"/>
      <c r="B163" s="174"/>
      <c r="C163" s="175"/>
      <c r="D163" s="225"/>
      <c r="E163" s="175"/>
      <c r="F163" s="175"/>
      <c r="G163" s="201"/>
      <c r="H163" s="201"/>
      <c r="I163" s="201"/>
      <c r="J163" s="202"/>
      <c r="K163" s="202"/>
      <c r="L163" s="202"/>
      <c r="M163" s="202"/>
      <c r="N163" s="157"/>
      <c r="O163" s="2"/>
      <c r="P163" s="228"/>
    </row>
    <row r="164" spans="1:16" s="155" customFormat="1" ht="23.5" customHeight="1" x14ac:dyDescent="0.3">
      <c r="A164" s="173"/>
      <c r="B164" s="174"/>
      <c r="C164" s="175"/>
      <c r="D164" s="225"/>
      <c r="E164" s="175"/>
      <c r="F164" s="175"/>
      <c r="G164" s="201"/>
      <c r="H164" s="201"/>
      <c r="I164" s="201"/>
      <c r="J164" s="202"/>
      <c r="K164" s="202"/>
      <c r="L164" s="202"/>
      <c r="M164" s="202"/>
      <c r="N164" s="157"/>
      <c r="O164" s="2"/>
      <c r="P164" s="228"/>
    </row>
    <row r="165" spans="1:16" ht="23.5" customHeight="1" x14ac:dyDescent="0.3">
      <c r="A165" s="231" t="s">
        <v>314</v>
      </c>
      <c r="B165" s="151"/>
      <c r="C165" s="175">
        <v>44840</v>
      </c>
      <c r="D165" s="151">
        <v>91</v>
      </c>
      <c r="E165" s="175">
        <f>+C165+D165</f>
        <v>44931</v>
      </c>
      <c r="F165" s="200"/>
      <c r="G165" s="152">
        <f>900000+6825</f>
        <v>906825</v>
      </c>
      <c r="H165" s="2">
        <f>G165</f>
        <v>906825</v>
      </c>
      <c r="I165" s="2">
        <v>6876.76</v>
      </c>
      <c r="J165" s="2">
        <f>+I165+G165</f>
        <v>913701.76</v>
      </c>
      <c r="K165" s="2"/>
      <c r="L165" s="2"/>
      <c r="M165" s="159">
        <v>0.03</v>
      </c>
      <c r="N165" s="2">
        <v>819289.8063287671</v>
      </c>
      <c r="O165" s="157">
        <v>799126.93507808214</v>
      </c>
      <c r="P165" s="160">
        <f>+N165-O165</f>
        <v>20162.871250684955</v>
      </c>
    </row>
    <row r="166" spans="1:16" s="155" customFormat="1" ht="23.5" customHeight="1" x14ac:dyDescent="0.3">
      <c r="A166" s="173"/>
      <c r="B166" s="174"/>
      <c r="C166" s="175"/>
      <c r="D166" s="225"/>
      <c r="E166" s="175"/>
      <c r="F166" s="175"/>
      <c r="G166" s="201">
        <v>123.238</v>
      </c>
      <c r="H166" s="201">
        <v>123.238</v>
      </c>
      <c r="I166" s="201">
        <v>123.238</v>
      </c>
      <c r="J166" s="202">
        <v>0.14799999999999999</v>
      </c>
      <c r="K166" s="202">
        <v>0.14799999999999999</v>
      </c>
      <c r="L166" s="202">
        <v>0.14799999999999999</v>
      </c>
      <c r="M166" s="202"/>
      <c r="N166" s="157"/>
      <c r="O166" s="2"/>
      <c r="P166" s="228"/>
    </row>
    <row r="167" spans="1:16" ht="23.5" customHeight="1" x14ac:dyDescent="0.3">
      <c r="A167" s="231" t="s">
        <v>211</v>
      </c>
      <c r="B167" s="151"/>
      <c r="C167" s="175">
        <v>44882</v>
      </c>
      <c r="D167" s="151">
        <v>91</v>
      </c>
      <c r="E167" s="175">
        <f>+C167+D167</f>
        <v>44973</v>
      </c>
      <c r="F167" s="200"/>
      <c r="G167" s="152">
        <f>450000+4151.88+4190.18+2896.47+2914.77+2933.19+7084.15+2996.5+3316.97+3643.67+3671.3+3699.14</f>
        <v>491498.22</v>
      </c>
      <c r="H167" s="2">
        <f>G167</f>
        <v>491498.22</v>
      </c>
      <c r="I167" s="2">
        <v>4710.1899999999996</v>
      </c>
      <c r="J167" s="2">
        <f>+I167+G167</f>
        <v>496208.41</v>
      </c>
      <c r="K167" s="2"/>
      <c r="L167" s="2"/>
      <c r="M167" s="159">
        <v>3.7499999999999999E-2</v>
      </c>
      <c r="N167" s="2">
        <v>560516.28864863014</v>
      </c>
      <c r="O167" s="157">
        <v>280038.3486612534</v>
      </c>
      <c r="P167" s="160">
        <f>+N167-O167</f>
        <v>280477.93998737674</v>
      </c>
    </row>
    <row r="168" spans="1:16" s="155" customFormat="1" ht="23.5" customHeight="1" x14ac:dyDescent="0.3">
      <c r="A168" s="173"/>
      <c r="B168" s="174"/>
      <c r="C168" s="175"/>
      <c r="D168" s="225"/>
      <c r="E168" s="175"/>
      <c r="F168" s="175"/>
      <c r="G168" s="201">
        <v>123.238</v>
      </c>
      <c r="H168" s="201">
        <v>123.238</v>
      </c>
      <c r="I168" s="201">
        <v>123.238</v>
      </c>
      <c r="J168" s="202">
        <v>0.14799999999999999</v>
      </c>
      <c r="K168" s="202">
        <v>0.14799999999999999</v>
      </c>
      <c r="L168" s="202">
        <v>0.14799999999999999</v>
      </c>
      <c r="M168" s="202"/>
      <c r="N168" s="157"/>
      <c r="O168" s="2"/>
      <c r="P168" s="228"/>
    </row>
    <row r="169" spans="1:16" ht="23.5" customHeight="1" x14ac:dyDescent="0.3">
      <c r="A169" s="231" t="s">
        <v>211</v>
      </c>
      <c r="B169" s="151"/>
      <c r="C169" s="175">
        <v>44879</v>
      </c>
      <c r="D169" s="151">
        <v>91</v>
      </c>
      <c r="E169" s="175">
        <f>+C169+D169</f>
        <v>44970</v>
      </c>
      <c r="F169" s="200"/>
      <c r="G169" s="152">
        <f>550000+3475.69+3847.42+4226.37+4258.42+4290.71</f>
        <v>570098.61</v>
      </c>
      <c r="H169" s="2">
        <f>G169</f>
        <v>570098.61</v>
      </c>
      <c r="I169" s="2">
        <v>5463.45</v>
      </c>
      <c r="J169" s="2">
        <f>+I169+G169</f>
        <v>575562.05999999994</v>
      </c>
      <c r="K169" s="2"/>
      <c r="L169" s="2"/>
      <c r="M169" s="159">
        <v>3.7499999999999999E-2</v>
      </c>
      <c r="N169" s="2">
        <v>649339.0855695206</v>
      </c>
      <c r="O169" s="157">
        <v>346476.88355759997</v>
      </c>
      <c r="P169" s="160">
        <f>+N169-O169</f>
        <v>302862.20201192063</v>
      </c>
    </row>
    <row r="170" spans="1:16" s="155" customFormat="1" ht="23.5" customHeight="1" x14ac:dyDescent="0.3">
      <c r="A170" s="173"/>
      <c r="B170" s="174"/>
      <c r="C170" s="175"/>
      <c r="D170" s="225"/>
      <c r="E170" s="175"/>
      <c r="F170" s="175"/>
      <c r="G170" s="201">
        <v>123.238</v>
      </c>
      <c r="H170" s="201">
        <v>123.238</v>
      </c>
      <c r="I170" s="201">
        <v>123.238</v>
      </c>
      <c r="J170" s="202">
        <v>0.14799999999999999</v>
      </c>
      <c r="K170" s="202">
        <v>0.14799999999999999</v>
      </c>
      <c r="L170" s="202">
        <v>0.14799999999999999</v>
      </c>
      <c r="M170" s="202"/>
      <c r="N170" s="157"/>
      <c r="O170" s="2"/>
      <c r="P170" s="228"/>
    </row>
    <row r="171" spans="1:16" ht="23.5" customHeight="1" x14ac:dyDescent="0.3">
      <c r="A171" s="231" t="s">
        <v>211</v>
      </c>
      <c r="B171" s="151"/>
      <c r="C171" s="175">
        <v>44890</v>
      </c>
      <c r="D171" s="151">
        <v>91</v>
      </c>
      <c r="E171" s="175">
        <f>+C171+D171</f>
        <v>44981</v>
      </c>
      <c r="F171" s="200"/>
      <c r="G171" s="152">
        <f>400000+2780.56+3054.42+3077.58+3100.92</f>
        <v>412013.48</v>
      </c>
      <c r="H171" s="2">
        <f>G171</f>
        <v>412013.48</v>
      </c>
      <c r="I171" s="2">
        <v>3948.46</v>
      </c>
      <c r="J171" s="2">
        <f>+I171+G171</f>
        <v>415961.94</v>
      </c>
      <c r="K171" s="2"/>
      <c r="L171" s="2"/>
      <c r="M171" s="159">
        <v>3.7499999999999999E-2</v>
      </c>
      <c r="N171" s="2">
        <v>471025.60919486301</v>
      </c>
      <c r="O171" s="157">
        <v>193017.28132036436</v>
      </c>
      <c r="P171" s="160">
        <f>+N171-O171</f>
        <v>278008.32787449867</v>
      </c>
    </row>
    <row r="172" spans="1:16" s="155" customFormat="1" ht="23.5" customHeight="1" x14ac:dyDescent="0.3">
      <c r="A172" s="173"/>
      <c r="B172" s="174"/>
      <c r="C172" s="175"/>
      <c r="D172" s="225"/>
      <c r="E172" s="175"/>
      <c r="F172" s="175"/>
      <c r="G172" s="201">
        <v>123.238</v>
      </c>
      <c r="H172" s="201">
        <v>123.238</v>
      </c>
      <c r="I172" s="201">
        <v>123.238</v>
      </c>
      <c r="J172" s="202">
        <v>0.14799999999999999</v>
      </c>
      <c r="K172" s="202">
        <v>0.14799999999999999</v>
      </c>
      <c r="L172" s="202">
        <v>0.14799999999999999</v>
      </c>
      <c r="M172" s="202"/>
      <c r="N172" s="157"/>
      <c r="O172" s="2"/>
      <c r="P172" s="228"/>
    </row>
    <row r="173" spans="1:16" ht="23.5" customHeight="1" x14ac:dyDescent="0.3">
      <c r="A173" s="231" t="s">
        <v>314</v>
      </c>
      <c r="B173" s="151"/>
      <c r="C173" s="175">
        <v>44880</v>
      </c>
      <c r="D173" s="151">
        <v>91</v>
      </c>
      <c r="E173" s="175">
        <f>+C173+D173</f>
        <v>44971</v>
      </c>
      <c r="F173" s="200"/>
      <c r="G173" s="152">
        <v>1000000</v>
      </c>
      <c r="H173" s="2">
        <f>G173</f>
        <v>1000000</v>
      </c>
      <c r="I173" s="2">
        <v>9479.17</v>
      </c>
      <c r="J173" s="2">
        <f>+I173+G173</f>
        <v>1009479.17</v>
      </c>
      <c r="K173" s="2"/>
      <c r="L173" s="2"/>
      <c r="M173" s="159">
        <v>3.7499999999999999E-2</v>
      </c>
      <c r="N173" s="2">
        <v>1133982.1643835616</v>
      </c>
      <c r="O173" s="157">
        <v>595087.60273972608</v>
      </c>
      <c r="P173" s="160">
        <f>+N173-O173</f>
        <v>538894.56164383551</v>
      </c>
    </row>
    <row r="174" spans="1:16" s="155" customFormat="1" ht="23.5" customHeight="1" x14ac:dyDescent="0.3">
      <c r="A174" s="173"/>
      <c r="B174" s="174"/>
      <c r="C174" s="175"/>
      <c r="D174" s="225"/>
      <c r="E174" s="175"/>
      <c r="F174" s="175"/>
      <c r="G174" s="201">
        <v>123.238</v>
      </c>
      <c r="H174" s="201">
        <v>123.238</v>
      </c>
      <c r="I174" s="201">
        <v>123.238</v>
      </c>
      <c r="J174" s="202">
        <v>0.14799999999999999</v>
      </c>
      <c r="K174" s="202">
        <v>0.14799999999999999</v>
      </c>
      <c r="L174" s="202">
        <v>0.14799999999999999</v>
      </c>
      <c r="M174" s="202"/>
      <c r="N174" s="157"/>
      <c r="O174" s="2"/>
      <c r="P174" s="228"/>
    </row>
    <row r="175" spans="1:16" ht="23.5" customHeight="1" x14ac:dyDescent="0.3">
      <c r="A175" s="231" t="s">
        <v>314</v>
      </c>
      <c r="B175" s="151"/>
      <c r="C175" s="175">
        <v>44937</v>
      </c>
      <c r="D175" s="151">
        <v>91</v>
      </c>
      <c r="E175" s="175">
        <f>+C175+D175</f>
        <v>45028</v>
      </c>
      <c r="F175" s="200"/>
      <c r="G175" s="152">
        <v>1000000</v>
      </c>
      <c r="H175" s="2">
        <f>G175</f>
        <v>1000000</v>
      </c>
      <c r="I175" s="2">
        <v>9479.1700000000419</v>
      </c>
      <c r="J175" s="2">
        <f>+I175+G175</f>
        <v>1009479.17</v>
      </c>
      <c r="K175" s="2"/>
      <c r="L175" s="2"/>
      <c r="M175" s="159">
        <v>3.7499999999999999E-2</v>
      </c>
      <c r="N175" s="2">
        <v>1152190.8904109588</v>
      </c>
      <c r="P175" s="160">
        <f>+N175-O175</f>
        <v>1152190.8904109588</v>
      </c>
    </row>
    <row r="176" spans="1:16" s="155" customFormat="1" ht="23.5" customHeight="1" x14ac:dyDescent="0.3">
      <c r="A176" s="173"/>
      <c r="B176" s="174"/>
      <c r="C176" s="175"/>
      <c r="D176" s="225"/>
      <c r="E176" s="175"/>
      <c r="F176" s="175"/>
      <c r="G176" s="201">
        <v>132.3981</v>
      </c>
      <c r="H176" s="201">
        <v>132.3981</v>
      </c>
      <c r="I176" s="201">
        <v>132.3981</v>
      </c>
      <c r="J176" s="202">
        <v>0.14799999999999999</v>
      </c>
      <c r="K176" s="202">
        <v>0.14799999999999999</v>
      </c>
      <c r="L176" s="202">
        <v>0.14799999999999999</v>
      </c>
      <c r="M176" s="202"/>
      <c r="N176" s="157"/>
      <c r="O176" s="2"/>
      <c r="P176" s="228"/>
    </row>
    <row r="177" spans="1:17" ht="23.5" customHeight="1" x14ac:dyDescent="0.3">
      <c r="A177" s="231"/>
      <c r="B177" s="151"/>
      <c r="C177" s="175"/>
      <c r="D177" s="151"/>
      <c r="E177" s="175"/>
      <c r="F177" s="200"/>
      <c r="G177" s="152"/>
      <c r="H177" s="2"/>
      <c r="I177" s="2"/>
      <c r="J177" s="2"/>
      <c r="K177" s="2"/>
      <c r="L177" s="2"/>
      <c r="M177" s="159"/>
      <c r="N177" s="2"/>
      <c r="P177" s="160"/>
    </row>
    <row r="178" spans="1:17" s="155" customFormat="1" ht="23.5" customHeight="1" thickBot="1" x14ac:dyDescent="0.35">
      <c r="A178" s="173"/>
      <c r="B178" s="174"/>
      <c r="C178" s="175"/>
      <c r="D178" s="225"/>
      <c r="E178" s="175"/>
      <c r="F178" s="175"/>
      <c r="G178" s="201"/>
      <c r="H178" s="201"/>
      <c r="I178" s="201"/>
      <c r="J178" s="202"/>
      <c r="K178" s="202"/>
      <c r="L178" s="202"/>
      <c r="M178" s="202"/>
      <c r="N178" s="157"/>
      <c r="O178" s="2"/>
      <c r="P178" s="228"/>
    </row>
    <row r="179" spans="1:17" s="155" customFormat="1" ht="23.5" customHeight="1" thickBot="1" x14ac:dyDescent="0.35">
      <c r="A179" s="547" t="s">
        <v>210</v>
      </c>
      <c r="B179" s="599"/>
      <c r="C179" s="600"/>
      <c r="D179" s="601"/>
      <c r="E179" s="600"/>
      <c r="F179" s="600"/>
      <c r="G179" s="602"/>
      <c r="H179" s="602"/>
      <c r="I179" s="602"/>
      <c r="J179" s="602" t="e">
        <f>(#REF!*#REF!)+(#REF!*#REF!)+(#REF!*#REF!)+(#REF!*#REF!)+(#REF!*#REF!)+(#REF!*#REF!)+(#REF!*#REF!)+(#REF!*#REF!)</f>
        <v>#REF!</v>
      </c>
      <c r="K179" s="602" t="e">
        <f>(#REF!*#REF!)+(#REF!*#REF!)+(#REF!*#REF!)+(#REF!*#REF!)+(#REF!*#REF!)+(#REF!*#REF!)+(#REF!*#REF!)+(#REF!*#REF!)</f>
        <v>#REF!</v>
      </c>
      <c r="L179" s="602" t="e">
        <f>(#REF!*#REF!)+(#REF!*#REF!)+(#REF!*#REF!)+(#REF!*#REF!)+(#REF!*#REF!)+(#REF!*#REF!)+(#REF!*#REF!)+(#REF!*#REF!)</f>
        <v>#REF!</v>
      </c>
      <c r="M179" s="602"/>
      <c r="N179" s="602">
        <f>SUM(N165:N178)</f>
        <v>4786343.8445363017</v>
      </c>
      <c r="O179" s="602">
        <f t="shared" ref="O179:P179" si="25">SUM(O165:O178)</f>
        <v>2213747.0513570262</v>
      </c>
      <c r="P179" s="602">
        <f t="shared" si="25"/>
        <v>2572596.7931792755</v>
      </c>
    </row>
    <row r="180" spans="1:17" s="155" customFormat="1" ht="23.5" customHeight="1" x14ac:dyDescent="0.3">
      <c r="A180" s="173"/>
      <c r="B180" s="174"/>
      <c r="C180" s="175"/>
      <c r="D180" s="151"/>
      <c r="E180" s="175"/>
      <c r="F180" s="175"/>
      <c r="G180" s="2"/>
      <c r="H180" s="2"/>
      <c r="I180" s="2"/>
      <c r="J180" s="2"/>
      <c r="K180" s="2"/>
      <c r="L180" s="2"/>
      <c r="M180" s="157"/>
      <c r="N180" s="2"/>
      <c r="O180" s="157"/>
      <c r="P180" s="160"/>
    </row>
    <row r="181" spans="1:17" s="155" customFormat="1" ht="23.5" customHeight="1" x14ac:dyDescent="0.3">
      <c r="A181" s="173"/>
      <c r="B181" s="174"/>
      <c r="C181" s="175"/>
      <c r="D181" s="151"/>
      <c r="E181" s="175"/>
      <c r="F181" s="175"/>
      <c r="G181" s="2"/>
      <c r="H181" s="2"/>
      <c r="I181" s="2"/>
      <c r="J181" s="2"/>
      <c r="K181" s="2"/>
      <c r="L181" s="2"/>
      <c r="M181" s="157"/>
      <c r="N181" s="2"/>
      <c r="O181" s="157"/>
      <c r="P181" s="160"/>
    </row>
    <row r="182" spans="1:17" ht="23.5" customHeight="1" x14ac:dyDescent="0.3">
      <c r="A182" s="547" t="s">
        <v>123</v>
      </c>
      <c r="B182" s="222"/>
      <c r="C182" s="223"/>
      <c r="D182" s="224"/>
      <c r="E182" s="223"/>
      <c r="F182" s="223"/>
      <c r="G182" s="181">
        <f t="shared" ref="G182:P182" si="26">G144+G161+G179</f>
        <v>1300157356.4243181</v>
      </c>
      <c r="H182" s="181">
        <f t="shared" si="26"/>
        <v>1300157356.4243181</v>
      </c>
      <c r="I182" s="181">
        <f t="shared" si="26"/>
        <v>44015076.793643504</v>
      </c>
      <c r="J182" s="181" t="e">
        <f t="shared" si="26"/>
        <v>#REF!</v>
      </c>
      <c r="K182" s="181" t="e">
        <f t="shared" si="26"/>
        <v>#REF!</v>
      </c>
      <c r="L182" s="181" t="e">
        <f t="shared" si="26"/>
        <v>#REF!</v>
      </c>
      <c r="M182" s="181">
        <f t="shared" si="26"/>
        <v>0.67049999999999998</v>
      </c>
      <c r="N182" s="181">
        <f t="shared" si="26"/>
        <v>38247533.985710971</v>
      </c>
      <c r="O182" s="181">
        <f t="shared" si="26"/>
        <v>28781249.389034744</v>
      </c>
      <c r="P182" s="181">
        <f t="shared" si="26"/>
        <v>9466284.5966762248</v>
      </c>
    </row>
    <row r="183" spans="1:17" s="559" customFormat="1" ht="23.5" customHeight="1" x14ac:dyDescent="0.3">
      <c r="A183" s="206"/>
      <c r="B183" s="205"/>
      <c r="C183" s="210"/>
      <c r="D183" s="211"/>
      <c r="E183" s="210"/>
      <c r="F183" s="210"/>
      <c r="G183" s="212"/>
      <c r="H183" s="212"/>
      <c r="I183" s="212"/>
      <c r="J183" s="212"/>
      <c r="K183" s="212"/>
      <c r="L183" s="212"/>
      <c r="M183" s="159"/>
      <c r="N183" s="212"/>
      <c r="O183" s="212"/>
      <c r="P183" s="226"/>
    </row>
    <row r="184" spans="1:17" ht="22" customHeight="1" x14ac:dyDescent="0.3">
      <c r="A184" s="173"/>
      <c r="B184" s="187"/>
      <c r="C184" s="175"/>
      <c r="D184" s="151"/>
      <c r="E184" s="175"/>
      <c r="F184" s="175"/>
      <c r="G184" s="2"/>
      <c r="H184" s="2"/>
      <c r="I184" s="2"/>
      <c r="J184" s="2"/>
      <c r="K184" s="2"/>
      <c r="L184" s="2"/>
      <c r="M184" s="159"/>
      <c r="N184" s="2"/>
      <c r="P184" s="160"/>
    </row>
    <row r="185" spans="1:17" ht="22" customHeight="1" x14ac:dyDescent="0.3">
      <c r="A185" s="173" t="s">
        <v>260</v>
      </c>
      <c r="B185" s="187"/>
      <c r="C185" s="175">
        <v>44917</v>
      </c>
      <c r="D185" s="151">
        <v>30</v>
      </c>
      <c r="E185" s="175">
        <f t="shared" ref="E185:E190" si="27">+C185+D185</f>
        <v>44947</v>
      </c>
      <c r="F185" s="175">
        <v>42675</v>
      </c>
      <c r="G185" s="2">
        <v>30000000</v>
      </c>
      <c r="H185" s="2">
        <f t="shared" ref="H185:H190" si="28">G185</f>
        <v>30000000</v>
      </c>
      <c r="I185" s="2">
        <f t="shared" ref="I185:I190" si="29">G185*M185*D185/365</f>
        <v>234246.57534246575</v>
      </c>
      <c r="J185" s="2"/>
      <c r="K185" s="2"/>
      <c r="L185" s="2"/>
      <c r="M185" s="159">
        <v>9.5000000000000001E-2</v>
      </c>
      <c r="N185" s="2">
        <v>234246.57534246575</v>
      </c>
      <c r="O185" s="157">
        <v>78082.191780821915</v>
      </c>
      <c r="P185" s="160">
        <f t="shared" ref="P185:P190" si="30">+N185-O185</f>
        <v>156164.38356164383</v>
      </c>
      <c r="Q185" s="157">
        <f>I185-N185</f>
        <v>0</v>
      </c>
    </row>
    <row r="186" spans="1:17" ht="22" customHeight="1" x14ac:dyDescent="0.3">
      <c r="A186" s="173" t="s">
        <v>260</v>
      </c>
      <c r="B186" s="187"/>
      <c r="C186" s="175">
        <v>44951</v>
      </c>
      <c r="D186" s="151">
        <v>30</v>
      </c>
      <c r="E186" s="175">
        <f t="shared" si="27"/>
        <v>44981</v>
      </c>
      <c r="F186" s="175">
        <v>42675</v>
      </c>
      <c r="G186" s="2">
        <v>35000000</v>
      </c>
      <c r="H186" s="2">
        <f t="shared" si="28"/>
        <v>35000000</v>
      </c>
      <c r="I186" s="2">
        <f t="shared" si="29"/>
        <v>273287.67123287672</v>
      </c>
      <c r="J186" s="2"/>
      <c r="K186" s="2"/>
      <c r="L186" s="2"/>
      <c r="M186" s="159">
        <v>9.5000000000000001E-2</v>
      </c>
      <c r="N186" s="2">
        <v>273287.67123287672</v>
      </c>
      <c r="P186" s="160">
        <f t="shared" si="30"/>
        <v>273287.67123287672</v>
      </c>
      <c r="Q186" s="157">
        <f t="shared" ref="Q186:Q190" si="31">I186-N186</f>
        <v>0</v>
      </c>
    </row>
    <row r="187" spans="1:17" ht="22" customHeight="1" x14ac:dyDescent="0.3">
      <c r="A187" s="173" t="s">
        <v>260</v>
      </c>
      <c r="B187" s="187"/>
      <c r="C187" s="175">
        <v>44981</v>
      </c>
      <c r="D187" s="151">
        <v>30</v>
      </c>
      <c r="E187" s="175">
        <f t="shared" si="27"/>
        <v>45011</v>
      </c>
      <c r="F187" s="175">
        <v>42675</v>
      </c>
      <c r="G187" s="2">
        <f>35000000+273287.65</f>
        <v>35273287.649999999</v>
      </c>
      <c r="H187" s="2">
        <f t="shared" si="28"/>
        <v>35273287.649999999</v>
      </c>
      <c r="I187" s="2">
        <f t="shared" si="29"/>
        <v>297165.36855821911</v>
      </c>
      <c r="J187" s="2"/>
      <c r="K187" s="2"/>
      <c r="L187" s="2"/>
      <c r="M187" s="159">
        <v>0.10249999999999999</v>
      </c>
      <c r="N187" s="2">
        <v>297165.36855821911</v>
      </c>
      <c r="P187" s="160">
        <f t="shared" si="30"/>
        <v>297165.36855821911</v>
      </c>
      <c r="Q187" s="157">
        <f t="shared" si="31"/>
        <v>0</v>
      </c>
    </row>
    <row r="188" spans="1:17" ht="22" customHeight="1" x14ac:dyDescent="0.3">
      <c r="A188" s="173" t="s">
        <v>260</v>
      </c>
      <c r="B188" s="187"/>
      <c r="C188" s="175">
        <v>45013</v>
      </c>
      <c r="D188" s="151">
        <v>30</v>
      </c>
      <c r="E188" s="175">
        <f t="shared" si="27"/>
        <v>45043</v>
      </c>
      <c r="F188" s="175">
        <v>42675</v>
      </c>
      <c r="G188" s="2">
        <v>70000000</v>
      </c>
      <c r="H188" s="2">
        <f t="shared" si="28"/>
        <v>70000000</v>
      </c>
      <c r="I188" s="2">
        <f t="shared" si="29"/>
        <v>589726.0273972603</v>
      </c>
      <c r="J188" s="2"/>
      <c r="K188" s="2"/>
      <c r="L188" s="2"/>
      <c r="M188" s="159">
        <v>0.10249999999999999</v>
      </c>
      <c r="N188" s="2">
        <v>589726.0273972603</v>
      </c>
      <c r="P188" s="160">
        <f t="shared" si="30"/>
        <v>589726.0273972603</v>
      </c>
      <c r="Q188" s="157">
        <f t="shared" si="31"/>
        <v>0</v>
      </c>
    </row>
    <row r="189" spans="1:17" ht="22" customHeight="1" x14ac:dyDescent="0.3">
      <c r="A189" s="173" t="s">
        <v>165</v>
      </c>
      <c r="B189" s="187"/>
      <c r="C189" s="175">
        <v>44658</v>
      </c>
      <c r="D189" s="151">
        <v>364</v>
      </c>
      <c r="E189" s="175">
        <f t="shared" si="27"/>
        <v>45022</v>
      </c>
      <c r="F189" s="175">
        <v>42826</v>
      </c>
      <c r="G189" s="2">
        <f>76278355.5205479+7036417.07+7748273.85</f>
        <v>91063046.440547884</v>
      </c>
      <c r="H189" s="2">
        <f t="shared" si="28"/>
        <v>91063046.440547884</v>
      </c>
      <c r="I189" s="2">
        <f t="shared" si="29"/>
        <v>9081355.8642080631</v>
      </c>
      <c r="J189" s="2"/>
      <c r="K189" s="2"/>
      <c r="L189" s="2"/>
      <c r="M189" s="159">
        <v>0.1</v>
      </c>
      <c r="N189" s="2">
        <v>9081355.8642080631</v>
      </c>
      <c r="O189" s="157">
        <v>6729659.2012382923</v>
      </c>
      <c r="P189" s="160">
        <f t="shared" si="30"/>
        <v>2351696.6629697708</v>
      </c>
      <c r="Q189" s="157">
        <f t="shared" si="31"/>
        <v>0</v>
      </c>
    </row>
    <row r="190" spans="1:17" ht="22" customHeight="1" x14ac:dyDescent="0.3">
      <c r="A190" s="173" t="s">
        <v>126</v>
      </c>
      <c r="B190" s="187"/>
      <c r="C190" s="175">
        <v>44688</v>
      </c>
      <c r="D190" s="151">
        <v>364</v>
      </c>
      <c r="E190" s="175">
        <f t="shared" si="27"/>
        <v>45052</v>
      </c>
      <c r="F190" s="175">
        <v>42675</v>
      </c>
      <c r="G190" s="2">
        <f>12365646.59+1236564.66</f>
        <v>13602211.25</v>
      </c>
      <c r="H190" s="2">
        <f t="shared" si="28"/>
        <v>13602211.25</v>
      </c>
      <c r="I190" s="2">
        <f t="shared" si="29"/>
        <v>1424319.2163698629</v>
      </c>
      <c r="J190" s="2"/>
      <c r="K190" s="2"/>
      <c r="L190" s="2"/>
      <c r="M190" s="159">
        <v>0.105</v>
      </c>
      <c r="N190" s="2">
        <v>1424319.2163698629</v>
      </c>
      <c r="O190" s="157">
        <v>935198.60635273962</v>
      </c>
      <c r="P190" s="160">
        <f t="shared" si="30"/>
        <v>489120.61001712328</v>
      </c>
      <c r="Q190" s="157">
        <f t="shared" si="31"/>
        <v>0</v>
      </c>
    </row>
    <row r="191" spans="1:17" ht="22" customHeight="1" x14ac:dyDescent="0.3">
      <c r="A191" s="173"/>
      <c r="B191" s="187"/>
      <c r="C191" s="175"/>
      <c r="D191" s="151"/>
      <c r="E191" s="175"/>
      <c r="F191" s="175"/>
      <c r="G191" s="2"/>
      <c r="H191" s="2"/>
      <c r="I191" s="2"/>
      <c r="J191" s="2"/>
      <c r="K191" s="2"/>
      <c r="L191" s="2"/>
      <c r="M191" s="159"/>
      <c r="N191" s="2"/>
      <c r="P191" s="160"/>
    </row>
    <row r="192" spans="1:17" ht="23.5" customHeight="1" x14ac:dyDescent="0.3">
      <c r="A192" s="173"/>
      <c r="B192" s="174"/>
      <c r="C192" s="175"/>
      <c r="D192" s="151"/>
      <c r="E192" s="175"/>
      <c r="F192" s="175"/>
      <c r="G192" s="2"/>
      <c r="H192" s="2"/>
      <c r="I192" s="2"/>
      <c r="J192" s="2"/>
      <c r="K192" s="2"/>
      <c r="L192" s="2"/>
      <c r="M192" s="159"/>
      <c r="N192" s="2"/>
      <c r="P192" s="560"/>
    </row>
    <row r="193" spans="1:16" ht="23.5" customHeight="1" thickBot="1" x14ac:dyDescent="0.35">
      <c r="A193" s="173"/>
      <c r="B193" s="174"/>
      <c r="C193" s="175"/>
      <c r="D193" s="151"/>
      <c r="E193" s="175"/>
      <c r="F193" s="175"/>
      <c r="G193" s="196">
        <f t="shared" ref="G193:P193" si="32">SUM(G184:G192)</f>
        <v>274938545.34054792</v>
      </c>
      <c r="H193" s="196">
        <f t="shared" si="32"/>
        <v>274938545.34054792</v>
      </c>
      <c r="I193" s="196">
        <f t="shared" si="32"/>
        <v>11900100.723108748</v>
      </c>
      <c r="J193" s="196">
        <f t="shared" si="32"/>
        <v>0</v>
      </c>
      <c r="K193" s="196">
        <f t="shared" si="32"/>
        <v>0</v>
      </c>
      <c r="L193" s="196">
        <f t="shared" si="32"/>
        <v>0</v>
      </c>
      <c r="M193" s="196">
        <f t="shared" si="32"/>
        <v>0.6</v>
      </c>
      <c r="N193" s="196">
        <f t="shared" si="32"/>
        <v>11900100.723108748</v>
      </c>
      <c r="O193" s="196">
        <f t="shared" si="32"/>
        <v>7742939.9993718546</v>
      </c>
      <c r="P193" s="196">
        <f t="shared" si="32"/>
        <v>4157160.7237368939</v>
      </c>
    </row>
    <row r="194" spans="1:16" ht="23.5" customHeight="1" thickTop="1" x14ac:dyDescent="0.3">
      <c r="A194" s="173"/>
      <c r="B194" s="174"/>
      <c r="C194" s="175"/>
      <c r="D194" s="152"/>
      <c r="E194" s="151"/>
      <c r="F194" s="175"/>
      <c r="G194" s="2"/>
      <c r="H194" s="2"/>
      <c r="I194" s="2"/>
      <c r="J194" s="2"/>
      <c r="K194" s="2"/>
      <c r="L194" s="2"/>
      <c r="M194" s="159"/>
      <c r="N194" s="2"/>
      <c r="P194" s="560"/>
    </row>
    <row r="195" spans="1:16" ht="23.5" customHeight="1" x14ac:dyDescent="0.3">
      <c r="A195" s="231" t="s">
        <v>260</v>
      </c>
      <c r="B195" s="151"/>
      <c r="C195" s="175">
        <v>44917</v>
      </c>
      <c r="D195" s="151">
        <v>91</v>
      </c>
      <c r="E195" s="175">
        <f>+C195+D195</f>
        <v>45008</v>
      </c>
      <c r="F195" s="200"/>
      <c r="G195" s="152">
        <v>300000</v>
      </c>
      <c r="H195" s="2">
        <f>G195</f>
        <v>300000</v>
      </c>
      <c r="I195" s="2">
        <v>2843.75</v>
      </c>
      <c r="J195" s="2">
        <f>+I195+G195</f>
        <v>302843.75</v>
      </c>
      <c r="K195" s="2"/>
      <c r="L195" s="2"/>
      <c r="M195" s="159">
        <v>3.7499999999999999E-2</v>
      </c>
      <c r="N195" s="2">
        <v>343671.75</v>
      </c>
      <c r="O195" s="157">
        <v>37880.53278688524</v>
      </c>
      <c r="P195" s="160">
        <f>+N195-O195</f>
        <v>305791.21721311478</v>
      </c>
    </row>
    <row r="196" spans="1:16" s="155" customFormat="1" ht="23.5" customHeight="1" x14ac:dyDescent="0.3">
      <c r="A196" s="173"/>
      <c r="B196" s="174"/>
      <c r="C196" s="175"/>
      <c r="D196" s="225"/>
      <c r="E196" s="175"/>
      <c r="F196" s="175"/>
      <c r="G196" s="201">
        <v>123.238</v>
      </c>
      <c r="H196" s="201">
        <v>123.238</v>
      </c>
      <c r="I196" s="201">
        <v>123.238</v>
      </c>
      <c r="J196" s="202">
        <v>0.14799999999999999</v>
      </c>
      <c r="K196" s="202">
        <v>0.14799999999999999</v>
      </c>
      <c r="L196" s="202">
        <v>0.14799999999999999</v>
      </c>
      <c r="M196" s="202"/>
      <c r="N196" s="157"/>
      <c r="O196" s="2"/>
      <c r="P196" s="228"/>
    </row>
    <row r="197" spans="1:16" ht="23.5" customHeight="1" x14ac:dyDescent="0.3">
      <c r="A197" s="231"/>
      <c r="B197" s="151"/>
      <c r="C197" s="175"/>
      <c r="D197" s="598"/>
      <c r="E197" s="152"/>
      <c r="F197" s="200"/>
      <c r="G197" s="152"/>
      <c r="H197" s="2"/>
      <c r="I197" s="2"/>
      <c r="J197" s="2"/>
      <c r="K197" s="2"/>
      <c r="L197" s="2"/>
      <c r="M197" s="159"/>
      <c r="N197" s="2"/>
      <c r="P197" s="160"/>
    </row>
    <row r="198" spans="1:16" s="155" customFormat="1" ht="23.5" customHeight="1" x14ac:dyDescent="0.3">
      <c r="A198" s="173"/>
      <c r="B198" s="174"/>
      <c r="C198" s="175"/>
      <c r="D198" s="225"/>
      <c r="E198" s="175"/>
      <c r="F198" s="175"/>
      <c r="G198" s="201"/>
      <c r="H198" s="201"/>
      <c r="I198" s="201"/>
      <c r="J198" s="202"/>
      <c r="K198" s="202"/>
      <c r="L198" s="202"/>
      <c r="M198" s="202"/>
      <c r="N198" s="157"/>
      <c r="O198" s="2"/>
      <c r="P198" s="228"/>
    </row>
    <row r="199" spans="1:16" ht="23.5" customHeight="1" x14ac:dyDescent="0.3">
      <c r="A199" s="173"/>
      <c r="B199" s="174"/>
      <c r="C199" s="175"/>
      <c r="D199" s="151"/>
      <c r="E199" s="175"/>
      <c r="F199" s="175"/>
      <c r="G199" s="2"/>
      <c r="H199" s="2"/>
      <c r="I199" s="2"/>
      <c r="J199" s="2"/>
      <c r="K199" s="2"/>
      <c r="L199" s="2"/>
      <c r="M199" s="159"/>
      <c r="N199" s="2"/>
      <c r="P199" s="560"/>
    </row>
    <row r="200" spans="1:16" ht="23.5" customHeight="1" thickBot="1" x14ac:dyDescent="0.35">
      <c r="A200" s="173"/>
      <c r="B200" s="174"/>
      <c r="C200" s="175"/>
      <c r="D200" s="151"/>
      <c r="E200" s="175"/>
      <c r="F200" s="175"/>
      <c r="G200" s="196"/>
      <c r="H200" s="196"/>
      <c r="I200" s="196"/>
      <c r="J200" s="196" t="e">
        <f>(#REF!*#REF!)</f>
        <v>#REF!</v>
      </c>
      <c r="K200" s="196" t="e">
        <f>(#REF!*#REF!)</f>
        <v>#REF!</v>
      </c>
      <c r="L200" s="196" t="e">
        <f>(#REF!*#REF!)</f>
        <v>#REF!</v>
      </c>
      <c r="M200" s="614"/>
      <c r="N200" s="196">
        <f>SUM(N195:N199)</f>
        <v>343671.75</v>
      </c>
      <c r="O200" s="196">
        <f t="shared" ref="O200:P200" si="33">SUM(O195:O199)</f>
        <v>37880.53278688524</v>
      </c>
      <c r="P200" s="196">
        <f t="shared" si="33"/>
        <v>305791.21721311478</v>
      </c>
    </row>
    <row r="201" spans="1:16" ht="23.5" customHeight="1" thickTop="1" x14ac:dyDescent="0.3">
      <c r="A201" s="173"/>
      <c r="B201" s="187"/>
      <c r="C201" s="175"/>
      <c r="D201" s="151"/>
      <c r="E201" s="175"/>
      <c r="F201" s="175"/>
      <c r="G201" s="2"/>
      <c r="H201" s="2"/>
      <c r="I201" s="2"/>
      <c r="J201" s="2"/>
      <c r="K201" s="2"/>
      <c r="L201" s="2"/>
      <c r="M201" s="159"/>
      <c r="N201" s="2"/>
      <c r="P201" s="560"/>
    </row>
    <row r="202" spans="1:16" ht="23.5" customHeight="1" x14ac:dyDescent="0.3">
      <c r="A202" s="173"/>
      <c r="B202" s="187"/>
      <c r="C202" s="175"/>
      <c r="D202" s="151"/>
      <c r="E202" s="175"/>
      <c r="F202" s="175"/>
      <c r="G202" s="2"/>
      <c r="H202" s="2"/>
      <c r="I202" s="2"/>
      <c r="J202" s="2"/>
      <c r="K202" s="2"/>
      <c r="L202" s="2"/>
      <c r="M202" s="159"/>
      <c r="N202" s="2"/>
      <c r="P202" s="160"/>
    </row>
    <row r="203" spans="1:16" ht="23.5" customHeight="1" thickBot="1" x14ac:dyDescent="0.35">
      <c r="A203" s="178" t="s">
        <v>7</v>
      </c>
      <c r="B203" s="179"/>
      <c r="C203" s="205"/>
      <c r="D203" s="151"/>
      <c r="E203" s="175"/>
      <c r="F203" s="175"/>
      <c r="G203" s="196">
        <f t="shared" ref="G203:P203" si="34">G200+G193</f>
        <v>274938545.34054792</v>
      </c>
      <c r="H203" s="196">
        <f t="shared" si="34"/>
        <v>274938545.34054792</v>
      </c>
      <c r="I203" s="196">
        <f t="shared" si="34"/>
        <v>11900100.723108748</v>
      </c>
      <c r="J203" s="196" t="e">
        <f t="shared" si="34"/>
        <v>#REF!</v>
      </c>
      <c r="K203" s="196" t="e">
        <f t="shared" si="34"/>
        <v>#REF!</v>
      </c>
      <c r="L203" s="196" t="e">
        <f t="shared" si="34"/>
        <v>#REF!</v>
      </c>
      <c r="M203" s="196">
        <f t="shared" si="34"/>
        <v>0.6</v>
      </c>
      <c r="N203" s="196">
        <f t="shared" si="34"/>
        <v>12243772.473108748</v>
      </c>
      <c r="O203" s="196">
        <f t="shared" si="34"/>
        <v>7780820.5321587399</v>
      </c>
      <c r="P203" s="196">
        <f t="shared" si="34"/>
        <v>4462951.940950009</v>
      </c>
    </row>
    <row r="204" spans="1:16" ht="23.5" customHeight="1" thickTop="1" x14ac:dyDescent="0.3">
      <c r="A204" s="173"/>
      <c r="B204" s="174"/>
      <c r="C204" s="151"/>
      <c r="D204" s="175"/>
      <c r="E204" s="176"/>
      <c r="F204" s="176"/>
      <c r="G204" s="2"/>
      <c r="H204" s="2"/>
      <c r="I204" s="154"/>
      <c r="J204" s="154"/>
      <c r="K204" s="154"/>
      <c r="L204" s="154"/>
      <c r="M204" s="408"/>
      <c r="N204" s="154"/>
      <c r="O204" s="154"/>
      <c r="P204" s="227"/>
    </row>
    <row r="205" spans="1:16" ht="23.5" customHeight="1" x14ac:dyDescent="0.3">
      <c r="A205" s="547" t="s">
        <v>6</v>
      </c>
      <c r="B205" s="222"/>
      <c r="C205" s="546"/>
      <c r="D205" s="548"/>
      <c r="E205" s="548"/>
      <c r="F205" s="548"/>
      <c r="G205" s="181">
        <f t="shared" ref="G205:P205" si="35">G203+G182</f>
        <v>1575095901.7648659</v>
      </c>
      <c r="H205" s="181">
        <f t="shared" si="35"/>
        <v>1575095901.7648659</v>
      </c>
      <c r="I205" s="181">
        <f t="shared" si="35"/>
        <v>55915177.51675225</v>
      </c>
      <c r="J205" s="181" t="e">
        <f t="shared" si="35"/>
        <v>#REF!</v>
      </c>
      <c r="K205" s="181" t="e">
        <f t="shared" si="35"/>
        <v>#REF!</v>
      </c>
      <c r="L205" s="181" t="e">
        <f t="shared" si="35"/>
        <v>#REF!</v>
      </c>
      <c r="M205" s="181">
        <f t="shared" si="35"/>
        <v>1.2705</v>
      </c>
      <c r="N205" s="181">
        <f t="shared" si="35"/>
        <v>50491306.458819717</v>
      </c>
      <c r="O205" s="181">
        <f t="shared" si="35"/>
        <v>36562069.92119348</v>
      </c>
      <c r="P205" s="181">
        <f t="shared" si="35"/>
        <v>13929236.537626233</v>
      </c>
    </row>
    <row r="206" spans="1:16" ht="23.5" customHeight="1" x14ac:dyDescent="0.3">
      <c r="A206" s="178"/>
      <c r="B206" s="179"/>
      <c r="C206" s="151"/>
      <c r="D206" s="175"/>
      <c r="E206" s="175"/>
      <c r="F206" s="175"/>
      <c r="G206" s="154"/>
      <c r="H206" s="154"/>
      <c r="I206" s="154"/>
      <c r="J206" s="154"/>
      <c r="K206" s="154"/>
      <c r="L206" s="154"/>
      <c r="M206" s="159"/>
      <c r="N206" s="154"/>
      <c r="O206" s="154"/>
      <c r="P206" s="195"/>
    </row>
    <row r="207" spans="1:16" ht="23.5" customHeight="1" x14ac:dyDescent="0.3">
      <c r="A207" s="149" t="s">
        <v>46</v>
      </c>
      <c r="B207" s="150"/>
      <c r="C207" s="151"/>
      <c r="D207" s="175"/>
      <c r="E207" s="176"/>
      <c r="F207" s="176"/>
      <c r="G207" s="2"/>
      <c r="H207" s="2"/>
      <c r="I207" s="152"/>
      <c r="J207" s="152"/>
      <c r="K207" s="152"/>
      <c r="L207" s="152"/>
      <c r="M207" s="159"/>
      <c r="P207" s="160"/>
    </row>
    <row r="208" spans="1:16" ht="23.5" customHeight="1" x14ac:dyDescent="0.3">
      <c r="A208" s="149" t="str">
        <f>A3</f>
        <v>AT 30TH JUNE 2023</v>
      </c>
      <c r="B208" s="150"/>
      <c r="C208" s="151"/>
      <c r="D208" s="175"/>
      <c r="E208" s="176"/>
      <c r="F208" s="176"/>
      <c r="G208" s="2"/>
      <c r="H208" s="2"/>
      <c r="I208" s="177"/>
      <c r="J208" s="177"/>
      <c r="K208" s="177"/>
      <c r="L208" s="177"/>
      <c r="M208" s="159"/>
      <c r="P208" s="160"/>
    </row>
    <row r="209" spans="1:16" ht="23.5" customHeight="1" x14ac:dyDescent="0.3">
      <c r="A209" s="173"/>
      <c r="B209" s="174"/>
      <c r="C209" s="151"/>
      <c r="D209" s="175"/>
      <c r="E209" s="176"/>
      <c r="F209" s="176"/>
      <c r="G209" s="152"/>
      <c r="H209" s="152"/>
      <c r="I209" s="148"/>
      <c r="J209" s="148"/>
      <c r="K209" s="148"/>
      <c r="L209" s="148"/>
      <c r="M209" s="159"/>
      <c r="P209" s="160"/>
    </row>
    <row r="210" spans="1:16" ht="23.5" customHeight="1" x14ac:dyDescent="0.3">
      <c r="A210" s="161" t="s">
        <v>40</v>
      </c>
      <c r="B210" s="162" t="s">
        <v>181</v>
      </c>
      <c r="C210" s="162" t="s">
        <v>78</v>
      </c>
      <c r="D210" s="162" t="s">
        <v>20</v>
      </c>
      <c r="E210" s="162" t="s">
        <v>21</v>
      </c>
      <c r="F210" s="162" t="s">
        <v>178</v>
      </c>
      <c r="G210" s="163" t="s">
        <v>23</v>
      </c>
      <c r="H210" s="163" t="s">
        <v>133</v>
      </c>
      <c r="I210" s="163" t="s">
        <v>25</v>
      </c>
      <c r="J210" s="163" t="s">
        <v>55</v>
      </c>
      <c r="K210" s="163"/>
      <c r="L210" s="163"/>
      <c r="M210" s="164" t="s">
        <v>41</v>
      </c>
      <c r="N210" s="163" t="s">
        <v>42</v>
      </c>
      <c r="O210" s="165"/>
      <c r="P210" s="166"/>
    </row>
    <row r="211" spans="1:16" ht="23.5" customHeight="1" x14ac:dyDescent="0.3">
      <c r="A211" s="167"/>
      <c r="B211" s="168"/>
      <c r="C211" s="168" t="s">
        <v>31</v>
      </c>
      <c r="D211" s="168" t="s">
        <v>33</v>
      </c>
      <c r="E211" s="168" t="s">
        <v>21</v>
      </c>
      <c r="F211" s="168"/>
      <c r="G211" s="169" t="s">
        <v>34</v>
      </c>
      <c r="H211" s="169" t="s">
        <v>31</v>
      </c>
      <c r="I211" s="169" t="s">
        <v>42</v>
      </c>
      <c r="J211" s="169" t="s">
        <v>166</v>
      </c>
      <c r="K211" s="169"/>
      <c r="L211" s="169"/>
      <c r="M211" s="170" t="s">
        <v>36</v>
      </c>
      <c r="N211" s="169" t="s">
        <v>38</v>
      </c>
      <c r="O211" s="171"/>
      <c r="P211" s="172"/>
    </row>
    <row r="212" spans="1:16" ht="23.5" customHeight="1" x14ac:dyDescent="0.3">
      <c r="A212" s="231"/>
      <c r="B212" s="151"/>
      <c r="C212" s="175"/>
      <c r="D212" s="151"/>
      <c r="E212" s="175"/>
      <c r="F212" s="200"/>
      <c r="G212" s="152"/>
      <c r="H212" s="2"/>
      <c r="I212" s="2"/>
      <c r="J212" s="2"/>
      <c r="K212" s="2"/>
      <c r="L212" s="2"/>
      <c r="M212" s="159"/>
      <c r="N212" s="2"/>
      <c r="P212" s="160"/>
    </row>
    <row r="213" spans="1:16" ht="23.5" customHeight="1" x14ac:dyDescent="0.3">
      <c r="A213" s="231" t="s">
        <v>211</v>
      </c>
      <c r="B213" s="151"/>
      <c r="C213" s="175">
        <v>44974</v>
      </c>
      <c r="D213" s="151">
        <v>182</v>
      </c>
      <c r="E213" s="175">
        <f>+C213+D213</f>
        <v>45156</v>
      </c>
      <c r="F213" s="200"/>
      <c r="G213" s="152">
        <f>450000+4151.88+4190.18+2896.47+2914.77+2933.19+7084.15+2996.5+3316.97+3643.67+3671.3+3699.14+4710.19</f>
        <v>496208.41</v>
      </c>
      <c r="H213" s="2">
        <f>G213</f>
        <v>496208.41</v>
      </c>
      <c r="I213" s="2">
        <f>G213*M213*D213/365</f>
        <v>11134.101035342464</v>
      </c>
      <c r="J213" s="2">
        <f>+I213+G213</f>
        <v>507342.51103534247</v>
      </c>
      <c r="K213" s="2"/>
      <c r="L213" s="2"/>
      <c r="M213" s="159">
        <v>4.4999999999999998E-2</v>
      </c>
      <c r="N213" s="2">
        <f>I213/D213*(N$1-C213+1)*140.1749</f>
        <v>1149102.6422821404</v>
      </c>
      <c r="P213" s="160">
        <f>+N213-O213</f>
        <v>1149102.6422821404</v>
      </c>
    </row>
    <row r="214" spans="1:16" s="155" customFormat="1" ht="23.5" customHeight="1" x14ac:dyDescent="0.3">
      <c r="A214" s="173"/>
      <c r="B214" s="174"/>
      <c r="C214" s="175"/>
      <c r="D214" s="225"/>
      <c r="E214" s="175"/>
      <c r="F214" s="175"/>
      <c r="G214" s="201">
        <v>140.17490000000001</v>
      </c>
      <c r="H214" s="201">
        <v>140.17490000000001</v>
      </c>
      <c r="I214" s="201">
        <v>140.17490000000001</v>
      </c>
      <c r="J214" s="202">
        <v>0.14799999999999999</v>
      </c>
      <c r="K214" s="202">
        <v>0.14799999999999999</v>
      </c>
      <c r="L214" s="202">
        <v>0.14799999999999999</v>
      </c>
      <c r="M214" s="202"/>
      <c r="N214" s="157"/>
      <c r="O214" s="2"/>
      <c r="P214" s="228"/>
    </row>
    <row r="215" spans="1:16" ht="23.5" customHeight="1" x14ac:dyDescent="0.3">
      <c r="A215" s="231" t="s">
        <v>211</v>
      </c>
      <c r="B215" s="151"/>
      <c r="C215" s="175">
        <v>44971</v>
      </c>
      <c r="D215" s="151">
        <v>182</v>
      </c>
      <c r="E215" s="175">
        <f>+C215+D215</f>
        <v>45153</v>
      </c>
      <c r="F215" s="200"/>
      <c r="G215" s="152">
        <f>550000+3475.69+3847.42+4226.37+4258.42+4290.71+5463.45</f>
        <v>575562.05999999994</v>
      </c>
      <c r="H215" s="2">
        <f>G215</f>
        <v>575562.05999999994</v>
      </c>
      <c r="I215" s="2">
        <f>G215*M215*D215/365</f>
        <v>12914.6664969863</v>
      </c>
      <c r="J215" s="2">
        <f>+I215+G215</f>
        <v>588476.72649698623</v>
      </c>
      <c r="K215" s="2"/>
      <c r="L215" s="2"/>
      <c r="M215" s="159">
        <v>4.4999999999999998E-2</v>
      </c>
      <c r="N215" s="2">
        <f>I215/D215*(N$1-C215+1)*140.1749</f>
        <v>1362707.4484095136</v>
      </c>
      <c r="P215" s="160">
        <f>+N215-O215</f>
        <v>1362707.4484095136</v>
      </c>
    </row>
    <row r="216" spans="1:16" s="155" customFormat="1" ht="23.5" customHeight="1" x14ac:dyDescent="0.3">
      <c r="A216" s="173"/>
      <c r="B216" s="174"/>
      <c r="C216" s="175"/>
      <c r="D216" s="225"/>
      <c r="E216" s="175"/>
      <c r="F216" s="175"/>
      <c r="G216" s="201">
        <v>140.17490000000001</v>
      </c>
      <c r="H216" s="201">
        <v>140.17490000000001</v>
      </c>
      <c r="I216" s="201">
        <v>140.17490000000001</v>
      </c>
      <c r="J216" s="202">
        <v>0.14799999999999999</v>
      </c>
      <c r="K216" s="202">
        <v>0.14799999999999999</v>
      </c>
      <c r="L216" s="202">
        <v>0.14799999999999999</v>
      </c>
      <c r="M216" s="202"/>
      <c r="N216" s="157"/>
      <c r="O216" s="2"/>
      <c r="P216" s="228"/>
    </row>
    <row r="217" spans="1:16" ht="23.5" customHeight="1" x14ac:dyDescent="0.3">
      <c r="A217" s="231" t="s">
        <v>211</v>
      </c>
      <c r="B217" s="151"/>
      <c r="C217" s="175">
        <v>44982</v>
      </c>
      <c r="D217" s="151">
        <v>182</v>
      </c>
      <c r="E217" s="175">
        <f>+C217+D217</f>
        <v>45164</v>
      </c>
      <c r="F217" s="200"/>
      <c r="G217" s="152">
        <f>400000+2780.56+3054.42+3077.58+3100.92+3948.46</f>
        <v>415961.94</v>
      </c>
      <c r="H217" s="2">
        <f>G217</f>
        <v>415961.94</v>
      </c>
      <c r="I217" s="2">
        <f>G217*M217*D217/365</f>
        <v>9333.5021605479451</v>
      </c>
      <c r="J217" s="2">
        <f>+I217+G217</f>
        <v>425295.44216054794</v>
      </c>
      <c r="K217" s="2"/>
      <c r="L217" s="2"/>
      <c r="M217" s="159">
        <v>4.4999999999999998E-2</v>
      </c>
      <c r="N217" s="2">
        <f>I217/D217*(N$1-C217+1)*140.1749</f>
        <v>905761.89138779463</v>
      </c>
      <c r="P217" s="160">
        <f>+N217-O217</f>
        <v>905761.89138779463</v>
      </c>
    </row>
    <row r="218" spans="1:16" s="155" customFormat="1" ht="23.5" customHeight="1" x14ac:dyDescent="0.3">
      <c r="A218" s="173"/>
      <c r="B218" s="174"/>
      <c r="C218" s="175"/>
      <c r="D218" s="225"/>
      <c r="E218" s="175"/>
      <c r="F218" s="175"/>
      <c r="G218" s="201">
        <v>140.17490000000001</v>
      </c>
      <c r="H218" s="201">
        <v>140.17490000000001</v>
      </c>
      <c r="I218" s="201">
        <v>140.17490000000001</v>
      </c>
      <c r="J218" s="202">
        <v>0.14799999999999999</v>
      </c>
      <c r="K218" s="202">
        <v>0.14799999999999999</v>
      </c>
      <c r="L218" s="202">
        <v>0.14799999999999999</v>
      </c>
      <c r="M218" s="202"/>
      <c r="N218" s="157"/>
      <c r="O218" s="2"/>
      <c r="P218" s="228"/>
    </row>
    <row r="219" spans="1:16" ht="23.5" customHeight="1" x14ac:dyDescent="0.3">
      <c r="A219" s="231" t="s">
        <v>314</v>
      </c>
      <c r="B219" s="151"/>
      <c r="C219" s="175">
        <v>44971</v>
      </c>
      <c r="D219" s="151">
        <v>182</v>
      </c>
      <c r="E219" s="175">
        <f>+C219+D219</f>
        <v>45153</v>
      </c>
      <c r="F219" s="200"/>
      <c r="G219" s="152">
        <f>1000000+9479.17</f>
        <v>1009479.17</v>
      </c>
      <c r="H219" s="2">
        <f>G219</f>
        <v>1009479.17</v>
      </c>
      <c r="I219" s="2">
        <f>G219*M219*D219/365</f>
        <v>21140.982946520548</v>
      </c>
      <c r="J219" s="2">
        <f>+I219+G219</f>
        <v>1030620.1529465206</v>
      </c>
      <c r="K219" s="2"/>
      <c r="L219" s="2"/>
      <c r="M219" s="159">
        <v>4.2000000000000003E-2</v>
      </c>
      <c r="N219" s="2">
        <f>I219/D219*(N$1-C219+1)*140.1749</f>
        <v>2230717.6832359373</v>
      </c>
      <c r="P219" s="160">
        <f>+N219-O219</f>
        <v>2230717.6832359373</v>
      </c>
    </row>
    <row r="220" spans="1:16" s="155" customFormat="1" ht="23.5" customHeight="1" x14ac:dyDescent="0.3">
      <c r="A220" s="173"/>
      <c r="B220" s="174"/>
      <c r="C220" s="175"/>
      <c r="D220" s="225"/>
      <c r="E220" s="175"/>
      <c r="F220" s="175"/>
      <c r="G220" s="201">
        <v>140.17490000000001</v>
      </c>
      <c r="H220" s="201">
        <v>140.17490000000001</v>
      </c>
      <c r="I220" s="201">
        <v>140.17490000000001</v>
      </c>
      <c r="J220" s="202">
        <v>0.14799999999999999</v>
      </c>
      <c r="K220" s="202">
        <v>0.14799999999999999</v>
      </c>
      <c r="L220" s="202">
        <v>0.14799999999999999</v>
      </c>
      <c r="M220" s="202"/>
      <c r="N220" s="157"/>
      <c r="O220" s="2"/>
      <c r="P220" s="228"/>
    </row>
    <row r="221" spans="1:16" ht="23.5" customHeight="1" x14ac:dyDescent="0.3">
      <c r="A221" s="231" t="s">
        <v>211</v>
      </c>
      <c r="B221" s="151"/>
      <c r="C221" s="175">
        <v>45014</v>
      </c>
      <c r="D221" s="151">
        <v>182</v>
      </c>
      <c r="E221" s="175">
        <f>+C221+D221</f>
        <v>45196</v>
      </c>
      <c r="F221" s="200"/>
      <c r="G221" s="152">
        <v>700000</v>
      </c>
      <c r="H221" s="2">
        <f>G221</f>
        <v>700000</v>
      </c>
      <c r="I221" s="2">
        <f>G221*M221*D221/365</f>
        <v>17452.054794520547</v>
      </c>
      <c r="J221" s="2">
        <f>+I221+G221</f>
        <v>717452.05479452061</v>
      </c>
      <c r="K221" s="2"/>
      <c r="L221" s="2"/>
      <c r="M221" s="159">
        <v>0.05</v>
      </c>
      <c r="N221" s="2">
        <f>I221/D221*(N$1-C221+1)*140.1749</f>
        <v>1263494.304109589</v>
      </c>
      <c r="P221" s="160">
        <f>+N221-O221</f>
        <v>1263494.304109589</v>
      </c>
    </row>
    <row r="222" spans="1:16" s="155" customFormat="1" ht="23.5" customHeight="1" x14ac:dyDescent="0.3">
      <c r="A222" s="173"/>
      <c r="B222" s="174"/>
      <c r="C222" s="175"/>
      <c r="D222" s="225"/>
      <c r="E222" s="175"/>
      <c r="F222" s="175"/>
      <c r="G222" s="201">
        <v>140.17490000000001</v>
      </c>
      <c r="H222" s="201">
        <v>140.17490000000001</v>
      </c>
      <c r="I222" s="201">
        <v>140.17490000000001</v>
      </c>
      <c r="J222" s="202">
        <v>0.14799999999999999</v>
      </c>
      <c r="K222" s="202">
        <v>0.14799999999999999</v>
      </c>
      <c r="L222" s="202">
        <v>0.14799999999999999</v>
      </c>
      <c r="M222" s="202"/>
      <c r="N222" s="157"/>
      <c r="O222" s="2"/>
      <c r="P222" s="228"/>
    </row>
    <row r="223" spans="1:16" ht="23.5" customHeight="1" x14ac:dyDescent="0.3">
      <c r="A223" s="231" t="s">
        <v>314</v>
      </c>
      <c r="B223" s="151"/>
      <c r="C223" s="175">
        <v>45043</v>
      </c>
      <c r="D223" s="151">
        <v>182</v>
      </c>
      <c r="E223" s="175">
        <f>+C223+D223</f>
        <v>45225</v>
      </c>
      <c r="F223" s="200"/>
      <c r="G223" s="152">
        <v>900000</v>
      </c>
      <c r="H223" s="2">
        <f>G223</f>
        <v>900000</v>
      </c>
      <c r="I223" s="2">
        <f>G223*M223*D223/365</f>
        <v>22438.35616438356</v>
      </c>
      <c r="J223" s="2">
        <f>+I223+G223</f>
        <v>922438.35616438359</v>
      </c>
      <c r="K223" s="2"/>
      <c r="L223" s="2"/>
      <c r="M223" s="159">
        <v>0.05</v>
      </c>
      <c r="N223" s="2">
        <f>I223/D223*(N$1-C223+1)*140.1749</f>
        <v>1123319.4041095891</v>
      </c>
      <c r="P223" s="160">
        <f>+N223-O223</f>
        <v>1123319.4041095891</v>
      </c>
    </row>
    <row r="224" spans="1:16" s="155" customFormat="1" ht="23.5" customHeight="1" x14ac:dyDescent="0.3">
      <c r="A224" s="173"/>
      <c r="B224" s="174"/>
      <c r="C224" s="175"/>
      <c r="D224" s="225"/>
      <c r="E224" s="175"/>
      <c r="F224" s="175"/>
      <c r="G224" s="201">
        <v>140.17490000000001</v>
      </c>
      <c r="H224" s="201">
        <v>140.17490000000001</v>
      </c>
      <c r="I224" s="201">
        <v>140.17490000000001</v>
      </c>
      <c r="J224" s="202">
        <v>0.14799999999999999</v>
      </c>
      <c r="K224" s="202">
        <v>0.14799999999999999</v>
      </c>
      <c r="L224" s="202">
        <v>0.14799999999999999</v>
      </c>
      <c r="M224" s="202"/>
      <c r="N224" s="157"/>
      <c r="O224" s="2"/>
      <c r="P224" s="228"/>
    </row>
    <row r="225" spans="1:16" ht="23.5" customHeight="1" x14ac:dyDescent="0.3">
      <c r="A225" s="231"/>
      <c r="B225" s="151"/>
      <c r="C225" s="175"/>
      <c r="D225" s="152"/>
      <c r="E225" s="175"/>
      <c r="F225" s="200"/>
      <c r="G225" s="152"/>
      <c r="H225" s="2"/>
      <c r="I225" s="2"/>
      <c r="J225" s="2"/>
      <c r="K225" s="2"/>
      <c r="L225" s="2"/>
      <c r="M225" s="159"/>
      <c r="N225" s="2"/>
      <c r="P225" s="160"/>
    </row>
    <row r="226" spans="1:16" ht="23.5" customHeight="1" x14ac:dyDescent="0.3">
      <c r="A226" s="173"/>
      <c r="B226" s="174"/>
      <c r="C226" s="175"/>
      <c r="D226" s="671"/>
      <c r="E226" s="175"/>
      <c r="F226" s="175"/>
      <c r="G226" s="181">
        <f>+(G213*G214)+(G215*G216)+(G217*G218)+(G219*G220)+(G221*G222)+(G223*G224)</f>
        <v>574326223.50534201</v>
      </c>
      <c r="H226" s="181">
        <f t="shared" ref="H226:I226" si="36">+(H213*H214)+(H215*H216)+(H217*H218)+(H219*H220)+(H221*H222)+(H223*H224)</f>
        <v>574326223.50534201</v>
      </c>
      <c r="I226" s="181">
        <f t="shared" si="36"/>
        <v>13234425.853525534</v>
      </c>
      <c r="J226" s="181">
        <f>+(J213*J214)</f>
        <v>75086.691633230686</v>
      </c>
      <c r="K226" s="181">
        <f>+(K213*K214)</f>
        <v>0</v>
      </c>
      <c r="L226" s="181">
        <f>+(L213*L214)</f>
        <v>0</v>
      </c>
      <c r="M226" s="181">
        <f>+(M213*M214)</f>
        <v>0</v>
      </c>
      <c r="N226" s="181">
        <f>SUM(N213:N224)</f>
        <v>8035103.3735345639</v>
      </c>
      <c r="O226" s="181">
        <f t="shared" ref="O226:P226" si="37">SUM(O213:O224)</f>
        <v>0</v>
      </c>
      <c r="P226" s="181">
        <f t="shared" si="37"/>
        <v>8035103.3735345639</v>
      </c>
    </row>
    <row r="227" spans="1:16" ht="23.5" customHeight="1" x14ac:dyDescent="0.3">
      <c r="A227" s="173"/>
      <c r="B227" s="644"/>
      <c r="C227" s="175"/>
      <c r="D227" s="597"/>
      <c r="E227" s="175"/>
      <c r="F227" s="175"/>
      <c r="G227" s="154"/>
      <c r="H227" s="154"/>
      <c r="I227" s="154"/>
      <c r="J227" s="193"/>
      <c r="K227" s="193"/>
      <c r="L227" s="193"/>
      <c r="M227" s="193"/>
      <c r="N227" s="154"/>
      <c r="O227" s="154"/>
      <c r="P227" s="154"/>
    </row>
    <row r="228" spans="1:16" s="155" customFormat="1" ht="23.5" customHeight="1" x14ac:dyDescent="0.3">
      <c r="A228" s="173"/>
      <c r="B228" s="174"/>
      <c r="C228" s="175"/>
      <c r="D228" s="225"/>
      <c r="E228" s="175"/>
      <c r="F228" s="175"/>
      <c r="G228" s="794"/>
      <c r="H228" s="794"/>
      <c r="I228" s="794"/>
      <c r="J228" s="202"/>
      <c r="K228" s="202"/>
      <c r="L228" s="202"/>
      <c r="M228" s="202"/>
      <c r="N228" s="157"/>
      <c r="O228" s="2"/>
      <c r="P228" s="228"/>
    </row>
    <row r="229" spans="1:16" ht="23.5" customHeight="1" x14ac:dyDescent="0.3">
      <c r="A229" s="231" t="s">
        <v>185</v>
      </c>
      <c r="B229" s="151"/>
      <c r="C229" s="175">
        <v>45019</v>
      </c>
      <c r="D229" s="151">
        <v>91</v>
      </c>
      <c r="E229" s="175">
        <f>+C229+D229</f>
        <v>45110</v>
      </c>
      <c r="F229" s="200"/>
      <c r="G229" s="152">
        <v>135000000</v>
      </c>
      <c r="H229" s="152">
        <f>G229</f>
        <v>135000000</v>
      </c>
      <c r="I229" s="2">
        <f>G229*M229*D229/365</f>
        <v>2187739.7260273974</v>
      </c>
      <c r="J229" s="2">
        <f>+I229+G229</f>
        <v>137187739.7260274</v>
      </c>
      <c r="K229" s="2"/>
      <c r="L229" s="2"/>
      <c r="M229" s="159">
        <v>6.5000000000000002E-2</v>
      </c>
      <c r="N229" s="2">
        <f>I229/D229*(N$1-C229+1)*0.1331</f>
        <v>284788.41780821921</v>
      </c>
      <c r="P229" s="160">
        <f>+N229-O229</f>
        <v>284788.41780821921</v>
      </c>
    </row>
    <row r="230" spans="1:16" s="155" customFormat="1" ht="23.5" customHeight="1" x14ac:dyDescent="0.3">
      <c r="A230" s="173"/>
      <c r="B230" s="174"/>
      <c r="C230" s="175"/>
      <c r="D230" s="225"/>
      <c r="E230" s="175"/>
      <c r="F230" s="175"/>
      <c r="G230" s="794">
        <v>0.1331</v>
      </c>
      <c r="H230" s="794">
        <v>0.1331</v>
      </c>
      <c r="I230" s="794">
        <v>0.1331</v>
      </c>
      <c r="J230" s="202">
        <v>0.14799999999999999</v>
      </c>
      <c r="K230" s="202">
        <v>0.14799999999999999</v>
      </c>
      <c r="L230" s="202">
        <v>0.14799999999999999</v>
      </c>
      <c r="M230" s="202"/>
      <c r="N230" s="157"/>
      <c r="O230" s="2"/>
      <c r="P230" s="228"/>
    </row>
    <row r="231" spans="1:16" ht="23.5" customHeight="1" x14ac:dyDescent="0.3">
      <c r="A231" s="231" t="s">
        <v>185</v>
      </c>
      <c r="B231" s="151"/>
      <c r="C231" s="175">
        <v>45064</v>
      </c>
      <c r="D231" s="151">
        <v>91</v>
      </c>
      <c r="E231" s="175">
        <f>+C231+D231</f>
        <v>45155</v>
      </c>
      <c r="F231" s="200"/>
      <c r="G231" s="152">
        <v>90000000</v>
      </c>
      <c r="H231" s="152">
        <f>G231</f>
        <v>90000000</v>
      </c>
      <c r="I231" s="2">
        <f>G231*M231*D231/365</f>
        <v>1458493.1506849315</v>
      </c>
      <c r="J231" s="2">
        <f>+I231+G231</f>
        <v>91458493.150684938</v>
      </c>
      <c r="K231" s="2"/>
      <c r="L231" s="2"/>
      <c r="M231" s="159">
        <v>6.5000000000000002E-2</v>
      </c>
      <c r="N231" s="2">
        <f>I231/D231*(N$1-C231+1)*0.1331</f>
        <v>93862.849315068495</v>
      </c>
      <c r="P231" s="160">
        <f>+N231-O231</f>
        <v>93862.849315068495</v>
      </c>
    </row>
    <row r="232" spans="1:16" s="155" customFormat="1" ht="23.5" customHeight="1" x14ac:dyDescent="0.3">
      <c r="A232" s="173"/>
      <c r="B232" s="174"/>
      <c r="C232" s="175"/>
      <c r="D232" s="225"/>
      <c r="E232" s="175"/>
      <c r="F232" s="175"/>
      <c r="G232" s="794">
        <v>0.1331</v>
      </c>
      <c r="H232" s="794">
        <v>0.1331</v>
      </c>
      <c r="I232" s="794">
        <v>0.1331</v>
      </c>
      <c r="J232" s="202">
        <v>0.14799999999999999</v>
      </c>
      <c r="K232" s="202">
        <v>0.14799999999999999</v>
      </c>
      <c r="L232" s="202">
        <v>0.14799999999999999</v>
      </c>
      <c r="M232" s="202"/>
      <c r="N232" s="157"/>
      <c r="O232" s="2"/>
      <c r="P232" s="228"/>
    </row>
    <row r="233" spans="1:16" ht="23.5" customHeight="1" x14ac:dyDescent="0.3">
      <c r="A233" s="231" t="s">
        <v>185</v>
      </c>
      <c r="B233" s="151"/>
      <c r="C233" s="175">
        <v>45051</v>
      </c>
      <c r="D233" s="151">
        <v>91</v>
      </c>
      <c r="E233" s="175">
        <f>+C233+D233</f>
        <v>45142</v>
      </c>
      <c r="F233" s="200"/>
      <c r="G233" s="152">
        <v>230000000</v>
      </c>
      <c r="H233" s="152">
        <f>G233</f>
        <v>230000000</v>
      </c>
      <c r="I233" s="2">
        <f>G233*M233*D233/365</f>
        <v>3727260.2739726026</v>
      </c>
      <c r="J233" s="2">
        <f>+I233+G233</f>
        <v>233727260.2739726</v>
      </c>
      <c r="K233" s="2"/>
      <c r="L233" s="2"/>
      <c r="M233" s="159">
        <v>6.5000000000000002E-2</v>
      </c>
      <c r="N233" s="2">
        <f>I233/D233*(N$1-C233+1)*0.1331</f>
        <v>310742.91780821921</v>
      </c>
      <c r="P233" s="160">
        <f>+N233-O233</f>
        <v>310742.91780821921</v>
      </c>
    </row>
    <row r="234" spans="1:16" s="155" customFormat="1" ht="23.5" customHeight="1" x14ac:dyDescent="0.3">
      <c r="A234" s="173"/>
      <c r="B234" s="174"/>
      <c r="C234" s="175"/>
      <c r="D234" s="225"/>
      <c r="E234" s="175"/>
      <c r="F234" s="175"/>
      <c r="G234" s="794">
        <v>0.1331</v>
      </c>
      <c r="H234" s="794">
        <v>0.1331</v>
      </c>
      <c r="I234" s="794">
        <v>0.1331</v>
      </c>
      <c r="J234" s="202">
        <v>0.14799999999999999</v>
      </c>
      <c r="K234" s="202">
        <v>0.14799999999999999</v>
      </c>
      <c r="L234" s="202">
        <v>0.14799999999999999</v>
      </c>
      <c r="M234" s="202"/>
      <c r="N234" s="157"/>
      <c r="O234" s="2"/>
      <c r="P234" s="228"/>
    </row>
    <row r="235" spans="1:16" ht="23.5" customHeight="1" x14ac:dyDescent="0.3">
      <c r="A235" s="231" t="s">
        <v>185</v>
      </c>
      <c r="B235" s="151"/>
      <c r="C235" s="858">
        <v>45090</v>
      </c>
      <c r="D235" s="151">
        <v>91</v>
      </c>
      <c r="E235" s="175">
        <f>+C235+D235</f>
        <v>45181</v>
      </c>
      <c r="F235" s="200"/>
      <c r="G235" s="152">
        <v>185000000</v>
      </c>
      <c r="H235" s="152">
        <f>G235</f>
        <v>185000000</v>
      </c>
      <c r="I235" s="2">
        <f>G235*M235*D235/365</f>
        <v>2998013.6986301369</v>
      </c>
      <c r="J235" s="2">
        <f>+I235+G235</f>
        <v>187998013.69863012</v>
      </c>
      <c r="K235" s="2"/>
      <c r="L235" s="2"/>
      <c r="M235" s="159">
        <v>6.5000000000000002E-2</v>
      </c>
      <c r="N235" s="2">
        <f>I235/D235*(N$1-C235+1)*0.1331</f>
        <v>78930.123287671217</v>
      </c>
      <c r="P235" s="160">
        <f>+N235-O235</f>
        <v>78930.123287671217</v>
      </c>
    </row>
    <row r="236" spans="1:16" s="155" customFormat="1" ht="23.5" customHeight="1" x14ac:dyDescent="0.3">
      <c r="A236" s="173"/>
      <c r="B236" s="174"/>
      <c r="C236" s="175"/>
      <c r="D236" s="225"/>
      <c r="E236" s="175"/>
      <c r="F236" s="175"/>
      <c r="G236" s="794">
        <v>0.1331</v>
      </c>
      <c r="H236" s="794">
        <v>0.1331</v>
      </c>
      <c r="I236" s="794">
        <v>0.1331</v>
      </c>
      <c r="J236" s="202">
        <v>0.14799999999999999</v>
      </c>
      <c r="K236" s="202">
        <v>0.14799999999999999</v>
      </c>
      <c r="L236" s="202">
        <v>0.14799999999999999</v>
      </c>
      <c r="M236" s="202"/>
      <c r="N236" s="157"/>
      <c r="O236" s="2"/>
      <c r="P236" s="228"/>
    </row>
    <row r="237" spans="1:16" s="155" customFormat="1" ht="23.5" customHeight="1" x14ac:dyDescent="0.3">
      <c r="A237" s="173"/>
      <c r="B237" s="174"/>
      <c r="C237" s="175"/>
      <c r="D237" s="152"/>
      <c r="E237" s="175"/>
      <c r="F237" s="175"/>
      <c r="G237" s="649"/>
      <c r="H237" s="649"/>
      <c r="I237" s="649"/>
      <c r="J237" s="202"/>
      <c r="K237" s="202"/>
      <c r="L237" s="202"/>
      <c r="M237" s="202"/>
      <c r="N237" s="157"/>
      <c r="O237" s="2"/>
      <c r="P237" s="561"/>
    </row>
    <row r="238" spans="1:16" ht="23.5" customHeight="1" x14ac:dyDescent="0.3">
      <c r="A238" s="173"/>
      <c r="B238" s="174"/>
      <c r="C238" s="152"/>
      <c r="D238" s="649"/>
      <c r="E238" s="175"/>
      <c r="F238" s="175"/>
      <c r="G238" s="181">
        <f>+(G229*G230)+(G231*G232)+(G233*G234)+(G235*G236)</f>
        <v>85184000</v>
      </c>
      <c r="H238" s="181">
        <f t="shared" ref="H238:I238" si="38">+(H229*H230)+(H231*H232)+(H233*H234)+(H235*H236)</f>
        <v>85184000</v>
      </c>
      <c r="I238" s="181">
        <f t="shared" si="38"/>
        <v>1380447.5616438356</v>
      </c>
      <c r="J238" s="181" t="e">
        <f>+(#REF!*#REF!)+(#REF!*#REF!)</f>
        <v>#REF!</v>
      </c>
      <c r="K238" s="181" t="e">
        <f>+(#REF!*#REF!)+(#REF!*#REF!)</f>
        <v>#REF!</v>
      </c>
      <c r="L238" s="181" t="e">
        <f>+(#REF!*#REF!)+(#REF!*#REF!)</f>
        <v>#REF!</v>
      </c>
      <c r="M238" s="181"/>
      <c r="N238" s="181">
        <f>SUM(N228:N237)</f>
        <v>768324.30821917811</v>
      </c>
      <c r="O238" s="181">
        <f t="shared" ref="O238:P238" si="39">SUM(O228:O237)</f>
        <v>0</v>
      </c>
      <c r="P238" s="181">
        <f t="shared" si="39"/>
        <v>768324.30821917811</v>
      </c>
    </row>
    <row r="239" spans="1:16" ht="23.5" customHeight="1" x14ac:dyDescent="0.3">
      <c r="A239" s="173"/>
      <c r="B239" s="174"/>
      <c r="C239" s="151"/>
      <c r="D239" s="685"/>
      <c r="E239" s="686"/>
      <c r="F239" s="686">
        <v>120610318.5</v>
      </c>
      <c r="G239" s="154"/>
      <c r="H239" s="154"/>
      <c r="I239" s="193"/>
      <c r="J239" s="193"/>
      <c r="K239" s="193"/>
      <c r="L239" s="193"/>
      <c r="M239" s="193"/>
      <c r="N239" s="154"/>
      <c r="O239" s="154"/>
      <c r="P239" s="195"/>
    </row>
    <row r="240" spans="1:16" ht="23.5" customHeight="1" x14ac:dyDescent="0.3">
      <c r="A240" s="173"/>
      <c r="B240" s="174"/>
      <c r="C240" s="151"/>
      <c r="D240" s="152"/>
      <c r="E240" s="175"/>
      <c r="F240" s="175"/>
      <c r="G240" s="154"/>
      <c r="H240" s="640"/>
      <c r="I240" s="193"/>
      <c r="J240" s="193"/>
      <c r="K240" s="193"/>
      <c r="L240" s="193"/>
      <c r="M240" s="193"/>
      <c r="N240" s="154"/>
      <c r="O240" s="154"/>
      <c r="P240" s="195"/>
    </row>
    <row r="241" spans="1:16" ht="24.75" customHeight="1" x14ac:dyDescent="0.3">
      <c r="A241" s="173" t="s">
        <v>211</v>
      </c>
      <c r="B241" s="187"/>
      <c r="C241" s="175">
        <v>44923</v>
      </c>
      <c r="D241" s="151">
        <v>273</v>
      </c>
      <c r="E241" s="175">
        <f t="shared" ref="E241:E251" si="40">+C241+D241</f>
        <v>45196</v>
      </c>
      <c r="F241" s="175" t="s">
        <v>140</v>
      </c>
      <c r="G241" s="2">
        <f>180000000+3814520.55+8248991.36</f>
        <v>192063511.91000003</v>
      </c>
      <c r="H241" s="2">
        <f t="shared" ref="H241:H251" si="41">G241</f>
        <v>192063511.91000003</v>
      </c>
      <c r="I241" s="2">
        <f t="shared" ref="I241:I251" si="42">G241*M241*D241/365</f>
        <v>14724430.74526459</v>
      </c>
      <c r="J241" s="2">
        <f t="shared" ref="J241:J251" si="43">+I241+G241</f>
        <v>206787942.65526462</v>
      </c>
      <c r="K241" s="2"/>
      <c r="L241" s="2"/>
      <c r="M241" s="159">
        <v>0.10249999999999999</v>
      </c>
      <c r="N241" s="2">
        <f t="shared" ref="N241:N251" si="44">I241/D241*(N$1-C241+1)</f>
        <v>9978094.0947763715</v>
      </c>
      <c r="O241" s="157">
        <v>215742.5750221918</v>
      </c>
      <c r="P241" s="160">
        <f t="shared" ref="P241:P251" si="45">+N241-O241</f>
        <v>9762351.5197541788</v>
      </c>
    </row>
    <row r="242" spans="1:16" ht="24.75" customHeight="1" x14ac:dyDescent="0.3">
      <c r="A242" s="173" t="s">
        <v>278</v>
      </c>
      <c r="B242" s="187"/>
      <c r="C242" s="175">
        <v>44924</v>
      </c>
      <c r="D242" s="151">
        <v>273</v>
      </c>
      <c r="E242" s="175">
        <f t="shared" si="40"/>
        <v>45197</v>
      </c>
      <c r="F242" s="175" t="s">
        <v>140</v>
      </c>
      <c r="G242" s="2">
        <f>150000000+2711301.37+5710984.28+3159765.04+7251271.21</f>
        <v>168833321.90000001</v>
      </c>
      <c r="H242" s="2">
        <f t="shared" si="41"/>
        <v>168833321.90000001</v>
      </c>
      <c r="I242" s="2">
        <f t="shared" si="42"/>
        <v>12627807.3640274</v>
      </c>
      <c r="J242" s="2">
        <f t="shared" si="43"/>
        <v>181461129.26402742</v>
      </c>
      <c r="K242" s="2"/>
      <c r="L242" s="2"/>
      <c r="M242" s="159">
        <v>0.1</v>
      </c>
      <c r="N242" s="2">
        <f t="shared" si="44"/>
        <v>8511049.6519452073</v>
      </c>
      <c r="O242" s="157">
        <v>138767.11389041098</v>
      </c>
      <c r="P242" s="160">
        <f t="shared" si="45"/>
        <v>8372282.5380547959</v>
      </c>
    </row>
    <row r="243" spans="1:16" ht="24.75" customHeight="1" x14ac:dyDescent="0.3">
      <c r="A243" s="173" t="s">
        <v>260</v>
      </c>
      <c r="B243" s="187"/>
      <c r="C243" s="175">
        <v>44886</v>
      </c>
      <c r="D243" s="151">
        <v>364</v>
      </c>
      <c r="E243" s="175">
        <f t="shared" si="40"/>
        <v>45250</v>
      </c>
      <c r="F243" s="175" t="s">
        <v>140</v>
      </c>
      <c r="G243" s="2">
        <f>200000000+16953424.65+19472312.85</f>
        <v>236425737.5</v>
      </c>
      <c r="H243" s="2">
        <f t="shared" si="41"/>
        <v>236425737.5</v>
      </c>
      <c r="I243" s="2">
        <f t="shared" si="42"/>
        <v>24756689.554109588</v>
      </c>
      <c r="J243" s="2">
        <f t="shared" si="43"/>
        <v>261182427.05410957</v>
      </c>
      <c r="K243" s="2"/>
      <c r="L243" s="2"/>
      <c r="M243" s="159">
        <v>0.105</v>
      </c>
      <c r="N243" s="2">
        <f t="shared" si="44"/>
        <v>15098860.112671234</v>
      </c>
      <c r="O243" s="157">
        <v>2788528.2190068495</v>
      </c>
      <c r="P243" s="160">
        <f t="shared" si="45"/>
        <v>12310331.893664384</v>
      </c>
    </row>
    <row r="244" spans="1:16" ht="24.75" customHeight="1" x14ac:dyDescent="0.3">
      <c r="A244" s="173" t="s">
        <v>165</v>
      </c>
      <c r="B244" s="187"/>
      <c r="C244" s="175">
        <v>44895</v>
      </c>
      <c r="D244" s="151">
        <v>364</v>
      </c>
      <c r="E244" s="175">
        <f t="shared" si="40"/>
        <v>45259</v>
      </c>
      <c r="F244" s="175" t="s">
        <v>140</v>
      </c>
      <c r="G244" s="2">
        <v>120000000</v>
      </c>
      <c r="H244" s="2">
        <f t="shared" si="41"/>
        <v>120000000</v>
      </c>
      <c r="I244" s="2">
        <f t="shared" si="42"/>
        <v>12565479.452054795</v>
      </c>
      <c r="J244" s="2">
        <f t="shared" si="43"/>
        <v>132565479.4520548</v>
      </c>
      <c r="K244" s="2"/>
      <c r="L244" s="2"/>
      <c r="M244" s="159">
        <v>0.105</v>
      </c>
      <c r="N244" s="2">
        <f t="shared" si="44"/>
        <v>7352876.7123287674</v>
      </c>
      <c r="O244" s="157">
        <v>1104657.5342465753</v>
      </c>
      <c r="P244" s="160">
        <f t="shared" si="45"/>
        <v>6248219.1780821923</v>
      </c>
    </row>
    <row r="245" spans="1:16" ht="24.75" customHeight="1" x14ac:dyDescent="0.3">
      <c r="A245" s="173" t="s">
        <v>211</v>
      </c>
      <c r="B245" s="187"/>
      <c r="C245" s="175">
        <v>44895</v>
      </c>
      <c r="D245" s="151">
        <v>364</v>
      </c>
      <c r="E245" s="175">
        <f t="shared" si="40"/>
        <v>45259</v>
      </c>
      <c r="F245" s="175" t="s">
        <v>140</v>
      </c>
      <c r="G245" s="2">
        <v>70000000</v>
      </c>
      <c r="H245" s="2">
        <f t="shared" si="41"/>
        <v>70000000</v>
      </c>
      <c r="I245" s="2">
        <f t="shared" si="42"/>
        <v>7329863.01369863</v>
      </c>
      <c r="J245" s="2">
        <f t="shared" si="43"/>
        <v>77329863.013698637</v>
      </c>
      <c r="K245" s="2"/>
      <c r="L245" s="2"/>
      <c r="M245" s="159">
        <v>0.105</v>
      </c>
      <c r="N245" s="2">
        <f t="shared" si="44"/>
        <v>4289178.0821917811</v>
      </c>
      <c r="O245" s="157">
        <v>644383.56164383562</v>
      </c>
      <c r="P245" s="160">
        <f t="shared" si="45"/>
        <v>3644794.5205479455</v>
      </c>
    </row>
    <row r="246" spans="1:16" ht="24.75" customHeight="1" x14ac:dyDescent="0.3">
      <c r="A246" s="173" t="s">
        <v>153</v>
      </c>
      <c r="B246" s="187"/>
      <c r="C246" s="175">
        <v>44952</v>
      </c>
      <c r="D246" s="151">
        <v>364</v>
      </c>
      <c r="E246" s="175">
        <f t="shared" si="40"/>
        <v>45316</v>
      </c>
      <c r="F246" s="175" t="s">
        <v>140</v>
      </c>
      <c r="G246" s="2">
        <f>80000000+7978082.19+8773704.63+8732047.48+10046106.98+0.09</f>
        <v>115529941.37</v>
      </c>
      <c r="H246" s="2">
        <f t="shared" si="41"/>
        <v>115529941.37</v>
      </c>
      <c r="I246" s="2">
        <f t="shared" si="42"/>
        <v>12443049.466129975</v>
      </c>
      <c r="J246" s="2">
        <f t="shared" si="43"/>
        <v>127972990.83612998</v>
      </c>
      <c r="K246" s="2"/>
      <c r="L246" s="2"/>
      <c r="M246" s="159">
        <v>0.108</v>
      </c>
      <c r="N246" s="2">
        <f t="shared" si="44"/>
        <v>5332735.485484275</v>
      </c>
      <c r="P246" s="160">
        <f t="shared" si="45"/>
        <v>5332735.485484275</v>
      </c>
    </row>
    <row r="247" spans="1:16" ht="24.75" customHeight="1" x14ac:dyDescent="0.3">
      <c r="A247" s="173" t="s">
        <v>165</v>
      </c>
      <c r="B247" s="187"/>
      <c r="C247" s="175">
        <v>44952</v>
      </c>
      <c r="D247" s="151">
        <v>364</v>
      </c>
      <c r="E247" s="175">
        <f t="shared" si="40"/>
        <v>45316</v>
      </c>
      <c r="F247" s="175" t="s">
        <v>140</v>
      </c>
      <c r="G247" s="2">
        <v>70000000</v>
      </c>
      <c r="H247" s="2">
        <f t="shared" si="41"/>
        <v>70000000</v>
      </c>
      <c r="I247" s="2">
        <f t="shared" si="42"/>
        <v>7504383.5616438352</v>
      </c>
      <c r="J247" s="2">
        <f t="shared" si="43"/>
        <v>77504383.561643839</v>
      </c>
      <c r="K247" s="2"/>
      <c r="L247" s="2"/>
      <c r="M247" s="159">
        <v>0.1075</v>
      </c>
      <c r="N247" s="2">
        <f t="shared" si="44"/>
        <v>3216164.3835616433</v>
      </c>
      <c r="P247" s="160">
        <f t="shared" si="45"/>
        <v>3216164.3835616433</v>
      </c>
    </row>
    <row r="248" spans="1:16" ht="24.75" customHeight="1" x14ac:dyDescent="0.3">
      <c r="A248" s="173" t="s">
        <v>153</v>
      </c>
      <c r="B248" s="187"/>
      <c r="C248" s="175">
        <v>44952</v>
      </c>
      <c r="D248" s="151">
        <v>364</v>
      </c>
      <c r="E248" s="175">
        <f t="shared" si="40"/>
        <v>45316</v>
      </c>
      <c r="F248" s="175" t="s">
        <v>140</v>
      </c>
      <c r="G248" s="2">
        <v>140000000</v>
      </c>
      <c r="H248" s="2">
        <f t="shared" si="41"/>
        <v>140000000</v>
      </c>
      <c r="I248" s="2">
        <f t="shared" si="42"/>
        <v>15078575.342465753</v>
      </c>
      <c r="J248" s="2">
        <f t="shared" si="43"/>
        <v>155078575.34246576</v>
      </c>
      <c r="K248" s="2"/>
      <c r="L248" s="2"/>
      <c r="M248" s="159">
        <v>0.108</v>
      </c>
      <c r="N248" s="2">
        <f t="shared" si="44"/>
        <v>6462246.5753424652</v>
      </c>
      <c r="P248" s="160">
        <f t="shared" si="45"/>
        <v>6462246.5753424652</v>
      </c>
    </row>
    <row r="249" spans="1:16" ht="24.75" customHeight="1" x14ac:dyDescent="0.3">
      <c r="A249" s="173" t="s">
        <v>165</v>
      </c>
      <c r="B249" s="187"/>
      <c r="C249" s="175">
        <v>44993</v>
      </c>
      <c r="D249" s="151">
        <v>365</v>
      </c>
      <c r="E249" s="175">
        <f t="shared" si="40"/>
        <v>45358</v>
      </c>
      <c r="F249" s="175" t="s">
        <v>140</v>
      </c>
      <c r="G249" s="2">
        <f>100000000+8975342.47+10897534.25</f>
        <v>119872876.72</v>
      </c>
      <c r="H249" s="2">
        <f t="shared" si="41"/>
        <v>119872876.72</v>
      </c>
      <c r="I249" s="2">
        <f t="shared" si="42"/>
        <v>13485698.631000001</v>
      </c>
      <c r="J249" s="2">
        <f t="shared" si="43"/>
        <v>133358575.351</v>
      </c>
      <c r="K249" s="2"/>
      <c r="L249" s="2"/>
      <c r="M249" s="159">
        <v>0.1125</v>
      </c>
      <c r="N249" s="2">
        <f t="shared" si="44"/>
        <v>4248918.7467534253</v>
      </c>
      <c r="P249" s="160">
        <f t="shared" si="45"/>
        <v>4248918.7467534253</v>
      </c>
    </row>
    <row r="250" spans="1:16" ht="24.75" customHeight="1" x14ac:dyDescent="0.3">
      <c r="A250" s="173" t="s">
        <v>153</v>
      </c>
      <c r="B250" s="187"/>
      <c r="C250" s="637">
        <v>45014</v>
      </c>
      <c r="D250" s="151">
        <v>364</v>
      </c>
      <c r="E250" s="175">
        <f t="shared" si="40"/>
        <v>45378</v>
      </c>
      <c r="F250" s="175" t="s">
        <v>140</v>
      </c>
      <c r="G250" s="2">
        <v>70000000</v>
      </c>
      <c r="H250" s="2">
        <f t="shared" si="41"/>
        <v>70000000</v>
      </c>
      <c r="I250" s="2">
        <f t="shared" si="42"/>
        <v>7678904.1095890412</v>
      </c>
      <c r="J250" s="2">
        <f t="shared" si="43"/>
        <v>77678904.10958904</v>
      </c>
      <c r="K250" s="2"/>
      <c r="L250" s="2"/>
      <c r="M250" s="159">
        <v>0.11</v>
      </c>
      <c r="N250" s="2">
        <f t="shared" si="44"/>
        <v>1983013.6986301371</v>
      </c>
      <c r="P250" s="160">
        <f t="shared" si="45"/>
        <v>1983013.6986301371</v>
      </c>
    </row>
    <row r="251" spans="1:16" ht="24.75" customHeight="1" x14ac:dyDescent="0.3">
      <c r="A251" s="173" t="s">
        <v>165</v>
      </c>
      <c r="B251" s="187"/>
      <c r="C251" s="175">
        <v>45021</v>
      </c>
      <c r="D251" s="151">
        <v>364</v>
      </c>
      <c r="E251" s="175">
        <f t="shared" si="40"/>
        <v>45385</v>
      </c>
      <c r="F251" s="175" t="s">
        <v>140</v>
      </c>
      <c r="G251" s="2">
        <f>88537376.9434932+8167269.81+8993532.15+10540859.49</f>
        <v>116239038.39349321</v>
      </c>
      <c r="H251" s="2">
        <f t="shared" si="41"/>
        <v>116239038.39349321</v>
      </c>
      <c r="I251" s="2">
        <f t="shared" si="42"/>
        <v>13910469.032952828</v>
      </c>
      <c r="J251" s="2">
        <f t="shared" si="43"/>
        <v>130149507.42644604</v>
      </c>
      <c r="K251" s="2"/>
      <c r="L251" s="2"/>
      <c r="M251" s="159">
        <v>0.12</v>
      </c>
      <c r="N251" s="2">
        <f t="shared" si="44"/>
        <v>3324754.9611727912</v>
      </c>
      <c r="P251" s="160">
        <f t="shared" si="45"/>
        <v>3324754.9611727912</v>
      </c>
    </row>
    <row r="252" spans="1:16" ht="24.75" customHeight="1" x14ac:dyDescent="0.3">
      <c r="A252" s="173"/>
      <c r="B252" s="187"/>
      <c r="C252" s="175"/>
      <c r="D252" s="151"/>
      <c r="E252" s="175"/>
      <c r="F252" s="175"/>
      <c r="G252" s="2"/>
      <c r="H252" s="2"/>
      <c r="I252" s="2"/>
      <c r="J252" s="2"/>
      <c r="K252" s="2"/>
      <c r="L252" s="2"/>
      <c r="M252" s="159"/>
      <c r="N252" s="2"/>
    </row>
    <row r="253" spans="1:16" ht="23.5" customHeight="1" x14ac:dyDescent="0.3">
      <c r="A253" s="229" t="s">
        <v>182</v>
      </c>
      <c r="B253" s="230"/>
      <c r="C253" s="188"/>
      <c r="D253" s="152"/>
      <c r="E253" s="175"/>
      <c r="F253" s="175"/>
      <c r="G253" s="181">
        <f>SUM(G241:G252)</f>
        <v>1418964427.7934933</v>
      </c>
      <c r="H253" s="181">
        <f t="shared" ref="H253:M253" si="46">SUM(H241:H252)</f>
        <v>1418964427.7934933</v>
      </c>
      <c r="I253" s="181">
        <f t="shared" si="46"/>
        <v>142105350.27293643</v>
      </c>
      <c r="J253" s="181">
        <f t="shared" si="46"/>
        <v>1561069778.0664296</v>
      </c>
      <c r="K253" s="181">
        <f t="shared" si="46"/>
        <v>0</v>
      </c>
      <c r="L253" s="181">
        <f t="shared" si="46"/>
        <v>0</v>
      </c>
      <c r="M253" s="181">
        <f t="shared" si="46"/>
        <v>1.1835</v>
      </c>
      <c r="N253" s="181">
        <f>SUM(N241:N251)</f>
        <v>69797892.504858091</v>
      </c>
      <c r="O253" s="181">
        <f t="shared" ref="O253:P253" si="47">SUM(O241:O251)</f>
        <v>4892079.0038098637</v>
      </c>
      <c r="P253" s="181">
        <f t="shared" si="47"/>
        <v>64905813.501048222</v>
      </c>
    </row>
    <row r="254" spans="1:16" ht="23.5" customHeight="1" x14ac:dyDescent="0.3">
      <c r="A254" s="229"/>
      <c r="B254" s="230"/>
      <c r="C254" s="188"/>
      <c r="D254" s="152"/>
      <c r="E254" s="175"/>
      <c r="F254" s="175"/>
      <c r="G254" s="181"/>
      <c r="H254" s="181"/>
      <c r="I254" s="182"/>
      <c r="J254" s="182"/>
      <c r="K254" s="182"/>
      <c r="L254" s="182"/>
      <c r="M254" s="182"/>
      <c r="N254" s="181"/>
      <c r="O254" s="181"/>
      <c r="P254" s="228"/>
    </row>
    <row r="255" spans="1:16" ht="23.5" customHeight="1" thickBot="1" x14ac:dyDescent="0.35">
      <c r="A255" s="178" t="s">
        <v>194</v>
      </c>
      <c r="B255" s="179"/>
      <c r="C255" s="174"/>
      <c r="D255" s="194"/>
      <c r="E255" s="175"/>
      <c r="F255" s="175"/>
      <c r="G255" s="542">
        <f t="shared" ref="G255:P255" si="48">+G253+G226+G238</f>
        <v>2078474651.2988353</v>
      </c>
      <c r="H255" s="542">
        <f t="shared" si="48"/>
        <v>2078474651.2988353</v>
      </c>
      <c r="I255" s="542">
        <f t="shared" si="48"/>
        <v>156720223.68810582</v>
      </c>
      <c r="J255" s="542" t="e">
        <f t="shared" si="48"/>
        <v>#REF!</v>
      </c>
      <c r="K255" s="542" t="e">
        <f t="shared" si="48"/>
        <v>#REF!</v>
      </c>
      <c r="L255" s="542" t="e">
        <f t="shared" si="48"/>
        <v>#REF!</v>
      </c>
      <c r="M255" s="542">
        <f t="shared" si="48"/>
        <v>1.1835</v>
      </c>
      <c r="N255" s="542">
        <f t="shared" si="48"/>
        <v>78601320.186611831</v>
      </c>
      <c r="O255" s="542">
        <f t="shared" si="48"/>
        <v>4892079.0038098637</v>
      </c>
      <c r="P255" s="542">
        <f t="shared" si="48"/>
        <v>73709241.182801962</v>
      </c>
    </row>
    <row r="256" spans="1:16" ht="23.5" customHeight="1" x14ac:dyDescent="0.35">
      <c r="A256" s="229"/>
      <c r="B256" s="230"/>
      <c r="C256" s="618"/>
      <c r="D256" s="152"/>
      <c r="E256" s="175"/>
      <c r="F256" s="175"/>
      <c r="G256" s="584"/>
      <c r="H256" s="154"/>
      <c r="I256" s="191"/>
      <c r="J256" s="191"/>
      <c r="K256" s="191"/>
      <c r="L256" s="191"/>
      <c r="M256" s="153"/>
      <c r="N256" s="154"/>
      <c r="O256" s="154"/>
      <c r="P256" s="195"/>
    </row>
    <row r="257" spans="1:16" ht="23.5" customHeight="1" x14ac:dyDescent="0.3">
      <c r="A257" s="161" t="s">
        <v>40</v>
      </c>
      <c r="B257" s="162" t="s">
        <v>181</v>
      </c>
      <c r="C257" s="162" t="s">
        <v>31</v>
      </c>
      <c r="D257" s="162" t="s">
        <v>20</v>
      </c>
      <c r="E257" s="162" t="s">
        <v>21</v>
      </c>
      <c r="F257" s="162" t="s">
        <v>183</v>
      </c>
      <c r="G257" s="163" t="s">
        <v>23</v>
      </c>
      <c r="H257" s="163" t="s">
        <v>133</v>
      </c>
      <c r="I257" s="163" t="s">
        <v>25</v>
      </c>
      <c r="J257" s="163"/>
      <c r="K257" s="163"/>
      <c r="L257" s="163"/>
      <c r="M257" s="164" t="s">
        <v>41</v>
      </c>
      <c r="N257" s="163" t="s">
        <v>42</v>
      </c>
      <c r="O257" s="165"/>
      <c r="P257" s="166"/>
    </row>
    <row r="258" spans="1:16" ht="23.5" customHeight="1" x14ac:dyDescent="0.3">
      <c r="A258" s="167" t="s">
        <v>43</v>
      </c>
      <c r="B258" s="168"/>
      <c r="C258" s="168"/>
      <c r="D258" s="168" t="s">
        <v>33</v>
      </c>
      <c r="E258" s="168" t="s">
        <v>19</v>
      </c>
      <c r="F258" s="168"/>
      <c r="G258" s="169" t="s">
        <v>34</v>
      </c>
      <c r="H258" s="169" t="s">
        <v>31</v>
      </c>
      <c r="I258" s="169" t="s">
        <v>42</v>
      </c>
      <c r="J258" s="169"/>
      <c r="K258" s="169"/>
      <c r="L258" s="169"/>
      <c r="M258" s="170" t="s">
        <v>36</v>
      </c>
      <c r="N258" s="169" t="s">
        <v>38</v>
      </c>
      <c r="O258" s="171"/>
      <c r="P258" s="172"/>
    </row>
    <row r="259" spans="1:16" ht="23.5" customHeight="1" x14ac:dyDescent="0.3">
      <c r="A259" s="199"/>
      <c r="B259" s="200"/>
      <c r="C259" s="200"/>
      <c r="D259" s="200"/>
      <c r="E259" s="200"/>
      <c r="F259" s="200"/>
      <c r="G259" s="158"/>
      <c r="H259" s="640"/>
      <c r="I259" s="158"/>
      <c r="J259" s="158"/>
      <c r="K259" s="158"/>
      <c r="L259" s="158"/>
      <c r="M259" s="408"/>
      <c r="N259" s="158"/>
      <c r="P259" s="160"/>
    </row>
    <row r="260" spans="1:16" ht="22" customHeight="1" x14ac:dyDescent="0.3">
      <c r="A260" s="173" t="s">
        <v>278</v>
      </c>
      <c r="B260" s="187"/>
      <c r="C260" s="175">
        <v>44924</v>
      </c>
      <c r="D260" s="151">
        <v>273</v>
      </c>
      <c r="E260" s="175">
        <f>+C260+D260</f>
        <v>45197</v>
      </c>
      <c r="F260" s="175">
        <v>42675</v>
      </c>
      <c r="G260" s="2">
        <f>100000000+1807534.25+3807322.86+2106510.29+4834180.82</f>
        <v>112555548.22</v>
      </c>
      <c r="H260" s="2">
        <f>G260</f>
        <v>112555548.22</v>
      </c>
      <c r="I260" s="2">
        <f>G260*M260*D260/365</f>
        <v>8418538.264126027</v>
      </c>
      <c r="J260" s="2"/>
      <c r="K260" s="2"/>
      <c r="L260" s="2"/>
      <c r="M260" s="159">
        <v>0.1</v>
      </c>
      <c r="N260" s="2">
        <f>I260/D260*(N$1-C260+1)</f>
        <v>5674033.1157479445</v>
      </c>
      <c r="O260" s="157">
        <v>92511.409495890402</v>
      </c>
      <c r="P260" s="160">
        <f>+N260-O260</f>
        <v>5581521.7062520543</v>
      </c>
    </row>
    <row r="261" spans="1:16" ht="22" customHeight="1" x14ac:dyDescent="0.3">
      <c r="A261" s="173" t="s">
        <v>165</v>
      </c>
      <c r="B261" s="187"/>
      <c r="C261" s="175">
        <v>45022</v>
      </c>
      <c r="D261" s="151">
        <v>364</v>
      </c>
      <c r="E261" s="175">
        <f>+C261+D261</f>
        <v>45386</v>
      </c>
      <c r="F261" s="175">
        <v>42826</v>
      </c>
      <c r="G261" s="2">
        <f>76278355.5205479+7036417.07+7748273.85+9081355.86</f>
        <v>100144402.30054788</v>
      </c>
      <c r="H261" s="2">
        <f>G261</f>
        <v>100144402.30054788</v>
      </c>
      <c r="I261" s="2">
        <f>G261*M261*D261/365</f>
        <v>11984404.089008031</v>
      </c>
      <c r="J261" s="2"/>
      <c r="K261" s="2"/>
      <c r="L261" s="2"/>
      <c r="M261" s="159">
        <v>0.12</v>
      </c>
      <c r="N261" s="2">
        <f>I261/D261*(N$1-C261+1)</f>
        <v>2831480.0869634361</v>
      </c>
      <c r="P261" s="160">
        <f>+N261-O261</f>
        <v>2831480.0869634361</v>
      </c>
    </row>
    <row r="262" spans="1:16" ht="22" customHeight="1" x14ac:dyDescent="0.3">
      <c r="A262" s="173" t="s">
        <v>126</v>
      </c>
      <c r="B262" s="187"/>
      <c r="C262" s="175">
        <v>45052</v>
      </c>
      <c r="D262" s="151">
        <v>365</v>
      </c>
      <c r="E262" s="175">
        <f>+C262+D262</f>
        <v>45417</v>
      </c>
      <c r="F262" s="175">
        <v>42675</v>
      </c>
      <c r="G262" s="2">
        <f>12365646.59+1236564.66+1424319.22</f>
        <v>15026530.470000001</v>
      </c>
      <c r="H262" s="2">
        <f>G262</f>
        <v>15026530.470000001</v>
      </c>
      <c r="I262" s="2">
        <f>G262*M262*D262/364</f>
        <v>1883476.5183894231</v>
      </c>
      <c r="J262" s="2"/>
      <c r="K262" s="2"/>
      <c r="L262" s="2"/>
      <c r="M262" s="159">
        <v>0.125</v>
      </c>
      <c r="N262" s="2">
        <f>I262/D262*(N$1-C262+1)</f>
        <v>288971.73980769236</v>
      </c>
      <c r="P262" s="160">
        <f>+N262-O262</f>
        <v>288971.73980769236</v>
      </c>
    </row>
    <row r="263" spans="1:16" ht="22" customHeight="1" x14ac:dyDescent="0.3">
      <c r="A263" s="173"/>
      <c r="B263" s="187"/>
      <c r="C263" s="175"/>
      <c r="D263" s="151"/>
      <c r="E263" s="175"/>
      <c r="F263" s="175"/>
      <c r="G263" s="2"/>
      <c r="H263" s="2"/>
      <c r="I263" s="2"/>
      <c r="J263" s="2"/>
      <c r="K263" s="2"/>
      <c r="L263" s="2"/>
      <c r="M263" s="159"/>
      <c r="N263" s="2"/>
    </row>
    <row r="264" spans="1:16" ht="23.5" customHeight="1" thickBot="1" x14ac:dyDescent="0.35">
      <c r="A264" s="178" t="s">
        <v>8</v>
      </c>
      <c r="B264" s="179"/>
      <c r="C264" s="205"/>
      <c r="D264" s="151"/>
      <c r="E264" s="175"/>
      <c r="F264" s="175"/>
      <c r="G264" s="196">
        <f>SUM(G260:G263)</f>
        <v>227726480.99054787</v>
      </c>
      <c r="H264" s="196">
        <f t="shared" ref="H264:P264" si="49">SUM(H260:H263)</f>
        <v>227726480.99054787</v>
      </c>
      <c r="I264" s="196">
        <f t="shared" si="49"/>
        <v>22286418.871523481</v>
      </c>
      <c r="J264" s="196">
        <f t="shared" si="49"/>
        <v>0</v>
      </c>
      <c r="K264" s="196">
        <f t="shared" si="49"/>
        <v>0</v>
      </c>
      <c r="L264" s="196">
        <f t="shared" si="49"/>
        <v>0</v>
      </c>
      <c r="M264" s="196">
        <f t="shared" si="49"/>
        <v>0.34499999999999997</v>
      </c>
      <c r="N264" s="196">
        <f t="shared" si="49"/>
        <v>8794484.9425190724</v>
      </c>
      <c r="O264" s="196">
        <f t="shared" si="49"/>
        <v>92511.409495890402</v>
      </c>
      <c r="P264" s="196">
        <f t="shared" si="49"/>
        <v>8701973.5330231823</v>
      </c>
    </row>
    <row r="265" spans="1:16" ht="23.5" customHeight="1" thickTop="1" x14ac:dyDescent="0.35">
      <c r="A265" s="231"/>
      <c r="B265" s="151"/>
      <c r="C265" s="151"/>
      <c r="D265" s="151"/>
      <c r="E265" s="561"/>
      <c r="F265" s="561"/>
      <c r="G265" s="584"/>
      <c r="I265" s="2"/>
      <c r="J265" s="2"/>
      <c r="K265" s="2"/>
      <c r="L265" s="2"/>
      <c r="M265" s="190"/>
      <c r="N265" s="2"/>
      <c r="P265" s="160"/>
    </row>
    <row r="266" spans="1:16" ht="23.5" customHeight="1" x14ac:dyDescent="0.3">
      <c r="A266" s="231" t="s">
        <v>260</v>
      </c>
      <c r="B266" s="151"/>
      <c r="C266" s="175">
        <v>45013</v>
      </c>
      <c r="D266" s="151">
        <v>182</v>
      </c>
      <c r="E266" s="175">
        <f>+C266+D266</f>
        <v>45195</v>
      </c>
      <c r="F266" s="200"/>
      <c r="G266" s="152">
        <v>400000</v>
      </c>
      <c r="H266" s="2">
        <f>G266</f>
        <v>400000</v>
      </c>
      <c r="I266" s="2">
        <f>G266*M266*D266/366</f>
        <v>8354.0983606557384</v>
      </c>
      <c r="J266" s="2">
        <f>+I266+G266</f>
        <v>408354.09836065571</v>
      </c>
      <c r="K266" s="2"/>
      <c r="L266" s="2"/>
      <c r="M266" s="159">
        <v>4.2000000000000003E-2</v>
      </c>
      <c r="N266" s="2">
        <f>I266/D266*(N$1-C266+1)*140.1749</f>
        <v>611254.48196721321</v>
      </c>
      <c r="P266" s="160">
        <f>+N266-O266</f>
        <v>611254.48196721321</v>
      </c>
    </row>
    <row r="267" spans="1:16" s="155" customFormat="1" ht="23.5" customHeight="1" x14ac:dyDescent="0.3">
      <c r="A267" s="173"/>
      <c r="B267" s="174"/>
      <c r="C267" s="175"/>
      <c r="D267" s="225"/>
      <c r="E267" s="175"/>
      <c r="F267" s="175"/>
      <c r="G267" s="201">
        <v>140.17490000000001</v>
      </c>
      <c r="H267" s="201">
        <v>140.17490000000001</v>
      </c>
      <c r="I267" s="201">
        <v>140.17490000000001</v>
      </c>
      <c r="J267" s="202">
        <v>0.14799999999999999</v>
      </c>
      <c r="K267" s="202">
        <v>0.14799999999999999</v>
      </c>
      <c r="L267" s="202">
        <v>0.14799999999999999</v>
      </c>
      <c r="M267" s="202"/>
      <c r="N267" s="157"/>
      <c r="O267" s="2"/>
      <c r="P267" s="228"/>
    </row>
    <row r="268" spans="1:16" ht="23.5" customHeight="1" x14ac:dyDescent="0.35">
      <c r="A268" s="231"/>
      <c r="B268" s="151"/>
      <c r="C268" s="151"/>
      <c r="D268" s="152"/>
      <c r="E268" s="561"/>
      <c r="F268" s="561"/>
      <c r="G268" s="584"/>
      <c r="I268" s="2"/>
      <c r="J268" s="2"/>
      <c r="K268" s="2"/>
      <c r="L268" s="2"/>
      <c r="M268" s="190"/>
      <c r="N268" s="2"/>
      <c r="P268" s="160"/>
    </row>
    <row r="269" spans="1:16" ht="23.5" customHeight="1" thickBot="1" x14ac:dyDescent="0.35">
      <c r="A269" s="231"/>
      <c r="B269" s="151"/>
      <c r="C269" s="152"/>
      <c r="D269" s="152"/>
      <c r="E269" s="561"/>
      <c r="F269" s="561"/>
      <c r="G269" s="196">
        <f>+(G266*G267)</f>
        <v>56069960</v>
      </c>
      <c r="H269" s="196">
        <f t="shared" ref="H269:I269" si="50">+(H266*H267)</f>
        <v>56069960</v>
      </c>
      <c r="I269" s="196">
        <f t="shared" si="50"/>
        <v>1171034.9022950821</v>
      </c>
      <c r="J269" s="196"/>
      <c r="K269" s="196"/>
      <c r="L269" s="196"/>
      <c r="M269" s="196"/>
      <c r="N269" s="196">
        <f>SUM(N266:N268)</f>
        <v>611254.48196721321</v>
      </c>
      <c r="O269" s="196">
        <f>SUM(O266:O268)</f>
        <v>0</v>
      </c>
      <c r="P269" s="196">
        <f>SUM(P266:P268)</f>
        <v>611254.48196721321</v>
      </c>
    </row>
    <row r="270" spans="1:16" ht="23.5" customHeight="1" thickTop="1" x14ac:dyDescent="0.35">
      <c r="A270" s="231"/>
      <c r="B270" s="151"/>
      <c r="C270" s="151"/>
      <c r="D270" s="152"/>
      <c r="E270" s="561"/>
      <c r="F270" s="561"/>
      <c r="G270" s="584"/>
      <c r="I270" s="2"/>
      <c r="J270" s="2"/>
      <c r="K270" s="2"/>
      <c r="L270" s="2"/>
      <c r="M270" s="190"/>
      <c r="N270" s="2"/>
      <c r="P270" s="160"/>
    </row>
    <row r="271" spans="1:16" ht="23.5" customHeight="1" x14ac:dyDescent="0.35">
      <c r="A271" s="231"/>
      <c r="B271" s="151"/>
      <c r="C271" s="151"/>
      <c r="D271" s="151"/>
      <c r="E271" s="561"/>
      <c r="F271" s="561"/>
      <c r="G271" s="584"/>
      <c r="I271" s="2"/>
      <c r="J271" s="2"/>
      <c r="K271" s="2"/>
      <c r="L271" s="2"/>
      <c r="M271" s="190"/>
      <c r="N271" s="2"/>
      <c r="P271" s="160"/>
    </row>
    <row r="272" spans="1:16" ht="23.5" customHeight="1" thickBot="1" x14ac:dyDescent="0.35">
      <c r="A272" s="178"/>
      <c r="B272" s="151"/>
      <c r="C272" s="151"/>
      <c r="D272" s="151"/>
      <c r="E272" s="561"/>
      <c r="F272" s="561"/>
      <c r="G272" s="196">
        <f t="shared" ref="G272:L272" si="51">G264+G269</f>
        <v>283796440.9905479</v>
      </c>
      <c r="H272" s="196">
        <f t="shared" si="51"/>
        <v>283796440.9905479</v>
      </c>
      <c r="I272" s="196">
        <f t="shared" si="51"/>
        <v>23457453.773818564</v>
      </c>
      <c r="J272" s="196">
        <f t="shared" si="51"/>
        <v>0</v>
      </c>
      <c r="K272" s="196">
        <f t="shared" si="51"/>
        <v>0</v>
      </c>
      <c r="L272" s="196">
        <f t="shared" si="51"/>
        <v>0</v>
      </c>
      <c r="M272" s="196"/>
      <c r="N272" s="196">
        <f>N264+N269</f>
        <v>9405739.4244862851</v>
      </c>
      <c r="O272" s="196">
        <f>O264+O269</f>
        <v>92511.409495890402</v>
      </c>
      <c r="P272" s="196">
        <f>P264+P269</f>
        <v>9313228.0149903949</v>
      </c>
    </row>
    <row r="273" spans="1:16" ht="23.5" customHeight="1" thickTop="1" x14ac:dyDescent="0.35">
      <c r="A273" s="231"/>
      <c r="B273" s="151"/>
      <c r="C273" s="151"/>
      <c r="D273" s="616"/>
      <c r="E273" s="561"/>
      <c r="F273" s="561"/>
      <c r="G273" s="584"/>
      <c r="I273" s="2"/>
      <c r="J273" s="2"/>
      <c r="K273" s="2"/>
      <c r="L273" s="2"/>
      <c r="M273" s="190"/>
      <c r="N273" s="2"/>
      <c r="P273" s="160"/>
    </row>
    <row r="274" spans="1:16" ht="23.5" customHeight="1" thickBot="1" x14ac:dyDescent="0.35">
      <c r="A274" s="606" t="s">
        <v>205</v>
      </c>
      <c r="B274" s="549"/>
      <c r="C274" s="550"/>
      <c r="D274" s="551"/>
      <c r="E274" s="552"/>
      <c r="F274" s="552"/>
      <c r="G274" s="542">
        <f t="shared" ref="G274:P274" si="52">G255+G272</f>
        <v>2362271092.2893829</v>
      </c>
      <c r="H274" s="542">
        <f t="shared" si="52"/>
        <v>2362271092.2893829</v>
      </c>
      <c r="I274" s="542">
        <f t="shared" si="52"/>
        <v>180177677.46192437</v>
      </c>
      <c r="J274" s="542" t="e">
        <f t="shared" si="52"/>
        <v>#REF!</v>
      </c>
      <c r="K274" s="542" t="e">
        <f t="shared" si="52"/>
        <v>#REF!</v>
      </c>
      <c r="L274" s="542" t="e">
        <f t="shared" si="52"/>
        <v>#REF!</v>
      </c>
      <c r="M274" s="542">
        <f t="shared" si="52"/>
        <v>1.1835</v>
      </c>
      <c r="N274" s="542">
        <f t="shared" si="52"/>
        <v>88007059.611098111</v>
      </c>
      <c r="O274" s="542">
        <f t="shared" si="52"/>
        <v>4984590.4133057538</v>
      </c>
      <c r="P274" s="542">
        <f t="shared" si="52"/>
        <v>83022469.197792351</v>
      </c>
    </row>
    <row r="275" spans="1:16" ht="23.5" customHeight="1" x14ac:dyDescent="0.3">
      <c r="A275" s="188"/>
      <c r="B275" s="188"/>
      <c r="C275" s="151"/>
      <c r="D275" s="175"/>
      <c r="E275" s="232"/>
      <c r="F275" s="232"/>
      <c r="G275" s="2"/>
      <c r="H275" s="2"/>
      <c r="I275" s="2"/>
      <c r="J275" s="2"/>
      <c r="K275" s="2"/>
      <c r="L275" s="2"/>
      <c r="M275" s="159"/>
      <c r="N275" s="2" t="s">
        <v>25</v>
      </c>
      <c r="O275" s="157" t="s">
        <v>76</v>
      </c>
      <c r="P275" s="160" t="s">
        <v>263</v>
      </c>
    </row>
    <row r="276" spans="1:16" ht="23.5" customHeight="1" x14ac:dyDescent="0.3">
      <c r="A276" s="188"/>
      <c r="B276" s="188"/>
      <c r="C276" s="151"/>
      <c r="D276" s="152"/>
      <c r="E276" s="2"/>
      <c r="F276" s="2"/>
      <c r="G276" s="154"/>
      <c r="H276" s="2"/>
      <c r="I276" s="2"/>
      <c r="J276" s="2"/>
      <c r="K276" s="2"/>
      <c r="L276" s="2"/>
      <c r="M276" s="159" t="s">
        <v>47</v>
      </c>
      <c r="N276" s="233">
        <f>N255+N182+N100+N38</f>
        <v>121314294.55968055</v>
      </c>
      <c r="O276" s="233">
        <f>O255+O182+O100+O38</f>
        <v>34508928.458164953</v>
      </c>
      <c r="P276" s="534">
        <f>N276-O276</f>
        <v>86805366.101515591</v>
      </c>
    </row>
    <row r="277" spans="1:16" ht="23.5" customHeight="1" x14ac:dyDescent="0.3">
      <c r="A277" s="188"/>
      <c r="B277" s="188"/>
      <c r="C277" s="148"/>
      <c r="D277" s="175"/>
      <c r="E277" s="157"/>
      <c r="F277" s="157"/>
      <c r="G277" s="154"/>
      <c r="H277" s="154"/>
      <c r="I277" s="2"/>
      <c r="J277" s="2"/>
      <c r="K277" s="2"/>
      <c r="L277" s="2"/>
      <c r="M277" s="159" t="s">
        <v>48</v>
      </c>
      <c r="N277" s="234">
        <f>N264+N203+N125+N63+N269</f>
        <v>24227463.76433925</v>
      </c>
      <c r="O277" s="234">
        <f>O264+O203+O125+O63+O269</f>
        <v>8286662.942580102</v>
      </c>
      <c r="P277" s="534">
        <f>N277-O277</f>
        <v>15940800.821759148</v>
      </c>
    </row>
    <row r="278" spans="1:16" ht="23.5" customHeight="1" x14ac:dyDescent="0.3">
      <c r="C278" s="188"/>
      <c r="D278" s="617"/>
      <c r="E278" s="157"/>
      <c r="F278" s="157"/>
      <c r="G278" s="683"/>
      <c r="I278" s="157"/>
      <c r="J278" s="157"/>
      <c r="K278" s="157"/>
      <c r="L278" s="157"/>
      <c r="N278" s="235"/>
      <c r="O278" s="236"/>
      <c r="P278" s="535"/>
    </row>
    <row r="279" spans="1:16" ht="23.5" customHeight="1" x14ac:dyDescent="0.3">
      <c r="C279" s="148"/>
      <c r="E279" s="157"/>
      <c r="F279" s="157"/>
      <c r="I279" s="157"/>
      <c r="J279" s="157"/>
      <c r="K279" s="157"/>
      <c r="L279" s="157"/>
      <c r="N279" s="237">
        <f>SUM(N276:N278)</f>
        <v>145541758.32401979</v>
      </c>
      <c r="O279" s="237">
        <f>SUM(O276:O278)</f>
        <v>42795591.400745057</v>
      </c>
      <c r="P279" s="536">
        <f>SUM(P276:P278)</f>
        <v>102746166.92327474</v>
      </c>
    </row>
    <row r="280" spans="1:16" ht="23.5" customHeight="1" x14ac:dyDescent="0.35">
      <c r="G280" s="666"/>
      <c r="I280" s="238"/>
      <c r="J280" s="238"/>
      <c r="K280" s="238"/>
      <c r="L280" s="238"/>
    </row>
    <row r="281" spans="1:16" ht="23.5" customHeight="1" x14ac:dyDescent="0.3">
      <c r="A281" s="11"/>
      <c r="B281" s="11"/>
      <c r="C281" s="192"/>
      <c r="I281" s="238"/>
      <c r="O281" s="233"/>
      <c r="P281" s="612"/>
    </row>
    <row r="282" spans="1:16" ht="23.5" customHeight="1" x14ac:dyDescent="0.3">
      <c r="A282" s="11"/>
      <c r="B282" s="11"/>
      <c r="C282" s="192"/>
      <c r="I282" s="238"/>
      <c r="O282" s="235"/>
      <c r="P282" s="613"/>
    </row>
    <row r="283" spans="1:16" ht="23.5" customHeight="1" x14ac:dyDescent="0.3">
      <c r="A283" s="11"/>
      <c r="B283" s="11"/>
      <c r="C283" s="192"/>
    </row>
    <row r="284" spans="1:16" ht="23.5" customHeight="1" x14ac:dyDescent="0.3">
      <c r="A284" s="11"/>
      <c r="B284" s="11"/>
      <c r="C284" s="192"/>
      <c r="D284" s="803"/>
    </row>
    <row r="285" spans="1:16" ht="23.5" customHeight="1" x14ac:dyDescent="0.3">
      <c r="A285" s="11"/>
      <c r="B285" s="11"/>
      <c r="C285" s="192"/>
      <c r="D285" s="803"/>
    </row>
    <row r="286" spans="1:16" ht="23.5" customHeight="1" x14ac:dyDescent="0.3">
      <c r="A286" s="11"/>
      <c r="B286" s="11"/>
      <c r="C286" s="192"/>
      <c r="D286" s="148"/>
      <c r="I286" s="148"/>
      <c r="J286" s="148"/>
      <c r="K286" s="148"/>
      <c r="L286" s="148"/>
      <c r="M286" s="148"/>
      <c r="N286" s="155"/>
      <c r="O286" s="155"/>
      <c r="P286" s="155"/>
    </row>
    <row r="287" spans="1:16" ht="23.5" customHeight="1" x14ac:dyDescent="0.3">
      <c r="A287" s="11"/>
      <c r="B287" s="11"/>
      <c r="C287" s="192"/>
      <c r="D287" s="148"/>
      <c r="I287" s="148"/>
      <c r="J287" s="148"/>
      <c r="K287" s="148"/>
      <c r="L287" s="148"/>
      <c r="M287" s="148"/>
    </row>
  </sheetData>
  <sortState ref="A254:R256">
    <sortCondition ref="E254:E256"/>
  </sortState>
  <printOptions horizontalCentered="1" gridLines="1"/>
  <pageMargins left="0.31496062992125984" right="0.15748031496062992" top="0.78740157480314965" bottom="0.98425196850393704" header="0.51181102362204722" footer="0.51181102362204722"/>
  <pageSetup paperSize="9" scale="51" fitToHeight="0" orientation="landscape" r:id="rId1"/>
  <headerFooter alignWithMargins="0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>
    <pageSetUpPr fitToPage="1"/>
  </sheetPr>
  <dimension ref="A1:AL47"/>
  <sheetViews>
    <sheetView view="pageBreakPreview" zoomScale="45" zoomScaleNormal="75" zoomScaleSheetLayoutView="45" workbookViewId="0">
      <pane xSplit="6" ySplit="2" topLeftCell="V15" activePane="bottomRight" state="frozen"/>
      <selection pane="topRight" activeCell="G1" sqref="G1"/>
      <selection pane="bottomLeft" activeCell="A3" sqref="A3"/>
      <selection pane="bottomRight" activeCell="V30" sqref="V30"/>
    </sheetView>
  </sheetViews>
  <sheetFormatPr defaultColWidth="9.1796875" defaultRowHeight="15.5" x14ac:dyDescent="0.35"/>
  <cols>
    <col min="1" max="1" width="48.54296875" style="393" customWidth="1"/>
    <col min="2" max="2" width="15.81640625" style="393" customWidth="1"/>
    <col min="3" max="3" width="11.54296875" style="393" hidden="1" customWidth="1"/>
    <col min="4" max="4" width="18.453125" style="393" hidden="1" customWidth="1"/>
    <col min="5" max="5" width="21.81640625" style="393" customWidth="1"/>
    <col min="6" max="6" width="28.54296875" style="394" bestFit="1" customWidth="1"/>
    <col min="7" max="7" width="26.54296875" style="393" bestFit="1" customWidth="1"/>
    <col min="8" max="8" width="0.453125" style="393" customWidth="1"/>
    <col min="9" max="9" width="17.453125" style="393" customWidth="1"/>
    <col min="10" max="10" width="3.1796875" style="393" customWidth="1"/>
    <col min="11" max="11" width="21.1796875" style="393" customWidth="1"/>
    <col min="12" max="12" width="17" style="393" customWidth="1"/>
    <col min="13" max="13" width="26.1796875" style="394" customWidth="1"/>
    <col min="14" max="14" width="3.1796875" style="393" customWidth="1"/>
    <col min="15" max="15" width="23.1796875" style="393" customWidth="1"/>
    <col min="16" max="16" width="28.453125" style="394" customWidth="1"/>
    <col min="17" max="17" width="27.81640625" style="395" customWidth="1"/>
    <col min="18" max="18" width="34" style="393" customWidth="1"/>
    <col min="19" max="19" width="40" style="1" customWidth="1"/>
    <col min="20" max="20" width="3" style="393" customWidth="1"/>
    <col min="21" max="21" width="23.1796875" style="393" customWidth="1"/>
    <col min="22" max="22" width="25.54296875" style="393" customWidth="1"/>
    <col min="23" max="23" width="27.1796875" style="394" customWidth="1"/>
    <col min="24" max="24" width="26.54296875" style="396" customWidth="1"/>
    <col min="25" max="25" width="1.1796875" style="396" customWidth="1"/>
    <col min="26" max="26" width="20.54296875" style="393" bestFit="1" customWidth="1"/>
    <col min="27" max="27" width="28.453125" style="393" bestFit="1" customWidth="1"/>
    <col min="28" max="28" width="22.81640625" style="396" bestFit="1" customWidth="1"/>
    <col min="29" max="29" width="0.81640625" style="396" customWidth="1"/>
    <col min="30" max="31" width="26.1796875" style="393" customWidth="1"/>
    <col min="32" max="32" width="27.81640625" style="393" customWidth="1"/>
    <col min="33" max="33" width="24.81640625" style="397" customWidth="1"/>
    <col min="34" max="34" width="1" style="393" customWidth="1"/>
    <col min="35" max="36" width="27.81640625" style="393" customWidth="1"/>
    <col min="37" max="37" width="45.81640625" style="393" customWidth="1"/>
    <col min="38" max="38" width="24.453125" style="1" bestFit="1" customWidth="1"/>
    <col min="39" max="16384" width="9.1796875" style="393"/>
  </cols>
  <sheetData>
    <row r="1" spans="1:38" s="239" customFormat="1" ht="36" customHeight="1" x14ac:dyDescent="0.5">
      <c r="F1" s="240"/>
      <c r="M1" s="240"/>
      <c r="O1" s="240"/>
      <c r="P1" s="241"/>
      <c r="Q1" s="242"/>
      <c r="R1" s="240"/>
      <c r="S1" s="243"/>
      <c r="W1" s="240"/>
      <c r="X1" s="244"/>
      <c r="Y1" s="244"/>
      <c r="AA1" s="245"/>
      <c r="AB1" s="246"/>
      <c r="AC1" s="247"/>
      <c r="AD1" s="245"/>
      <c r="AE1" s="248"/>
      <c r="AG1" s="249"/>
      <c r="AL1" s="243"/>
    </row>
    <row r="2" spans="1:38" s="239" customFormat="1" ht="36" customHeight="1" x14ac:dyDescent="0.5">
      <c r="A2" s="250" t="s">
        <v>16</v>
      </c>
      <c r="F2" s="240"/>
      <c r="M2" s="240"/>
      <c r="O2" s="241"/>
      <c r="P2" s="251"/>
      <c r="Q2" s="252"/>
      <c r="R2" s="253"/>
      <c r="S2" s="254"/>
      <c r="T2" s="255"/>
      <c r="U2" s="256"/>
      <c r="V2" s="257"/>
      <c r="W2" s="243"/>
      <c r="X2" s="258"/>
      <c r="Y2" s="244"/>
      <c r="AB2" s="259"/>
      <c r="AC2" s="244"/>
      <c r="AE2" s="248"/>
      <c r="AG2" s="249"/>
      <c r="AL2"/>
    </row>
    <row r="3" spans="1:38" s="239" customFormat="1" ht="36" customHeight="1" x14ac:dyDescent="0.5">
      <c r="F3" s="240"/>
      <c r="M3" s="260"/>
      <c r="O3" s="261"/>
      <c r="P3" s="241"/>
      <c r="Q3" s="252"/>
      <c r="R3" s="262"/>
      <c r="S3" s="254"/>
      <c r="T3" s="255"/>
      <c r="U3" s="256"/>
      <c r="V3" s="263"/>
      <c r="W3" s="243"/>
      <c r="X3" s="264"/>
      <c r="Y3" s="244"/>
      <c r="AA3" s="265"/>
      <c r="AB3" s="266"/>
      <c r="AC3" s="244"/>
      <c r="AE3" s="248"/>
      <c r="AG3" s="249"/>
      <c r="AK3" s="243"/>
      <c r="AL3"/>
    </row>
    <row r="4" spans="1:38" s="239" customFormat="1" ht="36" customHeight="1" x14ac:dyDescent="0.5">
      <c r="A4" s="267" t="s">
        <v>13</v>
      </c>
      <c r="F4" s="240"/>
      <c r="M4" s="260"/>
      <c r="O4" s="261"/>
      <c r="P4" s="241"/>
      <c r="Q4" s="252"/>
      <c r="R4" s="262"/>
      <c r="S4" s="254"/>
      <c r="T4" s="255"/>
      <c r="U4" s="255"/>
      <c r="V4" s="254"/>
      <c r="W4" s="262"/>
      <c r="X4" s="244"/>
      <c r="Y4" s="244"/>
      <c r="AA4" s="265"/>
      <c r="AB4" s="266"/>
      <c r="AC4" s="244"/>
      <c r="AE4" s="248"/>
      <c r="AG4" s="249"/>
      <c r="AK4" s="243"/>
      <c r="AL4"/>
    </row>
    <row r="5" spans="1:38" s="239" customFormat="1" ht="36" customHeight="1" x14ac:dyDescent="0.5">
      <c r="A5" s="268" t="s">
        <v>82</v>
      </c>
      <c r="F5" s="240"/>
      <c r="M5" s="240"/>
      <c r="O5" s="255"/>
      <c r="P5" s="262"/>
      <c r="Q5" s="269"/>
      <c r="R5" s="269"/>
      <c r="S5" s="270"/>
      <c r="T5" s="255"/>
      <c r="U5" s="271"/>
      <c r="V5" s="255"/>
      <c r="W5" s="262"/>
      <c r="X5" s="244"/>
      <c r="Y5" s="244"/>
      <c r="AB5" s="244"/>
      <c r="AC5" s="244"/>
      <c r="AG5" s="249"/>
      <c r="AK5" s="243"/>
      <c r="AL5"/>
    </row>
    <row r="6" spans="1:38" s="239" customFormat="1" ht="36" customHeight="1" x14ac:dyDescent="0.5">
      <c r="A6" s="272"/>
      <c r="E6" s="255"/>
      <c r="F6" s="240"/>
      <c r="M6" s="240"/>
      <c r="N6" s="255"/>
      <c r="O6" s="255"/>
      <c r="P6" s="262"/>
      <c r="Q6" s="273"/>
      <c r="R6" s="255"/>
      <c r="S6" s="254"/>
      <c r="T6" s="255"/>
      <c r="U6" s="255"/>
      <c r="V6" s="274"/>
      <c r="W6" s="262"/>
      <c r="X6" s="244"/>
      <c r="Y6" s="244"/>
      <c r="AB6" s="244"/>
      <c r="AC6" s="244"/>
      <c r="AG6" s="249"/>
      <c r="AK6" s="243"/>
      <c r="AL6"/>
    </row>
    <row r="7" spans="1:38" s="239" customFormat="1" ht="36" customHeight="1" x14ac:dyDescent="0.5">
      <c r="A7" s="275"/>
      <c r="E7" s="255"/>
      <c r="F7" s="240"/>
      <c r="M7" s="240"/>
      <c r="N7" s="255"/>
      <c r="O7" s="276"/>
      <c r="P7" s="277"/>
      <c r="Q7" s="278"/>
      <c r="R7" s="276"/>
      <c r="S7" s="279"/>
      <c r="T7" s="255"/>
      <c r="W7" s="240"/>
      <c r="X7" s="244"/>
      <c r="Y7" s="244"/>
      <c r="AA7" s="255"/>
      <c r="AB7"/>
      <c r="AC7" s="244"/>
      <c r="AG7" s="280"/>
      <c r="AK7" s="243"/>
      <c r="AL7"/>
    </row>
    <row r="8" spans="1:38" s="239" customFormat="1" ht="36" customHeight="1" x14ac:dyDescent="0.5">
      <c r="A8" s="281"/>
      <c r="B8" s="282"/>
      <c r="C8" s="283"/>
      <c r="D8" s="284"/>
      <c r="E8" s="876" t="s">
        <v>332</v>
      </c>
      <c r="F8" s="877"/>
      <c r="G8" s="878"/>
      <c r="H8" s="255"/>
      <c r="I8" s="285"/>
      <c r="J8" s="255"/>
      <c r="K8" s="879" t="s">
        <v>50</v>
      </c>
      <c r="L8" s="880"/>
      <c r="M8" s="881"/>
      <c r="N8" s="286"/>
      <c r="O8" s="879" t="s">
        <v>51</v>
      </c>
      <c r="P8" s="882"/>
      <c r="Q8" s="882"/>
      <c r="R8" s="882"/>
      <c r="S8" s="883"/>
      <c r="T8" s="287"/>
      <c r="U8" s="884" t="s">
        <v>341</v>
      </c>
      <c r="V8" s="885"/>
      <c r="W8" s="885"/>
      <c r="X8" s="886"/>
      <c r="Y8" s="288"/>
      <c r="Z8" s="890" t="s">
        <v>337</v>
      </c>
      <c r="AA8" s="891"/>
      <c r="AB8" s="892"/>
      <c r="AC8" s="289"/>
      <c r="AD8" s="872" t="s">
        <v>329</v>
      </c>
      <c r="AE8" s="872" t="s">
        <v>338</v>
      </c>
      <c r="AF8" s="872" t="s">
        <v>339</v>
      </c>
      <c r="AG8" s="874" t="s">
        <v>340</v>
      </c>
      <c r="AH8" s="248"/>
      <c r="AI8" s="872" t="s">
        <v>330</v>
      </c>
      <c r="AJ8" s="872" t="s">
        <v>331</v>
      </c>
      <c r="AK8" s="243"/>
      <c r="AL8"/>
    </row>
    <row r="9" spans="1:38" s="239" customFormat="1" ht="36" customHeight="1" x14ac:dyDescent="0.5">
      <c r="A9" s="290"/>
      <c r="C9" s="291" t="s">
        <v>52</v>
      </c>
      <c r="D9" s="292" t="s">
        <v>53</v>
      </c>
      <c r="E9" s="293" t="s">
        <v>54</v>
      </c>
      <c r="F9" s="294" t="s">
        <v>55</v>
      </c>
      <c r="G9" s="295" t="s">
        <v>56</v>
      </c>
      <c r="H9" s="248"/>
      <c r="I9" s="293" t="s">
        <v>57</v>
      </c>
      <c r="J9" s="248"/>
      <c r="K9" s="293" t="s">
        <v>58</v>
      </c>
      <c r="L9" s="294" t="s">
        <v>142</v>
      </c>
      <c r="M9" s="294" t="s">
        <v>55</v>
      </c>
      <c r="N9" s="296"/>
      <c r="O9" s="293" t="s">
        <v>58</v>
      </c>
      <c r="P9" s="294" t="s">
        <v>55</v>
      </c>
      <c r="Q9" s="294" t="s">
        <v>59</v>
      </c>
      <c r="R9" s="294" t="s">
        <v>60</v>
      </c>
      <c r="S9" s="294" t="s">
        <v>61</v>
      </c>
      <c r="T9" s="296"/>
      <c r="U9" s="887"/>
      <c r="V9" s="888"/>
      <c r="W9" s="888"/>
      <c r="X9" s="889"/>
      <c r="Y9" s="288"/>
      <c r="Z9" s="887"/>
      <c r="AA9" s="888"/>
      <c r="AB9" s="889"/>
      <c r="AC9" s="289"/>
      <c r="AD9" s="873"/>
      <c r="AE9" s="873"/>
      <c r="AF9" s="873"/>
      <c r="AG9" s="875"/>
      <c r="AH9" s="293"/>
      <c r="AI9" s="873"/>
      <c r="AJ9" s="873"/>
      <c r="AK9"/>
      <c r="AL9"/>
    </row>
    <row r="10" spans="1:38" s="239" customFormat="1" ht="41.25" customHeight="1" x14ac:dyDescent="0.5">
      <c r="A10" s="297" t="s">
        <v>62</v>
      </c>
      <c r="B10" s="298"/>
      <c r="C10" s="299" t="s">
        <v>63</v>
      </c>
      <c r="D10" s="300" t="s">
        <v>177</v>
      </c>
      <c r="E10" s="301" t="s">
        <v>64</v>
      </c>
      <c r="F10" s="302" t="s">
        <v>65</v>
      </c>
      <c r="G10" s="303" t="s">
        <v>63</v>
      </c>
      <c r="H10" s="248"/>
      <c r="I10" s="301" t="s">
        <v>66</v>
      </c>
      <c r="J10" s="248"/>
      <c r="K10" s="301" t="s">
        <v>66</v>
      </c>
      <c r="L10" s="302" t="s">
        <v>143</v>
      </c>
      <c r="M10" s="302" t="s">
        <v>65</v>
      </c>
      <c r="N10" s="248"/>
      <c r="O10" s="301" t="s">
        <v>66</v>
      </c>
      <c r="P10" s="302" t="s">
        <v>65</v>
      </c>
      <c r="Q10" s="302"/>
      <c r="R10" s="302"/>
      <c r="S10" s="302"/>
      <c r="T10" s="248"/>
      <c r="U10" s="304" t="s">
        <v>67</v>
      </c>
      <c r="V10" s="305" t="s">
        <v>59</v>
      </c>
      <c r="W10" s="302" t="s">
        <v>68</v>
      </c>
      <c r="X10" s="302" t="s">
        <v>69</v>
      </c>
      <c r="Y10" s="306"/>
      <c r="Z10" s="307" t="s">
        <v>70</v>
      </c>
      <c r="AA10" s="301" t="s">
        <v>71</v>
      </c>
      <c r="AB10" s="301" t="s">
        <v>69</v>
      </c>
      <c r="AC10" s="308"/>
      <c r="AD10" s="873"/>
      <c r="AE10" s="873"/>
      <c r="AF10" s="873"/>
      <c r="AG10" s="875"/>
      <c r="AH10" s="293"/>
      <c r="AI10" s="873"/>
      <c r="AJ10" s="873"/>
      <c r="AK10"/>
      <c r="AL10"/>
    </row>
    <row r="11" spans="1:38" s="239" customFormat="1" ht="36" customHeight="1" x14ac:dyDescent="0.45">
      <c r="A11" s="309"/>
      <c r="C11" s="310"/>
      <c r="D11" s="311"/>
      <c r="E11" s="312"/>
      <c r="F11" s="313"/>
      <c r="G11" s="314"/>
      <c r="H11" s="273"/>
      <c r="I11" s="314"/>
      <c r="J11" s="273"/>
      <c r="K11" s="315"/>
      <c r="L11" s="316"/>
      <c r="M11" s="317"/>
      <c r="N11" s="255"/>
      <c r="O11" s="314"/>
      <c r="P11" s="317"/>
      <c r="Q11" s="318"/>
      <c r="R11" s="319"/>
      <c r="S11" s="320"/>
      <c r="T11" s="255"/>
      <c r="U11" s="314"/>
      <c r="V11" s="321"/>
      <c r="W11" s="317"/>
      <c r="X11" s="322"/>
      <c r="Y11" s="244"/>
      <c r="Z11" s="315"/>
      <c r="AA11" s="319"/>
      <c r="AB11" s="322"/>
      <c r="AC11" s="244"/>
      <c r="AD11" s="323"/>
      <c r="AE11" s="323"/>
      <c r="AF11" s="323"/>
      <c r="AG11" s="324"/>
      <c r="AH11" s="255"/>
      <c r="AI11" s="325"/>
      <c r="AJ11" s="285"/>
      <c r="AK11" s="243"/>
      <c r="AL11"/>
    </row>
    <row r="12" spans="1:38" s="239" customFormat="1" ht="36" customHeight="1" x14ac:dyDescent="0.5">
      <c r="A12" s="290" t="s">
        <v>130</v>
      </c>
      <c r="C12" s="310"/>
      <c r="D12" s="311"/>
      <c r="E12" s="326"/>
      <c r="F12" s="326"/>
      <c r="G12" s="326"/>
      <c r="H12" s="327"/>
      <c r="I12" s="328"/>
      <c r="J12" s="315"/>
      <c r="K12" s="328"/>
      <c r="L12" s="241"/>
      <c r="M12" s="329"/>
      <c r="N12" s="255"/>
      <c r="O12" s="328"/>
      <c r="P12" s="330"/>
      <c r="Q12" s="331"/>
      <c r="R12" s="332"/>
      <c r="S12" s="333"/>
      <c r="T12" s="325"/>
      <c r="U12" s="332"/>
      <c r="V12" s="334"/>
      <c r="W12" s="335"/>
      <c r="X12" s="328"/>
      <c r="Y12" s="327"/>
      <c r="Z12" s="336"/>
      <c r="AA12" s="315"/>
      <c r="AB12" s="328"/>
      <c r="AC12" s="327"/>
      <c r="AD12" s="328"/>
      <c r="AE12" s="328"/>
      <c r="AF12" s="315"/>
      <c r="AG12" s="337"/>
      <c r="AH12" s="255"/>
      <c r="AI12" s="315"/>
      <c r="AJ12" s="328"/>
      <c r="AK12" s="243"/>
      <c r="AL12" s="243"/>
    </row>
    <row r="13" spans="1:38" s="239" customFormat="1" ht="37.5" customHeight="1" x14ac:dyDescent="0.45">
      <c r="A13" s="309" t="s">
        <v>49</v>
      </c>
      <c r="C13" s="338"/>
      <c r="D13" s="339"/>
      <c r="E13" s="340">
        <v>440000</v>
      </c>
      <c r="F13" s="326">
        <v>19826710</v>
      </c>
      <c r="G13" s="326">
        <v>19998000</v>
      </c>
      <c r="H13" s="341"/>
      <c r="I13" s="340"/>
      <c r="J13" s="342"/>
      <c r="K13" s="340"/>
      <c r="L13" s="339"/>
      <c r="M13" s="339"/>
      <c r="N13" s="343"/>
      <c r="O13" s="340"/>
      <c r="P13" s="344"/>
      <c r="Q13" s="331"/>
      <c r="R13" s="345"/>
      <c r="S13" s="345">
        <f>R13-P13</f>
        <v>0</v>
      </c>
      <c r="T13" s="346"/>
      <c r="U13" s="326">
        <f>E13+I13+K13-O13</f>
        <v>440000</v>
      </c>
      <c r="V13" s="334">
        <f>ROUND(W13/U13,1)</f>
        <v>45.1</v>
      </c>
      <c r="W13" s="326">
        <f>F13+M13-P13</f>
        <v>19826710</v>
      </c>
      <c r="X13" s="347">
        <f>W13/$W$32</f>
        <v>0.45469008178482234</v>
      </c>
      <c r="Y13" s="348"/>
      <c r="Z13" s="339">
        <v>29.3</v>
      </c>
      <c r="AA13" s="326">
        <f>U13*Z13</f>
        <v>12892000</v>
      </c>
      <c r="AB13" s="347">
        <f>AA13/$AA$32</f>
        <v>0.88339791621698482</v>
      </c>
      <c r="AC13" s="348"/>
      <c r="AD13" s="326">
        <v>-3084710.0000000019</v>
      </c>
      <c r="AE13" s="326">
        <f>AF13-AD13</f>
        <v>-3849999.9999999981</v>
      </c>
      <c r="AF13" s="326">
        <f>+AA13-W13</f>
        <v>-6934710</v>
      </c>
      <c r="AG13" s="337">
        <f>AF13/W13</f>
        <v>-0.3497660479222221</v>
      </c>
      <c r="AH13" s="349"/>
      <c r="AI13" s="339"/>
      <c r="AJ13" s="326">
        <f>U13*1*0.95</f>
        <v>418000</v>
      </c>
      <c r="AL13" s="243"/>
    </row>
    <row r="14" spans="1:38" s="239" customFormat="1" ht="37.5" customHeight="1" x14ac:dyDescent="0.45">
      <c r="A14" s="309"/>
      <c r="C14" s="338"/>
      <c r="D14" s="350"/>
      <c r="E14" s="326"/>
      <c r="F14" s="326"/>
      <c r="G14" s="326"/>
      <c r="H14" s="341"/>
      <c r="I14" s="340"/>
      <c r="J14" s="342"/>
      <c r="K14" s="340"/>
      <c r="L14" s="339"/>
      <c r="M14" s="351"/>
      <c r="N14" s="343"/>
      <c r="O14" s="340"/>
      <c r="P14" s="326"/>
      <c r="Q14" s="331"/>
      <c r="R14" s="345"/>
      <c r="S14" s="326"/>
      <c r="T14" s="346"/>
      <c r="U14" s="326"/>
      <c r="V14" s="334"/>
      <c r="W14" s="339"/>
      <c r="X14" s="347"/>
      <c r="Y14" s="348"/>
      <c r="Z14" s="339"/>
      <c r="AA14" s="342"/>
      <c r="AB14" s="347"/>
      <c r="AC14" s="348"/>
      <c r="AD14" s="352"/>
      <c r="AE14" s="352"/>
      <c r="AF14" s="352"/>
      <c r="AG14" s="337"/>
      <c r="AH14" s="349"/>
      <c r="AI14"/>
      <c r="AJ14" s="353"/>
      <c r="AL14" s="243"/>
    </row>
    <row r="15" spans="1:38" s="239" customFormat="1" ht="36" customHeight="1" x14ac:dyDescent="0.5">
      <c r="A15" s="309"/>
      <c r="C15" s="338"/>
      <c r="D15" s="339"/>
      <c r="E15" s="354">
        <f>SUM(E13:E13)</f>
        <v>440000</v>
      </c>
      <c r="F15" s="354">
        <f>SUM(F13:F13)</f>
        <v>19826710</v>
      </c>
      <c r="G15" s="354">
        <f>SUM(G13:G13)</f>
        <v>19998000</v>
      </c>
      <c r="H15" s="340"/>
      <c r="I15" s="340"/>
      <c r="J15" s="340"/>
      <c r="K15" s="354">
        <f>SUM(K13:K14)</f>
        <v>0</v>
      </c>
      <c r="L15" s="355"/>
      <c r="M15" s="354">
        <f>SUM(M13:M13)</f>
        <v>0</v>
      </c>
      <c r="N15" s="356"/>
      <c r="O15" s="354">
        <f>SUM(O13:O13)</f>
        <v>0</v>
      </c>
      <c r="P15" s="354">
        <f>SUM(P13:P13)</f>
        <v>0</v>
      </c>
      <c r="Q15" s="357"/>
      <c r="R15" s="354">
        <f>SUM(R13:R13)</f>
        <v>0</v>
      </c>
      <c r="S15" s="354">
        <f>SUM(S13:S13)</f>
        <v>0</v>
      </c>
      <c r="T15" s="356"/>
      <c r="U15" s="354">
        <f>SUM(U13:U13)</f>
        <v>440000</v>
      </c>
      <c r="V15" s="354">
        <f>SUM(V13:V14)</f>
        <v>45.1</v>
      </c>
      <c r="W15" s="355">
        <f>SUM(W13:W13)</f>
        <v>19826710</v>
      </c>
      <c r="X15" s="358">
        <f>SUM(X13:X14)</f>
        <v>0.45469008178482234</v>
      </c>
      <c r="Y15" s="359"/>
      <c r="Z15" s="339"/>
      <c r="AA15" s="354">
        <f>SUM(AA13:AA13)</f>
        <v>12892000</v>
      </c>
      <c r="AB15" s="359">
        <f>AA15/$AA$32</f>
        <v>0.88339791621698482</v>
      </c>
      <c r="AC15" s="359"/>
      <c r="AD15" s="354">
        <f>SUM(AD13:AD13)</f>
        <v>-3084710.0000000019</v>
      </c>
      <c r="AE15" s="354">
        <f>SUM(AE13:AE13)</f>
        <v>-3849999.9999999981</v>
      </c>
      <c r="AF15" s="354">
        <f>SUM(AF13:AF13)</f>
        <v>-6934710</v>
      </c>
      <c r="AG15" s="360">
        <f>AF15/W15</f>
        <v>-0.3497660479222221</v>
      </c>
      <c r="AH15" s="361"/>
      <c r="AI15" s="362">
        <f>SUM(AI13:AI14)</f>
        <v>0</v>
      </c>
      <c r="AJ15" s="532">
        <f>SUM(AJ13:AJ14)</f>
        <v>418000</v>
      </c>
      <c r="AL15" s="243"/>
    </row>
    <row r="16" spans="1:38" s="239" customFormat="1" ht="36" customHeight="1" x14ac:dyDescent="0.5">
      <c r="A16" s="290" t="s">
        <v>129</v>
      </c>
      <c r="C16" s="338"/>
      <c r="D16" s="339"/>
      <c r="E16" s="326"/>
      <c r="F16" s="326"/>
      <c r="G16" s="326"/>
      <c r="H16" s="340"/>
      <c r="I16" s="340"/>
      <c r="J16" s="340"/>
      <c r="K16" s="340"/>
      <c r="L16" s="339"/>
      <c r="M16" s="351"/>
      <c r="N16" s="356"/>
      <c r="O16" s="340"/>
      <c r="P16" s="351"/>
      <c r="Q16" s="331"/>
      <c r="R16" s="363"/>
      <c r="S16" s="364"/>
      <c r="T16" s="356"/>
      <c r="U16" s="340"/>
      <c r="V16" s="331"/>
      <c r="W16" s="351"/>
      <c r="X16" s="328"/>
      <c r="Y16" s="328"/>
      <c r="Z16" s="339"/>
      <c r="AA16" s="356"/>
      <c r="AB16" s="328"/>
      <c r="AC16" s="328"/>
      <c r="AD16" s="349"/>
      <c r="AE16" s="349"/>
      <c r="AF16" s="349"/>
      <c r="AG16" s="337"/>
      <c r="AH16" s="365"/>
      <c r="AI16" s="365"/>
      <c r="AJ16" s="349"/>
      <c r="AL16" s="243"/>
    </row>
    <row r="17" spans="1:38" s="239" customFormat="1" ht="36" customHeight="1" x14ac:dyDescent="0.5">
      <c r="A17" s="290"/>
      <c r="C17" s="338"/>
      <c r="D17" s="339"/>
      <c r="E17" s="326"/>
      <c r="F17" s="326"/>
      <c r="G17" s="326"/>
      <c r="H17" s="340"/>
      <c r="I17" s="340"/>
      <c r="J17" s="340"/>
      <c r="K17" s="340"/>
      <c r="L17" s="339"/>
      <c r="M17" s="351"/>
      <c r="N17" s="356"/>
      <c r="O17" s="340"/>
      <c r="P17" s="351"/>
      <c r="Q17" s="331"/>
      <c r="R17" s="363"/>
      <c r="S17" s="364"/>
      <c r="T17" s="356"/>
      <c r="U17" s="340"/>
      <c r="V17" s="331"/>
      <c r="W17" s="366"/>
      <c r="X17" s="328"/>
      <c r="Y17" s="328"/>
      <c r="Z17" s="339"/>
      <c r="AA17" s="356"/>
      <c r="AB17" s="328"/>
      <c r="AC17" s="328"/>
      <c r="AD17" s="349"/>
      <c r="AE17" s="349"/>
      <c r="AF17" s="349"/>
      <c r="AG17" s="337"/>
      <c r="AH17" s="365"/>
      <c r="AI17" s="365"/>
      <c r="AJ17" s="349"/>
      <c r="AL17" s="243"/>
    </row>
    <row r="18" spans="1:38" s="239" customFormat="1" ht="36" customHeight="1" x14ac:dyDescent="0.45">
      <c r="A18" s="309" t="s">
        <v>128</v>
      </c>
      <c r="C18" s="338"/>
      <c r="D18" s="339"/>
      <c r="E18" s="340">
        <v>57500</v>
      </c>
      <c r="F18" s="367">
        <v>12751545.800000001</v>
      </c>
      <c r="G18" s="326">
        <v>2185000</v>
      </c>
      <c r="H18" s="340"/>
      <c r="I18" s="340"/>
      <c r="J18" s="340"/>
      <c r="K18" s="340"/>
      <c r="L18" s="339"/>
      <c r="M18" s="367"/>
      <c r="N18" s="356"/>
      <c r="O18" s="340"/>
      <c r="P18" s="351"/>
      <c r="Q18" s="331"/>
      <c r="R18" s="363"/>
      <c r="S18" s="364"/>
      <c r="T18" s="356"/>
      <c r="U18" s="326">
        <f>E18+I18+K18-O18</f>
        <v>57500</v>
      </c>
      <c r="V18" s="331">
        <f>ROUND(W18/U18,1)</f>
        <v>221.8</v>
      </c>
      <c r="W18" s="326">
        <f>F18+M18-P18</f>
        <v>12751545.800000001</v>
      </c>
      <c r="X18" s="347">
        <f>W18/$W$32</f>
        <v>0.29243386334318239</v>
      </c>
      <c r="Y18" s="347"/>
      <c r="Z18" s="339">
        <v>25.2</v>
      </c>
      <c r="AA18" s="351">
        <f>U18*Z18</f>
        <v>1449000</v>
      </c>
      <c r="AB18" s="347">
        <f>AA18/$AA$32</f>
        <v>9.9289759587217724E-2</v>
      </c>
      <c r="AC18" s="347"/>
      <c r="AD18" s="349">
        <v>-10948920.800000001</v>
      </c>
      <c r="AE18" s="349">
        <f>AF18-AD18</f>
        <v>-353625</v>
      </c>
      <c r="AF18" s="349">
        <f>+AA18-W18</f>
        <v>-11302545.800000001</v>
      </c>
      <c r="AG18" s="337">
        <f>AF18/W18</f>
        <v>-0.88636671798645772</v>
      </c>
      <c r="AH18" s="365"/>
      <c r="AI18" s="345"/>
      <c r="AJ18" s="344">
        <f>U18*0.75*0.95</f>
        <v>40968.75</v>
      </c>
      <c r="AL18" s="243"/>
    </row>
    <row r="19" spans="1:38" s="239" customFormat="1" ht="36" customHeight="1" x14ac:dyDescent="0.45">
      <c r="A19" s="309" t="s">
        <v>144</v>
      </c>
      <c r="C19" s="338"/>
      <c r="D19" s="339"/>
      <c r="E19" s="340">
        <v>120000</v>
      </c>
      <c r="F19" s="326">
        <v>10570556</v>
      </c>
      <c r="G19" s="326">
        <v>0</v>
      </c>
      <c r="H19" s="340"/>
      <c r="I19" s="340"/>
      <c r="J19" s="340"/>
      <c r="K19" s="340"/>
      <c r="L19" s="339"/>
      <c r="M19" s="351"/>
      <c r="N19" s="356"/>
      <c r="O19" s="340"/>
      <c r="P19" s="351"/>
      <c r="Q19" s="331"/>
      <c r="R19" s="363"/>
      <c r="S19" s="364"/>
      <c r="T19" s="368"/>
      <c r="U19" s="326">
        <f>E19+I19+K19-O19</f>
        <v>120000</v>
      </c>
      <c r="V19" s="331">
        <f>ROUND(W19/U19,1)</f>
        <v>88.1</v>
      </c>
      <c r="W19" s="326">
        <f>F19+M19-P19</f>
        <v>10570556</v>
      </c>
      <c r="X19" s="347">
        <f>W19/$W$32</f>
        <v>0.24241676869995296</v>
      </c>
      <c r="Y19" s="347"/>
      <c r="Z19" s="339">
        <v>0</v>
      </c>
      <c r="AA19" s="351">
        <f>U19*Z19</f>
        <v>0</v>
      </c>
      <c r="AB19" s="347">
        <f>AA19/$AA$32</f>
        <v>0</v>
      </c>
      <c r="AC19" s="347"/>
      <c r="AD19" s="349">
        <v>-10570556</v>
      </c>
      <c r="AE19" s="349">
        <f>AF19-AD19</f>
        <v>0</v>
      </c>
      <c r="AF19" s="349">
        <f>+AA19-W19</f>
        <v>-10570556</v>
      </c>
      <c r="AG19" s="337">
        <f>AF19/W19</f>
        <v>-1</v>
      </c>
      <c r="AH19" s="365"/>
      <c r="AI19" s="345"/>
      <c r="AJ19" s="345"/>
      <c r="AL19" s="243"/>
    </row>
    <row r="20" spans="1:38" s="239" customFormat="1" ht="36" customHeight="1" x14ac:dyDescent="0.45">
      <c r="A20" s="309"/>
      <c r="C20" s="338"/>
      <c r="D20" s="339"/>
      <c r="E20" s="326"/>
      <c r="F20" s="326"/>
      <c r="G20" s="326"/>
      <c r="H20" s="340"/>
      <c r="I20" s="340"/>
      <c r="J20" s="340"/>
      <c r="K20" s="340"/>
      <c r="L20" s="339"/>
      <c r="M20" s="351"/>
      <c r="N20" s="356"/>
      <c r="O20" s="340"/>
      <c r="P20" s="351"/>
      <c r="Q20" s="331"/>
      <c r="R20" s="363"/>
      <c r="S20" s="364"/>
      <c r="T20" s="368"/>
      <c r="U20" s="326"/>
      <c r="V20" s="331"/>
      <c r="W20" s="352"/>
      <c r="X20" s="347"/>
      <c r="Y20" s="347"/>
      <c r="Z20" s="339"/>
      <c r="AA20" s="351"/>
      <c r="AB20" s="347"/>
      <c r="AC20" s="347"/>
      <c r="AD20" s="349"/>
      <c r="AE20" s="349"/>
      <c r="AF20" s="349"/>
      <c r="AG20" s="337"/>
      <c r="AH20" s="365"/>
      <c r="AI20" s="369"/>
      <c r="AJ20" s="370"/>
      <c r="AL20" s="243"/>
    </row>
    <row r="21" spans="1:38" s="239" customFormat="1" ht="36" customHeight="1" x14ac:dyDescent="0.5">
      <c r="A21" s="309"/>
      <c r="C21" s="338"/>
      <c r="D21" s="339"/>
      <c r="E21" s="812">
        <f>SUM(E18:E19)</f>
        <v>177500</v>
      </c>
      <c r="F21" s="354">
        <f>SUM(F18:F19)</f>
        <v>23322101.800000001</v>
      </c>
      <c r="G21" s="354">
        <f>SUM(G18:G19)</f>
        <v>2185000</v>
      </c>
      <c r="H21" s="340"/>
      <c r="I21" s="340"/>
      <c r="J21" s="340"/>
      <c r="K21" s="354">
        <f>SUM(K18:K19)</f>
        <v>0</v>
      </c>
      <c r="L21" s="354"/>
      <c r="M21" s="354">
        <f>SUM(M18:M19)</f>
        <v>0</v>
      </c>
      <c r="N21" s="356"/>
      <c r="O21" s="354">
        <f>SUM(O18:O19)</f>
        <v>0</v>
      </c>
      <c r="P21" s="354">
        <f>SUM(P18:P19)</f>
        <v>0</v>
      </c>
      <c r="Q21" s="354">
        <f>SUM(Q18:Q19)</f>
        <v>0</v>
      </c>
      <c r="R21" s="354">
        <f>SUM(R18:R19)</f>
        <v>0</v>
      </c>
      <c r="S21" s="354">
        <f>SUM(S18:S19)</f>
        <v>0</v>
      </c>
      <c r="T21" s="368"/>
      <c r="U21" s="354">
        <f>SUM(U18:U19)</f>
        <v>177500</v>
      </c>
      <c r="V21" s="354">
        <f>SUM(V18:V19)</f>
        <v>309.89999999999998</v>
      </c>
      <c r="W21" s="354">
        <f>SUM(W18:W19)</f>
        <v>23322101.800000001</v>
      </c>
      <c r="X21" s="358">
        <f>SUM(X17:X20)</f>
        <v>0.53485063204313532</v>
      </c>
      <c r="Y21" s="359"/>
      <c r="Z21" s="355"/>
      <c r="AA21" s="355">
        <f>SUM(AA18:AA19)</f>
        <v>1449000</v>
      </c>
      <c r="AB21" s="359">
        <f>AA21/$AA$32</f>
        <v>9.9289759587217724E-2</v>
      </c>
      <c r="AC21" s="359"/>
      <c r="AD21" s="354">
        <f>SUM(AD18:AD19)</f>
        <v>-21519476.800000001</v>
      </c>
      <c r="AE21" s="354">
        <f>SUM(AE18:AE19)</f>
        <v>-353625</v>
      </c>
      <c r="AF21" s="354">
        <f>SUM(AF18:AF19)</f>
        <v>-21873101.800000001</v>
      </c>
      <c r="AG21" s="360">
        <f>AF21/W21</f>
        <v>-0.93787009368083629</v>
      </c>
      <c r="AH21" s="361"/>
      <c r="AI21" s="362">
        <f>SUM(AI18:AI20)</f>
        <v>0</v>
      </c>
      <c r="AJ21" s="354">
        <f>SUM(AJ18:AJ20)</f>
        <v>40968.75</v>
      </c>
      <c r="AL21" s="243"/>
    </row>
    <row r="22" spans="1:38" s="239" customFormat="1" ht="36" customHeight="1" x14ac:dyDescent="0.5">
      <c r="A22" s="290" t="s">
        <v>145</v>
      </c>
      <c r="C22" s="338"/>
      <c r="D22" s="350"/>
      <c r="E22" s="362"/>
      <c r="F22" s="354"/>
      <c r="G22" s="354"/>
      <c r="H22" s="241"/>
      <c r="I22" s="340"/>
      <c r="J22" s="241"/>
      <c r="K22" s="354"/>
      <c r="L22" s="354"/>
      <c r="M22" s="372"/>
      <c r="N22" s="343"/>
      <c r="O22" s="351"/>
      <c r="P22" s="372"/>
      <c r="Q22" s="373"/>
      <c r="R22" s="372"/>
      <c r="S22" s="374"/>
      <c r="T22" s="343"/>
      <c r="U22" s="354"/>
      <c r="V22" s="372"/>
      <c r="W22" s="372"/>
      <c r="X22" s="359"/>
      <c r="Y22" s="375"/>
      <c r="Z22" s="339"/>
      <c r="AA22" s="372"/>
      <c r="AB22" s="359"/>
      <c r="AC22" s="375"/>
      <c r="AD22" s="354"/>
      <c r="AE22" s="354"/>
      <c r="AF22" s="354"/>
      <c r="AG22" s="360"/>
      <c r="AH22" s="376"/>
      <c r="AI22" s="362"/>
      <c r="AJ22" s="354"/>
      <c r="AL22" s="243"/>
    </row>
    <row r="23" spans="1:38" s="239" customFormat="1" ht="34" customHeight="1" x14ac:dyDescent="0.5">
      <c r="A23" s="309"/>
      <c r="C23" s="338"/>
      <c r="D23" s="350"/>
      <c r="E23" s="377"/>
      <c r="F23" s="326"/>
      <c r="G23" s="326"/>
      <c r="H23" s="241"/>
      <c r="I23" s="340"/>
      <c r="J23" s="241"/>
      <c r="K23" s="326"/>
      <c r="L23" s="378"/>
      <c r="M23" s="379"/>
      <c r="N23" s="343"/>
      <c r="O23" s="351"/>
      <c r="P23" s="380"/>
      <c r="Q23" s="383"/>
      <c r="R23" s="379"/>
      <c r="S23" s="344"/>
      <c r="T23" s="343"/>
      <c r="U23" s="326"/>
      <c r="V23" s="331"/>
      <c r="W23" s="339"/>
      <c r="X23" s="347"/>
      <c r="Y23" s="375"/>
      <c r="Z23" s="339"/>
      <c r="AA23" s="351"/>
      <c r="AB23" s="347"/>
      <c r="AC23" s="375"/>
      <c r="AD23" s="326"/>
      <c r="AE23" s="349"/>
      <c r="AF23" s="349"/>
      <c r="AG23" s="337"/>
      <c r="AH23" s="376"/>
      <c r="AI23" s="349"/>
      <c r="AJ23" s="354"/>
      <c r="AK23" s="673"/>
      <c r="AL23" s="243"/>
    </row>
    <row r="24" spans="1:38" s="239" customFormat="1" ht="36" customHeight="1" x14ac:dyDescent="0.5">
      <c r="A24" s="309"/>
      <c r="C24" s="338"/>
      <c r="D24" s="339"/>
      <c r="E24" s="354">
        <f>SUM(E23)</f>
        <v>0</v>
      </c>
      <c r="F24" s="354">
        <f>SUM(F23)</f>
        <v>0</v>
      </c>
      <c r="G24" s="354">
        <f>SUM(G23)</f>
        <v>0</v>
      </c>
      <c r="H24" s="340"/>
      <c r="I24" s="340"/>
      <c r="J24" s="340"/>
      <c r="K24" s="354">
        <f>SUM(K23)</f>
        <v>0</v>
      </c>
      <c r="L24" s="371"/>
      <c r="M24" s="354">
        <f>SUM(M23)</f>
        <v>0</v>
      </c>
      <c r="N24" s="356"/>
      <c r="O24" s="354">
        <f>SUM(O23)</f>
        <v>0</v>
      </c>
      <c r="P24" s="381">
        <f>SUM(P23)</f>
        <v>0</v>
      </c>
      <c r="Q24" s="382">
        <f>SUM(Q23)</f>
        <v>0</v>
      </c>
      <c r="R24" s="354">
        <f>SUM(R23)</f>
        <v>0</v>
      </c>
      <c r="S24" s="371">
        <f>SUM(S23)</f>
        <v>0</v>
      </c>
      <c r="T24" s="368"/>
      <c r="U24" s="372">
        <f>SUM(U23)</f>
        <v>0</v>
      </c>
      <c r="V24" s="372">
        <f>SUM(V23)</f>
        <v>0</v>
      </c>
      <c r="W24" s="354">
        <f>SUM(W23)</f>
        <v>0</v>
      </c>
      <c r="X24" s="358">
        <f>SUM(X23)</f>
        <v>0</v>
      </c>
      <c r="Y24" s="359"/>
      <c r="Z24" s="339"/>
      <c r="AA24" s="372">
        <f>SUM(AA23)</f>
        <v>0</v>
      </c>
      <c r="AB24" s="359">
        <f>AA24/$AA$32</f>
        <v>0</v>
      </c>
      <c r="AC24" s="359"/>
      <c r="AD24" s="354">
        <f>SUM(AD22:AD23)</f>
        <v>0</v>
      </c>
      <c r="AE24" s="354">
        <f>SUM(AE22:AE23)</f>
        <v>0</v>
      </c>
      <c r="AF24" s="354">
        <f>SUM(AF22:AF23)</f>
        <v>0</v>
      </c>
      <c r="AG24" s="360">
        <v>0</v>
      </c>
      <c r="AH24" s="361"/>
      <c r="AI24" s="362"/>
      <c r="AJ24" s="354"/>
      <c r="AL24" s="243"/>
    </row>
    <row r="25" spans="1:38" s="239" customFormat="1" ht="36" customHeight="1" x14ac:dyDescent="0.5">
      <c r="A25" s="290" t="s">
        <v>169</v>
      </c>
      <c r="C25" s="338"/>
      <c r="D25" s="350"/>
      <c r="E25" s="362"/>
      <c r="F25" s="354"/>
      <c r="G25" s="354"/>
      <c r="H25" s="241"/>
      <c r="I25" s="340"/>
      <c r="J25" s="241"/>
      <c r="K25" s="354"/>
      <c r="L25" s="354"/>
      <c r="M25" s="372"/>
      <c r="N25" s="343"/>
      <c r="O25" s="351"/>
      <c r="P25" s="372"/>
      <c r="Q25" s="373"/>
      <c r="R25" s="372"/>
      <c r="S25" s="374"/>
      <c r="T25" s="343"/>
      <c r="U25" s="354"/>
      <c r="V25" s="372"/>
      <c r="W25" s="372"/>
      <c r="X25" s="359"/>
      <c r="Y25" s="375"/>
      <c r="Z25" s="339"/>
      <c r="AA25" s="372"/>
      <c r="AB25" s="359"/>
      <c r="AC25" s="375"/>
      <c r="AD25" s="354"/>
      <c r="AE25" s="354"/>
      <c r="AF25" s="354"/>
      <c r="AG25" s="360"/>
      <c r="AH25" s="376"/>
      <c r="AI25" s="362"/>
      <c r="AJ25" s="354"/>
      <c r="AL25" s="243"/>
    </row>
    <row r="26" spans="1:38" s="239" customFormat="1" ht="36" customHeight="1" x14ac:dyDescent="0.5">
      <c r="A26" s="309" t="s">
        <v>168</v>
      </c>
      <c r="C26" s="338"/>
      <c r="D26" s="350"/>
      <c r="E26" s="377">
        <v>20000</v>
      </c>
      <c r="F26" s="326">
        <v>5599676</v>
      </c>
      <c r="G26" s="326">
        <v>3300000</v>
      </c>
      <c r="H26" s="241"/>
      <c r="I26" s="340"/>
      <c r="J26" s="241"/>
      <c r="K26" s="326"/>
      <c r="L26" s="378"/>
      <c r="M26" s="379"/>
      <c r="N26" s="343"/>
      <c r="O26" s="351">
        <v>18370</v>
      </c>
      <c r="P26" s="379">
        <v>5143600</v>
      </c>
      <c r="Q26" s="819">
        <v>192</v>
      </c>
      <c r="R26" s="379">
        <v>3527040</v>
      </c>
      <c r="S26" s="326">
        <f>R26-P26</f>
        <v>-1616560</v>
      </c>
      <c r="T26" s="343"/>
      <c r="U26" s="326">
        <f>E26+I26+K26-O26</f>
        <v>1630</v>
      </c>
      <c r="V26" s="326">
        <f>ROUND(W26/U26,1)</f>
        <v>279.8</v>
      </c>
      <c r="W26" s="326">
        <f>F26+M26-P26</f>
        <v>456076</v>
      </c>
      <c r="X26" s="347">
        <f>W26/$W$32</f>
        <v>1.0459286172042392E-2</v>
      </c>
      <c r="Y26" s="375"/>
      <c r="Z26" s="339">
        <v>155</v>
      </c>
      <c r="AA26" s="351">
        <f>U26*Z26</f>
        <v>252650</v>
      </c>
      <c r="AB26" s="347">
        <f>AA26/$AA$32</f>
        <v>1.7312324195797486E-2</v>
      </c>
      <c r="AC26" s="375"/>
      <c r="AD26" s="326">
        <v>-2259676</v>
      </c>
      <c r="AE26" s="349">
        <f>AF26-AD26</f>
        <v>2056250</v>
      </c>
      <c r="AF26" s="349">
        <f>+AA26-W26</f>
        <v>-203426</v>
      </c>
      <c r="AG26" s="337">
        <f>AF26/W26</f>
        <v>-0.44603530990448959</v>
      </c>
      <c r="AH26" s="376"/>
      <c r="AI26" s="349"/>
      <c r="AJ26" s="349">
        <f>20000*3.75*0.95</f>
        <v>71250</v>
      </c>
      <c r="AL26" s="243"/>
    </row>
    <row r="27" spans="1:38" s="239" customFormat="1" ht="36" customHeight="1" x14ac:dyDescent="0.5">
      <c r="A27" s="309"/>
      <c r="C27" s="338"/>
      <c r="D27" s="339"/>
      <c r="E27" s="354">
        <f>SUM(E26)</f>
        <v>20000</v>
      </c>
      <c r="F27" s="354">
        <f>SUM(F26)</f>
        <v>5599676</v>
      </c>
      <c r="G27" s="354">
        <f>SUM(G26)</f>
        <v>3300000</v>
      </c>
      <c r="H27" s="340"/>
      <c r="I27" s="340"/>
      <c r="J27" s="340"/>
      <c r="K27" s="354">
        <f>SUM(K26)</f>
        <v>0</v>
      </c>
      <c r="L27" s="371"/>
      <c r="M27" s="354">
        <f>SUM(M26)</f>
        <v>0</v>
      </c>
      <c r="N27" s="356"/>
      <c r="O27" s="354">
        <f>SUM(O26)</f>
        <v>18370</v>
      </c>
      <c r="P27" s="354">
        <f>SUM(P26)</f>
        <v>5143600</v>
      </c>
      <c r="Q27" s="354">
        <f>SUM(Q26)</f>
        <v>192</v>
      </c>
      <c r="R27" s="354">
        <f>SUM(R26)</f>
        <v>3527040</v>
      </c>
      <c r="S27" s="354">
        <f>SUM(S26)</f>
        <v>-1616560</v>
      </c>
      <c r="T27" s="368"/>
      <c r="U27" s="372">
        <f>SUM(U26)</f>
        <v>1630</v>
      </c>
      <c r="V27" s="372">
        <f>SUM(V26)</f>
        <v>279.8</v>
      </c>
      <c r="W27" s="354">
        <f>SUM(W26)</f>
        <v>456076</v>
      </c>
      <c r="X27" s="358">
        <f>SUM(X26)</f>
        <v>1.0459286172042392E-2</v>
      </c>
      <c r="Y27" s="359"/>
      <c r="Z27" s="339"/>
      <c r="AA27" s="372">
        <f>SUM(AA26)</f>
        <v>252650</v>
      </c>
      <c r="AB27" s="359">
        <f>AA27/$AA$32</f>
        <v>1.7312324195797486E-2</v>
      </c>
      <c r="AC27" s="359"/>
      <c r="AD27" s="354">
        <f>SUM(AD25:AD26)</f>
        <v>-2259676</v>
      </c>
      <c r="AE27" s="354">
        <f>SUM(AE25:AE26)</f>
        <v>2056250</v>
      </c>
      <c r="AF27" s="354">
        <f>SUM(AF25:AF26)</f>
        <v>-203426</v>
      </c>
      <c r="AG27" s="360">
        <f>AF27/W27</f>
        <v>-0.44603530990448959</v>
      </c>
      <c r="AH27" s="361"/>
      <c r="AI27" s="362">
        <f>SUM(AI26)</f>
        <v>0</v>
      </c>
      <c r="AJ27" s="354">
        <f>SUM(AJ26)</f>
        <v>71250</v>
      </c>
      <c r="AL27" s="243"/>
    </row>
    <row r="28" spans="1:38" s="239" customFormat="1" ht="36" customHeight="1" x14ac:dyDescent="0.5">
      <c r="A28" s="290" t="s">
        <v>170</v>
      </c>
      <c r="C28" s="338"/>
      <c r="D28" s="350"/>
      <c r="E28" s="362"/>
      <c r="F28" s="354"/>
      <c r="G28" s="354"/>
      <c r="H28" s="241"/>
      <c r="I28" s="340"/>
      <c r="J28" s="241"/>
      <c r="K28" s="354"/>
      <c r="L28" s="354"/>
      <c r="M28" s="372"/>
      <c r="N28" s="343"/>
      <c r="O28" s="351"/>
      <c r="P28" s="372"/>
      <c r="Q28" s="373"/>
      <c r="R28" s="372"/>
      <c r="S28" s="374"/>
      <c r="T28" s="343"/>
      <c r="U28" s="354"/>
      <c r="V28" s="372"/>
      <c r="W28" s="372"/>
      <c r="X28" s="359"/>
      <c r="Y28" s="375"/>
      <c r="Z28" s="339"/>
      <c r="AA28" s="372"/>
      <c r="AB28" s="359"/>
      <c r="AC28" s="375"/>
      <c r="AD28" s="354"/>
      <c r="AE28" s="354"/>
      <c r="AF28" s="354"/>
      <c r="AG28" s="360"/>
      <c r="AH28" s="376"/>
      <c r="AI28" s="362"/>
      <c r="AJ28" s="354"/>
      <c r="AL28" s="243"/>
    </row>
    <row r="29" spans="1:38" s="239" customFormat="1" ht="36" customHeight="1" x14ac:dyDescent="0.5">
      <c r="A29" s="309"/>
      <c r="C29" s="338"/>
      <c r="D29" s="350"/>
      <c r="E29" s="377">
        <v>0</v>
      </c>
      <c r="F29" s="326">
        <v>0</v>
      </c>
      <c r="G29" s="326"/>
      <c r="H29" s="241"/>
      <c r="I29" s="340"/>
      <c r="J29" s="241"/>
      <c r="K29" s="326"/>
      <c r="L29" s="378"/>
      <c r="M29" s="379"/>
      <c r="N29" s="343"/>
      <c r="O29" s="351"/>
      <c r="P29" s="380"/>
      <c r="Q29" s="383"/>
      <c r="R29" s="379"/>
      <c r="S29" s="344">
        <f>R29-P29</f>
        <v>0</v>
      </c>
      <c r="T29" s="343"/>
      <c r="U29" s="326"/>
      <c r="V29" s="331"/>
      <c r="W29" s="339"/>
      <c r="X29" s="347"/>
      <c r="Y29" s="375"/>
      <c r="Z29" s="339"/>
      <c r="AA29" s="351">
        <f>U29*Z29</f>
        <v>0</v>
      </c>
      <c r="AB29" s="347"/>
      <c r="AC29" s="375"/>
      <c r="AD29" s="326"/>
      <c r="AE29" s="349">
        <f>AF29-AD29</f>
        <v>0</v>
      </c>
      <c r="AF29" s="349">
        <f>+AA29-W29</f>
        <v>0</v>
      </c>
      <c r="AG29" s="337"/>
      <c r="AH29" s="376"/>
      <c r="AI29" s="377"/>
      <c r="AJ29" s="326"/>
      <c r="AL29" s="243"/>
    </row>
    <row r="30" spans="1:38" s="239" customFormat="1" ht="36" customHeight="1" x14ac:dyDescent="0.5">
      <c r="A30" s="309"/>
      <c r="C30" s="338"/>
      <c r="D30" s="339"/>
      <c r="E30" s="354"/>
      <c r="F30" s="354"/>
      <c r="G30" s="354"/>
      <c r="H30" s="340"/>
      <c r="I30" s="340"/>
      <c r="J30" s="340"/>
      <c r="K30" s="354"/>
      <c r="L30" s="371"/>
      <c r="M30" s="354"/>
      <c r="N30" s="356"/>
      <c r="O30" s="354"/>
      <c r="P30" s="381"/>
      <c r="Q30" s="382"/>
      <c r="R30" s="354"/>
      <c r="S30" s="371"/>
      <c r="T30" s="368"/>
      <c r="U30" s="372"/>
      <c r="V30" s="733"/>
      <c r="W30" s="354"/>
      <c r="X30" s="358"/>
      <c r="Y30" s="359"/>
      <c r="Z30" s="339"/>
      <c r="AA30" s="372"/>
      <c r="AB30" s="359"/>
      <c r="AC30" s="359"/>
      <c r="AD30" s="354"/>
      <c r="AE30" s="354"/>
      <c r="AF30" s="354"/>
      <c r="AG30" s="360"/>
      <c r="AH30" s="361"/>
      <c r="AI30" s="362"/>
      <c r="AJ30" s="354"/>
      <c r="AL30" s="243"/>
    </row>
    <row r="31" spans="1:38" s="239" customFormat="1" ht="36" customHeight="1" x14ac:dyDescent="0.5">
      <c r="A31" s="255"/>
      <c r="C31" s="338"/>
      <c r="D31" s="350"/>
      <c r="E31" s="362"/>
      <c r="F31" s="354"/>
      <c r="G31" s="354"/>
      <c r="H31" s="241"/>
      <c r="I31" s="340"/>
      <c r="J31" s="241"/>
      <c r="K31" s="354"/>
      <c r="L31" s="371"/>
      <c r="M31" s="372"/>
      <c r="N31" s="343"/>
      <c r="O31" s="354"/>
      <c r="P31" s="733"/>
      <c r="Q31" s="382"/>
      <c r="R31" s="372"/>
      <c r="S31" s="374"/>
      <c r="T31" s="343"/>
      <c r="U31" s="400"/>
      <c r="V31" s="372"/>
      <c r="W31" s="372"/>
      <c r="X31" s="358"/>
      <c r="Y31" s="375"/>
      <c r="Z31" s="339"/>
      <c r="AA31" s="372"/>
      <c r="AB31" s="359"/>
      <c r="AC31" s="375"/>
      <c r="AD31" s="354"/>
      <c r="AE31" s="354"/>
      <c r="AF31" s="354"/>
      <c r="AG31" s="360"/>
      <c r="AH31" s="376"/>
      <c r="AI31" s="362"/>
      <c r="AJ31" s="354"/>
      <c r="AL31" s="243"/>
    </row>
    <row r="32" spans="1:38" s="239" customFormat="1" ht="36" customHeight="1" x14ac:dyDescent="0.5">
      <c r="A32" s="387"/>
      <c r="B32" s="276"/>
      <c r="C32" s="388"/>
      <c r="D32" s="389"/>
      <c r="E32" s="389">
        <f>E21+E15+E24+E27+E30</f>
        <v>637500</v>
      </c>
      <c r="F32" s="389">
        <f>F21+F15+F24+F27+F30</f>
        <v>48748487.799999997</v>
      </c>
      <c r="G32" s="389">
        <f>G21+G15+G24+G27+G30</f>
        <v>25483000</v>
      </c>
      <c r="H32" s="390"/>
      <c r="I32" s="391"/>
      <c r="J32" s="390"/>
      <c r="K32" s="389">
        <f>K21+K15+K24+K27+K30</f>
        <v>0</v>
      </c>
      <c r="L32" s="389">
        <f>L21+L15+L24+L27+L30</f>
        <v>0</v>
      </c>
      <c r="M32" s="389">
        <f>M21+M15+M24+M27+M30</f>
        <v>0</v>
      </c>
      <c r="N32" s="390"/>
      <c r="O32" s="389">
        <f>O21+O15+O24+O27+O30</f>
        <v>18370</v>
      </c>
      <c r="P32" s="389">
        <f>P21+P15+P24+P27+P30</f>
        <v>5143600</v>
      </c>
      <c r="Q32" s="389">
        <f>Q21+Q15+Q24+Q27+Q30</f>
        <v>192</v>
      </c>
      <c r="R32" s="389">
        <f>R21+R15+R24+R27+R30</f>
        <v>3527040</v>
      </c>
      <c r="S32" s="389">
        <f>S21+S15+S24+S27+S30</f>
        <v>-1616560</v>
      </c>
      <c r="T32" s="389"/>
      <c r="U32" s="389">
        <f>U21+U15+U24+U27+U30</f>
        <v>619130</v>
      </c>
      <c r="V32" s="389">
        <f>V21+V15+V24+V27+V30</f>
        <v>634.79999999999995</v>
      </c>
      <c r="W32" s="389">
        <f>W21+W15+W24+W27+W30</f>
        <v>43604887.799999997</v>
      </c>
      <c r="X32" s="537">
        <f>X21+X15+X24+X27+X30</f>
        <v>1</v>
      </c>
      <c r="Y32" s="389" t="e">
        <f>Y21+Y15+#REF!</f>
        <v>#REF!</v>
      </c>
      <c r="Z32" s="389"/>
      <c r="AA32" s="392">
        <f>AA30+AA27+AA24+AA21+AA15</f>
        <v>14593650</v>
      </c>
      <c r="AB32" s="537">
        <f>AB30+AB27+AB24+AB21+AB15</f>
        <v>1</v>
      </c>
      <c r="AC32" s="389" t="e">
        <f>AC21+AC15+#REF!</f>
        <v>#REF!</v>
      </c>
      <c r="AD32" s="389">
        <f>AD21+AD15+AD24+AD27+AD30</f>
        <v>-26863862.800000004</v>
      </c>
      <c r="AE32" s="389">
        <f>AE21+AE15+AE24+AE27+AE30</f>
        <v>-2147374.9999999981</v>
      </c>
      <c r="AF32" s="389">
        <f>AF21+AF15+AF24+AF27+AF30</f>
        <v>-29011237.800000001</v>
      </c>
      <c r="AG32" s="360">
        <f>AG21+AG15+AG24+AG27+AG30</f>
        <v>-1.733671451507548</v>
      </c>
      <c r="AH32" s="389" t="e">
        <f>AH21+AH15+#REF!</f>
        <v>#REF!</v>
      </c>
      <c r="AI32" s="389">
        <f>AI21+AI15+AI24+AI27+AI30</f>
        <v>0</v>
      </c>
      <c r="AJ32" s="389">
        <f>AJ21+AJ15+AJ24+AJ27+AJ30</f>
        <v>530218.75</v>
      </c>
      <c r="AL32" s="243"/>
    </row>
    <row r="34" spans="5:32" x14ac:dyDescent="0.35">
      <c r="E34" s="610">
        <f>E32-U32</f>
        <v>18370</v>
      </c>
      <c r="F34" s="394">
        <f>F32-W32</f>
        <v>5143600</v>
      </c>
      <c r="Z34" s="393" t="s">
        <v>43</v>
      </c>
      <c r="AA34" s="398"/>
      <c r="AE34" s="610"/>
      <c r="AF34" s="610"/>
    </row>
    <row r="35" spans="5:32" x14ac:dyDescent="0.35">
      <c r="AD35" s="555"/>
      <c r="AE35" s="634"/>
      <c r="AF35" s="555"/>
    </row>
    <row r="36" spans="5:32" x14ac:dyDescent="0.35">
      <c r="W36" s="585"/>
    </row>
    <row r="38" spans="5:32" x14ac:dyDescent="0.35">
      <c r="AB38" s="792"/>
      <c r="AD38" s="610"/>
      <c r="AE38" s="610"/>
      <c r="AF38" s="610"/>
    </row>
    <row r="39" spans="5:32" x14ac:dyDescent="0.35">
      <c r="AB39" s="793"/>
      <c r="AD39" s="398"/>
    </row>
    <row r="40" spans="5:32" x14ac:dyDescent="0.35">
      <c r="AB40" s="792"/>
      <c r="AC40" s="792"/>
      <c r="AD40" s="792"/>
      <c r="AE40" s="610"/>
    </row>
    <row r="41" spans="5:32" x14ac:dyDescent="0.35">
      <c r="AE41" s="633"/>
    </row>
    <row r="45" spans="5:32" x14ac:dyDescent="0.35">
      <c r="AB45" s="793"/>
    </row>
    <row r="46" spans="5:32" x14ac:dyDescent="0.35">
      <c r="AB46" s="793"/>
    </row>
    <row r="47" spans="5:32" x14ac:dyDescent="0.35">
      <c r="AB47" s="793"/>
    </row>
  </sheetData>
  <mergeCells count="11">
    <mergeCell ref="E8:G8"/>
    <mergeCell ref="K8:M8"/>
    <mergeCell ref="O8:S8"/>
    <mergeCell ref="U8:X9"/>
    <mergeCell ref="Z8:AB9"/>
    <mergeCell ref="AJ8:AJ10"/>
    <mergeCell ref="AD8:AD10"/>
    <mergeCell ref="AE8:AE10"/>
    <mergeCell ref="AF8:AF10"/>
    <mergeCell ref="AG8:AG10"/>
    <mergeCell ref="AI8:AI10"/>
  </mergeCells>
  <printOptions horizontalCentered="1"/>
  <pageMargins left="0.23622047244094491" right="0" top="1.0236220472440944" bottom="0.15748031496062992" header="0.78740157480314965" footer="0.15748031496062992"/>
  <pageSetup paperSize="9" scale="17" fitToHeight="0" orientation="landscape" r:id="rId1"/>
  <headerFooter alignWithMargins="0">
    <oddHeader>&amp;R&amp;"Arial,Bold"&amp;20Appendix 6A</oddHeader>
  </headerFooter>
  <colBreaks count="1" manualBreakCount="1">
    <brk id="37" max="38" man="1"/>
  </colBreak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>
    <pageSetUpPr fitToPage="1"/>
  </sheetPr>
  <dimension ref="A1:DN158"/>
  <sheetViews>
    <sheetView view="pageBreakPreview" topLeftCell="A7" zoomScale="47" zoomScaleNormal="100" zoomScaleSheetLayoutView="47" workbookViewId="0">
      <pane xSplit="1" ySplit="4" topLeftCell="T23" activePane="bottomRight" state="frozen"/>
      <selection activeCell="X36" sqref="X36"/>
      <selection pane="topRight" activeCell="X36" sqref="X36"/>
      <selection pane="bottomLeft" activeCell="X36" sqref="X36"/>
      <selection pane="bottomRight" activeCell="AF32" sqref="AF32"/>
    </sheetView>
  </sheetViews>
  <sheetFormatPr defaultColWidth="9.1796875" defaultRowHeight="15.5" x14ac:dyDescent="0.35"/>
  <cols>
    <col min="1" max="1" width="31.1796875" style="393" customWidth="1"/>
    <col min="2" max="2" width="7.81640625" style="393" customWidth="1"/>
    <col min="3" max="3" width="11.453125" style="393" customWidth="1"/>
    <col min="4" max="4" width="18.453125" style="393" hidden="1" customWidth="1"/>
    <col min="5" max="5" width="20" style="393" customWidth="1"/>
    <col min="6" max="6" width="24.453125" style="393" customWidth="1"/>
    <col min="7" max="7" width="21" style="393" customWidth="1"/>
    <col min="8" max="8" width="1.453125" style="393" customWidth="1"/>
    <col min="9" max="9" width="13.453125" style="1" customWidth="1"/>
    <col min="10" max="10" width="3.1796875" style="1" customWidth="1"/>
    <col min="11" max="11" width="19.453125" style="1" customWidth="1"/>
    <col min="12" max="12" width="18.453125" style="1" customWidth="1"/>
    <col min="13" max="13" width="28.453125" style="1" customWidth="1"/>
    <col min="14" max="14" width="3" style="1" customWidth="1"/>
    <col min="15" max="15" width="24.36328125" style="1" customWidth="1"/>
    <col min="16" max="16" width="25.54296875" style="1" customWidth="1"/>
    <col min="17" max="17" width="15.81640625" style="731" customWidth="1"/>
    <col min="18" max="18" width="24.1796875" style="1" customWidth="1"/>
    <col min="19" max="19" width="38.54296875" style="1" customWidth="1"/>
    <col min="20" max="20" width="3" style="1" customWidth="1"/>
    <col min="21" max="21" width="23.1796875" style="1" customWidth="1"/>
    <col min="22" max="22" width="24.81640625" style="1" customWidth="1"/>
    <col min="23" max="23" width="28.1796875" style="1" customWidth="1"/>
    <col min="24" max="24" width="20.453125" style="732" customWidth="1"/>
    <col min="25" max="25" width="0.1796875" style="732" customWidth="1"/>
    <col min="26" max="26" width="14.81640625" style="1" customWidth="1"/>
    <col min="27" max="27" width="25.54296875" style="1" bestFit="1" customWidth="1"/>
    <col min="28" max="28" width="20.54296875" style="732" customWidth="1"/>
    <col min="29" max="29" width="0.54296875" style="732" customWidth="1"/>
    <col min="30" max="30" width="25.54296875" style="1" customWidth="1"/>
    <col min="31" max="31" width="24.81640625" style="1" customWidth="1"/>
    <col min="32" max="32" width="29.54296875" style="1" customWidth="1"/>
    <col min="33" max="33" width="23.1796875" style="1" customWidth="1"/>
    <col min="34" max="34" width="2.453125" style="1" customWidth="1"/>
    <col min="35" max="36" width="29.54296875" style="1" customWidth="1"/>
    <col min="37" max="37" width="21" style="393" bestFit="1" customWidth="1"/>
    <col min="38" max="38" width="24.453125" style="1" bestFit="1" customWidth="1"/>
    <col min="39" max="39" width="11.453125" style="393" customWidth="1"/>
    <col min="40" max="16384" width="9.1796875" style="393"/>
  </cols>
  <sheetData>
    <row r="1" spans="1:118" s="239" customFormat="1" ht="36" customHeight="1" x14ac:dyDescent="0.5">
      <c r="I1" s="243"/>
      <c r="J1" s="243"/>
      <c r="K1" s="243"/>
      <c r="L1" s="243"/>
      <c r="M1" s="243"/>
      <c r="N1" s="243"/>
      <c r="O1" s="243"/>
      <c r="P1" s="243"/>
      <c r="Q1" s="687"/>
      <c r="R1" s="243"/>
      <c r="S1" s="243"/>
      <c r="T1" s="243"/>
      <c r="U1" s="243"/>
      <c r="V1" s="243"/>
      <c r="W1" s="243"/>
      <c r="X1" s="688"/>
      <c r="Y1" s="688"/>
      <c r="Z1" s="243"/>
      <c r="AA1" s="243"/>
      <c r="AB1" s="688"/>
      <c r="AC1" s="688"/>
      <c r="AD1" s="243"/>
      <c r="AE1" s="270"/>
      <c r="AF1" s="243"/>
      <c r="AG1" s="243"/>
      <c r="AH1" s="243"/>
      <c r="AI1" s="243"/>
      <c r="AJ1" s="243"/>
      <c r="AL1" s="243"/>
    </row>
    <row r="2" spans="1:118" s="239" customFormat="1" ht="36" customHeight="1" x14ac:dyDescent="0.5">
      <c r="A2" s="250" t="s">
        <v>16</v>
      </c>
      <c r="I2" s="243"/>
      <c r="J2" s="243"/>
      <c r="K2" s="243"/>
      <c r="L2" s="243"/>
      <c r="M2" s="243"/>
      <c r="N2" s="243"/>
      <c r="O2" s="243"/>
      <c r="P2" s="243"/>
      <c r="Q2" s="687"/>
      <c r="R2" s="243"/>
      <c r="S2" s="243"/>
      <c r="T2" s="243"/>
      <c r="U2" s="243"/>
      <c r="V2" s="243"/>
      <c r="W2" s="243"/>
      <c r="X2" s="243"/>
      <c r="Y2" s="688"/>
      <c r="Z2" s="243"/>
      <c r="AA2" s="243"/>
      <c r="AB2" s="688"/>
      <c r="AC2" s="688"/>
      <c r="AD2" s="243"/>
      <c r="AE2" s="270"/>
      <c r="AF2" s="243"/>
      <c r="AG2" s="243"/>
      <c r="AH2" s="243"/>
      <c r="AI2" s="243"/>
      <c r="AJ2" s="243"/>
      <c r="AL2" s="243"/>
    </row>
    <row r="3" spans="1:118" s="239" customFormat="1" ht="36" customHeight="1" x14ac:dyDescent="0.5">
      <c r="A3" s="250"/>
      <c r="I3" s="243"/>
      <c r="J3" s="243"/>
      <c r="K3" s="243"/>
      <c r="L3" s="243"/>
      <c r="M3" s="243"/>
      <c r="N3" s="243"/>
      <c r="O3" s="243"/>
      <c r="P3" s="243"/>
      <c r="Q3" s="687"/>
      <c r="R3" s="243"/>
      <c r="S3" s="243"/>
      <c r="T3" s="243"/>
      <c r="U3" s="243"/>
      <c r="V3" s="243"/>
      <c r="W3" s="243"/>
      <c r="X3" s="243"/>
      <c r="Y3" s="688"/>
      <c r="Z3" s="243"/>
      <c r="AA3" s="243"/>
      <c r="AB3" s="688"/>
      <c r="AC3" s="688"/>
      <c r="AD3" s="243"/>
      <c r="AE3" s="270"/>
      <c r="AF3" s="243"/>
      <c r="AG3" s="243"/>
      <c r="AH3" s="243"/>
      <c r="AI3" s="243"/>
      <c r="AJ3" s="243"/>
      <c r="AL3" s="243"/>
    </row>
    <row r="4" spans="1:118" s="239" customFormat="1" ht="36" customHeight="1" x14ac:dyDescent="0.5">
      <c r="A4" s="267" t="s">
        <v>14</v>
      </c>
      <c r="I4" s="243"/>
      <c r="J4" s="243"/>
      <c r="K4" s="243"/>
      <c r="L4" s="243"/>
      <c r="M4" s="243"/>
      <c r="N4" s="243"/>
      <c r="O4" s="243"/>
      <c r="P4" s="243"/>
      <c r="Q4" s="687"/>
      <c r="R4" s="243"/>
      <c r="S4" s="243"/>
      <c r="T4" s="243"/>
      <c r="U4" s="243"/>
      <c r="V4" s="243"/>
      <c r="W4" s="243"/>
      <c r="X4" s="688"/>
      <c r="Y4" s="688"/>
      <c r="Z4" s="243"/>
      <c r="AA4" s="243"/>
      <c r="AB4" s="688"/>
      <c r="AC4" s="688"/>
      <c r="AD4" s="243"/>
      <c r="AE4" s="270"/>
      <c r="AF4" s="243"/>
      <c r="AG4" s="243"/>
      <c r="AH4" s="243"/>
      <c r="AI4" s="243"/>
      <c r="AJ4" s="243"/>
      <c r="AL4" s="243"/>
    </row>
    <row r="5" spans="1:118" s="239" customFormat="1" ht="36" customHeight="1" x14ac:dyDescent="0.5">
      <c r="A5" s="268" t="str">
        <f>+'EQUITIES-GEN '!A5</f>
        <v xml:space="preserve">SCHEDULE OF INVESTMENT IN QUOTED SHARES </v>
      </c>
      <c r="I5" s="243"/>
      <c r="J5" s="243"/>
      <c r="K5" s="243"/>
      <c r="L5" s="243"/>
      <c r="M5" s="243"/>
      <c r="N5" s="243"/>
      <c r="O5" s="243"/>
      <c r="P5" s="243"/>
      <c r="Q5" s="687"/>
      <c r="R5" s="243"/>
      <c r="S5" s="243"/>
      <c r="T5" s="243"/>
      <c r="U5" s="243"/>
      <c r="V5" s="243"/>
      <c r="W5" s="243"/>
      <c r="X5" s="688"/>
      <c r="Y5" s="688"/>
      <c r="Z5" s="243"/>
      <c r="AA5" s="243"/>
      <c r="AB5" s="688"/>
      <c r="AC5" s="688"/>
      <c r="AD5" s="243"/>
      <c r="AE5" s="243"/>
      <c r="AF5" s="243"/>
      <c r="AG5" s="243"/>
      <c r="AH5" s="243"/>
      <c r="AI5" s="243"/>
      <c r="AJ5" s="243"/>
      <c r="AL5" s="243"/>
    </row>
    <row r="6" spans="1:118" s="239" customFormat="1" ht="36" customHeight="1" x14ac:dyDescent="0.5">
      <c r="A6" s="275" t="str">
        <f>DATE!A3</f>
        <v>AT 30TH JUNE 2023</v>
      </c>
      <c r="E6" s="255"/>
      <c r="I6" s="243"/>
      <c r="J6" s="243"/>
      <c r="K6" s="243"/>
      <c r="L6" s="243"/>
      <c r="M6" s="243"/>
      <c r="N6" s="243"/>
      <c r="O6" s="254"/>
      <c r="P6" s="254"/>
      <c r="Q6" s="689"/>
      <c r="R6" s="254"/>
      <c r="S6" s="254"/>
      <c r="T6" s="254"/>
      <c r="U6" s="254"/>
      <c r="V6" s="254"/>
      <c r="W6" s="254"/>
      <c r="X6" s="690"/>
      <c r="Y6" s="690"/>
      <c r="Z6" s="254"/>
      <c r="AA6" s="254"/>
      <c r="AB6" s="690"/>
      <c r="AC6" s="688"/>
      <c r="AD6" s="243"/>
      <c r="AE6" s="243"/>
      <c r="AF6" s="243"/>
      <c r="AG6" s="254"/>
      <c r="AH6" s="243"/>
      <c r="AI6" s="243"/>
      <c r="AJ6" s="243"/>
      <c r="AL6" s="243"/>
    </row>
    <row r="7" spans="1:118" s="239" customFormat="1" ht="36" customHeight="1" x14ac:dyDescent="0.5">
      <c r="A7" s="275"/>
      <c r="E7" s="255"/>
      <c r="I7" s="243"/>
      <c r="J7" s="243"/>
      <c r="K7" s="243"/>
      <c r="L7" s="243"/>
      <c r="M7" s="243"/>
      <c r="N7" s="243"/>
      <c r="O7" s="279"/>
      <c r="P7" s="279"/>
      <c r="Q7" s="691"/>
      <c r="R7" s="279"/>
      <c r="S7" s="279"/>
      <c r="T7" s="254"/>
      <c r="U7" s="254"/>
      <c r="V7" s="254"/>
      <c r="W7" s="254"/>
      <c r="X7" s="690"/>
      <c r="Y7" s="688"/>
      <c r="Z7" s="254"/>
      <c r="AA7" s="279"/>
      <c r="AB7" s="692"/>
      <c r="AC7" s="688"/>
      <c r="AD7" s="243"/>
      <c r="AE7" s="243"/>
      <c r="AF7" s="243"/>
      <c r="AG7" s="254"/>
      <c r="AH7" s="243"/>
      <c r="AI7" s="243"/>
      <c r="AJ7" s="243"/>
      <c r="AL7" s="243"/>
    </row>
    <row r="8" spans="1:118" s="239" customFormat="1" ht="36" customHeight="1" x14ac:dyDescent="0.5">
      <c r="A8" s="281"/>
      <c r="B8" s="282"/>
      <c r="C8" s="283"/>
      <c r="D8" s="284"/>
      <c r="E8" s="876" t="str">
        <f>+'EQUITIES-GEN '!E8:G8</f>
        <v>Balance b/f 01.01.2023</v>
      </c>
      <c r="F8" s="877"/>
      <c r="G8" s="878"/>
      <c r="H8" s="255"/>
      <c r="I8" s="693"/>
      <c r="J8" s="254"/>
      <c r="K8" s="899" t="s">
        <v>50</v>
      </c>
      <c r="L8" s="900"/>
      <c r="M8" s="901"/>
      <c r="N8" s="694"/>
      <c r="O8" s="899" t="s">
        <v>51</v>
      </c>
      <c r="P8" s="902"/>
      <c r="Q8" s="902"/>
      <c r="R8" s="902"/>
      <c r="S8" s="903"/>
      <c r="T8" s="695"/>
      <c r="U8" s="905" t="str">
        <f>+'EQUITIES-GEN '!U8:X9</f>
        <v>Balance at Cost as at 30.06.2023</v>
      </c>
      <c r="V8" s="906"/>
      <c r="W8" s="906"/>
      <c r="X8" s="907"/>
      <c r="Y8" s="696"/>
      <c r="Z8" s="910" t="str">
        <f>+'EQUITIES-GEN '!Z8:AB9</f>
        <v>Market Value as at  30.06.2023</v>
      </c>
      <c r="AA8" s="911"/>
      <c r="AB8" s="912"/>
      <c r="AC8" s="697"/>
      <c r="AD8" s="896" t="str">
        <f>+'EQUITIES-GEN '!AD8:AD10</f>
        <v>Appreciation/ (Diminuition) in value b/f 01.01.2023</v>
      </c>
      <c r="AE8" s="893" t="str">
        <f>+'EQUITIES-GEN '!AE8:AE10</f>
        <v>Movement between 01.01.2023 to 30.06.2023</v>
      </c>
      <c r="AF8" s="893" t="str">
        <f>+'EQUITIES-GEN '!AF8:AF10</f>
        <v>Appreciation/ (Diminuition) in value C/f  30.06.2023</v>
      </c>
      <c r="AG8" s="893" t="str">
        <f>+'EQUITIES-GEN '!AG8:AG10</f>
        <v>2023 Percentage Capital Gain/(Loss)</v>
      </c>
      <c r="AH8" s="270"/>
      <c r="AI8" s="896" t="str">
        <f>'EQUITIES-GEN '!AI8:AI10</f>
        <v>2023  Dividends Received</v>
      </c>
      <c r="AJ8" s="893" t="str">
        <f>'EQUITIES-GEN '!AJ8:AJ10</f>
        <v>2023 Dividends Receivable</v>
      </c>
      <c r="AK8"/>
      <c r="AL8" s="243"/>
    </row>
    <row r="9" spans="1:118" s="239" customFormat="1" ht="36" customHeight="1" x14ac:dyDescent="0.5">
      <c r="A9" s="290"/>
      <c r="C9" s="291" t="s">
        <v>52</v>
      </c>
      <c r="D9" s="292" t="s">
        <v>53</v>
      </c>
      <c r="E9" s="293" t="s">
        <v>54</v>
      </c>
      <c r="F9" s="294" t="s">
        <v>55</v>
      </c>
      <c r="G9" s="295" t="s">
        <v>56</v>
      </c>
      <c r="H9" s="248"/>
      <c r="I9" s="698" t="s">
        <v>57</v>
      </c>
      <c r="J9" s="270"/>
      <c r="K9" s="698" t="s">
        <v>58</v>
      </c>
      <c r="L9" s="698" t="s">
        <v>142</v>
      </c>
      <c r="M9" s="698" t="s">
        <v>55</v>
      </c>
      <c r="N9" s="699"/>
      <c r="O9" s="698" t="s">
        <v>58</v>
      </c>
      <c r="P9" s="698" t="s">
        <v>55</v>
      </c>
      <c r="Q9" s="896" t="s">
        <v>59</v>
      </c>
      <c r="R9" s="896" t="s">
        <v>60</v>
      </c>
      <c r="S9" s="893" t="s">
        <v>61</v>
      </c>
      <c r="T9" s="699"/>
      <c r="U9" s="908"/>
      <c r="V9" s="909"/>
      <c r="W9" s="909"/>
      <c r="X9" s="904"/>
      <c r="Y9" s="696"/>
      <c r="Z9" s="908"/>
      <c r="AA9" s="909"/>
      <c r="AB9" s="904"/>
      <c r="AC9" s="697"/>
      <c r="AD9" s="897"/>
      <c r="AE9" s="894"/>
      <c r="AF9" s="894"/>
      <c r="AG9" s="894"/>
      <c r="AH9" s="700"/>
      <c r="AI9" s="897"/>
      <c r="AJ9" s="895"/>
      <c r="AK9" s="325"/>
      <c r="AL9" s="243"/>
    </row>
    <row r="10" spans="1:118" s="239" customFormat="1" ht="41.25" customHeight="1" x14ac:dyDescent="0.5">
      <c r="A10" s="297" t="s">
        <v>62</v>
      </c>
      <c r="B10" s="298"/>
      <c r="C10" s="299" t="s">
        <v>63</v>
      </c>
      <c r="D10" s="300" t="str">
        <f>+'EQUITIES-GEN '!D10</f>
        <v>01.01.2016</v>
      </c>
      <c r="E10" s="301" t="s">
        <v>64</v>
      </c>
      <c r="F10" s="302" t="s">
        <v>65</v>
      </c>
      <c r="G10" s="303" t="s">
        <v>63</v>
      </c>
      <c r="H10" s="248"/>
      <c r="I10" s="701" t="s">
        <v>66</v>
      </c>
      <c r="J10" s="270"/>
      <c r="K10" s="701" t="s">
        <v>66</v>
      </c>
      <c r="L10" s="701" t="s">
        <v>143</v>
      </c>
      <c r="M10" s="701" t="s">
        <v>65</v>
      </c>
      <c r="N10" s="270"/>
      <c r="O10" s="701" t="s">
        <v>66</v>
      </c>
      <c r="P10" s="701" t="s">
        <v>65</v>
      </c>
      <c r="Q10" s="897"/>
      <c r="R10" s="898"/>
      <c r="S10" s="895"/>
      <c r="T10" s="698"/>
      <c r="U10" s="702" t="s">
        <v>67</v>
      </c>
      <c r="V10" s="703" t="s">
        <v>59</v>
      </c>
      <c r="W10" s="701" t="s">
        <v>68</v>
      </c>
      <c r="X10" s="704" t="s">
        <v>69</v>
      </c>
      <c r="Y10" s="705"/>
      <c r="Z10" s="706" t="s">
        <v>70</v>
      </c>
      <c r="AA10" s="814" t="s">
        <v>71</v>
      </c>
      <c r="AB10" s="701" t="s">
        <v>69</v>
      </c>
      <c r="AC10" s="704"/>
      <c r="AD10" s="898"/>
      <c r="AE10" s="904"/>
      <c r="AF10" s="904"/>
      <c r="AG10" s="895"/>
      <c r="AH10" s="698"/>
      <c r="AI10" s="898"/>
      <c r="AJ10" s="895"/>
      <c r="AK10" s="325"/>
      <c r="AL10" s="243"/>
    </row>
    <row r="11" spans="1:118" s="239" customFormat="1" ht="36" customHeight="1" x14ac:dyDescent="0.45">
      <c r="A11" s="309"/>
      <c r="C11" s="310"/>
      <c r="D11" s="311"/>
      <c r="E11" s="312"/>
      <c r="F11" s="314"/>
      <c r="G11" s="314"/>
      <c r="H11" s="273"/>
      <c r="I11" s="399"/>
      <c r="J11" s="689"/>
      <c r="K11" s="399"/>
      <c r="L11" s="707"/>
      <c r="M11" s="399"/>
      <c r="N11" s="689"/>
      <c r="O11" s="399"/>
      <c r="P11" s="399"/>
      <c r="Q11" s="708"/>
      <c r="R11" s="399"/>
      <c r="S11" s="399"/>
      <c r="T11" s="254"/>
      <c r="U11" s="399"/>
      <c r="V11" s="689"/>
      <c r="W11" s="399"/>
      <c r="X11" s="709"/>
      <c r="Y11" s="688"/>
      <c r="Z11" s="710"/>
      <c r="AA11" s="399"/>
      <c r="AB11" s="709"/>
      <c r="AC11" s="688"/>
      <c r="AD11" s="399"/>
      <c r="AE11" s="399"/>
      <c r="AF11" s="399"/>
      <c r="AG11" s="401"/>
      <c r="AH11" s="254"/>
      <c r="AI11" s="399"/>
      <c r="AJ11" s="399"/>
      <c r="AK11" s="255"/>
      <c r="AL11" s="533"/>
      <c r="AM11" s="255"/>
      <c r="AN11" s="255"/>
      <c r="AO11" s="255"/>
      <c r="AP11" s="255"/>
      <c r="AQ11" s="255"/>
      <c r="AR11" s="255"/>
      <c r="AS11" s="255"/>
      <c r="AT11" s="255"/>
      <c r="AU11" s="255"/>
      <c r="AV11" s="255"/>
      <c r="AW11" s="255"/>
      <c r="AX11" s="255"/>
      <c r="AY11" s="255"/>
      <c r="AZ11" s="255"/>
      <c r="BA11" s="255"/>
      <c r="BB11" s="255"/>
      <c r="BC11" s="255"/>
      <c r="BD11" s="255"/>
      <c r="BE11" s="255"/>
      <c r="BF11" s="255"/>
      <c r="BG11" s="255"/>
      <c r="BH11" s="255"/>
      <c r="BI11" s="255"/>
      <c r="BJ11" s="255"/>
      <c r="BK11" s="255"/>
      <c r="BL11" s="255"/>
      <c r="BM11" s="255"/>
      <c r="BN11" s="255"/>
      <c r="BO11" s="255"/>
      <c r="BP11" s="255"/>
      <c r="BQ11" s="255"/>
      <c r="BR11" s="255"/>
      <c r="BS11" s="255"/>
      <c r="BT11" s="255"/>
      <c r="BU11" s="255"/>
      <c r="BV11" s="255"/>
      <c r="BW11" s="255"/>
      <c r="BX11" s="255"/>
      <c r="BY11" s="255"/>
      <c r="BZ11" s="255"/>
      <c r="CA11" s="255"/>
      <c r="CB11" s="255"/>
      <c r="CC11" s="255"/>
      <c r="CD11" s="255"/>
      <c r="CE11" s="255"/>
      <c r="CF11" s="255"/>
      <c r="CG11" s="255"/>
      <c r="CH11" s="255"/>
      <c r="CI11" s="255"/>
      <c r="CJ11" s="255"/>
      <c r="CK11" s="255"/>
      <c r="CL11" s="255"/>
      <c r="CM11" s="255"/>
      <c r="CN11" s="255"/>
      <c r="CO11" s="255"/>
      <c r="CP11" s="255"/>
      <c r="CQ11" s="255"/>
      <c r="CR11" s="255"/>
      <c r="CS11" s="255"/>
      <c r="CT11" s="255"/>
      <c r="CU11" s="255"/>
      <c r="CV11" s="255"/>
      <c r="CW11" s="255"/>
      <c r="CX11" s="255"/>
      <c r="CY11" s="255"/>
      <c r="CZ11" s="255"/>
      <c r="DA11" s="255"/>
      <c r="DB11" s="255"/>
      <c r="DC11" s="255"/>
      <c r="DD11" s="255"/>
      <c r="DE11" s="255"/>
      <c r="DF11" s="255"/>
      <c r="DG11" s="255"/>
      <c r="DH11" s="255"/>
      <c r="DI11" s="255"/>
      <c r="DJ11" s="255"/>
      <c r="DK11" s="255"/>
      <c r="DL11" s="255"/>
      <c r="DM11" s="255"/>
      <c r="DN11" s="255"/>
    </row>
    <row r="12" spans="1:118" s="239" customFormat="1" ht="36" customHeight="1" x14ac:dyDescent="0.5">
      <c r="A12" s="290" t="s">
        <v>130</v>
      </c>
      <c r="C12" s="338"/>
      <c r="D12" s="350"/>
      <c r="E12" s="326"/>
      <c r="F12" s="326"/>
      <c r="G12" s="326"/>
      <c r="H12" s="341"/>
      <c r="I12" s="378"/>
      <c r="J12" s="378"/>
      <c r="K12" s="378"/>
      <c r="L12" s="378"/>
      <c r="M12" s="378"/>
      <c r="N12" s="711"/>
      <c r="O12" s="378"/>
      <c r="P12" s="378"/>
      <c r="Q12" s="712"/>
      <c r="R12" s="378"/>
      <c r="S12" s="378"/>
      <c r="T12" s="713"/>
      <c r="U12" s="378"/>
      <c r="V12" s="714"/>
      <c r="W12" s="352"/>
      <c r="X12" s="698"/>
      <c r="Y12" s="715"/>
      <c r="Z12" s="352"/>
      <c r="AA12" s="378"/>
      <c r="AB12" s="333"/>
      <c r="AC12" s="709"/>
      <c r="AD12" s="352"/>
      <c r="AE12" s="352"/>
      <c r="AF12" s="352"/>
      <c r="AG12" s="333"/>
      <c r="AH12" s="254"/>
      <c r="AI12" s="352"/>
      <c r="AJ12" s="378"/>
      <c r="AK12"/>
      <c r="AL12" s="533"/>
      <c r="AM12" s="255"/>
      <c r="AN12" s="255"/>
      <c r="AO12" s="255"/>
      <c r="AP12" s="255"/>
      <c r="AQ12" s="255"/>
      <c r="AR12" s="255"/>
      <c r="AS12" s="255"/>
      <c r="AT12" s="255"/>
      <c r="AU12" s="255"/>
      <c r="AV12" s="255"/>
      <c r="AW12" s="255"/>
      <c r="AX12" s="255"/>
      <c r="AY12" s="255"/>
      <c r="AZ12" s="255"/>
      <c r="BA12" s="255"/>
      <c r="BB12" s="255"/>
      <c r="BC12" s="255"/>
      <c r="BD12" s="255"/>
      <c r="BE12" s="255"/>
      <c r="BF12" s="255"/>
      <c r="BG12" s="255"/>
      <c r="BH12" s="255"/>
      <c r="BI12" s="255"/>
      <c r="BJ12" s="255"/>
      <c r="BK12" s="255"/>
      <c r="BL12" s="255"/>
      <c r="BM12" s="255"/>
      <c r="BN12" s="255"/>
      <c r="BO12" s="255"/>
      <c r="BP12" s="255"/>
      <c r="BQ12" s="255"/>
      <c r="BR12" s="255"/>
      <c r="BS12" s="255"/>
      <c r="BT12" s="255"/>
      <c r="BU12" s="255"/>
      <c r="BV12" s="255"/>
      <c r="BW12" s="255"/>
      <c r="BX12" s="255"/>
      <c r="BY12" s="255"/>
      <c r="BZ12" s="255"/>
      <c r="CA12" s="255"/>
      <c r="CB12" s="255"/>
      <c r="CC12" s="255"/>
      <c r="CD12" s="255"/>
      <c r="CE12" s="255"/>
      <c r="CF12" s="255"/>
      <c r="CG12" s="255"/>
      <c r="CH12" s="255"/>
      <c r="CI12" s="255"/>
      <c r="CJ12" s="255"/>
      <c r="CK12" s="255"/>
      <c r="CL12" s="255"/>
      <c r="CM12" s="255"/>
      <c r="CN12" s="255"/>
      <c r="CO12" s="255"/>
      <c r="CP12" s="255"/>
      <c r="CQ12" s="255"/>
      <c r="CR12" s="255"/>
      <c r="CS12" s="255"/>
      <c r="CT12" s="255"/>
      <c r="CU12" s="255"/>
      <c r="CV12" s="255"/>
      <c r="CW12" s="255"/>
      <c r="CX12" s="255"/>
      <c r="CY12" s="255"/>
      <c r="CZ12" s="255"/>
      <c r="DA12" s="255"/>
      <c r="DB12" s="255"/>
      <c r="DC12" s="255"/>
      <c r="DD12" s="255"/>
      <c r="DE12" s="255"/>
      <c r="DF12" s="255"/>
      <c r="DG12" s="255"/>
      <c r="DH12" s="255"/>
      <c r="DI12" s="255"/>
      <c r="DJ12" s="255"/>
      <c r="DK12" s="255"/>
      <c r="DL12" s="255"/>
      <c r="DM12" s="255"/>
      <c r="DN12" s="255"/>
    </row>
    <row r="13" spans="1:118" s="239" customFormat="1" ht="36" customHeight="1" x14ac:dyDescent="0.5">
      <c r="A13" s="309" t="s">
        <v>49</v>
      </c>
      <c r="C13" s="338"/>
      <c r="D13" s="350"/>
      <c r="E13" s="326">
        <v>220000</v>
      </c>
      <c r="F13" s="326">
        <v>9913354</v>
      </c>
      <c r="G13" s="326">
        <v>9999000</v>
      </c>
      <c r="H13" s="341"/>
      <c r="I13" s="378"/>
      <c r="J13" s="378"/>
      <c r="K13" s="378"/>
      <c r="L13" s="378"/>
      <c r="M13" s="378"/>
      <c r="N13" s="711"/>
      <c r="O13" s="378"/>
      <c r="P13" s="378"/>
      <c r="Q13" s="716"/>
      <c r="R13" s="378"/>
      <c r="S13" s="378">
        <f>R13-P13</f>
        <v>0</v>
      </c>
      <c r="T13" s="713"/>
      <c r="U13" s="326">
        <f>E13+I13+K13-O13</f>
        <v>220000</v>
      </c>
      <c r="V13" s="717">
        <f>W13/U13</f>
        <v>45.060699999999997</v>
      </c>
      <c r="W13" s="326">
        <f>F13+M13-P13</f>
        <v>9913354</v>
      </c>
      <c r="X13" s="333">
        <f>W13/W$32</f>
        <v>0.76236355161198244</v>
      </c>
      <c r="Y13" s="715"/>
      <c r="Z13" s="352">
        <f>'EQUITIES-GEN '!Z13</f>
        <v>29.3</v>
      </c>
      <c r="AA13" s="326">
        <f>Z13*U13</f>
        <v>6446000</v>
      </c>
      <c r="AB13" s="333">
        <f>AA13/AA$32</f>
        <v>0.9223790683198706</v>
      </c>
      <c r="AC13" s="709"/>
      <c r="AD13" s="326">
        <v>-1542354.0000000009</v>
      </c>
      <c r="AE13" s="326">
        <f>AF13-AD13</f>
        <v>-1924999.9999999991</v>
      </c>
      <c r="AF13" s="326">
        <f>+AA13-W13</f>
        <v>-3467354</v>
      </c>
      <c r="AG13" s="333">
        <f>AF13/W13</f>
        <v>-0.34976598233050088</v>
      </c>
      <c r="AH13" s="254"/>
      <c r="AI13" s="378"/>
      <c r="AJ13" s="378">
        <f>U13*1*0.95</f>
        <v>209000</v>
      </c>
      <c r="AK13"/>
      <c r="AL13" s="533"/>
      <c r="AM13" s="255"/>
      <c r="AN13" s="255"/>
      <c r="AO13" s="255"/>
      <c r="AP13" s="255"/>
      <c r="AQ13" s="255"/>
      <c r="AR13" s="255"/>
      <c r="AS13" s="255"/>
      <c r="AT13" s="255"/>
      <c r="AU13" s="255"/>
      <c r="AV13" s="255"/>
      <c r="AW13" s="255"/>
      <c r="AX13" s="255"/>
      <c r="AY13" s="255"/>
      <c r="AZ13" s="255"/>
      <c r="BA13" s="255"/>
      <c r="BB13" s="255"/>
      <c r="BC13" s="255"/>
      <c r="BD13" s="255"/>
      <c r="BE13" s="255"/>
      <c r="BF13" s="255"/>
      <c r="BG13" s="255"/>
      <c r="BH13" s="255"/>
      <c r="BI13" s="255"/>
      <c r="BJ13" s="255"/>
      <c r="BK13" s="255"/>
      <c r="BL13" s="255"/>
      <c r="BM13" s="255"/>
      <c r="BN13" s="255"/>
      <c r="BO13" s="255"/>
      <c r="BP13" s="255"/>
      <c r="BQ13" s="255"/>
      <c r="BR13" s="255"/>
      <c r="BS13" s="255"/>
      <c r="BT13" s="255"/>
      <c r="BU13" s="255"/>
      <c r="BV13" s="255"/>
      <c r="BW13" s="255"/>
      <c r="BX13" s="255"/>
      <c r="BY13" s="255"/>
      <c r="BZ13" s="255"/>
      <c r="CA13" s="255"/>
      <c r="CB13" s="255"/>
      <c r="CC13" s="255"/>
      <c r="CD13" s="255"/>
      <c r="CE13" s="255"/>
      <c r="CF13" s="255"/>
      <c r="CG13" s="255"/>
      <c r="CH13" s="255"/>
      <c r="CI13" s="255"/>
      <c r="CJ13" s="255"/>
      <c r="CK13" s="255"/>
      <c r="CL13" s="255"/>
      <c r="CM13" s="255"/>
      <c r="CN13" s="255"/>
      <c r="CO13" s="255"/>
      <c r="CP13" s="255"/>
      <c r="CQ13" s="255"/>
      <c r="CR13" s="255"/>
      <c r="CS13" s="255"/>
      <c r="CT13" s="255"/>
      <c r="CU13" s="255"/>
      <c r="CV13" s="255"/>
      <c r="CW13" s="255"/>
      <c r="CX13" s="255"/>
      <c r="CY13" s="255"/>
      <c r="CZ13" s="255"/>
      <c r="DA13" s="255"/>
      <c r="DB13" s="255"/>
      <c r="DC13" s="255"/>
      <c r="DD13" s="255"/>
      <c r="DE13" s="255"/>
      <c r="DF13" s="255"/>
      <c r="DG13" s="255"/>
      <c r="DH13" s="255"/>
      <c r="DI13" s="255"/>
      <c r="DJ13" s="255"/>
      <c r="DK13" s="255"/>
      <c r="DL13" s="255"/>
      <c r="DM13" s="255"/>
      <c r="DN13" s="255"/>
    </row>
    <row r="14" spans="1:118" s="239" customFormat="1" ht="36" customHeight="1" x14ac:dyDescent="0.45">
      <c r="A14" s="309"/>
      <c r="C14" s="338"/>
      <c r="D14" s="350"/>
      <c r="E14" s="326"/>
      <c r="F14" s="326"/>
      <c r="G14" s="326"/>
      <c r="H14" s="341"/>
      <c r="I14" s="378"/>
      <c r="J14" s="378"/>
      <c r="K14" s="378"/>
      <c r="L14" s="378"/>
      <c r="M14" s="378"/>
      <c r="N14" s="711"/>
      <c r="O14" s="378"/>
      <c r="P14" s="378"/>
      <c r="Q14" s="716"/>
      <c r="R14" s="378"/>
      <c r="S14" s="378"/>
      <c r="T14" s="713"/>
      <c r="U14" s="378"/>
      <c r="V14" s="717"/>
      <c r="W14" s="352"/>
      <c r="X14" s="333"/>
      <c r="Y14" s="709"/>
      <c r="Z14" s="352"/>
      <c r="AA14" s="378"/>
      <c r="AB14" s="333"/>
      <c r="AC14" s="709"/>
      <c r="AD14" s="352"/>
      <c r="AE14" s="352"/>
      <c r="AF14" s="352"/>
      <c r="AG14" s="333"/>
      <c r="AH14" s="719"/>
      <c r="AI14" s="352"/>
      <c r="AJ14" s="401"/>
      <c r="AK14"/>
      <c r="AL14"/>
      <c r="AM14" s="255"/>
      <c r="AN14" s="255"/>
      <c r="AO14" s="255"/>
      <c r="AP14" s="255"/>
      <c r="AQ14" s="255"/>
      <c r="AR14" s="255"/>
      <c r="AS14" s="255"/>
      <c r="AT14" s="255"/>
      <c r="AU14" s="255"/>
      <c r="AV14" s="255"/>
      <c r="AW14" s="255"/>
      <c r="AX14" s="255"/>
      <c r="AY14" s="255"/>
      <c r="AZ14" s="255"/>
      <c r="BA14" s="255"/>
      <c r="BB14" s="255"/>
      <c r="BC14" s="255"/>
      <c r="BD14" s="255"/>
      <c r="BE14" s="255"/>
      <c r="BF14" s="255"/>
      <c r="BG14" s="255"/>
      <c r="BH14" s="255"/>
      <c r="BI14" s="255"/>
      <c r="BJ14" s="255"/>
      <c r="BK14" s="255"/>
      <c r="BL14" s="255"/>
      <c r="BM14" s="255"/>
      <c r="BN14" s="255"/>
      <c r="BO14" s="255"/>
      <c r="BP14" s="255"/>
      <c r="BQ14" s="255"/>
      <c r="BR14" s="255"/>
      <c r="BS14" s="255"/>
      <c r="BT14" s="255"/>
      <c r="BU14" s="255"/>
      <c r="BV14" s="255"/>
      <c r="BW14" s="255"/>
      <c r="BX14" s="255"/>
      <c r="BY14" s="255"/>
      <c r="BZ14" s="255"/>
      <c r="CA14" s="255"/>
      <c r="CB14" s="255"/>
      <c r="CC14" s="255"/>
      <c r="CD14" s="255"/>
      <c r="CE14" s="255"/>
      <c r="CF14" s="255"/>
      <c r="CG14" s="255"/>
      <c r="CH14" s="255"/>
      <c r="CI14" s="255"/>
      <c r="CJ14" s="255"/>
      <c r="CK14" s="255"/>
      <c r="CL14" s="255"/>
      <c r="CM14" s="255"/>
      <c r="CN14" s="255"/>
      <c r="CO14" s="255"/>
      <c r="CP14" s="255"/>
      <c r="CQ14" s="255"/>
      <c r="CR14" s="255"/>
      <c r="CS14" s="255"/>
      <c r="CT14" s="255"/>
      <c r="CU14" s="255"/>
      <c r="CV14" s="255"/>
      <c r="CW14" s="255"/>
      <c r="CX14" s="255"/>
      <c r="CY14" s="255"/>
      <c r="CZ14" s="255"/>
      <c r="DA14" s="255"/>
      <c r="DB14" s="255"/>
      <c r="DC14" s="255"/>
      <c r="DD14" s="255"/>
      <c r="DE14" s="255"/>
      <c r="DF14" s="255"/>
      <c r="DG14" s="255"/>
      <c r="DH14" s="255"/>
      <c r="DI14" s="255"/>
      <c r="DJ14" s="255"/>
      <c r="DK14" s="255"/>
      <c r="DL14" s="255"/>
      <c r="DM14" s="255"/>
      <c r="DN14" s="255"/>
    </row>
    <row r="15" spans="1:118" s="239" customFormat="1" ht="36" customHeight="1" x14ac:dyDescent="0.5">
      <c r="A15" s="309"/>
      <c r="C15" s="338"/>
      <c r="D15" s="339"/>
      <c r="E15" s="354">
        <f>SUM(E13:E13)</f>
        <v>220000</v>
      </c>
      <c r="F15" s="354">
        <f>SUM(F13:F13)</f>
        <v>9913354</v>
      </c>
      <c r="G15" s="354">
        <f>SUM(G13:G13)</f>
        <v>9999000</v>
      </c>
      <c r="H15" s="340"/>
      <c r="I15" s="378"/>
      <c r="J15" s="378"/>
      <c r="K15" s="371">
        <f>SUM(K13:K13)</f>
        <v>0</v>
      </c>
      <c r="L15" s="371">
        <v>0</v>
      </c>
      <c r="M15" s="371">
        <f>SUM(M13:M13)</f>
        <v>0</v>
      </c>
      <c r="N15" s="635"/>
      <c r="O15" s="371">
        <f>SUM(O13:O13)</f>
        <v>0</v>
      </c>
      <c r="P15" s="371">
        <f>SUM(P13:P13)</f>
        <v>0</v>
      </c>
      <c r="Q15" s="720">
        <f>SUM(Q13:Q14)</f>
        <v>0</v>
      </c>
      <c r="R15" s="371">
        <f>SUM(R13:R13)</f>
        <v>0</v>
      </c>
      <c r="S15" s="371">
        <f>SUM(S13:S13)</f>
        <v>0</v>
      </c>
      <c r="T15" s="713"/>
      <c r="U15" s="354">
        <f>SUM(U13:U14)</f>
        <v>220000</v>
      </c>
      <c r="V15" s="717"/>
      <c r="W15" s="354">
        <f>SUM(W13:W14)</f>
        <v>9913354</v>
      </c>
      <c r="X15" s="698">
        <f>W15/W$32</f>
        <v>0.76236355161198244</v>
      </c>
      <c r="Y15" s="721"/>
      <c r="Z15" s="352"/>
      <c r="AA15" s="354">
        <f>SUM(AA13:AA14)</f>
        <v>6446000</v>
      </c>
      <c r="AB15" s="698">
        <f>SUM(AB13:AB14)</f>
        <v>0.9223790683198706</v>
      </c>
      <c r="AC15" s="721"/>
      <c r="AD15" s="354">
        <f>SUM(AD13:AD14)</f>
        <v>-1542354.0000000009</v>
      </c>
      <c r="AE15" s="354">
        <f>SUM(AE13:AE14)</f>
        <v>-1924999.9999999991</v>
      </c>
      <c r="AF15" s="354">
        <f>SUM(AF13:AF14)</f>
        <v>-3467354</v>
      </c>
      <c r="AG15" s="698">
        <f>SUM(AG14:AG14)</f>
        <v>0</v>
      </c>
      <c r="AH15" s="371">
        <f>SUM(AH13:AH14)</f>
        <v>0</v>
      </c>
      <c r="AI15" s="371">
        <f>SUM(AI13:AI14)</f>
        <v>0</v>
      </c>
      <c r="AJ15" s="371">
        <f>SUM(AJ13:AJ14)</f>
        <v>209000</v>
      </c>
      <c r="AK15" s="254"/>
      <c r="AL15" s="254"/>
      <c r="AM15" s="255"/>
      <c r="AN15" s="255"/>
      <c r="AO15" s="255"/>
      <c r="AP15" s="255"/>
      <c r="AQ15" s="255"/>
      <c r="AR15" s="255"/>
      <c r="AS15" s="255"/>
      <c r="AT15" s="255"/>
      <c r="AU15" s="255"/>
      <c r="AV15" s="255"/>
      <c r="AW15" s="255"/>
      <c r="AX15" s="255"/>
      <c r="AY15" s="255"/>
      <c r="AZ15" s="255"/>
      <c r="BA15" s="255"/>
      <c r="BB15" s="255"/>
      <c r="BC15" s="255"/>
      <c r="BD15" s="255"/>
      <c r="BE15" s="255"/>
      <c r="BF15" s="255"/>
      <c r="BG15" s="255"/>
      <c r="BH15" s="255"/>
      <c r="BI15" s="255"/>
      <c r="BJ15" s="255"/>
      <c r="BK15" s="255"/>
      <c r="BL15" s="255"/>
      <c r="BM15" s="255"/>
      <c r="BN15" s="255"/>
      <c r="BO15" s="255"/>
      <c r="BP15" s="255"/>
      <c r="BQ15" s="255"/>
      <c r="BR15" s="255"/>
      <c r="BS15" s="255"/>
      <c r="BT15" s="255"/>
      <c r="BU15" s="255"/>
      <c r="BV15" s="255"/>
      <c r="BW15" s="255"/>
      <c r="BX15" s="255"/>
      <c r="BY15" s="255"/>
      <c r="BZ15" s="255"/>
      <c r="CA15" s="255"/>
      <c r="CB15" s="255"/>
      <c r="CC15" s="255"/>
      <c r="CD15" s="255"/>
      <c r="CE15" s="255"/>
      <c r="CF15" s="255"/>
      <c r="CG15" s="255"/>
      <c r="CH15" s="255"/>
      <c r="CI15" s="255"/>
      <c r="CJ15" s="255"/>
      <c r="CK15" s="255"/>
      <c r="CL15" s="255"/>
      <c r="CM15" s="255"/>
      <c r="CN15" s="255"/>
      <c r="CO15" s="255"/>
      <c r="CP15" s="255"/>
      <c r="CQ15" s="255"/>
      <c r="CR15" s="255"/>
      <c r="CS15" s="255"/>
      <c r="CT15" s="255"/>
      <c r="CU15" s="255"/>
      <c r="CV15" s="255"/>
      <c r="CW15" s="255"/>
      <c r="CX15" s="255"/>
      <c r="CY15" s="255"/>
      <c r="CZ15" s="255"/>
      <c r="DA15" s="255"/>
      <c r="DB15" s="255"/>
      <c r="DC15" s="255"/>
      <c r="DD15" s="255"/>
      <c r="DE15" s="255"/>
      <c r="DF15" s="255"/>
      <c r="DG15" s="255"/>
      <c r="DH15" s="255"/>
      <c r="DI15" s="255"/>
      <c r="DJ15" s="255"/>
      <c r="DK15" s="255"/>
      <c r="DL15" s="255"/>
      <c r="DM15" s="255"/>
      <c r="DN15" s="255"/>
    </row>
    <row r="16" spans="1:118" s="239" customFormat="1" ht="36" customHeight="1" x14ac:dyDescent="0.5">
      <c r="A16" s="290" t="s">
        <v>129</v>
      </c>
      <c r="C16" s="310"/>
      <c r="D16" s="328"/>
      <c r="E16" s="326"/>
      <c r="F16" s="326"/>
      <c r="G16" s="326"/>
      <c r="H16" s="328"/>
      <c r="I16" s="333"/>
      <c r="J16" s="333"/>
      <c r="K16" s="333"/>
      <c r="L16" s="378"/>
      <c r="M16" s="401"/>
      <c r="N16" s="254"/>
      <c r="O16" s="710"/>
      <c r="P16" s="402"/>
      <c r="Q16" s="712"/>
      <c r="R16" s="402"/>
      <c r="S16" s="386"/>
      <c r="T16" s="722"/>
      <c r="U16" s="333"/>
      <c r="V16" s="717"/>
      <c r="W16" s="401"/>
      <c r="X16" s="698"/>
      <c r="Y16" s="721"/>
      <c r="Z16" s="710"/>
      <c r="AA16" s="401"/>
      <c r="AB16" s="333"/>
      <c r="AC16" s="723"/>
      <c r="AD16" s="401"/>
      <c r="AE16" s="401"/>
      <c r="AF16" s="401"/>
      <c r="AG16" s="333"/>
      <c r="AH16" s="718"/>
      <c r="AI16" s="401"/>
      <c r="AJ16" s="401"/>
      <c r="AK16"/>
      <c r="AL16"/>
      <c r="AM16" s="255"/>
      <c r="AN16" s="255"/>
      <c r="AO16" s="255"/>
      <c r="AP16" s="255"/>
      <c r="AQ16" s="255"/>
      <c r="AR16" s="255"/>
      <c r="AS16" s="255"/>
      <c r="AT16" s="255"/>
      <c r="AU16" s="255"/>
      <c r="AV16" s="255"/>
      <c r="AW16" s="255"/>
      <c r="AX16" s="255"/>
      <c r="AY16" s="255"/>
      <c r="AZ16" s="255"/>
      <c r="BA16" s="255"/>
      <c r="BB16" s="255"/>
      <c r="BC16" s="255"/>
      <c r="BD16" s="255"/>
      <c r="BE16" s="255"/>
      <c r="BF16" s="255"/>
      <c r="BG16" s="255"/>
      <c r="BH16" s="255"/>
      <c r="BI16" s="255"/>
      <c r="BJ16" s="255"/>
      <c r="BK16" s="255"/>
      <c r="BL16" s="255"/>
      <c r="BM16" s="255"/>
      <c r="BN16" s="255"/>
      <c r="BO16" s="255"/>
      <c r="BP16" s="255"/>
      <c r="BQ16" s="255"/>
      <c r="BR16" s="255"/>
      <c r="BS16" s="255"/>
      <c r="BT16" s="255"/>
      <c r="BU16" s="255"/>
      <c r="BV16" s="255"/>
      <c r="BW16" s="255"/>
      <c r="BX16" s="255"/>
      <c r="BY16" s="255"/>
      <c r="BZ16" s="255"/>
      <c r="CA16" s="255"/>
      <c r="CB16" s="255"/>
      <c r="CC16" s="255"/>
      <c r="CD16" s="255"/>
      <c r="CE16" s="255"/>
      <c r="CF16" s="255"/>
      <c r="CG16" s="255"/>
      <c r="CH16" s="255"/>
      <c r="CI16" s="255"/>
      <c r="CJ16" s="255"/>
      <c r="CK16" s="255"/>
      <c r="CL16" s="255"/>
      <c r="CM16" s="255"/>
      <c r="CN16" s="255"/>
      <c r="CO16" s="255"/>
      <c r="CP16" s="255"/>
      <c r="CQ16" s="255"/>
      <c r="CR16" s="255"/>
      <c r="CS16" s="255"/>
      <c r="CT16" s="255"/>
      <c r="CU16" s="255"/>
      <c r="CV16" s="255"/>
      <c r="CW16" s="255"/>
      <c r="CX16" s="255"/>
      <c r="CY16" s="255"/>
      <c r="CZ16" s="255"/>
      <c r="DA16" s="255"/>
      <c r="DB16" s="255"/>
      <c r="DC16" s="255"/>
      <c r="DD16" s="255"/>
      <c r="DE16" s="255"/>
      <c r="DF16" s="255"/>
      <c r="DG16" s="255"/>
      <c r="DH16" s="255"/>
      <c r="DI16" s="255"/>
      <c r="DJ16" s="255"/>
      <c r="DK16" s="255"/>
      <c r="DL16" s="255"/>
      <c r="DM16" s="255"/>
      <c r="DN16" s="255"/>
    </row>
    <row r="17" spans="1:118" s="239" customFormat="1" ht="36" customHeight="1" x14ac:dyDescent="0.45">
      <c r="A17" s="309" t="s">
        <v>128</v>
      </c>
      <c r="C17" s="338"/>
      <c r="D17" s="339"/>
      <c r="E17" s="340">
        <v>11500</v>
      </c>
      <c r="F17" s="326">
        <v>2545746</v>
      </c>
      <c r="G17" s="326">
        <v>437000</v>
      </c>
      <c r="H17" s="340"/>
      <c r="I17" s="378"/>
      <c r="J17" s="378"/>
      <c r="K17" s="378"/>
      <c r="L17" s="378"/>
      <c r="M17" s="364"/>
      <c r="N17" s="719"/>
      <c r="O17" s="352"/>
      <c r="P17" s="403"/>
      <c r="Q17" s="717"/>
      <c r="R17" s="403"/>
      <c r="S17" s="378"/>
      <c r="T17" s="719"/>
      <c r="U17" s="326">
        <f>E17+I17+K17-O17</f>
        <v>11500</v>
      </c>
      <c r="V17" s="717">
        <f>W17/U17</f>
        <v>221.36921739130435</v>
      </c>
      <c r="W17" s="326">
        <f>F17+M17-P17</f>
        <v>2545746</v>
      </c>
      <c r="X17" s="333">
        <f>W17/W$32</f>
        <v>0.19577470572139336</v>
      </c>
      <c r="Y17" s="709"/>
      <c r="Z17" s="352">
        <f>+'EQUITIES-GEN '!Z18</f>
        <v>25.2</v>
      </c>
      <c r="AA17" s="326">
        <f>Z17*U17</f>
        <v>289800</v>
      </c>
      <c r="AB17" s="333">
        <f>AA17/AA$32</f>
        <v>4.146842289778134E-2</v>
      </c>
      <c r="AC17" s="709"/>
      <c r="AD17" s="326">
        <v>-2185221</v>
      </c>
      <c r="AE17" s="326">
        <f>AF17-AD17</f>
        <v>-70725</v>
      </c>
      <c r="AF17" s="326">
        <f>+AA17-W17</f>
        <v>-2255946</v>
      </c>
      <c r="AG17" s="333">
        <f>AF17/W17</f>
        <v>-0.88616303433256893</v>
      </c>
      <c r="AH17" s="254"/>
      <c r="AI17" s="352"/>
      <c r="AJ17" s="378">
        <f>U17*0.75*0.95</f>
        <v>8193.75</v>
      </c>
      <c r="AK17"/>
      <c r="AL17"/>
      <c r="AM17" s="255"/>
      <c r="AN17" s="255"/>
      <c r="AO17" s="255"/>
      <c r="AP17" s="255"/>
      <c r="AQ17" s="255"/>
      <c r="AR17" s="255"/>
      <c r="AS17" s="255"/>
      <c r="AT17" s="255"/>
      <c r="AU17" s="255"/>
      <c r="AV17" s="255"/>
      <c r="AW17" s="255"/>
      <c r="AX17" s="255"/>
      <c r="AY17" s="255"/>
      <c r="AZ17" s="255"/>
      <c r="BA17" s="255"/>
      <c r="BB17" s="255"/>
      <c r="BC17" s="255"/>
      <c r="BD17" s="255"/>
      <c r="BE17" s="255"/>
      <c r="BF17" s="255"/>
      <c r="BG17" s="255"/>
      <c r="BH17" s="255"/>
      <c r="BI17" s="255"/>
      <c r="BJ17" s="255"/>
      <c r="BK17" s="255"/>
      <c r="BL17" s="255"/>
      <c r="BM17" s="255"/>
      <c r="BN17" s="255"/>
      <c r="BO17" s="255"/>
      <c r="BP17" s="255"/>
      <c r="BQ17" s="255"/>
      <c r="BR17" s="255"/>
      <c r="BS17" s="255"/>
      <c r="BT17" s="255"/>
      <c r="BU17" s="255"/>
      <c r="BV17" s="255"/>
      <c r="BW17" s="255"/>
      <c r="BX17" s="255"/>
      <c r="BY17" s="255"/>
      <c r="BZ17" s="255"/>
      <c r="CA17" s="255"/>
      <c r="CB17" s="255"/>
      <c r="CC17" s="255"/>
      <c r="CD17" s="255"/>
      <c r="CE17" s="255"/>
      <c r="CF17" s="255"/>
      <c r="CG17" s="255"/>
      <c r="CH17" s="255"/>
      <c r="CI17" s="255"/>
      <c r="CJ17" s="255"/>
      <c r="CK17" s="255"/>
      <c r="CL17" s="255"/>
      <c r="CM17" s="255"/>
      <c r="CN17" s="255"/>
      <c r="CO17" s="255"/>
      <c r="CP17" s="255"/>
      <c r="CQ17" s="255"/>
      <c r="CR17" s="255"/>
      <c r="CS17" s="255"/>
      <c r="CT17" s="255"/>
      <c r="CU17" s="255"/>
      <c r="CV17" s="255"/>
      <c r="CW17" s="255"/>
      <c r="CX17" s="255"/>
      <c r="CY17" s="255"/>
      <c r="CZ17" s="255"/>
      <c r="DA17" s="255"/>
      <c r="DB17" s="255"/>
      <c r="DC17" s="255"/>
      <c r="DD17" s="255"/>
      <c r="DE17" s="255"/>
      <c r="DF17" s="255"/>
      <c r="DG17" s="255"/>
      <c r="DH17" s="255"/>
      <c r="DI17" s="255"/>
      <c r="DJ17" s="255"/>
      <c r="DK17" s="255"/>
      <c r="DL17" s="255"/>
      <c r="DM17" s="255"/>
      <c r="DN17" s="255"/>
    </row>
    <row r="18" spans="1:118" s="239" customFormat="1" ht="36" customHeight="1" x14ac:dyDescent="0.45">
      <c r="A18" s="309" t="s">
        <v>144</v>
      </c>
      <c r="C18" s="338"/>
      <c r="D18" s="339"/>
      <c r="E18" s="326">
        <v>600</v>
      </c>
      <c r="F18" s="326">
        <v>52126.95</v>
      </c>
      <c r="G18" s="326">
        <v>0</v>
      </c>
      <c r="H18" s="340"/>
      <c r="I18" s="378"/>
      <c r="J18" s="378"/>
      <c r="K18" s="378"/>
      <c r="L18" s="378"/>
      <c r="M18" s="364"/>
      <c r="N18" s="364"/>
      <c r="O18" s="378"/>
      <c r="P18" s="364"/>
      <c r="Q18" s="717"/>
      <c r="R18" s="364"/>
      <c r="S18" s="364"/>
      <c r="T18" s="713"/>
      <c r="U18" s="326">
        <f>E18+I18+K18-O18</f>
        <v>600</v>
      </c>
      <c r="V18" s="717">
        <f>ROUND(W18/U18,1)</f>
        <v>86.9</v>
      </c>
      <c r="W18" s="326">
        <f>F18+M18-P18</f>
        <v>52126.95</v>
      </c>
      <c r="X18" s="333">
        <f>W18/$W$32</f>
        <v>4.0087024771535669E-3</v>
      </c>
      <c r="Y18" s="333"/>
      <c r="Z18" s="352">
        <f>'EQUITIES-GEN '!Z19</f>
        <v>0</v>
      </c>
      <c r="AA18" s="364">
        <f>U18*Z18</f>
        <v>0</v>
      </c>
      <c r="AB18" s="333">
        <f>AA18/AA$32</f>
        <v>0</v>
      </c>
      <c r="AC18" s="333"/>
      <c r="AD18" s="326">
        <v>-52126.95</v>
      </c>
      <c r="AE18" s="326">
        <f>AF18-AD18</f>
        <v>0</v>
      </c>
      <c r="AF18" s="326">
        <f>+AA18-W18</f>
        <v>-52126.95</v>
      </c>
      <c r="AG18" s="333">
        <f>AF18/W18</f>
        <v>-1</v>
      </c>
      <c r="AH18" s="718"/>
      <c r="AI18" s="378"/>
      <c r="AJ18" s="378"/>
      <c r="AL18" s="243"/>
      <c r="AM18" s="265"/>
    </row>
    <row r="19" spans="1:118" s="239" customFormat="1" ht="36" customHeight="1" x14ac:dyDescent="0.45">
      <c r="A19" s="309"/>
      <c r="C19" s="338"/>
      <c r="D19" s="339"/>
      <c r="E19" s="326"/>
      <c r="F19" s="326"/>
      <c r="G19" s="326"/>
      <c r="H19" s="340"/>
      <c r="I19" s="378"/>
      <c r="J19" s="378"/>
      <c r="K19" s="378"/>
      <c r="L19" s="378"/>
      <c r="M19" s="364"/>
      <c r="N19" s="719"/>
      <c r="O19" s="352"/>
      <c r="P19" s="352"/>
      <c r="Q19" s="352"/>
      <c r="R19" s="352"/>
      <c r="S19" s="378"/>
      <c r="T19" s="719"/>
      <c r="U19" s="378"/>
      <c r="V19" s="717"/>
      <c r="W19" s="352"/>
      <c r="X19" s="333"/>
      <c r="Y19" s="709"/>
      <c r="Z19" s="352"/>
      <c r="AA19" s="364"/>
      <c r="AB19" s="333"/>
      <c r="AC19" s="709"/>
      <c r="AD19" s="401"/>
      <c r="AE19" s="401"/>
      <c r="AF19" s="718"/>
      <c r="AG19" s="333"/>
      <c r="AH19" s="254"/>
      <c r="AI19" s="718"/>
      <c r="AJ19" s="401"/>
      <c r="AK19" s="255"/>
      <c r="AL19" s="254"/>
      <c r="AM19" s="255"/>
      <c r="AN19" s="255"/>
      <c r="AO19" s="255"/>
      <c r="AP19" s="255"/>
      <c r="AQ19" s="255"/>
      <c r="AR19" s="255"/>
      <c r="AS19" s="255"/>
      <c r="AT19" s="255"/>
      <c r="AU19" s="255"/>
      <c r="AV19" s="255"/>
      <c r="AW19" s="255"/>
      <c r="AX19" s="255"/>
      <c r="AY19" s="255"/>
      <c r="AZ19" s="255"/>
      <c r="BA19" s="255"/>
      <c r="BB19" s="255"/>
      <c r="BC19" s="255"/>
      <c r="BD19" s="255"/>
      <c r="BE19" s="255"/>
      <c r="BF19" s="255"/>
      <c r="BG19" s="255"/>
      <c r="BH19" s="255"/>
      <c r="BI19" s="255"/>
      <c r="BJ19" s="255"/>
      <c r="BK19" s="255"/>
      <c r="BL19" s="255"/>
      <c r="BM19" s="255"/>
      <c r="BN19" s="255"/>
      <c r="BO19" s="255"/>
      <c r="BP19" s="255"/>
      <c r="BQ19" s="255"/>
      <c r="BR19" s="255"/>
      <c r="BS19" s="255"/>
      <c r="BT19" s="255"/>
      <c r="BU19" s="255"/>
      <c r="BV19" s="255"/>
      <c r="BW19" s="255"/>
      <c r="BX19" s="255"/>
      <c r="BY19" s="255"/>
      <c r="BZ19" s="255"/>
      <c r="CA19" s="255"/>
      <c r="CB19" s="255"/>
      <c r="CC19" s="255"/>
      <c r="CD19" s="255"/>
      <c r="CE19" s="255"/>
      <c r="CF19" s="255"/>
      <c r="CG19" s="255"/>
      <c r="CH19" s="255"/>
      <c r="CI19" s="255"/>
      <c r="CJ19" s="255"/>
      <c r="CK19" s="255"/>
      <c r="CL19" s="255"/>
      <c r="CM19" s="255"/>
      <c r="CN19" s="255"/>
      <c r="CO19" s="255"/>
      <c r="CP19" s="255"/>
      <c r="CQ19" s="255"/>
      <c r="CR19" s="255"/>
      <c r="CS19" s="255"/>
      <c r="CT19" s="255"/>
      <c r="CU19" s="255"/>
      <c r="CV19" s="255"/>
      <c r="CW19" s="255"/>
      <c r="CX19" s="255"/>
      <c r="CY19" s="255"/>
      <c r="CZ19" s="255"/>
      <c r="DA19" s="255"/>
      <c r="DB19" s="255"/>
      <c r="DC19" s="255"/>
      <c r="DD19" s="255"/>
      <c r="DE19" s="255"/>
      <c r="DF19" s="255"/>
      <c r="DG19" s="255"/>
      <c r="DH19" s="255"/>
      <c r="DI19" s="255"/>
      <c r="DJ19" s="255"/>
      <c r="DK19" s="255"/>
      <c r="DL19" s="255"/>
      <c r="DM19" s="255"/>
      <c r="DN19" s="255"/>
    </row>
    <row r="20" spans="1:118" s="239" customFormat="1" ht="36" customHeight="1" x14ac:dyDescent="0.5">
      <c r="A20" s="309"/>
      <c r="C20" s="338"/>
      <c r="D20" s="339"/>
      <c r="E20" s="354">
        <f>SUM(E17:E18)</f>
        <v>12100</v>
      </c>
      <c r="F20" s="354">
        <f>SUM(F17:F18)</f>
        <v>2597872.9500000002</v>
      </c>
      <c r="G20" s="354">
        <f>SUM(G17:G18)</f>
        <v>437000</v>
      </c>
      <c r="H20" s="340"/>
      <c r="I20" s="378"/>
      <c r="J20" s="378"/>
      <c r="K20" s="371">
        <f>SUM(K17:K19)</f>
        <v>0</v>
      </c>
      <c r="L20" s="371">
        <f>SUM(L17:L19)</f>
        <v>0</v>
      </c>
      <c r="M20" s="371">
        <f>SUM(M17:M19)</f>
        <v>0</v>
      </c>
      <c r="N20" s="635"/>
      <c r="O20" s="371">
        <f>SUM(O17:O18)</f>
        <v>0</v>
      </c>
      <c r="P20" s="371">
        <f>SUM(P17:P18)</f>
        <v>0</v>
      </c>
      <c r="Q20" s="371">
        <f>SUM(Q17:Q18)</f>
        <v>0</v>
      </c>
      <c r="R20" s="371">
        <f>SUM(R17:R18)</f>
        <v>0</v>
      </c>
      <c r="S20" s="371">
        <f>SUM(S17:S18)</f>
        <v>0</v>
      </c>
      <c r="T20" s="713"/>
      <c r="U20" s="354">
        <f>SUM(U17:U18)</f>
        <v>12100</v>
      </c>
      <c r="V20" s="371"/>
      <c r="W20" s="354">
        <f>SUM(W17:W18)</f>
        <v>2597872.9500000002</v>
      </c>
      <c r="X20" s="371">
        <f>SUM(X17:X18)</f>
        <v>0.19978340819854692</v>
      </c>
      <c r="Y20" s="721"/>
      <c r="Z20" s="352"/>
      <c r="AA20" s="354">
        <f>SUM(AA17:AA18)</f>
        <v>289800</v>
      </c>
      <c r="AB20" s="698">
        <f>SUM(AB17:AB18)</f>
        <v>4.146842289778134E-2</v>
      </c>
      <c r="AC20" s="721"/>
      <c r="AD20" s="354">
        <f>SUM(AD17:AD18)</f>
        <v>-2237347.9500000002</v>
      </c>
      <c r="AE20" s="354">
        <f>SUM(AE17:AE18)</f>
        <v>-70725</v>
      </c>
      <c r="AF20" s="354">
        <f>SUM(AF17:AF18)</f>
        <v>-2308072.9500000002</v>
      </c>
      <c r="AG20" s="698">
        <f>SUM(AG17:AG18)</f>
        <v>-1.886163034332569</v>
      </c>
      <c r="AH20" s="724"/>
      <c r="AI20" s="371">
        <f>SUM(AI17:AI19)</f>
        <v>0</v>
      </c>
      <c r="AJ20" s="371">
        <f>SUM(AJ17:AJ19)</f>
        <v>8193.75</v>
      </c>
      <c r="AK20" s="255"/>
      <c r="AL20" s="254"/>
      <c r="AM20" s="255"/>
      <c r="AN20" s="255"/>
      <c r="AO20" s="255"/>
      <c r="AP20" s="255"/>
      <c r="AQ20" s="255"/>
      <c r="AR20" s="255"/>
      <c r="AS20" s="255"/>
      <c r="AT20" s="255"/>
      <c r="AU20" s="255"/>
      <c r="AV20" s="255"/>
      <c r="AW20" s="255"/>
      <c r="AX20" s="255"/>
      <c r="AY20" s="255"/>
      <c r="AZ20" s="255"/>
      <c r="BA20" s="255"/>
      <c r="BB20" s="255"/>
      <c r="BC20" s="255"/>
      <c r="BD20" s="255"/>
      <c r="BE20" s="255"/>
      <c r="BF20" s="255"/>
      <c r="BG20" s="255"/>
      <c r="BH20" s="255"/>
      <c r="BI20" s="255"/>
      <c r="BJ20" s="255"/>
      <c r="BK20" s="255"/>
      <c r="BL20" s="255"/>
      <c r="BM20" s="255"/>
      <c r="BN20" s="255"/>
      <c r="BO20" s="255"/>
      <c r="BP20" s="255"/>
      <c r="BQ20" s="255"/>
      <c r="BR20" s="255"/>
      <c r="BS20" s="255"/>
      <c r="BT20" s="255"/>
      <c r="BU20" s="255"/>
      <c r="BV20" s="255"/>
      <c r="BW20" s="255"/>
      <c r="BX20" s="255"/>
      <c r="BY20" s="255"/>
      <c r="BZ20" s="255"/>
      <c r="CA20" s="255"/>
      <c r="CB20" s="255"/>
      <c r="CC20" s="255"/>
      <c r="CD20" s="255"/>
      <c r="CE20" s="255"/>
      <c r="CF20" s="255"/>
      <c r="CG20" s="255"/>
      <c r="CH20" s="255"/>
      <c r="CI20" s="255"/>
      <c r="CJ20" s="255"/>
      <c r="CK20" s="255"/>
      <c r="CL20" s="255"/>
      <c r="CM20" s="255"/>
      <c r="CN20" s="255"/>
      <c r="CO20" s="255"/>
      <c r="CP20" s="255"/>
      <c r="CQ20" s="255"/>
      <c r="CR20" s="255"/>
      <c r="CS20" s="255"/>
      <c r="CT20" s="255"/>
      <c r="CU20" s="255"/>
      <c r="CV20" s="255"/>
      <c r="CW20" s="255"/>
      <c r="CX20" s="255"/>
      <c r="CY20" s="255"/>
      <c r="CZ20" s="255"/>
      <c r="DA20" s="255"/>
      <c r="DB20" s="255"/>
      <c r="DC20" s="255"/>
      <c r="DD20" s="255"/>
      <c r="DE20" s="255"/>
      <c r="DF20" s="255"/>
      <c r="DG20" s="255"/>
      <c r="DH20" s="255"/>
      <c r="DI20" s="255"/>
      <c r="DJ20" s="255"/>
      <c r="DK20" s="255"/>
      <c r="DL20" s="255"/>
      <c r="DM20" s="255"/>
      <c r="DN20" s="255"/>
    </row>
    <row r="21" spans="1:118" s="239" customFormat="1" ht="36" customHeight="1" x14ac:dyDescent="0.5">
      <c r="A21" s="309"/>
      <c r="C21" s="338"/>
      <c r="D21" s="350"/>
      <c r="E21" s="362"/>
      <c r="F21" s="354"/>
      <c r="G21" s="354"/>
      <c r="H21" s="241"/>
      <c r="I21" s="378"/>
      <c r="J21" s="711"/>
      <c r="K21" s="371"/>
      <c r="L21" s="378"/>
      <c r="M21" s="374"/>
      <c r="N21" s="635"/>
      <c r="O21" s="371"/>
      <c r="P21" s="374"/>
      <c r="Q21" s="716"/>
      <c r="R21" s="374"/>
      <c r="S21" s="374"/>
      <c r="T21" s="719"/>
      <c r="U21" s="371"/>
      <c r="V21" s="383"/>
      <c r="W21" s="374"/>
      <c r="X21" s="698"/>
      <c r="Y21" s="725"/>
      <c r="Z21" s="352"/>
      <c r="AA21" s="371"/>
      <c r="AB21" s="698"/>
      <c r="AC21" s="725"/>
      <c r="AD21" s="371"/>
      <c r="AE21" s="371"/>
      <c r="AF21" s="371"/>
      <c r="AG21" s="698"/>
      <c r="AH21" s="726"/>
      <c r="AI21" s="371"/>
      <c r="AJ21" s="371"/>
      <c r="AK21" s="255"/>
      <c r="AL21" s="254"/>
      <c r="AM21" s="255"/>
      <c r="AN21" s="255"/>
      <c r="AO21" s="255"/>
      <c r="AP21" s="255"/>
      <c r="AQ21" s="255"/>
      <c r="AR21" s="255"/>
      <c r="AS21" s="255"/>
      <c r="AT21" s="255"/>
      <c r="AU21" s="255"/>
      <c r="AV21" s="255"/>
      <c r="AW21" s="255"/>
      <c r="AX21" s="255"/>
      <c r="AY21" s="255"/>
      <c r="AZ21" s="255"/>
      <c r="BA21" s="255"/>
      <c r="BB21" s="255"/>
      <c r="BC21" s="255"/>
      <c r="BD21" s="255"/>
      <c r="BE21" s="255"/>
      <c r="BF21" s="255"/>
      <c r="BG21" s="255"/>
      <c r="BH21" s="255"/>
      <c r="BI21" s="255"/>
      <c r="BJ21" s="255"/>
      <c r="BK21" s="255"/>
      <c r="BL21" s="255"/>
      <c r="BM21" s="255"/>
      <c r="BN21" s="255"/>
      <c r="BO21" s="255"/>
      <c r="BP21" s="255"/>
      <c r="BQ21" s="255"/>
      <c r="BR21" s="255"/>
      <c r="BS21" s="255"/>
      <c r="BT21" s="255"/>
      <c r="BU21" s="255"/>
      <c r="BV21" s="255"/>
      <c r="BW21" s="255"/>
      <c r="BX21" s="255"/>
      <c r="BY21" s="255"/>
      <c r="BZ21" s="255"/>
      <c r="CA21" s="255"/>
      <c r="CB21" s="255"/>
      <c r="CC21" s="255"/>
      <c r="CD21" s="255"/>
      <c r="CE21" s="255"/>
      <c r="CF21" s="255"/>
      <c r="CG21" s="255"/>
      <c r="CH21" s="255"/>
      <c r="CI21" s="255"/>
      <c r="CJ21" s="255"/>
      <c r="CK21" s="255"/>
      <c r="CL21" s="255"/>
      <c r="CM21" s="255"/>
      <c r="CN21" s="255"/>
      <c r="CO21" s="255"/>
      <c r="CP21" s="255"/>
      <c r="CQ21" s="255"/>
      <c r="CR21" s="255"/>
      <c r="CS21" s="255"/>
      <c r="CT21" s="255"/>
      <c r="CU21" s="255"/>
      <c r="CV21" s="255"/>
      <c r="CW21" s="255"/>
      <c r="CX21" s="255"/>
      <c r="CY21" s="255"/>
      <c r="CZ21" s="255"/>
      <c r="DA21" s="255"/>
      <c r="DB21" s="255"/>
      <c r="DC21" s="255"/>
      <c r="DD21" s="255"/>
      <c r="DE21" s="255"/>
      <c r="DF21" s="255"/>
      <c r="DG21" s="255"/>
      <c r="DH21" s="255"/>
      <c r="DI21" s="255"/>
      <c r="DJ21" s="255"/>
      <c r="DK21" s="255"/>
      <c r="DL21" s="255"/>
      <c r="DM21" s="255"/>
      <c r="DN21" s="255"/>
    </row>
    <row r="22" spans="1:118" s="239" customFormat="1" ht="36" customHeight="1" x14ac:dyDescent="0.5">
      <c r="A22" s="290" t="s">
        <v>145</v>
      </c>
      <c r="C22" s="338"/>
      <c r="D22" s="350"/>
      <c r="E22" s="362"/>
      <c r="F22" s="354"/>
      <c r="G22" s="354"/>
      <c r="H22" s="241"/>
      <c r="I22" s="378"/>
      <c r="J22" s="711"/>
      <c r="K22" s="371"/>
      <c r="L22" s="371"/>
      <c r="M22" s="374"/>
      <c r="N22" s="719"/>
      <c r="O22" s="364"/>
      <c r="P22" s="374"/>
      <c r="Q22" s="383"/>
      <c r="R22" s="374"/>
      <c r="S22" s="374"/>
      <c r="T22" s="719"/>
      <c r="U22" s="371"/>
      <c r="V22" s="374"/>
      <c r="W22" s="374"/>
      <c r="X22" s="698"/>
      <c r="Y22" s="270"/>
      <c r="Z22" s="352"/>
      <c r="AA22" s="371"/>
      <c r="AB22" s="698"/>
      <c r="AC22" s="270"/>
      <c r="AD22" s="371"/>
      <c r="AE22" s="371"/>
      <c r="AF22" s="371"/>
      <c r="AG22" s="698"/>
      <c r="AH22" s="726"/>
      <c r="AI22" s="371"/>
      <c r="AJ22" s="371"/>
      <c r="AL22" s="243"/>
      <c r="AM22" s="265"/>
    </row>
    <row r="23" spans="1:118" s="239" customFormat="1" ht="36" customHeight="1" x14ac:dyDescent="0.5">
      <c r="A23" s="309"/>
      <c r="C23" s="338"/>
      <c r="D23" s="350"/>
      <c r="E23" s="377"/>
      <c r="F23" s="326"/>
      <c r="G23" s="326"/>
      <c r="H23" s="241"/>
      <c r="I23" s="378"/>
      <c r="J23" s="711"/>
      <c r="K23" s="378"/>
      <c r="L23" s="378"/>
      <c r="M23" s="727"/>
      <c r="N23" s="719"/>
      <c r="O23" s="364"/>
      <c r="P23" s="727"/>
      <c r="Q23" s="383"/>
      <c r="R23" s="727"/>
      <c r="S23" s="378"/>
      <c r="T23" s="719"/>
      <c r="U23" s="378"/>
      <c r="V23" s="717"/>
      <c r="W23" s="352"/>
      <c r="X23" s="333"/>
      <c r="Y23" s="270"/>
      <c r="Z23" s="352"/>
      <c r="AA23" s="364"/>
      <c r="AB23" s="333"/>
      <c r="AC23" s="270"/>
      <c r="AD23" s="378"/>
      <c r="AE23" s="401"/>
      <c r="AF23" s="401"/>
      <c r="AG23" s="333"/>
      <c r="AH23" s="726"/>
      <c r="AI23" s="371"/>
      <c r="AJ23" s="371"/>
      <c r="AL23" s="243"/>
      <c r="AM23" s="265"/>
    </row>
    <row r="24" spans="1:118" s="239" customFormat="1" ht="36" customHeight="1" x14ac:dyDescent="0.5">
      <c r="A24" s="309"/>
      <c r="C24" s="338"/>
      <c r="D24" s="339"/>
      <c r="E24" s="354">
        <f>SUM(E23)</f>
        <v>0</v>
      </c>
      <c r="F24" s="354">
        <f>SUM(F23)</f>
        <v>0</v>
      </c>
      <c r="G24" s="354">
        <f>SUM(G23)</f>
        <v>0</v>
      </c>
      <c r="H24" s="340"/>
      <c r="I24" s="378"/>
      <c r="J24" s="378"/>
      <c r="K24" s="371">
        <f>SUM(K23)</f>
        <v>0</v>
      </c>
      <c r="L24" s="371">
        <v>0</v>
      </c>
      <c r="M24" s="371">
        <f>SUM(M23)</f>
        <v>0</v>
      </c>
      <c r="N24" s="364"/>
      <c r="O24" s="371">
        <f>SUM(O23)</f>
        <v>0</v>
      </c>
      <c r="P24" s="371">
        <f>SUM(P23)</f>
        <v>0</v>
      </c>
      <c r="Q24" s="382">
        <f>SUM(Q23)</f>
        <v>0</v>
      </c>
      <c r="R24" s="371">
        <f>SUM(R23)</f>
        <v>0</v>
      </c>
      <c r="S24" s="371">
        <f>SUM(S23)</f>
        <v>0</v>
      </c>
      <c r="T24" s="713"/>
      <c r="U24" s="374">
        <f>SUM(U23)</f>
        <v>0</v>
      </c>
      <c r="V24" s="374"/>
      <c r="W24" s="371">
        <f>SUM(W23)</f>
        <v>0</v>
      </c>
      <c r="X24" s="698">
        <f>SUM(X23)</f>
        <v>0</v>
      </c>
      <c r="Y24" s="698"/>
      <c r="Z24" s="352"/>
      <c r="AA24" s="371">
        <f>SUM(AA23)</f>
        <v>0</v>
      </c>
      <c r="AB24" s="698">
        <f>SUM(AB23)</f>
        <v>0</v>
      </c>
      <c r="AC24" s="698"/>
      <c r="AD24" s="371">
        <f>SUM(AD22:AD23)</f>
        <v>0</v>
      </c>
      <c r="AE24" s="371">
        <f>SUM(AE22:AE23)</f>
        <v>0</v>
      </c>
      <c r="AF24" s="371">
        <f>SUM(AF22:AF23)</f>
        <v>0</v>
      </c>
      <c r="AG24" s="371">
        <f>SUM(AG23)</f>
        <v>0</v>
      </c>
      <c r="AH24" s="724"/>
      <c r="AI24" s="371">
        <f>SUM(AI23)</f>
        <v>0</v>
      </c>
      <c r="AJ24" s="371">
        <f>SUM(AJ23)</f>
        <v>0</v>
      </c>
      <c r="AL24" s="243"/>
      <c r="AM24" s="265"/>
    </row>
    <row r="25" spans="1:118" s="239" customFormat="1" ht="36" customHeight="1" x14ac:dyDescent="0.5">
      <c r="A25" s="290" t="s">
        <v>169</v>
      </c>
      <c r="C25" s="338"/>
      <c r="D25" s="350"/>
      <c r="E25" s="362"/>
      <c r="F25" s="354"/>
      <c r="G25" s="354"/>
      <c r="H25" s="241"/>
      <c r="I25" s="378"/>
      <c r="J25" s="711"/>
      <c r="K25" s="371"/>
      <c r="L25" s="371"/>
      <c r="M25" s="374"/>
      <c r="N25" s="719"/>
      <c r="O25" s="364"/>
      <c r="P25" s="374"/>
      <c r="Q25" s="383"/>
      <c r="R25" s="374"/>
      <c r="S25" s="374"/>
      <c r="T25" s="719"/>
      <c r="U25" s="371"/>
      <c r="V25" s="374"/>
      <c r="W25" s="374"/>
      <c r="X25" s="698"/>
      <c r="Y25" s="270"/>
      <c r="Z25" s="352"/>
      <c r="AA25" s="371"/>
      <c r="AB25" s="698"/>
      <c r="AC25" s="270"/>
      <c r="AD25" s="371"/>
      <c r="AE25" s="371"/>
      <c r="AF25" s="371"/>
      <c r="AG25" s="698"/>
      <c r="AH25" s="726"/>
      <c r="AI25" s="728"/>
      <c r="AJ25" s="371"/>
      <c r="AL25" s="243"/>
    </row>
    <row r="26" spans="1:118" s="239" customFormat="1" ht="36" customHeight="1" x14ac:dyDescent="0.5">
      <c r="A26" s="309" t="s">
        <v>168</v>
      </c>
      <c r="C26" s="338"/>
      <c r="D26" s="350"/>
      <c r="E26" s="377">
        <v>20000</v>
      </c>
      <c r="F26" s="326">
        <v>6076700</v>
      </c>
      <c r="G26" s="326">
        <v>3300000</v>
      </c>
      <c r="H26" s="241"/>
      <c r="I26" s="378"/>
      <c r="J26" s="711"/>
      <c r="K26" s="378"/>
      <c r="L26" s="378"/>
      <c r="M26" s="727"/>
      <c r="N26" s="719"/>
      <c r="O26" s="820">
        <v>18370</v>
      </c>
      <c r="P26" s="821">
        <v>5584480</v>
      </c>
      <c r="Q26" s="822">
        <v>192</v>
      </c>
      <c r="R26" s="821">
        <v>3527040</v>
      </c>
      <c r="S26" s="326">
        <f>R26-P26</f>
        <v>-2057440</v>
      </c>
      <c r="T26" s="719"/>
      <c r="U26" s="377">
        <f>E26+I26+K26-O26</f>
        <v>1630</v>
      </c>
      <c r="V26" s="717">
        <f>ROUND(W26/U26,1)</f>
        <v>302</v>
      </c>
      <c r="W26" s="377">
        <f>F26+M26-P26</f>
        <v>492220</v>
      </c>
      <c r="X26" s="333">
        <f>W26/W$32</f>
        <v>3.7853040189470687E-2</v>
      </c>
      <c r="Y26" s="270"/>
      <c r="Z26" s="352">
        <f>+'EQUITIES-GEN '!Z26</f>
        <v>155</v>
      </c>
      <c r="AA26" s="326">
        <f>U26*Z26</f>
        <v>252650</v>
      </c>
      <c r="AB26" s="333">
        <f>AA26/AA$32</f>
        <v>3.615250878234802E-2</v>
      </c>
      <c r="AC26" s="270"/>
      <c r="AD26" s="326">
        <v>-2736700</v>
      </c>
      <c r="AE26" s="326">
        <f>AF26-AD26</f>
        <v>2497130</v>
      </c>
      <c r="AF26" s="326">
        <f>+AA26-W26</f>
        <v>-239570</v>
      </c>
      <c r="AG26" s="333">
        <f>AF26/W26</f>
        <v>-0.48671325829913453</v>
      </c>
      <c r="AH26" s="726"/>
      <c r="AI26" s="401"/>
      <c r="AJ26" s="401">
        <f>20000*3.75*0.95</f>
        <v>71250</v>
      </c>
      <c r="AL26" s="243"/>
    </row>
    <row r="27" spans="1:118" s="239" customFormat="1" ht="36" customHeight="1" x14ac:dyDescent="0.5">
      <c r="A27" s="309"/>
      <c r="C27" s="338"/>
      <c r="D27" s="339"/>
      <c r="E27" s="354">
        <f>SUM(E26)</f>
        <v>20000</v>
      </c>
      <c r="F27" s="354">
        <f>SUM(F26)</f>
        <v>6076700</v>
      </c>
      <c r="G27" s="354">
        <f>SUM(G26)</f>
        <v>3300000</v>
      </c>
      <c r="H27" s="340"/>
      <c r="I27" s="378"/>
      <c r="J27" s="378"/>
      <c r="K27" s="371">
        <f>SUM(K26)</f>
        <v>0</v>
      </c>
      <c r="L27" s="371"/>
      <c r="M27" s="371">
        <f>SUM(M26)</f>
        <v>0</v>
      </c>
      <c r="N27" s="364"/>
      <c r="O27" s="354">
        <f>SUM(O26)</f>
        <v>18370</v>
      </c>
      <c r="P27" s="354">
        <f>SUM(P26)</f>
        <v>5584480</v>
      </c>
      <c r="Q27" s="354">
        <f>SUM(Q26)</f>
        <v>192</v>
      </c>
      <c r="R27" s="354">
        <f>SUM(R26)</f>
        <v>3527040</v>
      </c>
      <c r="S27" s="354">
        <f>SUM(S26)</f>
        <v>-2057440</v>
      </c>
      <c r="T27" s="713"/>
      <c r="U27" s="354">
        <f>SUM(U26)</f>
        <v>1630</v>
      </c>
      <c r="V27" s="374"/>
      <c r="W27" s="354">
        <f>SUM(W26)</f>
        <v>492220</v>
      </c>
      <c r="X27" s="698">
        <f>SUM(X26)</f>
        <v>3.7853040189470687E-2</v>
      </c>
      <c r="Y27" s="698"/>
      <c r="Z27" s="635">
        <f>SUM(Z26)</f>
        <v>155</v>
      </c>
      <c r="AA27" s="354">
        <f>SUM(AA26)</f>
        <v>252650</v>
      </c>
      <c r="AB27" s="698">
        <f>SUM(AB26)</f>
        <v>3.615250878234802E-2</v>
      </c>
      <c r="AC27" s="698"/>
      <c r="AD27" s="354">
        <f>SUM(AD25:AD26)</f>
        <v>-2736700</v>
      </c>
      <c r="AE27" s="354">
        <f>SUM(AE25:AE26)</f>
        <v>2497130</v>
      </c>
      <c r="AF27" s="354">
        <f>SUM(AF25:AF26)</f>
        <v>-239570</v>
      </c>
      <c r="AG27" s="371">
        <f>SUM(AG26)</f>
        <v>-0.48671325829913453</v>
      </c>
      <c r="AH27" s="724"/>
      <c r="AI27" s="371">
        <f>SUM(AI26)</f>
        <v>0</v>
      </c>
      <c r="AJ27" s="371">
        <f>SUM(AJ26)</f>
        <v>71250</v>
      </c>
      <c r="AL27" s="243"/>
      <c r="AM27" s="265"/>
    </row>
    <row r="28" spans="1:118" s="239" customFormat="1" ht="36" customHeight="1" x14ac:dyDescent="0.5">
      <c r="A28" s="309"/>
      <c r="C28" s="338"/>
      <c r="D28" s="350"/>
      <c r="E28" s="354"/>
      <c r="F28" s="354"/>
      <c r="G28" s="354"/>
      <c r="H28" s="241"/>
      <c r="I28" s="378"/>
      <c r="J28" s="711"/>
      <c r="K28" s="371"/>
      <c r="L28" s="635"/>
      <c r="M28" s="374"/>
      <c r="N28" s="719"/>
      <c r="O28" s="728"/>
      <c r="P28" s="635"/>
      <c r="Q28" s="636"/>
      <c r="R28" s="635"/>
      <c r="S28" s="374"/>
      <c r="T28" s="719"/>
      <c r="U28" s="635"/>
      <c r="V28" s="635"/>
      <c r="W28" s="374"/>
      <c r="X28" s="698"/>
      <c r="Y28" s="270"/>
      <c r="Z28" s="635"/>
      <c r="AA28" s="371"/>
      <c r="AB28" s="698"/>
      <c r="AC28" s="270"/>
      <c r="AD28" s="371"/>
      <c r="AE28" s="371"/>
      <c r="AF28" s="371"/>
      <c r="AG28" s="371"/>
      <c r="AH28" s="726"/>
      <c r="AI28" s="371"/>
      <c r="AJ28" s="371"/>
      <c r="AL28" s="243"/>
      <c r="AM28" s="265"/>
    </row>
    <row r="29" spans="1:118" s="239" customFormat="1" ht="36" customHeight="1" x14ac:dyDescent="0.5">
      <c r="A29" s="290" t="s">
        <v>170</v>
      </c>
      <c r="C29" s="338"/>
      <c r="D29" s="350"/>
      <c r="E29" s="354"/>
      <c r="F29" s="354"/>
      <c r="G29" s="354"/>
      <c r="H29" s="241"/>
      <c r="I29" s="378"/>
      <c r="J29" s="711"/>
      <c r="K29" s="371"/>
      <c r="L29" s="635"/>
      <c r="M29" s="374"/>
      <c r="N29" s="719"/>
      <c r="O29" s="728"/>
      <c r="P29" s="635"/>
      <c r="Q29" s="636"/>
      <c r="R29" s="635"/>
      <c r="S29" s="374"/>
      <c r="T29" s="719"/>
      <c r="U29" s="635"/>
      <c r="V29" s="635"/>
      <c r="W29" s="374"/>
      <c r="X29" s="698"/>
      <c r="Y29" s="270"/>
      <c r="Z29" s="635"/>
      <c r="AA29" s="371"/>
      <c r="AB29" s="698"/>
      <c r="AC29" s="270"/>
      <c r="AD29" s="371"/>
      <c r="AE29" s="371"/>
      <c r="AF29" s="371"/>
      <c r="AG29" s="371"/>
      <c r="AH29" s="726"/>
      <c r="AI29" s="371"/>
      <c r="AJ29" s="371"/>
      <c r="AL29" s="243"/>
      <c r="AM29" s="265"/>
    </row>
    <row r="30" spans="1:118" s="239" customFormat="1" ht="36" customHeight="1" x14ac:dyDescent="0.5">
      <c r="A30" s="309"/>
      <c r="C30" s="338"/>
      <c r="D30" s="350"/>
      <c r="E30" s="354"/>
      <c r="F30" s="354"/>
      <c r="G30" s="354"/>
      <c r="H30" s="241"/>
      <c r="I30" s="378"/>
      <c r="J30" s="711"/>
      <c r="K30" s="371"/>
      <c r="L30" s="371"/>
      <c r="M30" s="374"/>
      <c r="N30" s="719"/>
      <c r="O30" s="728"/>
      <c r="P30" s="635"/>
      <c r="Q30" s="636"/>
      <c r="R30" s="635"/>
      <c r="S30" s="374"/>
      <c r="T30" s="719"/>
      <c r="U30" s="635"/>
      <c r="V30" s="635"/>
      <c r="W30" s="374"/>
      <c r="X30" s="698"/>
      <c r="Y30" s="270"/>
      <c r="Z30" s="635"/>
      <c r="AA30" s="371"/>
      <c r="AB30" s="698"/>
      <c r="AC30" s="270"/>
      <c r="AD30" s="371"/>
      <c r="AE30" s="371"/>
      <c r="AF30" s="371"/>
      <c r="AG30" s="371"/>
      <c r="AH30" s="726"/>
      <c r="AI30" s="371"/>
      <c r="AJ30" s="371"/>
      <c r="AL30" s="243"/>
      <c r="AM30" s="265"/>
    </row>
    <row r="31" spans="1:118" s="239" customFormat="1" ht="36" customHeight="1" x14ac:dyDescent="0.45">
      <c r="A31" s="309"/>
      <c r="C31" s="404"/>
      <c r="D31" s="384"/>
      <c r="E31" s="405"/>
      <c r="F31" s="385"/>
      <c r="G31" s="385"/>
      <c r="H31" s="241"/>
      <c r="I31" s="378"/>
      <c r="J31" s="711"/>
      <c r="K31" s="378"/>
      <c r="L31" s="711"/>
      <c r="M31" s="386"/>
      <c r="N31" s="719"/>
      <c r="O31" s="352"/>
      <c r="P31" s="403"/>
      <c r="Q31" s="712"/>
      <c r="R31" s="403"/>
      <c r="S31" s="386"/>
      <c r="T31" s="719"/>
      <c r="U31" s="352"/>
      <c r="V31" s="352"/>
      <c r="W31" s="386"/>
      <c r="X31" s="333"/>
      <c r="Y31" s="688"/>
      <c r="Z31" s="352"/>
      <c r="AA31" s="364"/>
      <c r="AB31" s="333"/>
      <c r="AC31" s="688"/>
      <c r="AD31" s="401"/>
      <c r="AE31" s="401"/>
      <c r="AF31" s="401"/>
      <c r="AG31" s="333"/>
      <c r="AH31" s="254"/>
      <c r="AI31" s="401"/>
      <c r="AJ31" s="401"/>
      <c r="AK31" s="255"/>
      <c r="AL31" s="254"/>
      <c r="AM31" s="255"/>
      <c r="AN31" s="255"/>
      <c r="AO31" s="255"/>
      <c r="AP31" s="255"/>
      <c r="AQ31" s="255"/>
      <c r="AR31" s="255"/>
      <c r="AS31" s="255"/>
      <c r="AT31" s="255"/>
      <c r="AU31" s="255"/>
      <c r="AV31" s="255"/>
      <c r="AW31" s="255"/>
      <c r="AX31" s="255"/>
      <c r="AY31" s="255"/>
      <c r="AZ31" s="255"/>
      <c r="BA31" s="255"/>
      <c r="BB31" s="255"/>
      <c r="BC31" s="255"/>
      <c r="BD31" s="255"/>
      <c r="BE31" s="255"/>
      <c r="BF31" s="255"/>
      <c r="BG31" s="255"/>
      <c r="BH31" s="255"/>
      <c r="BI31" s="255"/>
      <c r="BJ31" s="255"/>
      <c r="BK31" s="255"/>
      <c r="BL31" s="255"/>
      <c r="BM31" s="255"/>
      <c r="BN31" s="255"/>
      <c r="BO31" s="255"/>
      <c r="BP31" s="255"/>
      <c r="BQ31" s="255"/>
      <c r="BR31" s="255"/>
      <c r="BS31" s="255"/>
      <c r="BT31" s="255"/>
      <c r="BU31" s="255"/>
      <c r="BV31" s="255"/>
      <c r="BW31" s="255"/>
      <c r="BX31" s="255"/>
      <c r="BY31" s="255"/>
      <c r="BZ31" s="255"/>
      <c r="CA31" s="255"/>
      <c r="CB31" s="255"/>
      <c r="CC31" s="255"/>
      <c r="CD31" s="255"/>
      <c r="CE31" s="255"/>
      <c r="CF31" s="255"/>
      <c r="CG31" s="255"/>
      <c r="CH31" s="255"/>
      <c r="CI31" s="255"/>
      <c r="CJ31" s="255"/>
      <c r="CK31" s="255"/>
      <c r="CL31" s="255"/>
      <c r="CM31" s="255"/>
      <c r="CN31" s="255"/>
      <c r="CO31" s="255"/>
      <c r="CP31" s="255"/>
      <c r="CQ31" s="255"/>
      <c r="CR31" s="255"/>
      <c r="CS31" s="255"/>
      <c r="CT31" s="255"/>
      <c r="CU31" s="255"/>
      <c r="CV31" s="255"/>
      <c r="CW31" s="255"/>
      <c r="CX31" s="255"/>
      <c r="CY31" s="255"/>
      <c r="CZ31" s="255"/>
      <c r="DA31" s="255"/>
      <c r="DB31" s="255"/>
      <c r="DC31" s="255"/>
      <c r="DD31" s="255"/>
      <c r="DE31" s="255"/>
      <c r="DF31" s="255"/>
      <c r="DG31" s="255"/>
      <c r="DH31" s="255"/>
      <c r="DI31" s="255"/>
      <c r="DJ31" s="255"/>
      <c r="DK31" s="255"/>
      <c r="DL31" s="255"/>
      <c r="DM31" s="255"/>
      <c r="DN31" s="255"/>
    </row>
    <row r="32" spans="1:118" s="239" customFormat="1" ht="36" customHeight="1" x14ac:dyDescent="0.5">
      <c r="A32" s="309"/>
      <c r="D32" s="325"/>
      <c r="E32" s="406">
        <f>E20+E15+E24+E27</f>
        <v>252100</v>
      </c>
      <c r="F32" s="406">
        <f>F20+F15+F24+F27+F30</f>
        <v>18587926.949999999</v>
      </c>
      <c r="G32" s="406">
        <f>G20+G15+G24+G27+G30</f>
        <v>13736000</v>
      </c>
      <c r="H32" s="406" t="e">
        <f>H20+H15+#REF!+H24+H27</f>
        <v>#REF!</v>
      </c>
      <c r="I32" s="392"/>
      <c r="J32" s="635"/>
      <c r="K32" s="392">
        <f>SUM(K11:K31)</f>
        <v>0</v>
      </c>
      <c r="L32" s="392">
        <f>SUM(L11:L31)</f>
        <v>0</v>
      </c>
      <c r="M32" s="392">
        <f>SUM(M11:M31)</f>
        <v>0</v>
      </c>
      <c r="N32" s="636"/>
      <c r="O32" s="392">
        <f>O20+O15+O24+O27+O30</f>
        <v>18370</v>
      </c>
      <c r="P32" s="392">
        <f>P20+P15+P24+P27+P30</f>
        <v>5584480</v>
      </c>
      <c r="Q32" s="392">
        <f>Q20+Q15+Q24+Q27+Q30</f>
        <v>192</v>
      </c>
      <c r="R32" s="392">
        <f>R20+R15+R24+R27+R30</f>
        <v>3527040</v>
      </c>
      <c r="S32" s="354">
        <f>S20+S15+S24+S27+S30</f>
        <v>-2057440</v>
      </c>
      <c r="T32" s="635"/>
      <c r="U32" s="354">
        <f>U20+U15+U24+U27+U30</f>
        <v>233730</v>
      </c>
      <c r="V32" s="729"/>
      <c r="W32" s="354">
        <f>W20+W15+W24+W27+W30</f>
        <v>13003446.949999999</v>
      </c>
      <c r="X32" s="392">
        <f>X20+X15+X24+X27</f>
        <v>1</v>
      </c>
      <c r="Y32" s="730"/>
      <c r="Z32" s="813"/>
      <c r="AA32" s="354">
        <f>AA20+AA15+AA24+AA27+AA30</f>
        <v>6988450</v>
      </c>
      <c r="AB32" s="392">
        <f>AB20+AB15+AB24+AB27</f>
        <v>0.99999999999999989</v>
      </c>
      <c r="AC32" s="715"/>
      <c r="AD32" s="354">
        <f>AD20+AD15+AD24+AD27+AD30</f>
        <v>-6516401.9500000011</v>
      </c>
      <c r="AE32" s="354">
        <f>AE20+AE15+AE24+AE27+AE30</f>
        <v>501405.00000000093</v>
      </c>
      <c r="AF32" s="354">
        <f>AF20+AF15+AF24+AF27+AF30</f>
        <v>-6014996.9500000002</v>
      </c>
      <c r="AG32" s="729">
        <f>AG20+AG15+AG24+AG27</f>
        <v>-2.3728762926317035</v>
      </c>
      <c r="AH32" s="729" t="e">
        <f>AH20+AH15+#REF!+AH24+AH27</f>
        <v>#REF!</v>
      </c>
      <c r="AI32" s="729">
        <f>AI20+AI15+AI24+AI27+AI30</f>
        <v>0</v>
      </c>
      <c r="AJ32" s="729">
        <f>AJ20+AJ15+AJ24+AJ27+AJ30</f>
        <v>288443.75</v>
      </c>
      <c r="AK32" s="255"/>
      <c r="AL32" s="254"/>
      <c r="AM32" s="255"/>
      <c r="AN32" s="255"/>
      <c r="AO32" s="255"/>
      <c r="AP32" s="255"/>
      <c r="AQ32" s="255"/>
      <c r="AR32" s="255"/>
      <c r="AS32" s="255"/>
      <c r="AT32" s="255"/>
      <c r="AU32" s="255"/>
      <c r="AV32" s="255"/>
      <c r="AW32" s="255"/>
      <c r="AX32" s="255"/>
      <c r="AY32" s="255"/>
      <c r="AZ32" s="255"/>
      <c r="BA32" s="255"/>
      <c r="BB32" s="255"/>
      <c r="BC32" s="255"/>
      <c r="BD32" s="255"/>
      <c r="BE32" s="255"/>
      <c r="BF32" s="255"/>
      <c r="BG32" s="255"/>
      <c r="BH32" s="255"/>
      <c r="BI32" s="255"/>
      <c r="BJ32" s="255"/>
      <c r="BK32" s="255"/>
      <c r="BL32" s="255"/>
      <c r="BM32" s="255"/>
      <c r="BN32" s="255"/>
      <c r="BO32" s="255"/>
      <c r="BP32" s="255"/>
      <c r="BQ32" s="255"/>
      <c r="BR32" s="255"/>
      <c r="BS32" s="255"/>
      <c r="BT32" s="255"/>
      <c r="BU32" s="255"/>
      <c r="BV32" s="255"/>
      <c r="BW32" s="255"/>
      <c r="BX32" s="255"/>
      <c r="BY32" s="255"/>
      <c r="BZ32" s="255"/>
      <c r="CA32" s="255"/>
      <c r="CB32" s="255"/>
      <c r="CC32" s="255"/>
      <c r="CD32" s="255"/>
      <c r="CE32" s="255"/>
      <c r="CF32" s="255"/>
      <c r="CG32" s="255"/>
      <c r="CH32" s="255"/>
      <c r="CI32" s="255"/>
      <c r="CJ32" s="255"/>
      <c r="CK32" s="255"/>
      <c r="CL32" s="255"/>
      <c r="CM32" s="255"/>
      <c r="CN32" s="255"/>
      <c r="CO32" s="255"/>
      <c r="CP32" s="255"/>
      <c r="CQ32" s="255"/>
      <c r="CR32" s="255"/>
      <c r="CS32" s="255"/>
      <c r="CT32" s="255"/>
      <c r="CU32" s="255"/>
      <c r="CV32" s="255"/>
      <c r="CW32" s="255"/>
      <c r="CX32" s="255"/>
      <c r="CY32" s="255"/>
      <c r="CZ32" s="255"/>
      <c r="DA32" s="255"/>
      <c r="DB32" s="255"/>
      <c r="DC32" s="255"/>
      <c r="DD32" s="255"/>
      <c r="DE32" s="255"/>
      <c r="DF32" s="255"/>
      <c r="DG32" s="255"/>
      <c r="DH32" s="255"/>
      <c r="DI32" s="255"/>
      <c r="DJ32" s="255"/>
      <c r="DK32" s="255"/>
      <c r="DL32" s="255"/>
      <c r="DM32" s="255"/>
      <c r="DN32" s="255"/>
    </row>
    <row r="33" spans="23:118" x14ac:dyDescent="0.35">
      <c r="AK33" s="407"/>
      <c r="AL33" s="111"/>
      <c r="AM33" s="407"/>
      <c r="AN33" s="407"/>
      <c r="AO33" s="407"/>
      <c r="AP33" s="407"/>
      <c r="AQ33" s="407"/>
      <c r="AR33" s="407"/>
      <c r="AS33" s="407"/>
      <c r="AT33" s="407"/>
      <c r="AU33" s="407"/>
      <c r="AV33" s="407"/>
      <c r="AW33" s="407"/>
      <c r="AX33" s="407"/>
      <c r="AY33" s="407"/>
      <c r="AZ33" s="407"/>
      <c r="BA33" s="407"/>
      <c r="BB33" s="407"/>
      <c r="BC33" s="407"/>
      <c r="BD33" s="407"/>
      <c r="BE33" s="407"/>
      <c r="BF33" s="407"/>
      <c r="BG33" s="407"/>
      <c r="BH33" s="407"/>
      <c r="BI33" s="407"/>
      <c r="BJ33" s="407"/>
      <c r="BK33" s="407"/>
      <c r="BL33" s="407"/>
      <c r="BM33" s="407"/>
      <c r="BN33" s="407"/>
      <c r="BO33" s="407"/>
      <c r="BP33" s="407"/>
      <c r="BQ33" s="407"/>
      <c r="BR33" s="407"/>
      <c r="BS33" s="407"/>
      <c r="BT33" s="407"/>
      <c r="BU33" s="407"/>
      <c r="BV33" s="407"/>
      <c r="BW33" s="407"/>
      <c r="BX33" s="407"/>
      <c r="BY33" s="407"/>
      <c r="BZ33" s="407"/>
      <c r="CA33" s="407"/>
      <c r="CB33" s="407"/>
      <c r="CC33" s="407"/>
      <c r="CD33" s="407"/>
      <c r="CE33" s="407"/>
      <c r="CF33" s="407"/>
      <c r="CG33" s="407"/>
      <c r="CH33" s="407"/>
      <c r="CI33" s="407"/>
      <c r="CJ33" s="407"/>
      <c r="CK33" s="407"/>
      <c r="CL33" s="407"/>
      <c r="CM33" s="407"/>
      <c r="CN33" s="407"/>
      <c r="CO33" s="407"/>
      <c r="CP33" s="407"/>
      <c r="CQ33" s="407"/>
      <c r="CR33" s="407"/>
      <c r="CS33" s="407"/>
      <c r="CT33" s="407"/>
      <c r="CU33" s="407"/>
      <c r="CV33" s="407"/>
      <c r="CW33" s="407"/>
      <c r="CX33" s="407"/>
      <c r="CY33" s="407"/>
      <c r="CZ33" s="407"/>
      <c r="DA33" s="407"/>
      <c r="DB33" s="407"/>
      <c r="DC33" s="407"/>
      <c r="DD33" s="407"/>
      <c r="DE33" s="407"/>
      <c r="DF33" s="407"/>
      <c r="DG33" s="407"/>
      <c r="DH33" s="407"/>
      <c r="DI33" s="407"/>
      <c r="DJ33" s="407"/>
      <c r="DK33" s="407"/>
      <c r="DL33" s="407"/>
      <c r="DM33" s="407"/>
      <c r="DN33" s="407"/>
    </row>
    <row r="34" spans="23:118" x14ac:dyDescent="0.35">
      <c r="AK34" s="407"/>
      <c r="AL34" s="111"/>
      <c r="AM34" s="407"/>
      <c r="AN34" s="407"/>
      <c r="AO34" s="407"/>
      <c r="AP34" s="407"/>
      <c r="AQ34" s="407"/>
      <c r="AR34" s="407"/>
      <c r="AS34" s="407"/>
      <c r="AT34" s="407"/>
      <c r="AU34" s="407"/>
      <c r="AV34" s="407"/>
      <c r="AW34" s="407"/>
      <c r="AX34" s="407"/>
      <c r="AY34" s="407"/>
      <c r="AZ34" s="407"/>
      <c r="BA34" s="407"/>
      <c r="BB34" s="407"/>
      <c r="BC34" s="407"/>
      <c r="BD34" s="407"/>
      <c r="BE34" s="407"/>
      <c r="BF34" s="407"/>
      <c r="BG34" s="407"/>
      <c r="BH34" s="407"/>
      <c r="BI34" s="407"/>
      <c r="BJ34" s="407"/>
      <c r="BK34" s="407"/>
      <c r="BL34" s="407"/>
      <c r="BM34" s="407"/>
      <c r="BN34" s="407"/>
      <c r="BO34" s="407"/>
      <c r="BP34" s="407"/>
      <c r="BQ34" s="407"/>
      <c r="BR34" s="407"/>
      <c r="BS34" s="407"/>
      <c r="BT34" s="407"/>
      <c r="BU34" s="407"/>
      <c r="BV34" s="407"/>
      <c r="BW34" s="407"/>
      <c r="BX34" s="407"/>
      <c r="BY34" s="407"/>
      <c r="BZ34" s="407"/>
      <c r="CA34" s="407"/>
      <c r="CB34" s="407"/>
      <c r="CC34" s="407"/>
      <c r="CD34" s="407"/>
      <c r="CE34" s="407"/>
      <c r="CF34" s="407"/>
      <c r="CG34" s="407"/>
      <c r="CH34" s="407"/>
      <c r="CI34" s="407"/>
      <c r="CJ34" s="407"/>
      <c r="CK34" s="407"/>
      <c r="CL34" s="407"/>
      <c r="CM34" s="407"/>
      <c r="CN34" s="407"/>
      <c r="CO34" s="407"/>
      <c r="CP34" s="407"/>
      <c r="CQ34" s="407"/>
      <c r="CR34" s="407"/>
      <c r="CS34" s="407"/>
      <c r="CT34" s="407"/>
      <c r="CU34" s="407"/>
      <c r="CV34" s="407"/>
      <c r="CW34" s="407"/>
      <c r="CX34" s="407"/>
      <c r="CY34" s="407"/>
      <c r="CZ34" s="407"/>
      <c r="DA34" s="407"/>
      <c r="DB34" s="407"/>
      <c r="DC34" s="407"/>
      <c r="DD34" s="407"/>
      <c r="DE34" s="407"/>
      <c r="DF34" s="407"/>
      <c r="DG34" s="407"/>
      <c r="DH34" s="407"/>
      <c r="DI34" s="407"/>
      <c r="DJ34" s="407"/>
      <c r="DK34" s="407"/>
      <c r="DL34" s="407"/>
      <c r="DM34" s="407"/>
      <c r="DN34" s="407"/>
    </row>
    <row r="35" spans="23:118" x14ac:dyDescent="0.35">
      <c r="W35" s="584"/>
      <c r="AK35" s="407"/>
      <c r="AL35" s="111"/>
      <c r="AM35" s="407"/>
      <c r="AN35" s="407"/>
      <c r="AO35" s="407"/>
      <c r="AP35" s="407"/>
      <c r="AQ35" s="407"/>
      <c r="AR35" s="407"/>
      <c r="AS35" s="407"/>
      <c r="AT35" s="407"/>
      <c r="AU35" s="407"/>
      <c r="AV35" s="407"/>
      <c r="AW35" s="407"/>
      <c r="AX35" s="407"/>
      <c r="AY35" s="407"/>
      <c r="AZ35" s="407"/>
      <c r="BA35" s="407"/>
      <c r="BB35" s="407"/>
      <c r="BC35" s="407"/>
      <c r="BD35" s="407"/>
      <c r="BE35" s="407"/>
      <c r="BF35" s="407"/>
      <c r="BG35" s="407"/>
      <c r="BH35" s="407"/>
      <c r="BI35" s="407"/>
      <c r="BJ35" s="407"/>
      <c r="BK35" s="407"/>
      <c r="BL35" s="407"/>
      <c r="BM35" s="407"/>
      <c r="BN35" s="407"/>
      <c r="BO35" s="407"/>
      <c r="BP35" s="407"/>
      <c r="BQ35" s="407"/>
      <c r="BR35" s="407"/>
      <c r="BS35" s="407"/>
      <c r="BT35" s="407"/>
      <c r="BU35" s="407"/>
      <c r="BV35" s="407"/>
      <c r="BW35" s="407"/>
      <c r="BX35" s="407"/>
      <c r="BY35" s="407"/>
      <c r="BZ35" s="407"/>
      <c r="CA35" s="407"/>
      <c r="CB35" s="407"/>
      <c r="CC35" s="407"/>
      <c r="CD35" s="407"/>
      <c r="CE35" s="407"/>
      <c r="CF35" s="407"/>
      <c r="CG35" s="407"/>
      <c r="CH35" s="407"/>
      <c r="CI35" s="407"/>
      <c r="CJ35" s="407"/>
      <c r="CK35" s="407"/>
      <c r="CL35" s="407"/>
      <c r="CM35" s="407"/>
      <c r="CN35" s="407"/>
      <c r="CO35" s="407"/>
      <c r="CP35" s="407"/>
      <c r="CQ35" s="407"/>
      <c r="CR35" s="407"/>
      <c r="CS35" s="407"/>
      <c r="CT35" s="407"/>
      <c r="CU35" s="407"/>
      <c r="CV35" s="407"/>
      <c r="CW35" s="407"/>
      <c r="CX35" s="407"/>
      <c r="CY35" s="407"/>
      <c r="CZ35" s="407"/>
      <c r="DA35" s="407"/>
      <c r="DB35" s="407"/>
      <c r="DC35" s="407"/>
      <c r="DD35" s="407"/>
      <c r="DE35" s="407"/>
      <c r="DF35" s="407"/>
      <c r="DG35" s="407"/>
      <c r="DH35" s="407"/>
      <c r="DI35" s="407"/>
      <c r="DJ35" s="407"/>
      <c r="DK35" s="407"/>
      <c r="DL35" s="407"/>
      <c r="DM35" s="407"/>
      <c r="DN35" s="407"/>
    </row>
    <row r="36" spans="23:118" x14ac:dyDescent="0.35">
      <c r="AK36" s="407"/>
      <c r="AL36" s="111"/>
      <c r="AM36" s="407"/>
      <c r="AN36" s="407"/>
      <c r="AO36" s="407"/>
      <c r="AP36" s="407"/>
      <c r="AQ36" s="407"/>
      <c r="AR36" s="407"/>
      <c r="AS36" s="407"/>
      <c r="AT36" s="407"/>
      <c r="AU36" s="407"/>
      <c r="AV36" s="407"/>
      <c r="AW36" s="407"/>
      <c r="AX36" s="407"/>
      <c r="AY36" s="407"/>
      <c r="AZ36" s="407"/>
      <c r="BA36" s="407"/>
      <c r="BB36" s="407"/>
      <c r="BC36" s="407"/>
      <c r="BD36" s="407"/>
      <c r="BE36" s="407"/>
      <c r="BF36" s="407"/>
      <c r="BG36" s="407"/>
      <c r="BH36" s="407"/>
      <c r="BI36" s="407"/>
      <c r="BJ36" s="407"/>
      <c r="BK36" s="407"/>
      <c r="BL36" s="407"/>
      <c r="BM36" s="407"/>
      <c r="BN36" s="407"/>
      <c r="BO36" s="407"/>
      <c r="BP36" s="407"/>
      <c r="BQ36" s="407"/>
      <c r="BR36" s="407"/>
      <c r="BS36" s="407"/>
      <c r="BT36" s="407"/>
      <c r="BU36" s="407"/>
      <c r="BV36" s="407"/>
      <c r="BW36" s="407"/>
      <c r="BX36" s="407"/>
      <c r="BY36" s="407"/>
      <c r="BZ36" s="407"/>
      <c r="CA36" s="407"/>
      <c r="CB36" s="407"/>
      <c r="CC36" s="407"/>
      <c r="CD36" s="407"/>
      <c r="CE36" s="407"/>
      <c r="CF36" s="407"/>
      <c r="CG36" s="407"/>
      <c r="CH36" s="407"/>
      <c r="CI36" s="407"/>
      <c r="CJ36" s="407"/>
      <c r="CK36" s="407"/>
      <c r="CL36" s="407"/>
      <c r="CM36" s="407"/>
      <c r="CN36" s="407"/>
      <c r="CO36" s="407"/>
      <c r="CP36" s="407"/>
      <c r="CQ36" s="407"/>
      <c r="CR36" s="407"/>
      <c r="CS36" s="407"/>
      <c r="CT36" s="407"/>
      <c r="CU36" s="407"/>
      <c r="CV36" s="407"/>
      <c r="CW36" s="407"/>
      <c r="CX36" s="407"/>
      <c r="CY36" s="407"/>
      <c r="CZ36" s="407"/>
      <c r="DA36" s="407"/>
      <c r="DB36" s="407"/>
      <c r="DC36" s="407"/>
      <c r="DD36" s="407"/>
      <c r="DE36" s="407"/>
      <c r="DF36" s="407"/>
      <c r="DG36" s="407"/>
      <c r="DH36" s="407"/>
      <c r="DI36" s="407"/>
      <c r="DJ36" s="407"/>
      <c r="DK36" s="407"/>
      <c r="DL36" s="407"/>
      <c r="DM36" s="407"/>
      <c r="DN36" s="407"/>
    </row>
    <row r="37" spans="23:118" x14ac:dyDescent="0.35">
      <c r="AK37" s="407"/>
      <c r="AL37" s="111"/>
      <c r="AM37" s="407"/>
      <c r="AN37" s="407"/>
      <c r="AO37" s="407"/>
      <c r="AP37" s="407"/>
      <c r="AQ37" s="407"/>
      <c r="AR37" s="407"/>
      <c r="AS37" s="407"/>
      <c r="AT37" s="407"/>
      <c r="AU37" s="407"/>
      <c r="AV37" s="407"/>
      <c r="AW37" s="407"/>
      <c r="AX37" s="407"/>
      <c r="AY37" s="407"/>
      <c r="AZ37" s="407"/>
      <c r="BA37" s="407"/>
      <c r="BB37" s="407"/>
      <c r="BC37" s="407"/>
      <c r="BD37" s="407"/>
      <c r="BE37" s="407"/>
      <c r="BF37" s="407"/>
      <c r="BG37" s="407"/>
      <c r="BH37" s="407"/>
      <c r="BI37" s="407"/>
      <c r="BJ37" s="407"/>
      <c r="BK37" s="407"/>
      <c r="BL37" s="407"/>
      <c r="BM37" s="407"/>
      <c r="BN37" s="407"/>
      <c r="BO37" s="407"/>
      <c r="BP37" s="407"/>
      <c r="BQ37" s="407"/>
      <c r="BR37" s="407"/>
      <c r="BS37" s="407"/>
      <c r="BT37" s="407"/>
      <c r="BU37" s="407"/>
      <c r="BV37" s="407"/>
      <c r="BW37" s="407"/>
      <c r="BX37" s="407"/>
      <c r="BY37" s="407"/>
      <c r="BZ37" s="407"/>
      <c r="CA37" s="407"/>
      <c r="CB37" s="407"/>
      <c r="CC37" s="407"/>
      <c r="CD37" s="407"/>
      <c r="CE37" s="407"/>
      <c r="CF37" s="407"/>
      <c r="CG37" s="407"/>
      <c r="CH37" s="407"/>
      <c r="CI37" s="407"/>
      <c r="CJ37" s="407"/>
      <c r="CK37" s="407"/>
      <c r="CL37" s="407"/>
      <c r="CM37" s="407"/>
      <c r="CN37" s="407"/>
      <c r="CO37" s="407"/>
      <c r="CP37" s="407"/>
      <c r="CQ37" s="407"/>
      <c r="CR37" s="407"/>
      <c r="CS37" s="407"/>
      <c r="CT37" s="407"/>
      <c r="CU37" s="407"/>
      <c r="CV37" s="407"/>
      <c r="CW37" s="407"/>
      <c r="CX37" s="407"/>
      <c r="CY37" s="407"/>
      <c r="CZ37" s="407"/>
      <c r="DA37" s="407"/>
      <c r="DB37" s="407"/>
      <c r="DC37" s="407"/>
      <c r="DD37" s="407"/>
      <c r="DE37" s="407"/>
      <c r="DF37" s="407"/>
      <c r="DG37" s="407"/>
      <c r="DH37" s="407"/>
      <c r="DI37" s="407"/>
      <c r="DJ37" s="407"/>
      <c r="DK37" s="407"/>
      <c r="DL37" s="407"/>
      <c r="DM37" s="407"/>
      <c r="DN37" s="407"/>
    </row>
    <row r="38" spans="23:118" x14ac:dyDescent="0.35">
      <c r="AK38" s="407"/>
      <c r="AL38" s="111"/>
      <c r="AM38" s="407"/>
      <c r="AN38" s="407"/>
      <c r="AO38" s="407"/>
      <c r="AP38" s="407"/>
      <c r="AQ38" s="407"/>
      <c r="AR38" s="407"/>
      <c r="AS38" s="407"/>
      <c r="AT38" s="407"/>
      <c r="AU38" s="407"/>
      <c r="AV38" s="407"/>
      <c r="AW38" s="407"/>
      <c r="AX38" s="407"/>
      <c r="AY38" s="407"/>
      <c r="AZ38" s="407"/>
      <c r="BA38" s="407"/>
      <c r="BB38" s="407"/>
      <c r="BC38" s="407"/>
      <c r="BD38" s="407"/>
      <c r="BE38" s="407"/>
      <c r="BF38" s="407"/>
      <c r="BG38" s="407"/>
      <c r="BH38" s="407"/>
      <c r="BI38" s="407"/>
      <c r="BJ38" s="407"/>
      <c r="BK38" s="407"/>
      <c r="BL38" s="407"/>
      <c r="BM38" s="407"/>
      <c r="BN38" s="407"/>
      <c r="BO38" s="407"/>
      <c r="BP38" s="407"/>
      <c r="BQ38" s="407"/>
      <c r="BR38" s="407"/>
      <c r="BS38" s="407"/>
      <c r="BT38" s="407"/>
      <c r="BU38" s="407"/>
      <c r="BV38" s="407"/>
      <c r="BW38" s="407"/>
      <c r="BX38" s="407"/>
      <c r="BY38" s="407"/>
      <c r="BZ38" s="407"/>
      <c r="CA38" s="407"/>
      <c r="CB38" s="407"/>
      <c r="CC38" s="407"/>
      <c r="CD38" s="407"/>
      <c r="CE38" s="407"/>
      <c r="CF38" s="407"/>
      <c r="CG38" s="407"/>
      <c r="CH38" s="407"/>
      <c r="CI38" s="407"/>
      <c r="CJ38" s="407"/>
      <c r="CK38" s="407"/>
      <c r="CL38" s="407"/>
      <c r="CM38" s="407"/>
      <c r="CN38" s="407"/>
      <c r="CO38" s="407"/>
      <c r="CP38" s="407"/>
      <c r="CQ38" s="407"/>
      <c r="CR38" s="407"/>
      <c r="CS38" s="407"/>
      <c r="CT38" s="407"/>
      <c r="CU38" s="407"/>
      <c r="CV38" s="407"/>
      <c r="CW38" s="407"/>
      <c r="CX38" s="407"/>
      <c r="CY38" s="407"/>
      <c r="CZ38" s="407"/>
      <c r="DA38" s="407"/>
      <c r="DB38" s="407"/>
      <c r="DC38" s="407"/>
      <c r="DD38" s="407"/>
      <c r="DE38" s="407"/>
      <c r="DF38" s="407"/>
      <c r="DG38" s="407"/>
      <c r="DH38" s="407"/>
      <c r="DI38" s="407"/>
      <c r="DJ38" s="407"/>
      <c r="DK38" s="407"/>
      <c r="DL38" s="407"/>
      <c r="DM38" s="407"/>
      <c r="DN38" s="407"/>
    </row>
    <row r="39" spans="23:118" x14ac:dyDescent="0.35">
      <c r="AK39" s="407"/>
      <c r="AL39" s="111"/>
      <c r="AM39" s="407"/>
      <c r="AN39" s="407"/>
      <c r="AO39" s="407"/>
      <c r="AP39" s="407"/>
      <c r="AQ39" s="407"/>
      <c r="AR39" s="407"/>
      <c r="AS39" s="407"/>
      <c r="AT39" s="407"/>
      <c r="AU39" s="407"/>
      <c r="AV39" s="407"/>
      <c r="AW39" s="407"/>
      <c r="AX39" s="407"/>
      <c r="AY39" s="407"/>
      <c r="AZ39" s="407"/>
      <c r="BA39" s="407"/>
      <c r="BB39" s="407"/>
      <c r="BC39" s="407"/>
      <c r="BD39" s="407"/>
      <c r="BE39" s="407"/>
      <c r="BF39" s="407"/>
      <c r="BG39" s="407"/>
      <c r="BH39" s="407"/>
      <c r="BI39" s="407"/>
      <c r="BJ39" s="407"/>
      <c r="BK39" s="407"/>
      <c r="BL39" s="407"/>
      <c r="BM39" s="407"/>
      <c r="BN39" s="407"/>
      <c r="BO39" s="407"/>
      <c r="BP39" s="407"/>
      <c r="BQ39" s="407"/>
      <c r="BR39" s="407"/>
      <c r="BS39" s="407"/>
      <c r="BT39" s="407"/>
      <c r="BU39" s="407"/>
      <c r="BV39" s="407"/>
      <c r="BW39" s="407"/>
      <c r="BX39" s="407"/>
      <c r="BY39" s="407"/>
      <c r="BZ39" s="407"/>
      <c r="CA39" s="407"/>
      <c r="CB39" s="407"/>
      <c r="CC39" s="407"/>
      <c r="CD39" s="407"/>
      <c r="CE39" s="407"/>
      <c r="CF39" s="407"/>
      <c r="CG39" s="407"/>
      <c r="CH39" s="407"/>
      <c r="CI39" s="407"/>
      <c r="CJ39" s="407"/>
      <c r="CK39" s="407"/>
      <c r="CL39" s="407"/>
      <c r="CM39" s="407"/>
      <c r="CN39" s="407"/>
      <c r="CO39" s="407"/>
      <c r="CP39" s="407"/>
      <c r="CQ39" s="407"/>
      <c r="CR39" s="407"/>
      <c r="CS39" s="407"/>
      <c r="CT39" s="407"/>
      <c r="CU39" s="407"/>
      <c r="CV39" s="407"/>
      <c r="CW39" s="407"/>
      <c r="CX39" s="407"/>
      <c r="CY39" s="407"/>
      <c r="CZ39" s="407"/>
      <c r="DA39" s="407"/>
      <c r="DB39" s="407"/>
      <c r="DC39" s="407"/>
      <c r="DD39" s="407"/>
      <c r="DE39" s="407"/>
      <c r="DF39" s="407"/>
      <c r="DG39" s="407"/>
      <c r="DH39" s="407"/>
      <c r="DI39" s="407"/>
      <c r="DJ39" s="407"/>
      <c r="DK39" s="407"/>
      <c r="DL39" s="407"/>
      <c r="DM39" s="407"/>
      <c r="DN39" s="407"/>
    </row>
    <row r="40" spans="23:118" x14ac:dyDescent="0.35">
      <c r="AK40" s="407"/>
      <c r="AL40" s="111"/>
      <c r="AM40" s="407"/>
      <c r="AN40" s="407"/>
      <c r="AO40" s="407"/>
      <c r="AP40" s="407"/>
      <c r="AQ40" s="407"/>
      <c r="AR40" s="407"/>
      <c r="AS40" s="407"/>
      <c r="AT40" s="407"/>
      <c r="AU40" s="407"/>
      <c r="AV40" s="407"/>
      <c r="AW40" s="407"/>
      <c r="AX40" s="407"/>
      <c r="AY40" s="407"/>
      <c r="AZ40" s="407"/>
      <c r="BA40" s="407"/>
      <c r="BB40" s="407"/>
      <c r="BC40" s="407"/>
      <c r="BD40" s="407"/>
      <c r="BE40" s="407"/>
      <c r="BF40" s="407"/>
      <c r="BG40" s="407"/>
      <c r="BH40" s="407"/>
      <c r="BI40" s="407"/>
      <c r="BJ40" s="407"/>
      <c r="BK40" s="407"/>
      <c r="BL40" s="407"/>
      <c r="BM40" s="407"/>
      <c r="BN40" s="407"/>
      <c r="BO40" s="407"/>
      <c r="BP40" s="407"/>
      <c r="BQ40" s="407"/>
      <c r="BR40" s="407"/>
      <c r="BS40" s="407"/>
      <c r="BT40" s="407"/>
      <c r="BU40" s="407"/>
      <c r="BV40" s="407"/>
      <c r="BW40" s="407"/>
      <c r="BX40" s="407"/>
      <c r="BY40" s="407"/>
      <c r="BZ40" s="407"/>
      <c r="CA40" s="407"/>
      <c r="CB40" s="407"/>
      <c r="CC40" s="407"/>
      <c r="CD40" s="407"/>
      <c r="CE40" s="407"/>
      <c r="CF40" s="407"/>
      <c r="CG40" s="407"/>
      <c r="CH40" s="407"/>
      <c r="CI40" s="407"/>
      <c r="CJ40" s="407"/>
      <c r="CK40" s="407"/>
      <c r="CL40" s="407"/>
      <c r="CM40" s="407"/>
      <c r="CN40" s="407"/>
      <c r="CO40" s="407"/>
      <c r="CP40" s="407"/>
      <c r="CQ40" s="407"/>
      <c r="CR40" s="407"/>
      <c r="CS40" s="407"/>
      <c r="CT40" s="407"/>
      <c r="CU40" s="407"/>
      <c r="CV40" s="407"/>
      <c r="CW40" s="407"/>
      <c r="CX40" s="407"/>
      <c r="CY40" s="407"/>
      <c r="CZ40" s="407"/>
      <c r="DA40" s="407"/>
      <c r="DB40" s="407"/>
      <c r="DC40" s="407"/>
      <c r="DD40" s="407"/>
      <c r="DE40" s="407"/>
      <c r="DF40" s="407"/>
      <c r="DG40" s="407"/>
      <c r="DH40" s="407"/>
      <c r="DI40" s="407"/>
      <c r="DJ40" s="407"/>
      <c r="DK40" s="407"/>
      <c r="DL40" s="407"/>
      <c r="DM40" s="407"/>
      <c r="DN40" s="407"/>
    </row>
    <row r="41" spans="23:118" x14ac:dyDescent="0.35">
      <c r="AK41" s="407"/>
      <c r="AL41" s="111"/>
      <c r="AM41" s="407"/>
      <c r="AN41" s="407"/>
      <c r="AO41" s="407"/>
      <c r="AP41" s="407"/>
      <c r="AQ41" s="407"/>
      <c r="AR41" s="407"/>
      <c r="AS41" s="407"/>
      <c r="AT41" s="407"/>
      <c r="AU41" s="407"/>
      <c r="AV41" s="407"/>
      <c r="AW41" s="407"/>
      <c r="AX41" s="407"/>
      <c r="AY41" s="407"/>
      <c r="AZ41" s="407"/>
      <c r="BA41" s="407"/>
      <c r="BB41" s="407"/>
      <c r="BC41" s="407"/>
      <c r="BD41" s="407"/>
      <c r="BE41" s="407"/>
      <c r="BF41" s="407"/>
      <c r="BG41" s="407"/>
      <c r="BH41" s="407"/>
      <c r="BI41" s="407"/>
      <c r="BJ41" s="407"/>
      <c r="BK41" s="407"/>
      <c r="BL41" s="407"/>
      <c r="BM41" s="407"/>
      <c r="BN41" s="407"/>
      <c r="BO41" s="407"/>
      <c r="BP41" s="407"/>
      <c r="BQ41" s="407"/>
      <c r="BR41" s="407"/>
      <c r="BS41" s="407"/>
      <c r="BT41" s="407"/>
      <c r="BU41" s="407"/>
      <c r="BV41" s="407"/>
      <c r="BW41" s="407"/>
      <c r="BX41" s="407"/>
      <c r="BY41" s="407"/>
      <c r="BZ41" s="407"/>
      <c r="CA41" s="407"/>
      <c r="CB41" s="407"/>
      <c r="CC41" s="407"/>
      <c r="CD41" s="407"/>
      <c r="CE41" s="407"/>
      <c r="CF41" s="407"/>
      <c r="CG41" s="407"/>
      <c r="CH41" s="407"/>
      <c r="CI41" s="407"/>
      <c r="CJ41" s="407"/>
      <c r="CK41" s="407"/>
      <c r="CL41" s="407"/>
      <c r="CM41" s="407"/>
      <c r="CN41" s="407"/>
      <c r="CO41" s="407"/>
      <c r="CP41" s="407"/>
      <c r="CQ41" s="407"/>
      <c r="CR41" s="407"/>
      <c r="CS41" s="407"/>
      <c r="CT41" s="407"/>
      <c r="CU41" s="407"/>
      <c r="CV41" s="407"/>
      <c r="CW41" s="407"/>
      <c r="CX41" s="407"/>
      <c r="CY41" s="407"/>
      <c r="CZ41" s="407"/>
      <c r="DA41" s="407"/>
      <c r="DB41" s="407"/>
      <c r="DC41" s="407"/>
      <c r="DD41" s="407"/>
      <c r="DE41" s="407"/>
      <c r="DF41" s="407"/>
      <c r="DG41" s="407"/>
      <c r="DH41" s="407"/>
      <c r="DI41" s="407"/>
      <c r="DJ41" s="407"/>
      <c r="DK41" s="407"/>
      <c r="DL41" s="407"/>
      <c r="DM41" s="407"/>
      <c r="DN41" s="407"/>
    </row>
    <row r="42" spans="23:118" x14ac:dyDescent="0.35">
      <c r="AK42" s="407"/>
      <c r="AL42" s="111"/>
      <c r="AM42" s="407"/>
      <c r="AN42" s="407"/>
      <c r="AO42" s="407"/>
      <c r="AP42" s="407"/>
      <c r="AQ42" s="407"/>
      <c r="AR42" s="407"/>
      <c r="AS42" s="407"/>
      <c r="AT42" s="407"/>
      <c r="AU42" s="407"/>
      <c r="AV42" s="407"/>
      <c r="AW42" s="407"/>
      <c r="AX42" s="407"/>
      <c r="AY42" s="407"/>
      <c r="AZ42" s="407"/>
      <c r="BA42" s="407"/>
      <c r="BB42" s="407"/>
      <c r="BC42" s="407"/>
      <c r="BD42" s="407"/>
      <c r="BE42" s="407"/>
      <c r="BF42" s="407"/>
      <c r="BG42" s="407"/>
      <c r="BH42" s="407"/>
      <c r="BI42" s="407"/>
      <c r="BJ42" s="407"/>
      <c r="BK42" s="407"/>
      <c r="BL42" s="407"/>
      <c r="BM42" s="407"/>
      <c r="BN42" s="407"/>
      <c r="BO42" s="407"/>
      <c r="BP42" s="407"/>
      <c r="BQ42" s="407"/>
      <c r="BR42" s="407"/>
      <c r="BS42" s="407"/>
      <c r="BT42" s="407"/>
      <c r="BU42" s="407"/>
      <c r="BV42" s="407"/>
      <c r="BW42" s="407"/>
      <c r="BX42" s="407"/>
      <c r="BY42" s="407"/>
      <c r="BZ42" s="407"/>
      <c r="CA42" s="407"/>
      <c r="CB42" s="407"/>
      <c r="CC42" s="407"/>
      <c r="CD42" s="407"/>
      <c r="CE42" s="407"/>
      <c r="CF42" s="407"/>
      <c r="CG42" s="407"/>
      <c r="CH42" s="407"/>
      <c r="CI42" s="407"/>
      <c r="CJ42" s="407"/>
      <c r="CK42" s="407"/>
      <c r="CL42" s="407"/>
      <c r="CM42" s="407"/>
      <c r="CN42" s="407"/>
      <c r="CO42" s="407"/>
      <c r="CP42" s="407"/>
      <c r="CQ42" s="407"/>
      <c r="CR42" s="407"/>
      <c r="CS42" s="407"/>
      <c r="CT42" s="407"/>
      <c r="CU42" s="407"/>
      <c r="CV42" s="407"/>
      <c r="CW42" s="407"/>
      <c r="CX42" s="407"/>
      <c r="CY42" s="407"/>
      <c r="CZ42" s="407"/>
      <c r="DA42" s="407"/>
      <c r="DB42" s="407"/>
      <c r="DC42" s="407"/>
      <c r="DD42" s="407"/>
      <c r="DE42" s="407"/>
      <c r="DF42" s="407"/>
      <c r="DG42" s="407"/>
      <c r="DH42" s="407"/>
      <c r="DI42" s="407"/>
      <c r="DJ42" s="407"/>
      <c r="DK42" s="407"/>
      <c r="DL42" s="407"/>
      <c r="DM42" s="407"/>
      <c r="DN42" s="407"/>
    </row>
    <row r="43" spans="23:118" x14ac:dyDescent="0.35">
      <c r="AK43" s="407"/>
      <c r="AL43" s="111"/>
      <c r="AM43" s="407"/>
      <c r="AN43" s="407"/>
      <c r="AO43" s="407"/>
      <c r="AP43" s="407"/>
      <c r="AQ43" s="407"/>
      <c r="AR43" s="407"/>
      <c r="AS43" s="407"/>
      <c r="AT43" s="407"/>
      <c r="AU43" s="407"/>
      <c r="AV43" s="407"/>
      <c r="AW43" s="407"/>
      <c r="AX43" s="407"/>
      <c r="AY43" s="407"/>
      <c r="AZ43" s="407"/>
      <c r="BA43" s="407"/>
      <c r="BB43" s="407"/>
      <c r="BC43" s="407"/>
      <c r="BD43" s="407"/>
      <c r="BE43" s="407"/>
      <c r="BF43" s="407"/>
      <c r="BG43" s="407"/>
      <c r="BH43" s="407"/>
      <c r="BI43" s="407"/>
      <c r="BJ43" s="407"/>
      <c r="BK43" s="407"/>
      <c r="BL43" s="407"/>
      <c r="BM43" s="407"/>
      <c r="BN43" s="407"/>
      <c r="BO43" s="407"/>
      <c r="BP43" s="407"/>
      <c r="BQ43" s="407"/>
      <c r="BR43" s="407"/>
      <c r="BS43" s="407"/>
      <c r="BT43" s="407"/>
      <c r="BU43" s="407"/>
      <c r="BV43" s="407"/>
      <c r="BW43" s="407"/>
      <c r="BX43" s="407"/>
      <c r="BY43" s="407"/>
      <c r="BZ43" s="407"/>
      <c r="CA43" s="407"/>
      <c r="CB43" s="407"/>
      <c r="CC43" s="407"/>
      <c r="CD43" s="407"/>
      <c r="CE43" s="407"/>
      <c r="CF43" s="407"/>
      <c r="CG43" s="407"/>
      <c r="CH43" s="407"/>
      <c r="CI43" s="407"/>
      <c r="CJ43" s="407"/>
      <c r="CK43" s="407"/>
      <c r="CL43" s="407"/>
      <c r="CM43" s="407"/>
      <c r="CN43" s="407"/>
      <c r="CO43" s="407"/>
      <c r="CP43" s="407"/>
      <c r="CQ43" s="407"/>
      <c r="CR43" s="407"/>
      <c r="CS43" s="407"/>
      <c r="CT43" s="407"/>
      <c r="CU43" s="407"/>
      <c r="CV43" s="407"/>
      <c r="CW43" s="407"/>
      <c r="CX43" s="407"/>
      <c r="CY43" s="407"/>
      <c r="CZ43" s="407"/>
      <c r="DA43" s="407"/>
      <c r="DB43" s="407"/>
      <c r="DC43" s="407"/>
      <c r="DD43" s="407"/>
      <c r="DE43" s="407"/>
      <c r="DF43" s="407"/>
      <c r="DG43" s="407"/>
      <c r="DH43" s="407"/>
      <c r="DI43" s="407"/>
      <c r="DJ43" s="407"/>
      <c r="DK43" s="407"/>
      <c r="DL43" s="407"/>
      <c r="DM43" s="407"/>
      <c r="DN43" s="407"/>
    </row>
    <row r="44" spans="23:118" x14ac:dyDescent="0.35">
      <c r="AK44" s="407"/>
      <c r="AL44" s="111"/>
      <c r="AM44" s="407"/>
      <c r="AN44" s="407"/>
      <c r="AO44" s="407"/>
      <c r="AP44" s="407"/>
      <c r="AQ44" s="407"/>
      <c r="AR44" s="407"/>
      <c r="AS44" s="407"/>
      <c r="AT44" s="407"/>
      <c r="AU44" s="407"/>
      <c r="AV44" s="407"/>
      <c r="AW44" s="407"/>
      <c r="AX44" s="407"/>
      <c r="AY44" s="407"/>
      <c r="AZ44" s="407"/>
      <c r="BA44" s="407"/>
      <c r="BB44" s="407"/>
      <c r="BC44" s="407"/>
      <c r="BD44" s="407"/>
      <c r="BE44" s="407"/>
      <c r="BF44" s="407"/>
      <c r="BG44" s="407"/>
      <c r="BH44" s="407"/>
      <c r="BI44" s="407"/>
      <c r="BJ44" s="407"/>
      <c r="BK44" s="407"/>
      <c r="BL44" s="407"/>
      <c r="BM44" s="407"/>
      <c r="BN44" s="407"/>
      <c r="BO44" s="407"/>
      <c r="BP44" s="407"/>
      <c r="BQ44" s="407"/>
      <c r="BR44" s="407"/>
      <c r="BS44" s="407"/>
      <c r="BT44" s="407"/>
      <c r="BU44" s="407"/>
      <c r="BV44" s="407"/>
      <c r="BW44" s="407"/>
      <c r="BX44" s="407"/>
      <c r="BY44" s="407"/>
      <c r="BZ44" s="407"/>
      <c r="CA44" s="407"/>
      <c r="CB44" s="407"/>
      <c r="CC44" s="407"/>
      <c r="CD44" s="407"/>
      <c r="CE44" s="407"/>
      <c r="CF44" s="407"/>
      <c r="CG44" s="407"/>
      <c r="CH44" s="407"/>
      <c r="CI44" s="407"/>
      <c r="CJ44" s="407"/>
      <c r="CK44" s="407"/>
      <c r="CL44" s="407"/>
      <c r="CM44" s="407"/>
      <c r="CN44" s="407"/>
      <c r="CO44" s="407"/>
      <c r="CP44" s="407"/>
      <c r="CQ44" s="407"/>
      <c r="CR44" s="407"/>
      <c r="CS44" s="407"/>
      <c r="CT44" s="407"/>
      <c r="CU44" s="407"/>
      <c r="CV44" s="407"/>
      <c r="CW44" s="407"/>
      <c r="CX44" s="407"/>
      <c r="CY44" s="407"/>
      <c r="CZ44" s="407"/>
      <c r="DA44" s="407"/>
      <c r="DB44" s="407"/>
      <c r="DC44" s="407"/>
      <c r="DD44" s="407"/>
      <c r="DE44" s="407"/>
      <c r="DF44" s="407"/>
      <c r="DG44" s="407"/>
      <c r="DH44" s="407"/>
      <c r="DI44" s="407"/>
      <c r="DJ44" s="407"/>
      <c r="DK44" s="407"/>
      <c r="DL44" s="407"/>
      <c r="DM44" s="407"/>
      <c r="DN44" s="407"/>
    </row>
    <row r="45" spans="23:118" x14ac:dyDescent="0.35">
      <c r="AK45" s="407"/>
      <c r="AL45" s="111"/>
      <c r="AM45" s="407"/>
      <c r="AN45" s="407"/>
      <c r="AO45" s="407"/>
      <c r="AP45" s="407"/>
      <c r="AQ45" s="407"/>
      <c r="AR45" s="407"/>
      <c r="AS45" s="407"/>
      <c r="AT45" s="407"/>
      <c r="AU45" s="407"/>
      <c r="AV45" s="407"/>
      <c r="AW45" s="407"/>
      <c r="AX45" s="407"/>
      <c r="AY45" s="407"/>
      <c r="AZ45" s="407"/>
      <c r="BA45" s="407"/>
      <c r="BB45" s="407"/>
      <c r="BC45" s="407"/>
      <c r="BD45" s="407"/>
      <c r="BE45" s="407"/>
      <c r="BF45" s="407"/>
      <c r="BG45" s="407"/>
      <c r="BH45" s="407"/>
      <c r="BI45" s="407"/>
      <c r="BJ45" s="407"/>
      <c r="BK45" s="407"/>
      <c r="BL45" s="407"/>
      <c r="BM45" s="407"/>
      <c r="BN45" s="407"/>
      <c r="BO45" s="407"/>
      <c r="BP45" s="407"/>
      <c r="BQ45" s="407"/>
      <c r="BR45" s="407"/>
      <c r="BS45" s="407"/>
      <c r="BT45" s="407"/>
      <c r="BU45" s="407"/>
      <c r="BV45" s="407"/>
      <c r="BW45" s="407"/>
      <c r="BX45" s="407"/>
      <c r="BY45" s="407"/>
      <c r="BZ45" s="407"/>
      <c r="CA45" s="407"/>
      <c r="CB45" s="407"/>
      <c r="CC45" s="407"/>
      <c r="CD45" s="407"/>
      <c r="CE45" s="407"/>
      <c r="CF45" s="407"/>
      <c r="CG45" s="407"/>
      <c r="CH45" s="407"/>
      <c r="CI45" s="407"/>
      <c r="CJ45" s="407"/>
      <c r="CK45" s="407"/>
      <c r="CL45" s="407"/>
      <c r="CM45" s="407"/>
      <c r="CN45" s="407"/>
      <c r="CO45" s="407"/>
      <c r="CP45" s="407"/>
      <c r="CQ45" s="407"/>
      <c r="CR45" s="407"/>
      <c r="CS45" s="407"/>
      <c r="CT45" s="407"/>
      <c r="CU45" s="407"/>
      <c r="CV45" s="407"/>
      <c r="CW45" s="407"/>
      <c r="CX45" s="407"/>
      <c r="CY45" s="407"/>
      <c r="CZ45" s="407"/>
      <c r="DA45" s="407"/>
      <c r="DB45" s="407"/>
      <c r="DC45" s="407"/>
      <c r="DD45" s="407"/>
      <c r="DE45" s="407"/>
      <c r="DF45" s="407"/>
      <c r="DG45" s="407"/>
      <c r="DH45" s="407"/>
      <c r="DI45" s="407"/>
      <c r="DJ45" s="407"/>
      <c r="DK45" s="407"/>
      <c r="DL45" s="407"/>
      <c r="DM45" s="407"/>
      <c r="DN45" s="407"/>
    </row>
    <row r="46" spans="23:118" x14ac:dyDescent="0.35">
      <c r="AK46" s="407"/>
      <c r="AL46" s="111"/>
      <c r="AM46" s="407"/>
      <c r="AN46" s="407"/>
      <c r="AO46" s="407"/>
      <c r="AP46" s="407"/>
      <c r="AQ46" s="407"/>
      <c r="AR46" s="407"/>
      <c r="AS46" s="407"/>
      <c r="AT46" s="407"/>
      <c r="AU46" s="407"/>
      <c r="AV46" s="407"/>
      <c r="AW46" s="407"/>
      <c r="AX46" s="407"/>
      <c r="AY46" s="407"/>
      <c r="AZ46" s="407"/>
      <c r="BA46" s="407"/>
      <c r="BB46" s="407"/>
      <c r="BC46" s="407"/>
      <c r="BD46" s="407"/>
      <c r="BE46" s="407"/>
      <c r="BF46" s="407"/>
      <c r="BG46" s="407"/>
      <c r="BH46" s="407"/>
      <c r="BI46" s="407"/>
      <c r="BJ46" s="407"/>
      <c r="BK46" s="407"/>
      <c r="BL46" s="407"/>
      <c r="BM46" s="407"/>
      <c r="BN46" s="407"/>
      <c r="BO46" s="407"/>
      <c r="BP46" s="407"/>
      <c r="BQ46" s="407"/>
      <c r="BR46" s="407"/>
      <c r="BS46" s="407"/>
      <c r="BT46" s="407"/>
      <c r="BU46" s="407"/>
      <c r="BV46" s="407"/>
      <c r="BW46" s="407"/>
      <c r="BX46" s="407"/>
      <c r="BY46" s="407"/>
      <c r="BZ46" s="407"/>
      <c r="CA46" s="407"/>
      <c r="CB46" s="407"/>
      <c r="CC46" s="407"/>
      <c r="CD46" s="407"/>
      <c r="CE46" s="407"/>
      <c r="CF46" s="407"/>
      <c r="CG46" s="407"/>
      <c r="CH46" s="407"/>
      <c r="CI46" s="407"/>
      <c r="CJ46" s="407"/>
      <c r="CK46" s="407"/>
      <c r="CL46" s="407"/>
      <c r="CM46" s="407"/>
      <c r="CN46" s="407"/>
      <c r="CO46" s="407"/>
      <c r="CP46" s="407"/>
      <c r="CQ46" s="407"/>
      <c r="CR46" s="407"/>
      <c r="CS46" s="407"/>
      <c r="CT46" s="407"/>
      <c r="CU46" s="407"/>
      <c r="CV46" s="407"/>
      <c r="CW46" s="407"/>
      <c r="CX46" s="407"/>
      <c r="CY46" s="407"/>
      <c r="CZ46" s="407"/>
      <c r="DA46" s="407"/>
      <c r="DB46" s="407"/>
      <c r="DC46" s="407"/>
      <c r="DD46" s="407"/>
      <c r="DE46" s="407"/>
      <c r="DF46" s="407"/>
      <c r="DG46" s="407"/>
      <c r="DH46" s="407"/>
      <c r="DI46" s="407"/>
      <c r="DJ46" s="407"/>
      <c r="DK46" s="407"/>
      <c r="DL46" s="407"/>
      <c r="DM46" s="407"/>
      <c r="DN46" s="407"/>
    </row>
    <row r="47" spans="23:118" x14ac:dyDescent="0.35">
      <c r="AK47" s="407"/>
      <c r="AL47" s="111"/>
      <c r="AM47" s="407"/>
      <c r="AN47" s="407"/>
      <c r="AO47" s="407"/>
      <c r="AP47" s="407"/>
      <c r="AQ47" s="407"/>
      <c r="AR47" s="407"/>
      <c r="AS47" s="407"/>
      <c r="AT47" s="407"/>
      <c r="AU47" s="407"/>
      <c r="AV47" s="407"/>
      <c r="AW47" s="407"/>
      <c r="AX47" s="407"/>
      <c r="AY47" s="407"/>
      <c r="AZ47" s="407"/>
      <c r="BA47" s="407"/>
      <c r="BB47" s="407"/>
      <c r="BC47" s="407"/>
      <c r="BD47" s="407"/>
      <c r="BE47" s="407"/>
      <c r="BF47" s="407"/>
      <c r="BG47" s="407"/>
      <c r="BH47" s="407"/>
      <c r="BI47" s="407"/>
      <c r="BJ47" s="407"/>
      <c r="BK47" s="407"/>
      <c r="BL47" s="407"/>
      <c r="BM47" s="407"/>
      <c r="BN47" s="407"/>
      <c r="BO47" s="407"/>
      <c r="BP47" s="407"/>
      <c r="BQ47" s="407"/>
      <c r="BR47" s="407"/>
      <c r="BS47" s="407"/>
      <c r="BT47" s="407"/>
      <c r="BU47" s="407"/>
      <c r="BV47" s="407"/>
      <c r="BW47" s="407"/>
      <c r="BX47" s="407"/>
      <c r="BY47" s="407"/>
      <c r="BZ47" s="407"/>
      <c r="CA47" s="407"/>
      <c r="CB47" s="407"/>
      <c r="CC47" s="407"/>
      <c r="CD47" s="407"/>
      <c r="CE47" s="407"/>
      <c r="CF47" s="407"/>
      <c r="CG47" s="407"/>
      <c r="CH47" s="407"/>
      <c r="CI47" s="407"/>
      <c r="CJ47" s="407"/>
      <c r="CK47" s="407"/>
      <c r="CL47" s="407"/>
      <c r="CM47" s="407"/>
      <c r="CN47" s="407"/>
      <c r="CO47" s="407"/>
      <c r="CP47" s="407"/>
      <c r="CQ47" s="407"/>
      <c r="CR47" s="407"/>
      <c r="CS47" s="407"/>
      <c r="CT47" s="407"/>
      <c r="CU47" s="407"/>
      <c r="CV47" s="407"/>
      <c r="CW47" s="407"/>
      <c r="CX47" s="407"/>
      <c r="CY47" s="407"/>
      <c r="CZ47" s="407"/>
      <c r="DA47" s="407"/>
      <c r="DB47" s="407"/>
      <c r="DC47" s="407"/>
      <c r="DD47" s="407"/>
      <c r="DE47" s="407"/>
      <c r="DF47" s="407"/>
      <c r="DG47" s="407"/>
      <c r="DH47" s="407"/>
      <c r="DI47" s="407"/>
      <c r="DJ47" s="407"/>
      <c r="DK47" s="407"/>
      <c r="DL47" s="407"/>
      <c r="DM47" s="407"/>
      <c r="DN47" s="407"/>
    </row>
    <row r="48" spans="23:118" x14ac:dyDescent="0.35">
      <c r="AK48" s="407"/>
      <c r="AL48" s="111"/>
      <c r="AM48" s="407"/>
      <c r="AN48" s="407"/>
      <c r="AO48" s="407"/>
      <c r="AP48" s="407"/>
      <c r="AQ48" s="407"/>
      <c r="AR48" s="407"/>
      <c r="AS48" s="407"/>
      <c r="AT48" s="407"/>
      <c r="AU48" s="407"/>
      <c r="AV48" s="407"/>
      <c r="AW48" s="407"/>
      <c r="AX48" s="407"/>
      <c r="AY48" s="407"/>
      <c r="AZ48" s="407"/>
      <c r="BA48" s="407"/>
      <c r="BB48" s="407"/>
      <c r="BC48" s="407"/>
      <c r="BD48" s="407"/>
      <c r="BE48" s="407"/>
      <c r="BF48" s="407"/>
      <c r="BG48" s="407"/>
      <c r="BH48" s="407"/>
      <c r="BI48" s="407"/>
      <c r="BJ48" s="407"/>
      <c r="BK48" s="407"/>
      <c r="BL48" s="407"/>
      <c r="BM48" s="407"/>
      <c r="BN48" s="407"/>
      <c r="BO48" s="407"/>
      <c r="BP48" s="407"/>
      <c r="BQ48" s="407"/>
      <c r="BR48" s="407"/>
      <c r="BS48" s="407"/>
      <c r="BT48" s="407"/>
      <c r="BU48" s="407"/>
      <c r="BV48" s="407"/>
      <c r="BW48" s="407"/>
      <c r="BX48" s="407"/>
      <c r="BY48" s="407"/>
      <c r="BZ48" s="407"/>
      <c r="CA48" s="407"/>
      <c r="CB48" s="407"/>
      <c r="CC48" s="407"/>
      <c r="CD48" s="407"/>
      <c r="CE48" s="407"/>
      <c r="CF48" s="407"/>
      <c r="CG48" s="407"/>
      <c r="CH48" s="407"/>
      <c r="CI48" s="407"/>
      <c r="CJ48" s="407"/>
      <c r="CK48" s="407"/>
      <c r="CL48" s="407"/>
      <c r="CM48" s="407"/>
      <c r="CN48" s="407"/>
      <c r="CO48" s="407"/>
      <c r="CP48" s="407"/>
      <c r="CQ48" s="407"/>
      <c r="CR48" s="407"/>
      <c r="CS48" s="407"/>
      <c r="CT48" s="407"/>
      <c r="CU48" s="407"/>
      <c r="CV48" s="407"/>
      <c r="CW48" s="407"/>
      <c r="CX48" s="407"/>
      <c r="CY48" s="407"/>
      <c r="CZ48" s="407"/>
      <c r="DA48" s="407"/>
      <c r="DB48" s="407"/>
      <c r="DC48" s="407"/>
      <c r="DD48" s="407"/>
      <c r="DE48" s="407"/>
      <c r="DF48" s="407"/>
      <c r="DG48" s="407"/>
      <c r="DH48" s="407"/>
      <c r="DI48" s="407"/>
      <c r="DJ48" s="407"/>
      <c r="DK48" s="407"/>
      <c r="DL48" s="407"/>
      <c r="DM48" s="407"/>
      <c r="DN48" s="407"/>
    </row>
    <row r="49" spans="37:118" x14ac:dyDescent="0.35">
      <c r="AK49" s="407"/>
      <c r="AL49" s="111"/>
      <c r="AM49" s="407"/>
      <c r="AN49" s="407"/>
      <c r="AO49" s="407"/>
      <c r="AP49" s="407"/>
      <c r="AQ49" s="407"/>
      <c r="AR49" s="407"/>
      <c r="AS49" s="407"/>
      <c r="AT49" s="407"/>
      <c r="AU49" s="407"/>
      <c r="AV49" s="407"/>
      <c r="AW49" s="407"/>
      <c r="AX49" s="407"/>
      <c r="AY49" s="407"/>
      <c r="AZ49" s="407"/>
      <c r="BA49" s="407"/>
      <c r="BB49" s="407"/>
      <c r="BC49" s="407"/>
      <c r="BD49" s="407"/>
      <c r="BE49" s="407"/>
      <c r="BF49" s="407"/>
      <c r="BG49" s="407"/>
      <c r="BH49" s="407"/>
      <c r="BI49" s="407"/>
      <c r="BJ49" s="407"/>
      <c r="BK49" s="407"/>
      <c r="BL49" s="407"/>
      <c r="BM49" s="407"/>
      <c r="BN49" s="407"/>
      <c r="BO49" s="407"/>
      <c r="BP49" s="407"/>
      <c r="BQ49" s="407"/>
      <c r="BR49" s="407"/>
      <c r="BS49" s="407"/>
      <c r="BT49" s="407"/>
      <c r="BU49" s="407"/>
      <c r="BV49" s="407"/>
      <c r="BW49" s="407"/>
      <c r="BX49" s="407"/>
      <c r="BY49" s="407"/>
      <c r="BZ49" s="407"/>
      <c r="CA49" s="407"/>
      <c r="CB49" s="407"/>
      <c r="CC49" s="407"/>
      <c r="CD49" s="407"/>
      <c r="CE49" s="407"/>
      <c r="CF49" s="407"/>
      <c r="CG49" s="407"/>
      <c r="CH49" s="407"/>
      <c r="CI49" s="407"/>
      <c r="CJ49" s="407"/>
      <c r="CK49" s="407"/>
      <c r="CL49" s="407"/>
      <c r="CM49" s="407"/>
      <c r="CN49" s="407"/>
      <c r="CO49" s="407"/>
      <c r="CP49" s="407"/>
      <c r="CQ49" s="407"/>
      <c r="CR49" s="407"/>
      <c r="CS49" s="407"/>
      <c r="CT49" s="407"/>
      <c r="CU49" s="407"/>
      <c r="CV49" s="407"/>
      <c r="CW49" s="407"/>
      <c r="CX49" s="407"/>
      <c r="CY49" s="407"/>
      <c r="CZ49" s="407"/>
      <c r="DA49" s="407"/>
      <c r="DB49" s="407"/>
      <c r="DC49" s="407"/>
      <c r="DD49" s="407"/>
      <c r="DE49" s="407"/>
      <c r="DF49" s="407"/>
      <c r="DG49" s="407"/>
      <c r="DH49" s="407"/>
      <c r="DI49" s="407"/>
      <c r="DJ49" s="407"/>
      <c r="DK49" s="407"/>
      <c r="DL49" s="407"/>
      <c r="DM49" s="407"/>
      <c r="DN49" s="407"/>
    </row>
    <row r="50" spans="37:118" x14ac:dyDescent="0.35">
      <c r="AK50" s="407"/>
      <c r="AL50" s="111"/>
      <c r="AM50" s="407"/>
      <c r="AN50" s="407"/>
      <c r="AO50" s="407"/>
      <c r="AP50" s="407"/>
      <c r="AQ50" s="407"/>
      <c r="AR50" s="407"/>
      <c r="AS50" s="407"/>
      <c r="AT50" s="407"/>
      <c r="AU50" s="407"/>
      <c r="AV50" s="407"/>
      <c r="AW50" s="407"/>
      <c r="AX50" s="407"/>
      <c r="AY50" s="407"/>
      <c r="AZ50" s="407"/>
      <c r="BA50" s="407"/>
      <c r="BB50" s="407"/>
      <c r="BC50" s="407"/>
      <c r="BD50" s="407"/>
      <c r="BE50" s="407"/>
      <c r="BF50" s="407"/>
      <c r="BG50" s="407"/>
      <c r="BH50" s="407"/>
      <c r="BI50" s="407"/>
      <c r="BJ50" s="407"/>
      <c r="BK50" s="407"/>
      <c r="BL50" s="407"/>
      <c r="BM50" s="407"/>
      <c r="BN50" s="407"/>
      <c r="BO50" s="407"/>
      <c r="BP50" s="407"/>
      <c r="BQ50" s="407"/>
      <c r="BR50" s="407"/>
      <c r="BS50" s="407"/>
      <c r="BT50" s="407"/>
      <c r="BU50" s="407"/>
      <c r="BV50" s="407"/>
      <c r="BW50" s="407"/>
      <c r="BX50" s="407"/>
      <c r="BY50" s="407"/>
      <c r="BZ50" s="407"/>
      <c r="CA50" s="407"/>
      <c r="CB50" s="407"/>
      <c r="CC50" s="407"/>
      <c r="CD50" s="407"/>
      <c r="CE50" s="407"/>
      <c r="CF50" s="407"/>
      <c r="CG50" s="407"/>
      <c r="CH50" s="407"/>
      <c r="CI50" s="407"/>
      <c r="CJ50" s="407"/>
      <c r="CK50" s="407"/>
      <c r="CL50" s="407"/>
      <c r="CM50" s="407"/>
      <c r="CN50" s="407"/>
      <c r="CO50" s="407"/>
      <c r="CP50" s="407"/>
      <c r="CQ50" s="407"/>
      <c r="CR50" s="407"/>
      <c r="CS50" s="407"/>
      <c r="CT50" s="407"/>
      <c r="CU50" s="407"/>
      <c r="CV50" s="407"/>
      <c r="CW50" s="407"/>
      <c r="CX50" s="407"/>
      <c r="CY50" s="407"/>
      <c r="CZ50" s="407"/>
      <c r="DA50" s="407"/>
      <c r="DB50" s="407"/>
      <c r="DC50" s="407"/>
      <c r="DD50" s="407"/>
      <c r="DE50" s="407"/>
      <c r="DF50" s="407"/>
      <c r="DG50" s="407"/>
      <c r="DH50" s="407"/>
      <c r="DI50" s="407"/>
      <c r="DJ50" s="407"/>
      <c r="DK50" s="407"/>
      <c r="DL50" s="407"/>
      <c r="DM50" s="407"/>
      <c r="DN50" s="407"/>
    </row>
    <row r="51" spans="37:118" x14ac:dyDescent="0.35">
      <c r="AK51" s="407"/>
      <c r="AL51" s="111"/>
      <c r="AM51" s="407"/>
      <c r="AN51" s="407"/>
      <c r="AO51" s="407"/>
      <c r="AP51" s="407"/>
      <c r="AQ51" s="407"/>
      <c r="AR51" s="407"/>
      <c r="AS51" s="407"/>
      <c r="AT51" s="407"/>
      <c r="AU51" s="407"/>
      <c r="AV51" s="407"/>
      <c r="AW51" s="407"/>
      <c r="AX51" s="407"/>
      <c r="AY51" s="407"/>
      <c r="AZ51" s="407"/>
      <c r="BA51" s="407"/>
      <c r="BB51" s="407"/>
      <c r="BC51" s="407"/>
      <c r="BD51" s="407"/>
      <c r="BE51" s="407"/>
      <c r="BF51" s="407"/>
      <c r="BG51" s="407"/>
      <c r="BH51" s="407"/>
      <c r="BI51" s="407"/>
      <c r="BJ51" s="407"/>
      <c r="BK51" s="407"/>
      <c r="BL51" s="407"/>
      <c r="BM51" s="407"/>
      <c r="BN51" s="407"/>
      <c r="BO51" s="407"/>
      <c r="BP51" s="407"/>
      <c r="BQ51" s="407"/>
      <c r="BR51" s="407"/>
      <c r="BS51" s="407"/>
      <c r="BT51" s="407"/>
      <c r="BU51" s="407"/>
      <c r="BV51" s="407"/>
      <c r="BW51" s="407"/>
      <c r="BX51" s="407"/>
      <c r="BY51" s="407"/>
      <c r="BZ51" s="407"/>
      <c r="CA51" s="407"/>
      <c r="CB51" s="407"/>
      <c r="CC51" s="407"/>
      <c r="CD51" s="407"/>
      <c r="CE51" s="407"/>
      <c r="CF51" s="407"/>
      <c r="CG51" s="407"/>
      <c r="CH51" s="407"/>
      <c r="CI51" s="407"/>
      <c r="CJ51" s="407"/>
      <c r="CK51" s="407"/>
      <c r="CL51" s="407"/>
      <c r="CM51" s="407"/>
      <c r="CN51" s="407"/>
      <c r="CO51" s="407"/>
      <c r="CP51" s="407"/>
      <c r="CQ51" s="407"/>
      <c r="CR51" s="407"/>
      <c r="CS51" s="407"/>
      <c r="CT51" s="407"/>
      <c r="CU51" s="407"/>
      <c r="CV51" s="407"/>
      <c r="CW51" s="407"/>
      <c r="CX51" s="407"/>
      <c r="CY51" s="407"/>
      <c r="CZ51" s="407"/>
      <c r="DA51" s="407"/>
      <c r="DB51" s="407"/>
      <c r="DC51" s="407"/>
      <c r="DD51" s="407"/>
      <c r="DE51" s="407"/>
      <c r="DF51" s="407"/>
      <c r="DG51" s="407"/>
      <c r="DH51" s="407"/>
      <c r="DI51" s="407"/>
      <c r="DJ51" s="407"/>
      <c r="DK51" s="407"/>
      <c r="DL51" s="407"/>
      <c r="DM51" s="407"/>
      <c r="DN51" s="407"/>
    </row>
    <row r="52" spans="37:118" x14ac:dyDescent="0.35">
      <c r="AK52" s="407"/>
      <c r="AL52" s="111"/>
      <c r="AM52" s="407"/>
      <c r="AN52" s="407"/>
      <c r="AO52" s="407"/>
      <c r="AP52" s="407"/>
      <c r="AQ52" s="407"/>
      <c r="AR52" s="407"/>
      <c r="AS52" s="407"/>
      <c r="AT52" s="407"/>
      <c r="AU52" s="407"/>
      <c r="AV52" s="407"/>
      <c r="AW52" s="407"/>
      <c r="AX52" s="407"/>
      <c r="AY52" s="407"/>
      <c r="AZ52" s="407"/>
      <c r="BA52" s="407"/>
      <c r="BB52" s="407"/>
      <c r="BC52" s="407"/>
      <c r="BD52" s="407"/>
      <c r="BE52" s="407"/>
      <c r="BF52" s="407"/>
      <c r="BG52" s="407"/>
      <c r="BH52" s="407"/>
      <c r="BI52" s="407"/>
      <c r="BJ52" s="407"/>
      <c r="BK52" s="407"/>
      <c r="BL52" s="407"/>
      <c r="BM52" s="407"/>
      <c r="BN52" s="407"/>
      <c r="BO52" s="407"/>
      <c r="BP52" s="407"/>
      <c r="BQ52" s="407"/>
      <c r="BR52" s="407"/>
      <c r="BS52" s="407"/>
      <c r="BT52" s="407"/>
      <c r="BU52" s="407"/>
      <c r="BV52" s="407"/>
      <c r="BW52" s="407"/>
      <c r="BX52" s="407"/>
      <c r="BY52" s="407"/>
      <c r="BZ52" s="407"/>
      <c r="CA52" s="407"/>
      <c r="CB52" s="407"/>
      <c r="CC52" s="407"/>
      <c r="CD52" s="407"/>
      <c r="CE52" s="407"/>
      <c r="CF52" s="407"/>
      <c r="CG52" s="407"/>
      <c r="CH52" s="407"/>
      <c r="CI52" s="407"/>
      <c r="CJ52" s="407"/>
      <c r="CK52" s="407"/>
      <c r="CL52" s="407"/>
      <c r="CM52" s="407"/>
      <c r="CN52" s="407"/>
      <c r="CO52" s="407"/>
      <c r="CP52" s="407"/>
      <c r="CQ52" s="407"/>
      <c r="CR52" s="407"/>
      <c r="CS52" s="407"/>
      <c r="CT52" s="407"/>
      <c r="CU52" s="407"/>
      <c r="CV52" s="407"/>
      <c r="CW52" s="407"/>
      <c r="CX52" s="407"/>
      <c r="CY52" s="407"/>
      <c r="CZ52" s="407"/>
      <c r="DA52" s="407"/>
      <c r="DB52" s="407"/>
      <c r="DC52" s="407"/>
      <c r="DD52" s="407"/>
      <c r="DE52" s="407"/>
      <c r="DF52" s="407"/>
      <c r="DG52" s="407"/>
      <c r="DH52" s="407"/>
      <c r="DI52" s="407"/>
      <c r="DJ52" s="407"/>
      <c r="DK52" s="407"/>
      <c r="DL52" s="407"/>
      <c r="DM52" s="407"/>
      <c r="DN52" s="407"/>
    </row>
    <row r="53" spans="37:118" x14ac:dyDescent="0.35">
      <c r="AK53" s="407"/>
      <c r="AL53" s="111"/>
      <c r="AM53" s="407"/>
      <c r="AN53" s="407"/>
      <c r="AO53" s="407"/>
      <c r="AP53" s="407"/>
      <c r="AQ53" s="407"/>
      <c r="AR53" s="407"/>
      <c r="AS53" s="407"/>
      <c r="AT53" s="407"/>
      <c r="AU53" s="407"/>
      <c r="AV53" s="407"/>
      <c r="AW53" s="407"/>
      <c r="AX53" s="407"/>
      <c r="AY53" s="407"/>
      <c r="AZ53" s="407"/>
      <c r="BA53" s="407"/>
      <c r="BB53" s="407"/>
      <c r="BC53" s="407"/>
      <c r="BD53" s="407"/>
      <c r="BE53" s="407"/>
      <c r="BF53" s="407"/>
      <c r="BG53" s="407"/>
      <c r="BH53" s="407"/>
      <c r="BI53" s="407"/>
      <c r="BJ53" s="407"/>
      <c r="BK53" s="407"/>
      <c r="BL53" s="407"/>
      <c r="BM53" s="407"/>
      <c r="BN53" s="407"/>
      <c r="BO53" s="407"/>
      <c r="BP53" s="407"/>
      <c r="BQ53" s="407"/>
      <c r="BR53" s="407"/>
      <c r="BS53" s="407"/>
      <c r="BT53" s="407"/>
      <c r="BU53" s="407"/>
      <c r="BV53" s="407"/>
      <c r="BW53" s="407"/>
      <c r="BX53" s="407"/>
      <c r="BY53" s="407"/>
      <c r="BZ53" s="407"/>
      <c r="CA53" s="407"/>
      <c r="CB53" s="407"/>
      <c r="CC53" s="407"/>
      <c r="CD53" s="407"/>
      <c r="CE53" s="407"/>
      <c r="CF53" s="407"/>
      <c r="CG53" s="407"/>
      <c r="CH53" s="407"/>
      <c r="CI53" s="407"/>
      <c r="CJ53" s="407"/>
      <c r="CK53" s="407"/>
      <c r="CL53" s="407"/>
      <c r="CM53" s="407"/>
      <c r="CN53" s="407"/>
      <c r="CO53" s="407"/>
      <c r="CP53" s="407"/>
      <c r="CQ53" s="407"/>
      <c r="CR53" s="407"/>
      <c r="CS53" s="407"/>
      <c r="CT53" s="407"/>
      <c r="CU53" s="407"/>
      <c r="CV53" s="407"/>
      <c r="CW53" s="407"/>
      <c r="CX53" s="407"/>
      <c r="CY53" s="407"/>
      <c r="CZ53" s="407"/>
      <c r="DA53" s="407"/>
      <c r="DB53" s="407"/>
      <c r="DC53" s="407"/>
      <c r="DD53" s="407"/>
      <c r="DE53" s="407"/>
      <c r="DF53" s="407"/>
      <c r="DG53" s="407"/>
      <c r="DH53" s="407"/>
      <c r="DI53" s="407"/>
      <c r="DJ53" s="407"/>
      <c r="DK53" s="407"/>
      <c r="DL53" s="407"/>
      <c r="DM53" s="407"/>
      <c r="DN53" s="407"/>
    </row>
    <row r="54" spans="37:118" x14ac:dyDescent="0.35">
      <c r="AK54" s="407"/>
      <c r="AL54" s="111"/>
      <c r="AM54" s="407"/>
      <c r="AN54" s="407"/>
      <c r="AO54" s="407"/>
      <c r="AP54" s="407"/>
      <c r="AQ54" s="407"/>
      <c r="AR54" s="407"/>
      <c r="AS54" s="407"/>
      <c r="AT54" s="407"/>
      <c r="AU54" s="407"/>
      <c r="AV54" s="407"/>
      <c r="AW54" s="407"/>
      <c r="AX54" s="407"/>
      <c r="AY54" s="407"/>
      <c r="AZ54" s="407"/>
      <c r="BA54" s="407"/>
      <c r="BB54" s="407"/>
      <c r="BC54" s="407"/>
      <c r="BD54" s="407"/>
      <c r="BE54" s="407"/>
      <c r="BF54" s="407"/>
      <c r="BG54" s="407"/>
      <c r="BH54" s="407"/>
      <c r="BI54" s="407"/>
      <c r="BJ54" s="407"/>
      <c r="BK54" s="407"/>
      <c r="BL54" s="407"/>
      <c r="BM54" s="407"/>
      <c r="BN54" s="407"/>
      <c r="BO54" s="407"/>
      <c r="BP54" s="407"/>
      <c r="BQ54" s="407"/>
      <c r="BR54" s="407"/>
      <c r="BS54" s="407"/>
      <c r="BT54" s="407"/>
      <c r="BU54" s="407"/>
      <c r="BV54" s="407"/>
      <c r="BW54" s="407"/>
      <c r="BX54" s="407"/>
      <c r="BY54" s="407"/>
      <c r="BZ54" s="407"/>
      <c r="CA54" s="407"/>
      <c r="CB54" s="407"/>
      <c r="CC54" s="407"/>
      <c r="CD54" s="407"/>
      <c r="CE54" s="407"/>
      <c r="CF54" s="407"/>
      <c r="CG54" s="407"/>
      <c r="CH54" s="407"/>
      <c r="CI54" s="407"/>
      <c r="CJ54" s="407"/>
      <c r="CK54" s="407"/>
      <c r="CL54" s="407"/>
      <c r="CM54" s="407"/>
      <c r="CN54" s="407"/>
      <c r="CO54" s="407"/>
      <c r="CP54" s="407"/>
      <c r="CQ54" s="407"/>
      <c r="CR54" s="407"/>
      <c r="CS54" s="407"/>
      <c r="CT54" s="407"/>
      <c r="CU54" s="407"/>
      <c r="CV54" s="407"/>
      <c r="CW54" s="407"/>
      <c r="CX54" s="407"/>
      <c r="CY54" s="407"/>
      <c r="CZ54" s="407"/>
      <c r="DA54" s="407"/>
      <c r="DB54" s="407"/>
      <c r="DC54" s="407"/>
      <c r="DD54" s="407"/>
      <c r="DE54" s="407"/>
      <c r="DF54" s="407"/>
      <c r="DG54" s="407"/>
      <c r="DH54" s="407"/>
      <c r="DI54" s="407"/>
      <c r="DJ54" s="407"/>
      <c r="DK54" s="407"/>
      <c r="DL54" s="407"/>
      <c r="DM54" s="407"/>
      <c r="DN54" s="407"/>
    </row>
    <row r="55" spans="37:118" x14ac:dyDescent="0.35">
      <c r="AK55" s="407"/>
      <c r="AL55" s="111"/>
      <c r="AM55" s="407"/>
      <c r="AN55" s="407"/>
      <c r="AO55" s="407"/>
      <c r="AP55" s="407"/>
      <c r="AQ55" s="407"/>
      <c r="AR55" s="407"/>
      <c r="AS55" s="407"/>
      <c r="AT55" s="407"/>
      <c r="AU55" s="407"/>
      <c r="AV55" s="407"/>
      <c r="AW55" s="407"/>
      <c r="AX55" s="407"/>
      <c r="AY55" s="407"/>
      <c r="AZ55" s="407"/>
      <c r="BA55" s="407"/>
      <c r="BB55" s="407"/>
      <c r="BC55" s="407"/>
      <c r="BD55" s="407"/>
      <c r="BE55" s="407"/>
      <c r="BF55" s="407"/>
      <c r="BG55" s="407"/>
      <c r="BH55" s="407"/>
      <c r="BI55" s="407"/>
      <c r="BJ55" s="407"/>
      <c r="BK55" s="407"/>
      <c r="BL55" s="407"/>
      <c r="BM55" s="407"/>
      <c r="BN55" s="407"/>
      <c r="BO55" s="407"/>
      <c r="BP55" s="407"/>
      <c r="BQ55" s="407"/>
      <c r="BR55" s="407"/>
      <c r="BS55" s="407"/>
      <c r="BT55" s="407"/>
      <c r="BU55" s="407"/>
      <c r="BV55" s="407"/>
      <c r="BW55" s="407"/>
      <c r="BX55" s="407"/>
      <c r="BY55" s="407"/>
      <c r="BZ55" s="407"/>
      <c r="CA55" s="407"/>
      <c r="CB55" s="407"/>
      <c r="CC55" s="407"/>
      <c r="CD55" s="407"/>
      <c r="CE55" s="407"/>
      <c r="CF55" s="407"/>
      <c r="CG55" s="407"/>
      <c r="CH55" s="407"/>
      <c r="CI55" s="407"/>
      <c r="CJ55" s="407"/>
      <c r="CK55" s="407"/>
      <c r="CL55" s="407"/>
      <c r="CM55" s="407"/>
      <c r="CN55" s="407"/>
      <c r="CO55" s="407"/>
      <c r="CP55" s="407"/>
      <c r="CQ55" s="407"/>
      <c r="CR55" s="407"/>
      <c r="CS55" s="407"/>
      <c r="CT55" s="407"/>
      <c r="CU55" s="407"/>
      <c r="CV55" s="407"/>
      <c r="CW55" s="407"/>
      <c r="CX55" s="407"/>
      <c r="CY55" s="407"/>
      <c r="CZ55" s="407"/>
      <c r="DA55" s="407"/>
      <c r="DB55" s="407"/>
      <c r="DC55" s="407"/>
      <c r="DD55" s="407"/>
      <c r="DE55" s="407"/>
      <c r="DF55" s="407"/>
      <c r="DG55" s="407"/>
      <c r="DH55" s="407"/>
      <c r="DI55" s="407"/>
      <c r="DJ55" s="407"/>
      <c r="DK55" s="407"/>
      <c r="DL55" s="407"/>
      <c r="DM55" s="407"/>
      <c r="DN55" s="407"/>
    </row>
    <row r="56" spans="37:118" x14ac:dyDescent="0.35">
      <c r="AK56" s="407"/>
      <c r="AL56" s="111"/>
      <c r="AM56" s="407"/>
      <c r="AN56" s="407"/>
      <c r="AO56" s="407"/>
      <c r="AP56" s="407"/>
      <c r="AQ56" s="407"/>
      <c r="AR56" s="407"/>
      <c r="AS56" s="407"/>
      <c r="AT56" s="407"/>
      <c r="AU56" s="407"/>
      <c r="AV56" s="407"/>
      <c r="AW56" s="407"/>
      <c r="AX56" s="407"/>
      <c r="AY56" s="407"/>
      <c r="AZ56" s="407"/>
      <c r="BA56" s="407"/>
      <c r="BB56" s="407"/>
      <c r="BC56" s="407"/>
      <c r="BD56" s="407"/>
      <c r="BE56" s="407"/>
      <c r="BF56" s="407"/>
      <c r="BG56" s="407"/>
      <c r="BH56" s="407"/>
      <c r="BI56" s="407"/>
      <c r="BJ56" s="407"/>
      <c r="BK56" s="407"/>
      <c r="BL56" s="407"/>
      <c r="BM56" s="407"/>
      <c r="BN56" s="407"/>
      <c r="BO56" s="407"/>
      <c r="BP56" s="407"/>
      <c r="BQ56" s="407"/>
      <c r="BR56" s="407"/>
      <c r="BS56" s="407"/>
      <c r="BT56" s="407"/>
      <c r="BU56" s="407"/>
      <c r="BV56" s="407"/>
      <c r="BW56" s="407"/>
      <c r="BX56" s="407"/>
      <c r="BY56" s="407"/>
      <c r="BZ56" s="407"/>
      <c r="CA56" s="407"/>
      <c r="CB56" s="407"/>
      <c r="CC56" s="407"/>
      <c r="CD56" s="407"/>
      <c r="CE56" s="407"/>
      <c r="CF56" s="407"/>
      <c r="CG56" s="407"/>
      <c r="CH56" s="407"/>
      <c r="CI56" s="407"/>
      <c r="CJ56" s="407"/>
      <c r="CK56" s="407"/>
      <c r="CL56" s="407"/>
      <c r="CM56" s="407"/>
      <c r="CN56" s="407"/>
      <c r="CO56" s="407"/>
      <c r="CP56" s="407"/>
      <c r="CQ56" s="407"/>
      <c r="CR56" s="407"/>
      <c r="CS56" s="407"/>
      <c r="CT56" s="407"/>
      <c r="CU56" s="407"/>
      <c r="CV56" s="407"/>
      <c r="CW56" s="407"/>
      <c r="CX56" s="407"/>
      <c r="CY56" s="407"/>
      <c r="CZ56" s="407"/>
      <c r="DA56" s="407"/>
      <c r="DB56" s="407"/>
      <c r="DC56" s="407"/>
      <c r="DD56" s="407"/>
      <c r="DE56" s="407"/>
      <c r="DF56" s="407"/>
      <c r="DG56" s="407"/>
      <c r="DH56" s="407"/>
      <c r="DI56" s="407"/>
      <c r="DJ56" s="407"/>
      <c r="DK56" s="407"/>
      <c r="DL56" s="407"/>
      <c r="DM56" s="407"/>
      <c r="DN56" s="407"/>
    </row>
    <row r="57" spans="37:118" x14ac:dyDescent="0.35">
      <c r="AK57" s="407"/>
      <c r="AL57" s="111"/>
      <c r="AM57" s="407"/>
      <c r="AN57" s="407"/>
      <c r="AO57" s="407"/>
      <c r="AP57" s="407"/>
      <c r="AQ57" s="407"/>
      <c r="AR57" s="407"/>
      <c r="AS57" s="407"/>
      <c r="AT57" s="407"/>
      <c r="AU57" s="407"/>
      <c r="AV57" s="407"/>
      <c r="AW57" s="407"/>
      <c r="AX57" s="407"/>
      <c r="AY57" s="407"/>
      <c r="AZ57" s="407"/>
      <c r="BA57" s="407"/>
      <c r="BB57" s="407"/>
      <c r="BC57" s="407"/>
      <c r="BD57" s="407"/>
      <c r="BE57" s="407"/>
      <c r="BF57" s="407"/>
      <c r="BG57" s="407"/>
      <c r="BH57" s="407"/>
      <c r="BI57" s="407"/>
      <c r="BJ57" s="407"/>
      <c r="BK57" s="407"/>
      <c r="BL57" s="407"/>
      <c r="BM57" s="407"/>
      <c r="BN57" s="407"/>
      <c r="BO57" s="407"/>
      <c r="BP57" s="407"/>
      <c r="BQ57" s="407"/>
      <c r="BR57" s="407"/>
      <c r="BS57" s="407"/>
      <c r="BT57" s="407"/>
      <c r="BU57" s="407"/>
      <c r="BV57" s="407"/>
      <c r="BW57" s="407"/>
      <c r="BX57" s="407"/>
      <c r="BY57" s="407"/>
      <c r="BZ57" s="407"/>
      <c r="CA57" s="407"/>
      <c r="CB57" s="407"/>
      <c r="CC57" s="407"/>
      <c r="CD57" s="407"/>
      <c r="CE57" s="407"/>
      <c r="CF57" s="407"/>
      <c r="CG57" s="407"/>
      <c r="CH57" s="407"/>
      <c r="CI57" s="407"/>
      <c r="CJ57" s="407"/>
      <c r="CK57" s="407"/>
      <c r="CL57" s="407"/>
      <c r="CM57" s="407"/>
      <c r="CN57" s="407"/>
      <c r="CO57" s="407"/>
      <c r="CP57" s="407"/>
      <c r="CQ57" s="407"/>
      <c r="CR57" s="407"/>
      <c r="CS57" s="407"/>
      <c r="CT57" s="407"/>
      <c r="CU57" s="407"/>
      <c r="CV57" s="407"/>
      <c r="CW57" s="407"/>
      <c r="CX57" s="407"/>
      <c r="CY57" s="407"/>
      <c r="CZ57" s="407"/>
      <c r="DA57" s="407"/>
      <c r="DB57" s="407"/>
      <c r="DC57" s="407"/>
      <c r="DD57" s="407"/>
      <c r="DE57" s="407"/>
      <c r="DF57" s="407"/>
      <c r="DG57" s="407"/>
      <c r="DH57" s="407"/>
      <c r="DI57" s="407"/>
      <c r="DJ57" s="407"/>
      <c r="DK57" s="407"/>
      <c r="DL57" s="407"/>
      <c r="DM57" s="407"/>
      <c r="DN57" s="407"/>
    </row>
    <row r="58" spans="37:118" x14ac:dyDescent="0.35">
      <c r="AK58" s="407"/>
      <c r="AL58" s="111"/>
      <c r="AM58" s="407"/>
      <c r="AN58" s="407"/>
      <c r="AO58" s="407"/>
      <c r="AP58" s="407"/>
      <c r="AQ58" s="407"/>
      <c r="AR58" s="407"/>
      <c r="AS58" s="407"/>
      <c r="AT58" s="407"/>
      <c r="AU58" s="407"/>
      <c r="AV58" s="407"/>
      <c r="AW58" s="407"/>
      <c r="AX58" s="407"/>
      <c r="AY58" s="407"/>
      <c r="AZ58" s="407"/>
      <c r="BA58" s="407"/>
      <c r="BB58" s="407"/>
      <c r="BC58" s="407"/>
      <c r="BD58" s="407"/>
      <c r="BE58" s="407"/>
      <c r="BF58" s="407"/>
      <c r="BG58" s="407"/>
      <c r="BH58" s="407"/>
      <c r="BI58" s="407"/>
      <c r="BJ58" s="407"/>
      <c r="BK58" s="407"/>
      <c r="BL58" s="407"/>
      <c r="BM58" s="407"/>
      <c r="BN58" s="407"/>
      <c r="BO58" s="407"/>
      <c r="BP58" s="407"/>
      <c r="BQ58" s="407"/>
      <c r="BR58" s="407"/>
      <c r="BS58" s="407"/>
      <c r="BT58" s="407"/>
      <c r="BU58" s="407"/>
      <c r="BV58" s="407"/>
      <c r="BW58" s="407"/>
      <c r="BX58" s="407"/>
      <c r="BY58" s="407"/>
      <c r="BZ58" s="407"/>
      <c r="CA58" s="407"/>
      <c r="CB58" s="407"/>
      <c r="CC58" s="407"/>
      <c r="CD58" s="407"/>
      <c r="CE58" s="407"/>
      <c r="CF58" s="407"/>
      <c r="CG58" s="407"/>
      <c r="CH58" s="407"/>
      <c r="CI58" s="407"/>
      <c r="CJ58" s="407"/>
      <c r="CK58" s="407"/>
      <c r="CL58" s="407"/>
      <c r="CM58" s="407"/>
      <c r="CN58" s="407"/>
      <c r="CO58" s="407"/>
      <c r="CP58" s="407"/>
      <c r="CQ58" s="407"/>
      <c r="CR58" s="407"/>
      <c r="CS58" s="407"/>
      <c r="CT58" s="407"/>
      <c r="CU58" s="407"/>
      <c r="CV58" s="407"/>
      <c r="CW58" s="407"/>
      <c r="CX58" s="407"/>
      <c r="CY58" s="407"/>
      <c r="CZ58" s="407"/>
      <c r="DA58" s="407"/>
      <c r="DB58" s="407"/>
      <c r="DC58" s="407"/>
      <c r="DD58" s="407"/>
      <c r="DE58" s="407"/>
      <c r="DF58" s="407"/>
      <c r="DG58" s="407"/>
      <c r="DH58" s="407"/>
      <c r="DI58" s="407"/>
      <c r="DJ58" s="407"/>
      <c r="DK58" s="407"/>
      <c r="DL58" s="407"/>
      <c r="DM58" s="407"/>
      <c r="DN58" s="407"/>
    </row>
    <row r="59" spans="37:118" x14ac:dyDescent="0.35">
      <c r="AK59" s="407"/>
      <c r="AL59" s="111"/>
      <c r="AM59" s="407"/>
      <c r="AN59" s="407"/>
      <c r="AO59" s="407"/>
      <c r="AP59" s="407"/>
      <c r="AQ59" s="407"/>
      <c r="AR59" s="407"/>
      <c r="AS59" s="407"/>
      <c r="AT59" s="407"/>
      <c r="AU59" s="407"/>
      <c r="AV59" s="407"/>
      <c r="AW59" s="407"/>
      <c r="AX59" s="407"/>
      <c r="AY59" s="407"/>
      <c r="AZ59" s="407"/>
      <c r="BA59" s="407"/>
      <c r="BB59" s="407"/>
      <c r="BC59" s="407"/>
      <c r="BD59" s="407"/>
      <c r="BE59" s="407"/>
      <c r="BF59" s="407"/>
      <c r="BG59" s="407"/>
      <c r="BH59" s="407"/>
      <c r="BI59" s="407"/>
      <c r="BJ59" s="407"/>
      <c r="BK59" s="407"/>
      <c r="BL59" s="407"/>
      <c r="BM59" s="407"/>
      <c r="BN59" s="407"/>
      <c r="BO59" s="407"/>
      <c r="BP59" s="407"/>
      <c r="BQ59" s="407"/>
      <c r="BR59" s="407"/>
      <c r="BS59" s="407"/>
      <c r="BT59" s="407"/>
      <c r="BU59" s="407"/>
      <c r="BV59" s="407"/>
      <c r="BW59" s="407"/>
      <c r="BX59" s="407"/>
      <c r="BY59" s="407"/>
      <c r="BZ59" s="407"/>
      <c r="CA59" s="407"/>
      <c r="CB59" s="407"/>
      <c r="CC59" s="407"/>
      <c r="CD59" s="407"/>
      <c r="CE59" s="407"/>
      <c r="CF59" s="407"/>
      <c r="CG59" s="407"/>
      <c r="CH59" s="407"/>
      <c r="CI59" s="407"/>
      <c r="CJ59" s="407"/>
      <c r="CK59" s="407"/>
      <c r="CL59" s="407"/>
      <c r="CM59" s="407"/>
      <c r="CN59" s="407"/>
      <c r="CO59" s="407"/>
      <c r="CP59" s="407"/>
      <c r="CQ59" s="407"/>
      <c r="CR59" s="407"/>
      <c r="CS59" s="407"/>
      <c r="CT59" s="407"/>
      <c r="CU59" s="407"/>
      <c r="CV59" s="407"/>
      <c r="CW59" s="407"/>
      <c r="CX59" s="407"/>
      <c r="CY59" s="407"/>
      <c r="CZ59" s="407"/>
      <c r="DA59" s="407"/>
      <c r="DB59" s="407"/>
      <c r="DC59" s="407"/>
      <c r="DD59" s="407"/>
      <c r="DE59" s="407"/>
      <c r="DF59" s="407"/>
      <c r="DG59" s="407"/>
      <c r="DH59" s="407"/>
      <c r="DI59" s="407"/>
      <c r="DJ59" s="407"/>
      <c r="DK59" s="407"/>
      <c r="DL59" s="407"/>
      <c r="DM59" s="407"/>
      <c r="DN59" s="407"/>
    </row>
    <row r="60" spans="37:118" x14ac:dyDescent="0.35">
      <c r="AK60" s="407"/>
      <c r="AL60" s="111"/>
      <c r="AM60" s="407"/>
      <c r="AN60" s="407"/>
      <c r="AO60" s="407"/>
      <c r="AP60" s="407"/>
      <c r="AQ60" s="407"/>
      <c r="AR60" s="407"/>
      <c r="AS60" s="407"/>
      <c r="AT60" s="407"/>
      <c r="AU60" s="407"/>
      <c r="AV60" s="407"/>
      <c r="AW60" s="407"/>
      <c r="AX60" s="407"/>
      <c r="AY60" s="407"/>
      <c r="AZ60" s="407"/>
      <c r="BA60" s="407"/>
      <c r="BB60" s="407"/>
      <c r="BC60" s="407"/>
      <c r="BD60" s="407"/>
      <c r="BE60" s="407"/>
      <c r="BF60" s="407"/>
      <c r="BG60" s="407"/>
      <c r="BH60" s="407"/>
      <c r="BI60" s="407"/>
      <c r="BJ60" s="407"/>
      <c r="BK60" s="407"/>
      <c r="BL60" s="407"/>
      <c r="BM60" s="407"/>
      <c r="BN60" s="407"/>
      <c r="BO60" s="407"/>
      <c r="BP60" s="407"/>
      <c r="BQ60" s="407"/>
      <c r="BR60" s="407"/>
      <c r="BS60" s="407"/>
      <c r="BT60" s="407"/>
      <c r="BU60" s="407"/>
      <c r="BV60" s="407"/>
      <c r="BW60" s="407"/>
      <c r="BX60" s="407"/>
      <c r="BY60" s="407"/>
      <c r="BZ60" s="407"/>
      <c r="CA60" s="407"/>
      <c r="CB60" s="407"/>
      <c r="CC60" s="407"/>
      <c r="CD60" s="407"/>
      <c r="CE60" s="407"/>
      <c r="CF60" s="407"/>
      <c r="CG60" s="407"/>
      <c r="CH60" s="407"/>
      <c r="CI60" s="407"/>
      <c r="CJ60" s="407"/>
      <c r="CK60" s="407"/>
      <c r="CL60" s="407"/>
      <c r="CM60" s="407"/>
      <c r="CN60" s="407"/>
      <c r="CO60" s="407"/>
      <c r="CP60" s="407"/>
      <c r="CQ60" s="407"/>
      <c r="CR60" s="407"/>
      <c r="CS60" s="407"/>
      <c r="CT60" s="407"/>
      <c r="CU60" s="407"/>
      <c r="CV60" s="407"/>
      <c r="CW60" s="407"/>
      <c r="CX60" s="407"/>
      <c r="CY60" s="407"/>
      <c r="CZ60" s="407"/>
      <c r="DA60" s="407"/>
      <c r="DB60" s="407"/>
      <c r="DC60" s="407"/>
      <c r="DD60" s="407"/>
      <c r="DE60" s="407"/>
      <c r="DF60" s="407"/>
      <c r="DG60" s="407"/>
      <c r="DH60" s="407"/>
      <c r="DI60" s="407"/>
      <c r="DJ60" s="407"/>
      <c r="DK60" s="407"/>
      <c r="DL60" s="407"/>
      <c r="DM60" s="407"/>
      <c r="DN60" s="407"/>
    </row>
    <row r="61" spans="37:118" x14ac:dyDescent="0.35">
      <c r="AK61" s="407"/>
      <c r="AL61" s="111"/>
      <c r="AM61" s="407"/>
      <c r="AN61" s="407"/>
      <c r="AO61" s="407"/>
      <c r="AP61" s="407"/>
      <c r="AQ61" s="407"/>
      <c r="AR61" s="407"/>
      <c r="AS61" s="407"/>
      <c r="AT61" s="407"/>
      <c r="AU61" s="407"/>
      <c r="AV61" s="407"/>
      <c r="AW61" s="407"/>
      <c r="AX61" s="407"/>
      <c r="AY61" s="407"/>
      <c r="AZ61" s="407"/>
      <c r="BA61" s="407"/>
      <c r="BB61" s="407"/>
      <c r="BC61" s="407"/>
      <c r="BD61" s="407"/>
      <c r="BE61" s="407"/>
      <c r="BF61" s="407"/>
      <c r="BG61" s="407"/>
      <c r="BH61" s="407"/>
      <c r="BI61" s="407"/>
      <c r="BJ61" s="407"/>
      <c r="BK61" s="407"/>
      <c r="BL61" s="407"/>
      <c r="BM61" s="407"/>
      <c r="BN61" s="407"/>
      <c r="BO61" s="407"/>
      <c r="BP61" s="407"/>
      <c r="BQ61" s="407"/>
      <c r="BR61" s="407"/>
      <c r="BS61" s="407"/>
      <c r="BT61" s="407"/>
      <c r="BU61" s="407"/>
      <c r="BV61" s="407"/>
      <c r="BW61" s="407"/>
      <c r="BX61" s="407"/>
      <c r="BY61" s="407"/>
      <c r="BZ61" s="407"/>
      <c r="CA61" s="407"/>
      <c r="CB61" s="407"/>
      <c r="CC61" s="407"/>
      <c r="CD61" s="407"/>
      <c r="CE61" s="407"/>
      <c r="CF61" s="407"/>
      <c r="CG61" s="407"/>
      <c r="CH61" s="407"/>
      <c r="CI61" s="407"/>
      <c r="CJ61" s="407"/>
      <c r="CK61" s="407"/>
      <c r="CL61" s="407"/>
      <c r="CM61" s="407"/>
      <c r="CN61" s="407"/>
      <c r="CO61" s="407"/>
      <c r="CP61" s="407"/>
      <c r="CQ61" s="407"/>
      <c r="CR61" s="407"/>
      <c r="CS61" s="407"/>
      <c r="CT61" s="407"/>
      <c r="CU61" s="407"/>
      <c r="CV61" s="407"/>
      <c r="CW61" s="407"/>
      <c r="CX61" s="407"/>
      <c r="CY61" s="407"/>
      <c r="CZ61" s="407"/>
      <c r="DA61" s="407"/>
      <c r="DB61" s="407"/>
      <c r="DC61" s="407"/>
      <c r="DD61" s="407"/>
      <c r="DE61" s="407"/>
      <c r="DF61" s="407"/>
      <c r="DG61" s="407"/>
      <c r="DH61" s="407"/>
      <c r="DI61" s="407"/>
      <c r="DJ61" s="407"/>
      <c r="DK61" s="407"/>
      <c r="DL61" s="407"/>
      <c r="DM61" s="407"/>
      <c r="DN61" s="407"/>
    </row>
    <row r="62" spans="37:118" x14ac:dyDescent="0.35">
      <c r="AK62" s="407"/>
      <c r="AL62" s="111"/>
      <c r="AM62" s="407"/>
      <c r="AN62" s="407"/>
      <c r="AO62" s="407"/>
      <c r="AP62" s="407"/>
      <c r="AQ62" s="407"/>
      <c r="AR62" s="407"/>
      <c r="AS62" s="407"/>
      <c r="AT62" s="407"/>
      <c r="AU62" s="407"/>
      <c r="AV62" s="407"/>
      <c r="AW62" s="407"/>
      <c r="AX62" s="407"/>
      <c r="AY62" s="407"/>
      <c r="AZ62" s="407"/>
      <c r="BA62" s="407"/>
      <c r="BB62" s="407"/>
      <c r="BC62" s="407"/>
      <c r="BD62" s="407"/>
      <c r="BE62" s="407"/>
      <c r="BF62" s="407"/>
      <c r="BG62" s="407"/>
      <c r="BH62" s="407"/>
      <c r="BI62" s="407"/>
      <c r="BJ62" s="407"/>
      <c r="BK62" s="407"/>
      <c r="BL62" s="407"/>
      <c r="BM62" s="407"/>
      <c r="BN62" s="407"/>
      <c r="BO62" s="407"/>
      <c r="BP62" s="407"/>
      <c r="BQ62" s="407"/>
      <c r="BR62" s="407"/>
      <c r="BS62" s="407"/>
      <c r="BT62" s="407"/>
      <c r="BU62" s="407"/>
      <c r="BV62" s="407"/>
      <c r="BW62" s="407"/>
      <c r="BX62" s="407"/>
      <c r="BY62" s="407"/>
      <c r="BZ62" s="407"/>
      <c r="CA62" s="407"/>
      <c r="CB62" s="407"/>
      <c r="CC62" s="407"/>
      <c r="CD62" s="407"/>
      <c r="CE62" s="407"/>
      <c r="CF62" s="407"/>
      <c r="CG62" s="407"/>
      <c r="CH62" s="407"/>
      <c r="CI62" s="407"/>
      <c r="CJ62" s="407"/>
      <c r="CK62" s="407"/>
      <c r="CL62" s="407"/>
      <c r="CM62" s="407"/>
      <c r="CN62" s="407"/>
      <c r="CO62" s="407"/>
      <c r="CP62" s="407"/>
      <c r="CQ62" s="407"/>
      <c r="CR62" s="407"/>
      <c r="CS62" s="407"/>
      <c r="CT62" s="407"/>
      <c r="CU62" s="407"/>
      <c r="CV62" s="407"/>
      <c r="CW62" s="407"/>
      <c r="CX62" s="407"/>
      <c r="CY62" s="407"/>
      <c r="CZ62" s="407"/>
      <c r="DA62" s="407"/>
      <c r="DB62" s="407"/>
      <c r="DC62" s="407"/>
      <c r="DD62" s="407"/>
      <c r="DE62" s="407"/>
      <c r="DF62" s="407"/>
      <c r="DG62" s="407"/>
      <c r="DH62" s="407"/>
      <c r="DI62" s="407"/>
      <c r="DJ62" s="407"/>
      <c r="DK62" s="407"/>
      <c r="DL62" s="407"/>
      <c r="DM62" s="407"/>
      <c r="DN62" s="407"/>
    </row>
    <row r="63" spans="37:118" x14ac:dyDescent="0.35">
      <c r="AK63" s="407"/>
      <c r="AL63" s="111"/>
      <c r="AM63" s="407"/>
      <c r="AN63" s="407"/>
      <c r="AO63" s="407"/>
      <c r="AP63" s="407"/>
      <c r="AQ63" s="407"/>
      <c r="AR63" s="407"/>
      <c r="AS63" s="407"/>
      <c r="AT63" s="407"/>
      <c r="AU63" s="407"/>
      <c r="AV63" s="407"/>
      <c r="AW63" s="407"/>
      <c r="AX63" s="407"/>
      <c r="AY63" s="407"/>
      <c r="AZ63" s="407"/>
      <c r="BA63" s="407"/>
      <c r="BB63" s="407"/>
      <c r="BC63" s="407"/>
      <c r="BD63" s="407"/>
      <c r="BE63" s="407"/>
      <c r="BF63" s="407"/>
      <c r="BG63" s="407"/>
      <c r="BH63" s="407"/>
      <c r="BI63" s="407"/>
      <c r="BJ63" s="407"/>
      <c r="BK63" s="407"/>
      <c r="BL63" s="407"/>
      <c r="BM63" s="407"/>
      <c r="BN63" s="407"/>
      <c r="BO63" s="407"/>
      <c r="BP63" s="407"/>
      <c r="BQ63" s="407"/>
      <c r="BR63" s="407"/>
      <c r="BS63" s="407"/>
      <c r="BT63" s="407"/>
      <c r="BU63" s="407"/>
      <c r="BV63" s="407"/>
      <c r="BW63" s="407"/>
      <c r="BX63" s="407"/>
      <c r="BY63" s="407"/>
      <c r="BZ63" s="407"/>
      <c r="CA63" s="407"/>
      <c r="CB63" s="407"/>
      <c r="CC63" s="407"/>
      <c r="CD63" s="407"/>
      <c r="CE63" s="407"/>
      <c r="CF63" s="407"/>
      <c r="CG63" s="407"/>
      <c r="CH63" s="407"/>
      <c r="CI63" s="407"/>
      <c r="CJ63" s="407"/>
      <c r="CK63" s="407"/>
      <c r="CL63" s="407"/>
      <c r="CM63" s="407"/>
      <c r="CN63" s="407"/>
      <c r="CO63" s="407"/>
      <c r="CP63" s="407"/>
      <c r="CQ63" s="407"/>
      <c r="CR63" s="407"/>
      <c r="CS63" s="407"/>
      <c r="CT63" s="407"/>
      <c r="CU63" s="407"/>
      <c r="CV63" s="407"/>
      <c r="CW63" s="407"/>
      <c r="CX63" s="407"/>
      <c r="CY63" s="407"/>
      <c r="CZ63" s="407"/>
      <c r="DA63" s="407"/>
      <c r="DB63" s="407"/>
      <c r="DC63" s="407"/>
      <c r="DD63" s="407"/>
      <c r="DE63" s="407"/>
      <c r="DF63" s="407"/>
      <c r="DG63" s="407"/>
      <c r="DH63" s="407"/>
      <c r="DI63" s="407"/>
      <c r="DJ63" s="407"/>
      <c r="DK63" s="407"/>
      <c r="DL63" s="407"/>
      <c r="DM63" s="407"/>
      <c r="DN63" s="407"/>
    </row>
    <row r="64" spans="37:118" x14ac:dyDescent="0.35">
      <c r="AK64" s="407"/>
      <c r="AL64" s="111"/>
      <c r="AM64" s="407"/>
      <c r="AN64" s="407"/>
      <c r="AO64" s="407"/>
      <c r="AP64" s="407"/>
      <c r="AQ64" s="407"/>
      <c r="AR64" s="407"/>
      <c r="AS64" s="407"/>
      <c r="AT64" s="407"/>
      <c r="AU64" s="407"/>
      <c r="AV64" s="407"/>
      <c r="AW64" s="407"/>
      <c r="AX64" s="407"/>
      <c r="AY64" s="407"/>
      <c r="AZ64" s="407"/>
      <c r="BA64" s="407"/>
      <c r="BB64" s="407"/>
      <c r="BC64" s="407"/>
      <c r="BD64" s="407"/>
      <c r="BE64" s="407"/>
      <c r="BF64" s="407"/>
      <c r="BG64" s="407"/>
      <c r="BH64" s="407"/>
      <c r="BI64" s="407"/>
      <c r="BJ64" s="407"/>
      <c r="BK64" s="407"/>
      <c r="BL64" s="407"/>
      <c r="BM64" s="407"/>
      <c r="BN64" s="407"/>
      <c r="BO64" s="407"/>
      <c r="BP64" s="407"/>
      <c r="BQ64" s="407"/>
      <c r="BR64" s="407"/>
      <c r="BS64" s="407"/>
      <c r="BT64" s="407"/>
      <c r="BU64" s="407"/>
      <c r="BV64" s="407"/>
      <c r="BW64" s="407"/>
      <c r="BX64" s="407"/>
      <c r="BY64" s="407"/>
      <c r="BZ64" s="407"/>
      <c r="CA64" s="407"/>
      <c r="CB64" s="407"/>
      <c r="CC64" s="407"/>
      <c r="CD64" s="407"/>
      <c r="CE64" s="407"/>
      <c r="CF64" s="407"/>
      <c r="CG64" s="407"/>
      <c r="CH64" s="407"/>
      <c r="CI64" s="407"/>
      <c r="CJ64" s="407"/>
      <c r="CK64" s="407"/>
      <c r="CL64" s="407"/>
      <c r="CM64" s="407"/>
      <c r="CN64" s="407"/>
      <c r="CO64" s="407"/>
      <c r="CP64" s="407"/>
      <c r="CQ64" s="407"/>
      <c r="CR64" s="407"/>
      <c r="CS64" s="407"/>
      <c r="CT64" s="407"/>
      <c r="CU64" s="407"/>
      <c r="CV64" s="407"/>
      <c r="CW64" s="407"/>
      <c r="CX64" s="407"/>
      <c r="CY64" s="407"/>
      <c r="CZ64" s="407"/>
      <c r="DA64" s="407"/>
      <c r="DB64" s="407"/>
      <c r="DC64" s="407"/>
      <c r="DD64" s="407"/>
      <c r="DE64" s="407"/>
      <c r="DF64" s="407"/>
      <c r="DG64" s="407"/>
      <c r="DH64" s="407"/>
      <c r="DI64" s="407"/>
      <c r="DJ64" s="407"/>
      <c r="DK64" s="407"/>
      <c r="DL64" s="407"/>
      <c r="DM64" s="407"/>
      <c r="DN64" s="407"/>
    </row>
    <row r="65" spans="37:118" x14ac:dyDescent="0.35">
      <c r="AK65" s="407"/>
      <c r="AL65" s="111"/>
      <c r="AM65" s="407"/>
      <c r="AN65" s="407"/>
      <c r="AO65" s="407"/>
      <c r="AP65" s="407"/>
      <c r="AQ65" s="407"/>
      <c r="AR65" s="407"/>
      <c r="AS65" s="407"/>
      <c r="AT65" s="407"/>
      <c r="AU65" s="407"/>
      <c r="AV65" s="407"/>
      <c r="AW65" s="407"/>
      <c r="AX65" s="407"/>
      <c r="AY65" s="407"/>
      <c r="AZ65" s="407"/>
      <c r="BA65" s="407"/>
      <c r="BB65" s="407"/>
      <c r="BC65" s="407"/>
      <c r="BD65" s="407"/>
      <c r="BE65" s="407"/>
      <c r="BF65" s="407"/>
      <c r="BG65" s="407"/>
      <c r="BH65" s="407"/>
      <c r="BI65" s="407"/>
      <c r="BJ65" s="407"/>
      <c r="BK65" s="407"/>
      <c r="BL65" s="407"/>
      <c r="BM65" s="407"/>
      <c r="BN65" s="407"/>
      <c r="BO65" s="407"/>
      <c r="BP65" s="407"/>
      <c r="BQ65" s="407"/>
      <c r="BR65" s="407"/>
      <c r="BS65" s="407"/>
      <c r="BT65" s="407"/>
      <c r="BU65" s="407"/>
      <c r="BV65" s="407"/>
      <c r="BW65" s="407"/>
      <c r="BX65" s="407"/>
      <c r="BY65" s="407"/>
      <c r="BZ65" s="407"/>
      <c r="CA65" s="407"/>
      <c r="CB65" s="407"/>
      <c r="CC65" s="407"/>
      <c r="CD65" s="407"/>
      <c r="CE65" s="407"/>
      <c r="CF65" s="407"/>
      <c r="CG65" s="407"/>
      <c r="CH65" s="407"/>
      <c r="CI65" s="407"/>
      <c r="CJ65" s="407"/>
      <c r="CK65" s="407"/>
      <c r="CL65" s="407"/>
      <c r="CM65" s="407"/>
      <c r="CN65" s="407"/>
      <c r="CO65" s="407"/>
      <c r="CP65" s="407"/>
      <c r="CQ65" s="407"/>
      <c r="CR65" s="407"/>
      <c r="CS65" s="407"/>
      <c r="CT65" s="407"/>
      <c r="CU65" s="407"/>
      <c r="CV65" s="407"/>
      <c r="CW65" s="407"/>
      <c r="CX65" s="407"/>
      <c r="CY65" s="407"/>
      <c r="CZ65" s="407"/>
      <c r="DA65" s="407"/>
      <c r="DB65" s="407"/>
      <c r="DC65" s="407"/>
      <c r="DD65" s="407"/>
      <c r="DE65" s="407"/>
      <c r="DF65" s="407"/>
      <c r="DG65" s="407"/>
      <c r="DH65" s="407"/>
      <c r="DI65" s="407"/>
      <c r="DJ65" s="407"/>
      <c r="DK65" s="407"/>
      <c r="DL65" s="407"/>
      <c r="DM65" s="407"/>
      <c r="DN65" s="407"/>
    </row>
    <row r="66" spans="37:118" x14ac:dyDescent="0.35">
      <c r="AK66" s="407"/>
      <c r="AL66" s="111"/>
      <c r="AM66" s="407"/>
      <c r="AN66" s="407"/>
      <c r="AO66" s="407"/>
      <c r="AP66" s="407"/>
      <c r="AQ66" s="407"/>
      <c r="AR66" s="407"/>
      <c r="AS66" s="407"/>
      <c r="AT66" s="407"/>
      <c r="AU66" s="407"/>
      <c r="AV66" s="407"/>
      <c r="AW66" s="407"/>
      <c r="AX66" s="407"/>
      <c r="AY66" s="407"/>
      <c r="AZ66" s="407"/>
      <c r="BA66" s="407"/>
      <c r="BB66" s="407"/>
      <c r="BC66" s="407"/>
      <c r="BD66" s="407"/>
      <c r="BE66" s="407"/>
      <c r="BF66" s="407"/>
      <c r="BG66" s="407"/>
      <c r="BH66" s="407"/>
      <c r="BI66" s="407"/>
      <c r="BJ66" s="407"/>
      <c r="BK66" s="407"/>
      <c r="BL66" s="407"/>
      <c r="BM66" s="407"/>
      <c r="BN66" s="407"/>
      <c r="BO66" s="407"/>
      <c r="BP66" s="407"/>
      <c r="BQ66" s="407"/>
      <c r="BR66" s="407"/>
      <c r="BS66" s="407"/>
      <c r="BT66" s="407"/>
      <c r="BU66" s="407"/>
      <c r="BV66" s="407"/>
      <c r="BW66" s="407"/>
      <c r="BX66" s="407"/>
      <c r="BY66" s="407"/>
      <c r="BZ66" s="407"/>
      <c r="CA66" s="407"/>
      <c r="CB66" s="407"/>
      <c r="CC66" s="407"/>
      <c r="CD66" s="407"/>
      <c r="CE66" s="407"/>
      <c r="CF66" s="407"/>
      <c r="CG66" s="407"/>
      <c r="CH66" s="407"/>
      <c r="CI66" s="407"/>
      <c r="CJ66" s="407"/>
      <c r="CK66" s="407"/>
      <c r="CL66" s="407"/>
      <c r="CM66" s="407"/>
      <c r="CN66" s="407"/>
      <c r="CO66" s="407"/>
      <c r="CP66" s="407"/>
      <c r="CQ66" s="407"/>
      <c r="CR66" s="407"/>
      <c r="CS66" s="407"/>
      <c r="CT66" s="407"/>
      <c r="CU66" s="407"/>
      <c r="CV66" s="407"/>
      <c r="CW66" s="407"/>
      <c r="CX66" s="407"/>
      <c r="CY66" s="407"/>
      <c r="CZ66" s="407"/>
      <c r="DA66" s="407"/>
      <c r="DB66" s="407"/>
      <c r="DC66" s="407"/>
      <c r="DD66" s="407"/>
      <c r="DE66" s="407"/>
      <c r="DF66" s="407"/>
      <c r="DG66" s="407"/>
      <c r="DH66" s="407"/>
      <c r="DI66" s="407"/>
      <c r="DJ66" s="407"/>
      <c r="DK66" s="407"/>
      <c r="DL66" s="407"/>
      <c r="DM66" s="407"/>
      <c r="DN66" s="407"/>
    </row>
    <row r="67" spans="37:118" x14ac:dyDescent="0.35">
      <c r="AK67" s="407"/>
      <c r="AL67" s="111"/>
      <c r="AM67" s="407"/>
      <c r="AN67" s="407"/>
      <c r="AO67" s="407"/>
      <c r="AP67" s="407"/>
      <c r="AQ67" s="407"/>
      <c r="AR67" s="407"/>
      <c r="AS67" s="407"/>
      <c r="AT67" s="407"/>
      <c r="AU67" s="407"/>
      <c r="AV67" s="407"/>
      <c r="AW67" s="407"/>
      <c r="AX67" s="407"/>
      <c r="AY67" s="407"/>
      <c r="AZ67" s="407"/>
      <c r="BA67" s="407"/>
      <c r="BB67" s="407"/>
      <c r="BC67" s="407"/>
      <c r="BD67" s="407"/>
      <c r="BE67" s="407"/>
      <c r="BF67" s="407"/>
      <c r="BG67" s="407"/>
      <c r="BH67" s="407"/>
      <c r="BI67" s="407"/>
      <c r="BJ67" s="407"/>
      <c r="BK67" s="407"/>
      <c r="BL67" s="407"/>
      <c r="BM67" s="407"/>
      <c r="BN67" s="407"/>
      <c r="BO67" s="407"/>
      <c r="BP67" s="407"/>
      <c r="BQ67" s="407"/>
      <c r="BR67" s="407"/>
      <c r="BS67" s="407"/>
      <c r="BT67" s="407"/>
      <c r="BU67" s="407"/>
      <c r="BV67" s="407"/>
      <c r="BW67" s="407"/>
      <c r="BX67" s="407"/>
      <c r="BY67" s="407"/>
      <c r="BZ67" s="407"/>
      <c r="CA67" s="407"/>
      <c r="CB67" s="407"/>
      <c r="CC67" s="407"/>
      <c r="CD67" s="407"/>
      <c r="CE67" s="407"/>
      <c r="CF67" s="407"/>
      <c r="CG67" s="407"/>
      <c r="CH67" s="407"/>
      <c r="CI67" s="407"/>
      <c r="CJ67" s="407"/>
      <c r="CK67" s="407"/>
      <c r="CL67" s="407"/>
      <c r="CM67" s="407"/>
      <c r="CN67" s="407"/>
      <c r="CO67" s="407"/>
      <c r="CP67" s="407"/>
      <c r="CQ67" s="407"/>
      <c r="CR67" s="407"/>
      <c r="CS67" s="407"/>
      <c r="CT67" s="407"/>
      <c r="CU67" s="407"/>
      <c r="CV67" s="407"/>
      <c r="CW67" s="407"/>
      <c r="CX67" s="407"/>
      <c r="CY67" s="407"/>
      <c r="CZ67" s="407"/>
      <c r="DA67" s="407"/>
      <c r="DB67" s="407"/>
      <c r="DC67" s="407"/>
      <c r="DD67" s="407"/>
      <c r="DE67" s="407"/>
      <c r="DF67" s="407"/>
      <c r="DG67" s="407"/>
      <c r="DH67" s="407"/>
      <c r="DI67" s="407"/>
      <c r="DJ67" s="407"/>
      <c r="DK67" s="407"/>
      <c r="DL67" s="407"/>
      <c r="DM67" s="407"/>
      <c r="DN67" s="407"/>
    </row>
    <row r="68" spans="37:118" x14ac:dyDescent="0.35">
      <c r="AK68" s="407"/>
      <c r="AL68" s="111"/>
      <c r="AM68" s="407"/>
      <c r="AN68" s="407"/>
      <c r="AO68" s="407"/>
      <c r="AP68" s="407"/>
      <c r="AQ68" s="407"/>
      <c r="AR68" s="407"/>
      <c r="AS68" s="407"/>
      <c r="AT68" s="407"/>
      <c r="AU68" s="407"/>
      <c r="AV68" s="407"/>
      <c r="AW68" s="407"/>
      <c r="AX68" s="407"/>
      <c r="AY68" s="407"/>
      <c r="AZ68" s="407"/>
      <c r="BA68" s="407"/>
      <c r="BB68" s="407"/>
      <c r="BC68" s="407"/>
      <c r="BD68" s="407"/>
      <c r="BE68" s="407"/>
      <c r="BF68" s="407"/>
      <c r="BG68" s="407"/>
      <c r="BH68" s="407"/>
      <c r="BI68" s="407"/>
      <c r="BJ68" s="407"/>
      <c r="BK68" s="407"/>
      <c r="BL68" s="407"/>
      <c r="BM68" s="407"/>
      <c r="BN68" s="407"/>
      <c r="BO68" s="407"/>
      <c r="BP68" s="407"/>
      <c r="BQ68" s="407"/>
      <c r="BR68" s="407"/>
      <c r="BS68" s="407"/>
      <c r="BT68" s="407"/>
      <c r="BU68" s="407"/>
      <c r="BV68" s="407"/>
      <c r="BW68" s="407"/>
      <c r="BX68" s="407"/>
      <c r="BY68" s="407"/>
      <c r="BZ68" s="407"/>
      <c r="CA68" s="407"/>
      <c r="CB68" s="407"/>
      <c r="CC68" s="407"/>
      <c r="CD68" s="407"/>
      <c r="CE68" s="407"/>
      <c r="CF68" s="407"/>
      <c r="CG68" s="407"/>
      <c r="CH68" s="407"/>
      <c r="CI68" s="407"/>
      <c r="CJ68" s="407"/>
      <c r="CK68" s="407"/>
      <c r="CL68" s="407"/>
      <c r="CM68" s="407"/>
      <c r="CN68" s="407"/>
      <c r="CO68" s="407"/>
      <c r="CP68" s="407"/>
      <c r="CQ68" s="407"/>
      <c r="CR68" s="407"/>
      <c r="CS68" s="407"/>
      <c r="CT68" s="407"/>
      <c r="CU68" s="407"/>
      <c r="CV68" s="407"/>
      <c r="CW68" s="407"/>
      <c r="CX68" s="407"/>
      <c r="CY68" s="407"/>
      <c r="CZ68" s="407"/>
      <c r="DA68" s="407"/>
      <c r="DB68" s="407"/>
      <c r="DC68" s="407"/>
      <c r="DD68" s="407"/>
      <c r="DE68" s="407"/>
      <c r="DF68" s="407"/>
      <c r="DG68" s="407"/>
      <c r="DH68" s="407"/>
      <c r="DI68" s="407"/>
      <c r="DJ68" s="407"/>
      <c r="DK68" s="407"/>
      <c r="DL68" s="407"/>
      <c r="DM68" s="407"/>
      <c r="DN68" s="407"/>
    </row>
    <row r="69" spans="37:118" x14ac:dyDescent="0.35">
      <c r="AK69" s="407"/>
      <c r="AL69" s="111"/>
      <c r="AM69" s="407"/>
      <c r="AN69" s="407"/>
      <c r="AO69" s="407"/>
      <c r="AP69" s="407"/>
      <c r="AQ69" s="407"/>
      <c r="AR69" s="407"/>
      <c r="AS69" s="407"/>
      <c r="AT69" s="407"/>
      <c r="AU69" s="407"/>
      <c r="AV69" s="407"/>
      <c r="AW69" s="407"/>
      <c r="AX69" s="407"/>
      <c r="AY69" s="407"/>
      <c r="AZ69" s="407"/>
      <c r="BA69" s="407"/>
      <c r="BB69" s="407"/>
      <c r="BC69" s="407"/>
      <c r="BD69" s="407"/>
      <c r="BE69" s="407"/>
      <c r="BF69" s="407"/>
      <c r="BG69" s="407"/>
      <c r="BH69" s="407"/>
      <c r="BI69" s="407"/>
      <c r="BJ69" s="407"/>
      <c r="BK69" s="407"/>
      <c r="BL69" s="407"/>
      <c r="BM69" s="407"/>
      <c r="BN69" s="407"/>
      <c r="BO69" s="407"/>
      <c r="BP69" s="407"/>
      <c r="BQ69" s="407"/>
      <c r="BR69" s="407"/>
      <c r="BS69" s="407"/>
      <c r="BT69" s="407"/>
      <c r="BU69" s="407"/>
      <c r="BV69" s="407"/>
      <c r="BW69" s="407"/>
      <c r="BX69" s="407"/>
      <c r="BY69" s="407"/>
      <c r="BZ69" s="407"/>
      <c r="CA69" s="407"/>
      <c r="CB69" s="407"/>
      <c r="CC69" s="407"/>
      <c r="CD69" s="407"/>
      <c r="CE69" s="407"/>
      <c r="CF69" s="407"/>
      <c r="CG69" s="407"/>
      <c r="CH69" s="407"/>
      <c r="CI69" s="407"/>
      <c r="CJ69" s="407"/>
      <c r="CK69" s="407"/>
      <c r="CL69" s="407"/>
      <c r="CM69" s="407"/>
      <c r="CN69" s="407"/>
      <c r="CO69" s="407"/>
      <c r="CP69" s="407"/>
      <c r="CQ69" s="407"/>
      <c r="CR69" s="407"/>
      <c r="CS69" s="407"/>
      <c r="CT69" s="407"/>
      <c r="CU69" s="407"/>
      <c r="CV69" s="407"/>
      <c r="CW69" s="407"/>
      <c r="CX69" s="407"/>
      <c r="CY69" s="407"/>
      <c r="CZ69" s="407"/>
      <c r="DA69" s="407"/>
      <c r="DB69" s="407"/>
      <c r="DC69" s="407"/>
      <c r="DD69" s="407"/>
      <c r="DE69" s="407"/>
      <c r="DF69" s="407"/>
      <c r="DG69" s="407"/>
      <c r="DH69" s="407"/>
      <c r="DI69" s="407"/>
      <c r="DJ69" s="407"/>
      <c r="DK69" s="407"/>
      <c r="DL69" s="407"/>
      <c r="DM69" s="407"/>
      <c r="DN69" s="407"/>
    </row>
    <row r="70" spans="37:118" x14ac:dyDescent="0.35">
      <c r="AK70" s="407"/>
      <c r="AL70" s="111"/>
      <c r="AM70" s="407"/>
      <c r="AN70" s="407"/>
      <c r="AO70" s="407"/>
      <c r="AP70" s="407"/>
      <c r="AQ70" s="407"/>
      <c r="AR70" s="407"/>
      <c r="AS70" s="407"/>
      <c r="AT70" s="407"/>
      <c r="AU70" s="407"/>
      <c r="AV70" s="407"/>
      <c r="AW70" s="407"/>
      <c r="AX70" s="407"/>
      <c r="AY70" s="407"/>
      <c r="AZ70" s="407"/>
      <c r="BA70" s="407"/>
      <c r="BB70" s="407"/>
      <c r="BC70" s="407"/>
      <c r="BD70" s="407"/>
      <c r="BE70" s="407"/>
      <c r="BF70" s="407"/>
      <c r="BG70" s="407"/>
      <c r="BH70" s="407"/>
      <c r="BI70" s="407"/>
      <c r="BJ70" s="407"/>
      <c r="BK70" s="407"/>
      <c r="BL70" s="407"/>
      <c r="BM70" s="407"/>
      <c r="BN70" s="407"/>
      <c r="BO70" s="407"/>
      <c r="BP70" s="407"/>
      <c r="BQ70" s="407"/>
      <c r="BR70" s="407"/>
      <c r="BS70" s="407"/>
      <c r="BT70" s="407"/>
      <c r="BU70" s="407"/>
      <c r="BV70" s="407"/>
      <c r="BW70" s="407"/>
      <c r="BX70" s="407"/>
      <c r="BY70" s="407"/>
      <c r="BZ70" s="407"/>
      <c r="CA70" s="407"/>
      <c r="CB70" s="407"/>
      <c r="CC70" s="407"/>
      <c r="CD70" s="407"/>
      <c r="CE70" s="407"/>
      <c r="CF70" s="407"/>
      <c r="CG70" s="407"/>
      <c r="CH70" s="407"/>
      <c r="CI70" s="407"/>
      <c r="CJ70" s="407"/>
      <c r="CK70" s="407"/>
      <c r="CL70" s="407"/>
      <c r="CM70" s="407"/>
      <c r="CN70" s="407"/>
      <c r="CO70" s="407"/>
      <c r="CP70" s="407"/>
      <c r="CQ70" s="407"/>
      <c r="CR70" s="407"/>
      <c r="CS70" s="407"/>
      <c r="CT70" s="407"/>
      <c r="CU70" s="407"/>
      <c r="CV70" s="407"/>
      <c r="CW70" s="407"/>
      <c r="CX70" s="407"/>
      <c r="CY70" s="407"/>
      <c r="CZ70" s="407"/>
      <c r="DA70" s="407"/>
      <c r="DB70" s="407"/>
      <c r="DC70" s="407"/>
      <c r="DD70" s="407"/>
      <c r="DE70" s="407"/>
      <c r="DF70" s="407"/>
      <c r="DG70" s="407"/>
      <c r="DH70" s="407"/>
      <c r="DI70" s="407"/>
      <c r="DJ70" s="407"/>
      <c r="DK70" s="407"/>
      <c r="DL70" s="407"/>
      <c r="DM70" s="407"/>
      <c r="DN70" s="407"/>
    </row>
    <row r="71" spans="37:118" x14ac:dyDescent="0.35">
      <c r="AK71" s="407"/>
      <c r="AL71" s="111"/>
      <c r="AM71" s="407"/>
      <c r="AN71" s="407"/>
      <c r="AO71" s="407"/>
      <c r="AP71" s="407"/>
      <c r="AQ71" s="407"/>
      <c r="AR71" s="407"/>
      <c r="AS71" s="407"/>
      <c r="AT71" s="407"/>
      <c r="AU71" s="407"/>
      <c r="AV71" s="407"/>
      <c r="AW71" s="407"/>
      <c r="AX71" s="407"/>
      <c r="AY71" s="407"/>
      <c r="AZ71" s="407"/>
      <c r="BA71" s="407"/>
      <c r="BB71" s="407"/>
      <c r="BC71" s="407"/>
      <c r="BD71" s="407"/>
      <c r="BE71" s="407"/>
      <c r="BF71" s="407"/>
      <c r="BG71" s="407"/>
      <c r="BH71" s="407"/>
      <c r="BI71" s="407"/>
      <c r="BJ71" s="407"/>
      <c r="BK71" s="407"/>
      <c r="BL71" s="407"/>
      <c r="BM71" s="407"/>
      <c r="BN71" s="407"/>
      <c r="BO71" s="407"/>
      <c r="BP71" s="407"/>
      <c r="BQ71" s="407"/>
      <c r="BR71" s="407"/>
      <c r="BS71" s="407"/>
      <c r="BT71" s="407"/>
      <c r="BU71" s="407"/>
      <c r="BV71" s="407"/>
      <c r="BW71" s="407"/>
      <c r="BX71" s="407"/>
      <c r="BY71" s="407"/>
      <c r="BZ71" s="407"/>
      <c r="CA71" s="407"/>
      <c r="CB71" s="407"/>
      <c r="CC71" s="407"/>
      <c r="CD71" s="407"/>
      <c r="CE71" s="407"/>
      <c r="CF71" s="407"/>
      <c r="CG71" s="407"/>
      <c r="CH71" s="407"/>
      <c r="CI71" s="407"/>
      <c r="CJ71" s="407"/>
      <c r="CK71" s="407"/>
      <c r="CL71" s="407"/>
      <c r="CM71" s="407"/>
      <c r="CN71" s="407"/>
      <c r="CO71" s="407"/>
      <c r="CP71" s="407"/>
      <c r="CQ71" s="407"/>
      <c r="CR71" s="407"/>
      <c r="CS71" s="407"/>
      <c r="CT71" s="407"/>
      <c r="CU71" s="407"/>
      <c r="CV71" s="407"/>
      <c r="CW71" s="407"/>
      <c r="CX71" s="407"/>
      <c r="CY71" s="407"/>
      <c r="CZ71" s="407"/>
      <c r="DA71" s="407"/>
      <c r="DB71" s="407"/>
      <c r="DC71" s="407"/>
      <c r="DD71" s="407"/>
      <c r="DE71" s="407"/>
      <c r="DF71" s="407"/>
      <c r="DG71" s="407"/>
      <c r="DH71" s="407"/>
      <c r="DI71" s="407"/>
      <c r="DJ71" s="407"/>
      <c r="DK71" s="407"/>
      <c r="DL71" s="407"/>
      <c r="DM71" s="407"/>
      <c r="DN71" s="407"/>
    </row>
    <row r="72" spans="37:118" x14ac:dyDescent="0.35">
      <c r="AK72" s="407"/>
      <c r="AL72" s="111"/>
      <c r="AM72" s="407"/>
      <c r="AN72" s="407"/>
      <c r="AO72" s="407"/>
      <c r="AP72" s="407"/>
      <c r="AQ72" s="407"/>
      <c r="AR72" s="407"/>
      <c r="AS72" s="407"/>
      <c r="AT72" s="407"/>
      <c r="AU72" s="407"/>
      <c r="AV72" s="407"/>
      <c r="AW72" s="407"/>
      <c r="AX72" s="407"/>
      <c r="AY72" s="407"/>
      <c r="AZ72" s="407"/>
      <c r="BA72" s="407"/>
      <c r="BB72" s="407"/>
      <c r="BC72" s="407"/>
      <c r="BD72" s="407"/>
      <c r="BE72" s="407"/>
      <c r="BF72" s="407"/>
      <c r="BG72" s="407"/>
      <c r="BH72" s="407"/>
      <c r="BI72" s="407"/>
      <c r="BJ72" s="407"/>
      <c r="BK72" s="407"/>
      <c r="BL72" s="407"/>
      <c r="BM72" s="407"/>
      <c r="BN72" s="407"/>
      <c r="BO72" s="407"/>
      <c r="BP72" s="407"/>
      <c r="BQ72" s="407"/>
      <c r="BR72" s="407"/>
      <c r="BS72" s="407"/>
      <c r="BT72" s="407"/>
      <c r="BU72" s="407"/>
      <c r="BV72" s="407"/>
      <c r="BW72" s="407"/>
      <c r="BX72" s="407"/>
      <c r="BY72" s="407"/>
      <c r="BZ72" s="407"/>
      <c r="CA72" s="407"/>
      <c r="CB72" s="407"/>
      <c r="CC72" s="407"/>
      <c r="CD72" s="407"/>
      <c r="CE72" s="407"/>
      <c r="CF72" s="407"/>
      <c r="CG72" s="407"/>
      <c r="CH72" s="407"/>
      <c r="CI72" s="407"/>
      <c r="CJ72" s="407"/>
      <c r="CK72" s="407"/>
      <c r="CL72" s="407"/>
      <c r="CM72" s="407"/>
      <c r="CN72" s="407"/>
      <c r="CO72" s="407"/>
      <c r="CP72" s="407"/>
      <c r="CQ72" s="407"/>
      <c r="CR72" s="407"/>
      <c r="CS72" s="407"/>
      <c r="CT72" s="407"/>
      <c r="CU72" s="407"/>
      <c r="CV72" s="407"/>
      <c r="CW72" s="407"/>
      <c r="CX72" s="407"/>
      <c r="CY72" s="407"/>
      <c r="CZ72" s="407"/>
      <c r="DA72" s="407"/>
      <c r="DB72" s="407"/>
      <c r="DC72" s="407"/>
      <c r="DD72" s="407"/>
      <c r="DE72" s="407"/>
      <c r="DF72" s="407"/>
      <c r="DG72" s="407"/>
      <c r="DH72" s="407"/>
      <c r="DI72" s="407"/>
      <c r="DJ72" s="407"/>
      <c r="DK72" s="407"/>
      <c r="DL72" s="407"/>
      <c r="DM72" s="407"/>
      <c r="DN72" s="407"/>
    </row>
    <row r="73" spans="37:118" x14ac:dyDescent="0.35">
      <c r="AK73" s="407"/>
      <c r="AL73" s="111"/>
      <c r="AM73" s="407"/>
      <c r="AN73" s="407"/>
      <c r="AO73" s="407"/>
      <c r="AP73" s="407"/>
      <c r="AQ73" s="407"/>
      <c r="AR73" s="407"/>
      <c r="AS73" s="407"/>
      <c r="AT73" s="407"/>
      <c r="AU73" s="407"/>
      <c r="AV73" s="407"/>
      <c r="AW73" s="407"/>
      <c r="AX73" s="407"/>
      <c r="AY73" s="407"/>
      <c r="AZ73" s="407"/>
      <c r="BA73" s="407"/>
      <c r="BB73" s="407"/>
      <c r="BC73" s="407"/>
      <c r="BD73" s="407"/>
      <c r="BE73" s="407"/>
      <c r="BF73" s="407"/>
      <c r="BG73" s="407"/>
      <c r="BH73" s="407"/>
      <c r="BI73" s="407"/>
      <c r="BJ73" s="407"/>
      <c r="BK73" s="407"/>
      <c r="BL73" s="407"/>
      <c r="BM73" s="407"/>
      <c r="BN73" s="407"/>
      <c r="BO73" s="407"/>
      <c r="BP73" s="407"/>
      <c r="BQ73" s="407"/>
      <c r="BR73" s="407"/>
      <c r="BS73" s="407"/>
      <c r="BT73" s="407"/>
      <c r="BU73" s="407"/>
      <c r="BV73" s="407"/>
      <c r="BW73" s="407"/>
      <c r="BX73" s="407"/>
      <c r="BY73" s="407"/>
      <c r="BZ73" s="407"/>
      <c r="CA73" s="407"/>
      <c r="CB73" s="407"/>
      <c r="CC73" s="407"/>
      <c r="CD73" s="407"/>
      <c r="CE73" s="407"/>
      <c r="CF73" s="407"/>
      <c r="CG73" s="407"/>
      <c r="CH73" s="407"/>
      <c r="CI73" s="407"/>
      <c r="CJ73" s="407"/>
      <c r="CK73" s="407"/>
      <c r="CL73" s="407"/>
      <c r="CM73" s="407"/>
      <c r="CN73" s="407"/>
      <c r="CO73" s="407"/>
      <c r="CP73" s="407"/>
      <c r="CQ73" s="407"/>
      <c r="CR73" s="407"/>
      <c r="CS73" s="407"/>
      <c r="CT73" s="407"/>
      <c r="CU73" s="407"/>
      <c r="CV73" s="407"/>
      <c r="CW73" s="407"/>
      <c r="CX73" s="407"/>
      <c r="CY73" s="407"/>
      <c r="CZ73" s="407"/>
      <c r="DA73" s="407"/>
      <c r="DB73" s="407"/>
      <c r="DC73" s="407"/>
      <c r="DD73" s="407"/>
      <c r="DE73" s="407"/>
      <c r="DF73" s="407"/>
      <c r="DG73" s="407"/>
      <c r="DH73" s="407"/>
      <c r="DI73" s="407"/>
      <c r="DJ73" s="407"/>
      <c r="DK73" s="407"/>
      <c r="DL73" s="407"/>
      <c r="DM73" s="407"/>
      <c r="DN73" s="407"/>
    </row>
    <row r="74" spans="37:118" x14ac:dyDescent="0.35">
      <c r="AK74" s="407"/>
      <c r="AL74" s="111"/>
      <c r="AM74" s="407"/>
      <c r="AN74" s="407"/>
      <c r="AO74" s="407"/>
      <c r="AP74" s="407"/>
      <c r="AQ74" s="407"/>
      <c r="AR74" s="407"/>
      <c r="AS74" s="407"/>
      <c r="AT74" s="407"/>
      <c r="AU74" s="407"/>
      <c r="AV74" s="407"/>
      <c r="AW74" s="407"/>
      <c r="AX74" s="407"/>
      <c r="AY74" s="407"/>
      <c r="AZ74" s="407"/>
      <c r="BA74" s="407"/>
      <c r="BB74" s="407"/>
      <c r="BC74" s="407"/>
      <c r="BD74" s="407"/>
      <c r="BE74" s="407"/>
      <c r="BF74" s="407"/>
      <c r="BG74" s="407"/>
      <c r="BH74" s="407"/>
      <c r="BI74" s="407"/>
      <c r="BJ74" s="407"/>
      <c r="BK74" s="407"/>
      <c r="BL74" s="407"/>
      <c r="BM74" s="407"/>
      <c r="BN74" s="407"/>
      <c r="BO74" s="407"/>
      <c r="BP74" s="407"/>
      <c r="BQ74" s="407"/>
      <c r="BR74" s="407"/>
      <c r="BS74" s="407"/>
      <c r="BT74" s="407"/>
      <c r="BU74" s="407"/>
      <c r="BV74" s="407"/>
      <c r="BW74" s="407"/>
      <c r="BX74" s="407"/>
      <c r="BY74" s="407"/>
      <c r="BZ74" s="407"/>
      <c r="CA74" s="407"/>
      <c r="CB74" s="407"/>
      <c r="CC74" s="407"/>
      <c r="CD74" s="407"/>
      <c r="CE74" s="407"/>
      <c r="CF74" s="407"/>
      <c r="CG74" s="407"/>
      <c r="CH74" s="407"/>
      <c r="CI74" s="407"/>
      <c r="CJ74" s="407"/>
      <c r="CK74" s="407"/>
      <c r="CL74" s="407"/>
      <c r="CM74" s="407"/>
      <c r="CN74" s="407"/>
      <c r="CO74" s="407"/>
      <c r="CP74" s="407"/>
      <c r="CQ74" s="407"/>
      <c r="CR74" s="407"/>
      <c r="CS74" s="407"/>
      <c r="CT74" s="407"/>
      <c r="CU74" s="407"/>
      <c r="CV74" s="407"/>
      <c r="CW74" s="407"/>
      <c r="CX74" s="407"/>
      <c r="CY74" s="407"/>
      <c r="CZ74" s="407"/>
      <c r="DA74" s="407"/>
      <c r="DB74" s="407"/>
      <c r="DC74" s="407"/>
      <c r="DD74" s="407"/>
      <c r="DE74" s="407"/>
      <c r="DF74" s="407"/>
      <c r="DG74" s="407"/>
      <c r="DH74" s="407"/>
      <c r="DI74" s="407"/>
      <c r="DJ74" s="407"/>
      <c r="DK74" s="407"/>
      <c r="DL74" s="407"/>
      <c r="DM74" s="407"/>
      <c r="DN74" s="407"/>
    </row>
    <row r="75" spans="37:118" x14ac:dyDescent="0.35">
      <c r="AK75" s="407"/>
      <c r="AL75" s="111"/>
      <c r="AM75" s="407"/>
      <c r="AN75" s="407"/>
      <c r="AO75" s="407"/>
      <c r="AP75" s="407"/>
      <c r="AQ75" s="407"/>
      <c r="AR75" s="407"/>
      <c r="AS75" s="407"/>
      <c r="AT75" s="407"/>
      <c r="AU75" s="407"/>
      <c r="AV75" s="407"/>
      <c r="AW75" s="407"/>
      <c r="AX75" s="407"/>
      <c r="AY75" s="407"/>
      <c r="AZ75" s="407"/>
      <c r="BA75" s="407"/>
      <c r="BB75" s="407"/>
      <c r="BC75" s="407"/>
      <c r="BD75" s="407"/>
      <c r="BE75" s="407"/>
      <c r="BF75" s="407"/>
      <c r="BG75" s="407"/>
      <c r="BH75" s="407"/>
      <c r="BI75" s="407"/>
      <c r="BJ75" s="407"/>
      <c r="BK75" s="407"/>
      <c r="BL75" s="407"/>
      <c r="BM75" s="407"/>
      <c r="BN75" s="407"/>
      <c r="BO75" s="407"/>
      <c r="BP75" s="407"/>
      <c r="BQ75" s="407"/>
      <c r="BR75" s="407"/>
      <c r="BS75" s="407"/>
      <c r="BT75" s="407"/>
      <c r="BU75" s="407"/>
      <c r="BV75" s="407"/>
      <c r="BW75" s="407"/>
      <c r="BX75" s="407"/>
      <c r="BY75" s="407"/>
      <c r="BZ75" s="407"/>
      <c r="CA75" s="407"/>
      <c r="CB75" s="407"/>
      <c r="CC75" s="407"/>
      <c r="CD75" s="407"/>
      <c r="CE75" s="407"/>
      <c r="CF75" s="407"/>
      <c r="CG75" s="407"/>
      <c r="CH75" s="407"/>
      <c r="CI75" s="407"/>
      <c r="CJ75" s="407"/>
      <c r="CK75" s="407"/>
      <c r="CL75" s="407"/>
      <c r="CM75" s="407"/>
      <c r="CN75" s="407"/>
      <c r="CO75" s="407"/>
      <c r="CP75" s="407"/>
      <c r="CQ75" s="407"/>
      <c r="CR75" s="407"/>
      <c r="CS75" s="407"/>
      <c r="CT75" s="407"/>
      <c r="CU75" s="407"/>
      <c r="CV75" s="407"/>
      <c r="CW75" s="407"/>
      <c r="CX75" s="407"/>
      <c r="CY75" s="407"/>
      <c r="CZ75" s="407"/>
      <c r="DA75" s="407"/>
      <c r="DB75" s="407"/>
      <c r="DC75" s="407"/>
      <c r="DD75" s="407"/>
      <c r="DE75" s="407"/>
      <c r="DF75" s="407"/>
      <c r="DG75" s="407"/>
      <c r="DH75" s="407"/>
      <c r="DI75" s="407"/>
      <c r="DJ75" s="407"/>
      <c r="DK75" s="407"/>
      <c r="DL75" s="407"/>
      <c r="DM75" s="407"/>
      <c r="DN75" s="407"/>
    </row>
    <row r="76" spans="37:118" x14ac:dyDescent="0.35">
      <c r="AK76" s="407"/>
      <c r="AL76" s="111"/>
      <c r="AM76" s="407"/>
      <c r="AN76" s="407"/>
      <c r="AO76" s="407"/>
      <c r="AP76" s="407"/>
      <c r="AQ76" s="407"/>
      <c r="AR76" s="407"/>
      <c r="AS76" s="407"/>
      <c r="AT76" s="407"/>
      <c r="AU76" s="407"/>
      <c r="AV76" s="407"/>
      <c r="AW76" s="407"/>
      <c r="AX76" s="407"/>
      <c r="AY76" s="407"/>
      <c r="AZ76" s="407"/>
      <c r="BA76" s="407"/>
      <c r="BB76" s="407"/>
      <c r="BC76" s="407"/>
      <c r="BD76" s="407"/>
      <c r="BE76" s="407"/>
      <c r="BF76" s="407"/>
      <c r="BG76" s="407"/>
      <c r="BH76" s="407"/>
      <c r="BI76" s="407"/>
      <c r="BJ76" s="407"/>
      <c r="BK76" s="407"/>
      <c r="BL76" s="407"/>
      <c r="BM76" s="407"/>
      <c r="BN76" s="407"/>
      <c r="BO76" s="407"/>
      <c r="BP76" s="407"/>
      <c r="BQ76" s="407"/>
      <c r="BR76" s="407"/>
      <c r="BS76" s="407"/>
      <c r="BT76" s="407"/>
      <c r="BU76" s="407"/>
      <c r="BV76" s="407"/>
      <c r="BW76" s="407"/>
      <c r="BX76" s="407"/>
      <c r="BY76" s="407"/>
      <c r="BZ76" s="407"/>
      <c r="CA76" s="407"/>
      <c r="CB76" s="407"/>
      <c r="CC76" s="407"/>
      <c r="CD76" s="407"/>
      <c r="CE76" s="407"/>
      <c r="CF76" s="407"/>
      <c r="CG76" s="407"/>
      <c r="CH76" s="407"/>
      <c r="CI76" s="407"/>
      <c r="CJ76" s="407"/>
      <c r="CK76" s="407"/>
      <c r="CL76" s="407"/>
      <c r="CM76" s="407"/>
      <c r="CN76" s="407"/>
      <c r="CO76" s="407"/>
      <c r="CP76" s="407"/>
      <c r="CQ76" s="407"/>
      <c r="CR76" s="407"/>
      <c r="CS76" s="407"/>
      <c r="CT76" s="407"/>
      <c r="CU76" s="407"/>
      <c r="CV76" s="407"/>
      <c r="CW76" s="407"/>
      <c r="CX76" s="407"/>
      <c r="CY76" s="407"/>
      <c r="CZ76" s="407"/>
      <c r="DA76" s="407"/>
      <c r="DB76" s="407"/>
      <c r="DC76" s="407"/>
      <c r="DD76" s="407"/>
      <c r="DE76" s="407"/>
      <c r="DF76" s="407"/>
      <c r="DG76" s="407"/>
      <c r="DH76" s="407"/>
      <c r="DI76" s="407"/>
      <c r="DJ76" s="407"/>
      <c r="DK76" s="407"/>
      <c r="DL76" s="407"/>
      <c r="DM76" s="407"/>
      <c r="DN76" s="407"/>
    </row>
    <row r="77" spans="37:118" x14ac:dyDescent="0.35">
      <c r="AK77" s="407"/>
      <c r="AL77" s="111"/>
      <c r="AM77" s="407"/>
      <c r="AN77" s="407"/>
      <c r="AO77" s="407"/>
      <c r="AP77" s="407"/>
      <c r="AQ77" s="407"/>
      <c r="AR77" s="407"/>
      <c r="AS77" s="407"/>
      <c r="AT77" s="407"/>
      <c r="AU77" s="407"/>
      <c r="AV77" s="407"/>
      <c r="AW77" s="407"/>
      <c r="AX77" s="407"/>
      <c r="AY77" s="407"/>
      <c r="AZ77" s="407"/>
      <c r="BA77" s="407"/>
      <c r="BB77" s="407"/>
      <c r="BC77" s="407"/>
      <c r="BD77" s="407"/>
      <c r="BE77" s="407"/>
      <c r="BF77" s="407"/>
      <c r="BG77" s="407"/>
      <c r="BH77" s="407"/>
      <c r="BI77" s="407"/>
      <c r="BJ77" s="407"/>
      <c r="BK77" s="407"/>
      <c r="BL77" s="407"/>
      <c r="BM77" s="407"/>
      <c r="BN77" s="407"/>
      <c r="BO77" s="407"/>
      <c r="BP77" s="407"/>
      <c r="BQ77" s="407"/>
      <c r="BR77" s="407"/>
      <c r="BS77" s="407"/>
      <c r="BT77" s="407"/>
      <c r="BU77" s="407"/>
      <c r="BV77" s="407"/>
      <c r="BW77" s="407"/>
      <c r="BX77" s="407"/>
      <c r="BY77" s="407"/>
      <c r="BZ77" s="407"/>
      <c r="CA77" s="407"/>
      <c r="CB77" s="407"/>
      <c r="CC77" s="407"/>
      <c r="CD77" s="407"/>
      <c r="CE77" s="407"/>
      <c r="CF77" s="407"/>
      <c r="CG77" s="407"/>
      <c r="CH77" s="407"/>
      <c r="CI77" s="407"/>
      <c r="CJ77" s="407"/>
      <c r="CK77" s="407"/>
      <c r="CL77" s="407"/>
      <c r="CM77" s="407"/>
      <c r="CN77" s="407"/>
      <c r="CO77" s="407"/>
      <c r="CP77" s="407"/>
      <c r="CQ77" s="407"/>
      <c r="CR77" s="407"/>
      <c r="CS77" s="407"/>
      <c r="CT77" s="407"/>
      <c r="CU77" s="407"/>
      <c r="CV77" s="407"/>
      <c r="CW77" s="407"/>
      <c r="CX77" s="407"/>
      <c r="CY77" s="407"/>
      <c r="CZ77" s="407"/>
      <c r="DA77" s="407"/>
      <c r="DB77" s="407"/>
      <c r="DC77" s="407"/>
      <c r="DD77" s="407"/>
      <c r="DE77" s="407"/>
      <c r="DF77" s="407"/>
      <c r="DG77" s="407"/>
      <c r="DH77" s="407"/>
      <c r="DI77" s="407"/>
      <c r="DJ77" s="407"/>
      <c r="DK77" s="407"/>
      <c r="DL77" s="407"/>
      <c r="DM77" s="407"/>
      <c r="DN77" s="407"/>
    </row>
    <row r="78" spans="37:118" x14ac:dyDescent="0.35">
      <c r="AK78" s="407"/>
      <c r="AL78" s="111"/>
      <c r="AM78" s="407"/>
      <c r="AN78" s="407"/>
      <c r="AO78" s="407"/>
      <c r="AP78" s="407"/>
      <c r="AQ78" s="407"/>
      <c r="AR78" s="407"/>
      <c r="AS78" s="407"/>
      <c r="AT78" s="407"/>
      <c r="AU78" s="407"/>
      <c r="AV78" s="407"/>
      <c r="AW78" s="407"/>
      <c r="AX78" s="407"/>
      <c r="AY78" s="407"/>
      <c r="AZ78" s="407"/>
      <c r="BA78" s="407"/>
      <c r="BB78" s="407"/>
      <c r="BC78" s="407"/>
      <c r="BD78" s="407"/>
      <c r="BE78" s="407"/>
      <c r="BF78" s="407"/>
      <c r="BG78" s="407"/>
      <c r="BH78" s="407"/>
      <c r="BI78" s="407"/>
      <c r="BJ78" s="407"/>
      <c r="BK78" s="407"/>
      <c r="BL78" s="407"/>
      <c r="BM78" s="407"/>
      <c r="BN78" s="407"/>
      <c r="BO78" s="407"/>
      <c r="BP78" s="407"/>
      <c r="BQ78" s="407"/>
      <c r="BR78" s="407"/>
      <c r="BS78" s="407"/>
      <c r="BT78" s="407"/>
      <c r="BU78" s="407"/>
      <c r="BV78" s="407"/>
      <c r="BW78" s="407"/>
      <c r="BX78" s="407"/>
      <c r="BY78" s="407"/>
      <c r="BZ78" s="407"/>
      <c r="CA78" s="407"/>
      <c r="CB78" s="407"/>
      <c r="CC78" s="407"/>
      <c r="CD78" s="407"/>
      <c r="CE78" s="407"/>
      <c r="CF78" s="407"/>
      <c r="CG78" s="407"/>
      <c r="CH78" s="407"/>
      <c r="CI78" s="407"/>
      <c r="CJ78" s="407"/>
      <c r="CK78" s="407"/>
      <c r="CL78" s="407"/>
      <c r="CM78" s="407"/>
      <c r="CN78" s="407"/>
      <c r="CO78" s="407"/>
      <c r="CP78" s="407"/>
      <c r="CQ78" s="407"/>
      <c r="CR78" s="407"/>
      <c r="CS78" s="407"/>
      <c r="CT78" s="407"/>
      <c r="CU78" s="407"/>
      <c r="CV78" s="407"/>
      <c r="CW78" s="407"/>
      <c r="CX78" s="407"/>
      <c r="CY78" s="407"/>
      <c r="CZ78" s="407"/>
      <c r="DA78" s="407"/>
      <c r="DB78" s="407"/>
      <c r="DC78" s="407"/>
      <c r="DD78" s="407"/>
      <c r="DE78" s="407"/>
      <c r="DF78" s="407"/>
      <c r="DG78" s="407"/>
      <c r="DH78" s="407"/>
      <c r="DI78" s="407"/>
      <c r="DJ78" s="407"/>
      <c r="DK78" s="407"/>
      <c r="DL78" s="407"/>
      <c r="DM78" s="407"/>
      <c r="DN78" s="407"/>
    </row>
    <row r="79" spans="37:118" x14ac:dyDescent="0.35">
      <c r="AK79" s="407"/>
      <c r="AL79" s="111"/>
      <c r="AM79" s="407"/>
      <c r="AN79" s="407"/>
      <c r="AO79" s="407"/>
      <c r="AP79" s="407"/>
      <c r="AQ79" s="407"/>
      <c r="AR79" s="407"/>
      <c r="AS79" s="407"/>
      <c r="AT79" s="407"/>
      <c r="AU79" s="407"/>
      <c r="AV79" s="407"/>
      <c r="AW79" s="407"/>
      <c r="AX79" s="407"/>
      <c r="AY79" s="407"/>
      <c r="AZ79" s="407"/>
      <c r="BA79" s="407"/>
      <c r="BB79" s="407"/>
      <c r="BC79" s="407"/>
      <c r="BD79" s="407"/>
      <c r="BE79" s="407"/>
      <c r="BF79" s="407"/>
      <c r="BG79" s="407"/>
      <c r="BH79" s="407"/>
      <c r="BI79" s="407"/>
      <c r="BJ79" s="407"/>
      <c r="BK79" s="407"/>
      <c r="BL79" s="407"/>
      <c r="BM79" s="407"/>
      <c r="BN79" s="407"/>
      <c r="BO79" s="407"/>
      <c r="BP79" s="407"/>
      <c r="BQ79" s="407"/>
      <c r="BR79" s="407"/>
      <c r="BS79" s="407"/>
      <c r="BT79" s="407"/>
      <c r="BU79" s="407"/>
      <c r="BV79" s="407"/>
      <c r="BW79" s="407"/>
      <c r="BX79" s="407"/>
      <c r="BY79" s="407"/>
      <c r="BZ79" s="407"/>
      <c r="CA79" s="407"/>
      <c r="CB79" s="407"/>
      <c r="CC79" s="407"/>
      <c r="CD79" s="407"/>
      <c r="CE79" s="407"/>
      <c r="CF79" s="407"/>
      <c r="CG79" s="407"/>
      <c r="CH79" s="407"/>
      <c r="CI79" s="407"/>
      <c r="CJ79" s="407"/>
      <c r="CK79" s="407"/>
      <c r="CL79" s="407"/>
      <c r="CM79" s="407"/>
      <c r="CN79" s="407"/>
      <c r="CO79" s="407"/>
      <c r="CP79" s="407"/>
      <c r="CQ79" s="407"/>
      <c r="CR79" s="407"/>
      <c r="CS79" s="407"/>
      <c r="CT79" s="407"/>
      <c r="CU79" s="407"/>
      <c r="CV79" s="407"/>
      <c r="CW79" s="407"/>
      <c r="CX79" s="407"/>
      <c r="CY79" s="407"/>
      <c r="CZ79" s="407"/>
      <c r="DA79" s="407"/>
      <c r="DB79" s="407"/>
      <c r="DC79" s="407"/>
      <c r="DD79" s="407"/>
      <c r="DE79" s="407"/>
      <c r="DF79" s="407"/>
      <c r="DG79" s="407"/>
      <c r="DH79" s="407"/>
      <c r="DI79" s="407"/>
      <c r="DJ79" s="407"/>
      <c r="DK79" s="407"/>
      <c r="DL79" s="407"/>
      <c r="DM79" s="407"/>
      <c r="DN79" s="407"/>
    </row>
    <row r="80" spans="37:118" x14ac:dyDescent="0.35">
      <c r="AK80" s="407"/>
      <c r="AL80" s="111"/>
      <c r="AM80" s="407"/>
      <c r="AN80" s="407"/>
      <c r="AO80" s="407"/>
      <c r="AP80" s="407"/>
      <c r="AQ80" s="407"/>
      <c r="AR80" s="407"/>
      <c r="AS80" s="407"/>
      <c r="AT80" s="407"/>
      <c r="AU80" s="407"/>
      <c r="AV80" s="407"/>
      <c r="AW80" s="407"/>
      <c r="AX80" s="407"/>
      <c r="AY80" s="407"/>
      <c r="AZ80" s="407"/>
      <c r="BA80" s="407"/>
      <c r="BB80" s="407"/>
      <c r="BC80" s="407"/>
      <c r="BD80" s="407"/>
      <c r="BE80" s="407"/>
      <c r="BF80" s="407"/>
      <c r="BG80" s="407"/>
      <c r="BH80" s="407"/>
      <c r="BI80" s="407"/>
      <c r="BJ80" s="407"/>
      <c r="BK80" s="407"/>
      <c r="BL80" s="407"/>
      <c r="BM80" s="407"/>
      <c r="BN80" s="407"/>
      <c r="BO80" s="407"/>
      <c r="BP80" s="407"/>
      <c r="BQ80" s="407"/>
      <c r="BR80" s="407"/>
      <c r="BS80" s="407"/>
      <c r="BT80" s="407"/>
      <c r="BU80" s="407"/>
      <c r="BV80" s="407"/>
      <c r="BW80" s="407"/>
      <c r="BX80" s="407"/>
      <c r="BY80" s="407"/>
      <c r="BZ80" s="407"/>
      <c r="CA80" s="407"/>
      <c r="CB80" s="407"/>
      <c r="CC80" s="407"/>
      <c r="CD80" s="407"/>
      <c r="CE80" s="407"/>
      <c r="CF80" s="407"/>
      <c r="CG80" s="407"/>
      <c r="CH80" s="407"/>
      <c r="CI80" s="407"/>
      <c r="CJ80" s="407"/>
      <c r="CK80" s="407"/>
      <c r="CL80" s="407"/>
      <c r="CM80" s="407"/>
      <c r="CN80" s="407"/>
      <c r="CO80" s="407"/>
      <c r="CP80" s="407"/>
      <c r="CQ80" s="407"/>
      <c r="CR80" s="407"/>
      <c r="CS80" s="407"/>
      <c r="CT80" s="407"/>
      <c r="CU80" s="407"/>
      <c r="CV80" s="407"/>
      <c r="CW80" s="407"/>
      <c r="CX80" s="407"/>
      <c r="CY80" s="407"/>
      <c r="CZ80" s="407"/>
      <c r="DA80" s="407"/>
      <c r="DB80" s="407"/>
      <c r="DC80" s="407"/>
      <c r="DD80" s="407"/>
      <c r="DE80" s="407"/>
      <c r="DF80" s="407"/>
      <c r="DG80" s="407"/>
      <c r="DH80" s="407"/>
      <c r="DI80" s="407"/>
      <c r="DJ80" s="407"/>
      <c r="DK80" s="407"/>
      <c r="DL80" s="407"/>
      <c r="DM80" s="407"/>
      <c r="DN80" s="407"/>
    </row>
    <row r="81" spans="37:118" x14ac:dyDescent="0.35">
      <c r="AK81" s="407"/>
      <c r="AL81" s="111"/>
      <c r="AM81" s="407"/>
      <c r="AN81" s="407"/>
      <c r="AO81" s="407"/>
      <c r="AP81" s="407"/>
      <c r="AQ81" s="407"/>
      <c r="AR81" s="407"/>
      <c r="AS81" s="407"/>
      <c r="AT81" s="407"/>
      <c r="AU81" s="407"/>
      <c r="AV81" s="407"/>
      <c r="AW81" s="407"/>
      <c r="AX81" s="407"/>
      <c r="AY81" s="407"/>
      <c r="AZ81" s="407"/>
      <c r="BA81" s="407"/>
      <c r="BB81" s="407"/>
      <c r="BC81" s="407"/>
      <c r="BD81" s="407"/>
      <c r="BE81" s="407"/>
      <c r="BF81" s="407"/>
      <c r="BG81" s="407"/>
      <c r="BH81" s="407"/>
      <c r="BI81" s="407"/>
      <c r="BJ81" s="407"/>
      <c r="BK81" s="407"/>
      <c r="BL81" s="407"/>
      <c r="BM81" s="407"/>
      <c r="BN81" s="407"/>
      <c r="BO81" s="407"/>
      <c r="BP81" s="407"/>
      <c r="BQ81" s="407"/>
      <c r="BR81" s="407"/>
      <c r="BS81" s="407"/>
      <c r="BT81" s="407"/>
      <c r="BU81" s="407"/>
      <c r="BV81" s="407"/>
      <c r="BW81" s="407"/>
      <c r="BX81" s="407"/>
      <c r="BY81" s="407"/>
      <c r="BZ81" s="407"/>
      <c r="CA81" s="407"/>
      <c r="CB81" s="407"/>
      <c r="CC81" s="407"/>
      <c r="CD81" s="407"/>
      <c r="CE81" s="407"/>
      <c r="CF81" s="407"/>
      <c r="CG81" s="407"/>
      <c r="CH81" s="407"/>
      <c r="CI81" s="407"/>
      <c r="CJ81" s="407"/>
      <c r="CK81" s="407"/>
      <c r="CL81" s="407"/>
      <c r="CM81" s="407"/>
      <c r="CN81" s="407"/>
      <c r="CO81" s="407"/>
      <c r="CP81" s="407"/>
      <c r="CQ81" s="407"/>
      <c r="CR81" s="407"/>
      <c r="CS81" s="407"/>
      <c r="CT81" s="407"/>
      <c r="CU81" s="407"/>
      <c r="CV81" s="407"/>
      <c r="CW81" s="407"/>
      <c r="CX81" s="407"/>
      <c r="CY81" s="407"/>
      <c r="CZ81" s="407"/>
      <c r="DA81" s="407"/>
      <c r="DB81" s="407"/>
      <c r="DC81" s="407"/>
      <c r="DD81" s="407"/>
      <c r="DE81" s="407"/>
      <c r="DF81" s="407"/>
      <c r="DG81" s="407"/>
      <c r="DH81" s="407"/>
      <c r="DI81" s="407"/>
      <c r="DJ81" s="407"/>
      <c r="DK81" s="407"/>
      <c r="DL81" s="407"/>
      <c r="DM81" s="407"/>
      <c r="DN81" s="407"/>
    </row>
    <row r="82" spans="37:118" x14ac:dyDescent="0.35">
      <c r="AK82" s="407"/>
      <c r="AL82" s="111"/>
      <c r="AM82" s="407"/>
      <c r="AN82" s="407"/>
      <c r="AO82" s="407"/>
      <c r="AP82" s="407"/>
      <c r="AQ82" s="407"/>
      <c r="AR82" s="407"/>
      <c r="AS82" s="407"/>
      <c r="AT82" s="407"/>
      <c r="AU82" s="407"/>
      <c r="AV82" s="407"/>
      <c r="AW82" s="407"/>
      <c r="AX82" s="407"/>
      <c r="AY82" s="407"/>
      <c r="AZ82" s="407"/>
      <c r="BA82" s="407"/>
      <c r="BB82" s="407"/>
      <c r="BC82" s="407"/>
      <c r="BD82" s="407"/>
      <c r="BE82" s="407"/>
      <c r="BF82" s="407"/>
      <c r="BG82" s="407"/>
      <c r="BH82" s="407"/>
      <c r="BI82" s="407"/>
      <c r="BJ82" s="407"/>
      <c r="BK82" s="407"/>
      <c r="BL82" s="407"/>
      <c r="BM82" s="407"/>
      <c r="BN82" s="407"/>
      <c r="BO82" s="407"/>
      <c r="BP82" s="407"/>
      <c r="BQ82" s="407"/>
      <c r="BR82" s="407"/>
      <c r="BS82" s="407"/>
      <c r="BT82" s="407"/>
      <c r="BU82" s="407"/>
      <c r="BV82" s="407"/>
      <c r="BW82" s="407"/>
      <c r="BX82" s="407"/>
      <c r="BY82" s="407"/>
      <c r="BZ82" s="407"/>
      <c r="CA82" s="407"/>
      <c r="CB82" s="407"/>
      <c r="CC82" s="407"/>
      <c r="CD82" s="407"/>
      <c r="CE82" s="407"/>
      <c r="CF82" s="407"/>
      <c r="CG82" s="407"/>
      <c r="CH82" s="407"/>
      <c r="CI82" s="407"/>
      <c r="CJ82" s="407"/>
      <c r="CK82" s="407"/>
      <c r="CL82" s="407"/>
      <c r="CM82" s="407"/>
      <c r="CN82" s="407"/>
      <c r="CO82" s="407"/>
      <c r="CP82" s="407"/>
      <c r="CQ82" s="407"/>
      <c r="CR82" s="407"/>
      <c r="CS82" s="407"/>
      <c r="CT82" s="407"/>
      <c r="CU82" s="407"/>
      <c r="CV82" s="407"/>
      <c r="CW82" s="407"/>
      <c r="CX82" s="407"/>
      <c r="CY82" s="407"/>
      <c r="CZ82" s="407"/>
      <c r="DA82" s="407"/>
      <c r="DB82" s="407"/>
      <c r="DC82" s="407"/>
      <c r="DD82" s="407"/>
      <c r="DE82" s="407"/>
      <c r="DF82" s="407"/>
      <c r="DG82" s="407"/>
      <c r="DH82" s="407"/>
      <c r="DI82" s="407"/>
      <c r="DJ82" s="407"/>
      <c r="DK82" s="407"/>
      <c r="DL82" s="407"/>
      <c r="DM82" s="407"/>
      <c r="DN82" s="407"/>
    </row>
    <row r="83" spans="37:118" x14ac:dyDescent="0.35">
      <c r="AK83" s="407"/>
      <c r="AL83" s="111"/>
      <c r="AM83" s="407"/>
      <c r="AN83" s="407"/>
      <c r="AO83" s="407"/>
      <c r="AP83" s="407"/>
      <c r="AQ83" s="407"/>
      <c r="AR83" s="407"/>
      <c r="AS83" s="407"/>
      <c r="AT83" s="407"/>
      <c r="AU83" s="407"/>
      <c r="AV83" s="407"/>
      <c r="AW83" s="407"/>
      <c r="AX83" s="407"/>
      <c r="AY83" s="407"/>
      <c r="AZ83" s="407"/>
      <c r="BA83" s="407"/>
      <c r="BB83" s="407"/>
      <c r="BC83" s="407"/>
      <c r="BD83" s="407"/>
      <c r="BE83" s="407"/>
      <c r="BF83" s="407"/>
      <c r="BG83" s="407"/>
      <c r="BH83" s="407"/>
      <c r="BI83" s="407"/>
      <c r="BJ83" s="407"/>
      <c r="BK83" s="407"/>
      <c r="BL83" s="407"/>
      <c r="BM83" s="407"/>
      <c r="BN83" s="407"/>
      <c r="BO83" s="407"/>
      <c r="BP83" s="407"/>
      <c r="BQ83" s="407"/>
      <c r="BR83" s="407"/>
      <c r="BS83" s="407"/>
      <c r="BT83" s="407"/>
      <c r="BU83" s="407"/>
      <c r="BV83" s="407"/>
      <c r="BW83" s="407"/>
      <c r="BX83" s="407"/>
      <c r="BY83" s="407"/>
      <c r="BZ83" s="407"/>
      <c r="CA83" s="407"/>
      <c r="CB83" s="407"/>
      <c r="CC83" s="407"/>
      <c r="CD83" s="407"/>
      <c r="CE83" s="407"/>
      <c r="CF83" s="407"/>
      <c r="CG83" s="407"/>
      <c r="CH83" s="407"/>
      <c r="CI83" s="407"/>
      <c r="CJ83" s="407"/>
      <c r="CK83" s="407"/>
      <c r="CL83" s="407"/>
      <c r="CM83" s="407"/>
      <c r="CN83" s="407"/>
      <c r="CO83" s="407"/>
      <c r="CP83" s="407"/>
      <c r="CQ83" s="407"/>
      <c r="CR83" s="407"/>
      <c r="CS83" s="407"/>
      <c r="CT83" s="407"/>
      <c r="CU83" s="407"/>
      <c r="CV83" s="407"/>
      <c r="CW83" s="407"/>
      <c r="CX83" s="407"/>
      <c r="CY83" s="407"/>
      <c r="CZ83" s="407"/>
      <c r="DA83" s="407"/>
      <c r="DB83" s="407"/>
      <c r="DC83" s="407"/>
      <c r="DD83" s="407"/>
      <c r="DE83" s="407"/>
      <c r="DF83" s="407"/>
      <c r="DG83" s="407"/>
      <c r="DH83" s="407"/>
      <c r="DI83" s="407"/>
      <c r="DJ83" s="407"/>
      <c r="DK83" s="407"/>
      <c r="DL83" s="407"/>
      <c r="DM83" s="407"/>
      <c r="DN83" s="407"/>
    </row>
    <row r="84" spans="37:118" x14ac:dyDescent="0.35">
      <c r="AK84" s="407"/>
      <c r="AL84" s="111"/>
      <c r="AM84" s="407"/>
      <c r="AN84" s="407"/>
      <c r="AO84" s="407"/>
      <c r="AP84" s="407"/>
      <c r="AQ84" s="407"/>
      <c r="AR84" s="407"/>
      <c r="AS84" s="407"/>
      <c r="AT84" s="407"/>
      <c r="AU84" s="407"/>
      <c r="AV84" s="407"/>
      <c r="AW84" s="407"/>
      <c r="AX84" s="407"/>
      <c r="AY84" s="407"/>
      <c r="AZ84" s="407"/>
      <c r="BA84" s="407"/>
      <c r="BB84" s="407"/>
      <c r="BC84" s="407"/>
      <c r="BD84" s="407"/>
      <c r="BE84" s="407"/>
      <c r="BF84" s="407"/>
      <c r="BG84" s="407"/>
      <c r="BH84" s="407"/>
      <c r="BI84" s="407"/>
      <c r="BJ84" s="407"/>
      <c r="BK84" s="407"/>
      <c r="BL84" s="407"/>
      <c r="BM84" s="407"/>
      <c r="BN84" s="407"/>
      <c r="BO84" s="407"/>
      <c r="BP84" s="407"/>
      <c r="BQ84" s="407"/>
      <c r="BR84" s="407"/>
      <c r="BS84" s="407"/>
      <c r="BT84" s="407"/>
      <c r="BU84" s="407"/>
      <c r="BV84" s="407"/>
      <c r="BW84" s="407"/>
      <c r="BX84" s="407"/>
      <c r="BY84" s="407"/>
      <c r="BZ84" s="407"/>
      <c r="CA84" s="407"/>
      <c r="CB84" s="407"/>
      <c r="CC84" s="407"/>
      <c r="CD84" s="407"/>
      <c r="CE84" s="407"/>
      <c r="CF84" s="407"/>
      <c r="CG84" s="407"/>
      <c r="CH84" s="407"/>
      <c r="CI84" s="407"/>
      <c r="CJ84" s="407"/>
      <c r="CK84" s="407"/>
      <c r="CL84" s="407"/>
      <c r="CM84" s="407"/>
      <c r="CN84" s="407"/>
      <c r="CO84" s="407"/>
      <c r="CP84" s="407"/>
      <c r="CQ84" s="407"/>
      <c r="CR84" s="407"/>
      <c r="CS84" s="407"/>
      <c r="CT84" s="407"/>
      <c r="CU84" s="407"/>
      <c r="CV84" s="407"/>
      <c r="CW84" s="407"/>
      <c r="CX84" s="407"/>
      <c r="CY84" s="407"/>
      <c r="CZ84" s="407"/>
      <c r="DA84" s="407"/>
      <c r="DB84" s="407"/>
      <c r="DC84" s="407"/>
      <c r="DD84" s="407"/>
      <c r="DE84" s="407"/>
      <c r="DF84" s="407"/>
      <c r="DG84" s="407"/>
      <c r="DH84" s="407"/>
      <c r="DI84" s="407"/>
      <c r="DJ84" s="407"/>
      <c r="DK84" s="407"/>
      <c r="DL84" s="407"/>
      <c r="DM84" s="407"/>
      <c r="DN84" s="407"/>
    </row>
    <row r="85" spans="37:118" x14ac:dyDescent="0.35">
      <c r="AK85" s="407"/>
      <c r="AL85" s="111"/>
      <c r="AM85" s="407"/>
      <c r="AN85" s="407"/>
      <c r="AO85" s="407"/>
      <c r="AP85" s="407"/>
      <c r="AQ85" s="407"/>
      <c r="AR85" s="407"/>
      <c r="AS85" s="407"/>
      <c r="AT85" s="407"/>
      <c r="AU85" s="407"/>
      <c r="AV85" s="407"/>
      <c r="AW85" s="407"/>
      <c r="AX85" s="407"/>
      <c r="AY85" s="407"/>
      <c r="AZ85" s="407"/>
      <c r="BA85" s="407"/>
      <c r="BB85" s="407"/>
      <c r="BC85" s="407"/>
      <c r="BD85" s="407"/>
      <c r="BE85" s="407"/>
      <c r="BF85" s="407"/>
      <c r="BG85" s="407"/>
      <c r="BH85" s="407"/>
      <c r="BI85" s="407"/>
      <c r="BJ85" s="407"/>
      <c r="BK85" s="407"/>
      <c r="BL85" s="407"/>
      <c r="BM85" s="407"/>
      <c r="BN85" s="407"/>
      <c r="BO85" s="407"/>
      <c r="BP85" s="407"/>
      <c r="BQ85" s="407"/>
      <c r="BR85" s="407"/>
      <c r="BS85" s="407"/>
      <c r="BT85" s="407"/>
      <c r="BU85" s="407"/>
      <c r="BV85" s="407"/>
      <c r="BW85" s="407"/>
      <c r="BX85" s="407"/>
      <c r="BY85" s="407"/>
      <c r="BZ85" s="407"/>
      <c r="CA85" s="407"/>
      <c r="CB85" s="407"/>
      <c r="CC85" s="407"/>
      <c r="CD85" s="407"/>
      <c r="CE85" s="407"/>
      <c r="CF85" s="407"/>
      <c r="CG85" s="407"/>
      <c r="CH85" s="407"/>
      <c r="CI85" s="407"/>
      <c r="CJ85" s="407"/>
      <c r="CK85" s="407"/>
      <c r="CL85" s="407"/>
      <c r="CM85" s="407"/>
      <c r="CN85" s="407"/>
      <c r="CO85" s="407"/>
      <c r="CP85" s="407"/>
      <c r="CQ85" s="407"/>
      <c r="CR85" s="407"/>
      <c r="CS85" s="407"/>
      <c r="CT85" s="407"/>
      <c r="CU85" s="407"/>
      <c r="CV85" s="407"/>
      <c r="CW85" s="407"/>
      <c r="CX85" s="407"/>
      <c r="CY85" s="407"/>
      <c r="CZ85" s="407"/>
      <c r="DA85" s="407"/>
      <c r="DB85" s="407"/>
      <c r="DC85" s="407"/>
      <c r="DD85" s="407"/>
      <c r="DE85" s="407"/>
      <c r="DF85" s="407"/>
      <c r="DG85" s="407"/>
      <c r="DH85" s="407"/>
      <c r="DI85" s="407"/>
      <c r="DJ85" s="407"/>
      <c r="DK85" s="407"/>
      <c r="DL85" s="407"/>
      <c r="DM85" s="407"/>
      <c r="DN85" s="407"/>
    </row>
    <row r="86" spans="37:118" x14ac:dyDescent="0.35">
      <c r="AK86" s="407"/>
      <c r="AL86" s="111"/>
      <c r="AM86" s="407"/>
      <c r="AN86" s="407"/>
      <c r="AO86" s="407"/>
      <c r="AP86" s="407"/>
      <c r="AQ86" s="407"/>
      <c r="AR86" s="407"/>
      <c r="AS86" s="407"/>
      <c r="AT86" s="407"/>
      <c r="AU86" s="407"/>
      <c r="AV86" s="407"/>
      <c r="AW86" s="407"/>
      <c r="AX86" s="407"/>
      <c r="AY86" s="407"/>
      <c r="AZ86" s="407"/>
      <c r="BA86" s="407"/>
      <c r="BB86" s="407"/>
      <c r="BC86" s="407"/>
      <c r="BD86" s="407"/>
      <c r="BE86" s="407"/>
      <c r="BF86" s="407"/>
      <c r="BG86" s="407"/>
      <c r="BH86" s="407"/>
      <c r="BI86" s="407"/>
      <c r="BJ86" s="407"/>
      <c r="BK86" s="407"/>
      <c r="BL86" s="407"/>
      <c r="BM86" s="407"/>
      <c r="BN86" s="407"/>
      <c r="BO86" s="407"/>
      <c r="BP86" s="407"/>
      <c r="BQ86" s="407"/>
      <c r="BR86" s="407"/>
      <c r="BS86" s="407"/>
      <c r="BT86" s="407"/>
      <c r="BU86" s="407"/>
      <c r="BV86" s="407"/>
      <c r="BW86" s="407"/>
      <c r="BX86" s="407"/>
      <c r="BY86" s="407"/>
      <c r="BZ86" s="407"/>
      <c r="CA86" s="407"/>
      <c r="CB86" s="407"/>
      <c r="CC86" s="407"/>
      <c r="CD86" s="407"/>
      <c r="CE86" s="407"/>
      <c r="CF86" s="407"/>
      <c r="CG86" s="407"/>
      <c r="CH86" s="407"/>
      <c r="CI86" s="407"/>
      <c r="CJ86" s="407"/>
      <c r="CK86" s="407"/>
      <c r="CL86" s="407"/>
      <c r="CM86" s="407"/>
      <c r="CN86" s="407"/>
      <c r="CO86" s="407"/>
      <c r="CP86" s="407"/>
      <c r="CQ86" s="407"/>
      <c r="CR86" s="407"/>
      <c r="CS86" s="407"/>
      <c r="CT86" s="407"/>
      <c r="CU86" s="407"/>
      <c r="CV86" s="407"/>
      <c r="CW86" s="407"/>
      <c r="CX86" s="407"/>
      <c r="CY86" s="407"/>
      <c r="CZ86" s="407"/>
      <c r="DA86" s="407"/>
      <c r="DB86" s="407"/>
      <c r="DC86" s="407"/>
      <c r="DD86" s="407"/>
      <c r="DE86" s="407"/>
      <c r="DF86" s="407"/>
      <c r="DG86" s="407"/>
      <c r="DH86" s="407"/>
      <c r="DI86" s="407"/>
      <c r="DJ86" s="407"/>
      <c r="DK86" s="407"/>
      <c r="DL86" s="407"/>
      <c r="DM86" s="407"/>
      <c r="DN86" s="407"/>
    </row>
    <row r="87" spans="37:118" x14ac:dyDescent="0.35">
      <c r="AK87" s="407"/>
      <c r="AL87" s="111"/>
      <c r="AM87" s="407"/>
      <c r="AN87" s="407"/>
      <c r="AO87" s="407"/>
      <c r="AP87" s="407"/>
      <c r="AQ87" s="407"/>
      <c r="AR87" s="407"/>
      <c r="AS87" s="407"/>
      <c r="AT87" s="407"/>
      <c r="AU87" s="407"/>
      <c r="AV87" s="407"/>
      <c r="AW87" s="407"/>
      <c r="AX87" s="407"/>
      <c r="AY87" s="407"/>
      <c r="AZ87" s="407"/>
      <c r="BA87" s="407"/>
      <c r="BB87" s="407"/>
      <c r="BC87" s="407"/>
      <c r="BD87" s="407"/>
      <c r="BE87" s="407"/>
      <c r="BF87" s="407"/>
      <c r="BG87" s="407"/>
      <c r="BH87" s="407"/>
      <c r="BI87" s="407"/>
      <c r="BJ87" s="407"/>
      <c r="BK87" s="407"/>
      <c r="BL87" s="407"/>
      <c r="BM87" s="407"/>
      <c r="BN87" s="407"/>
      <c r="BO87" s="407"/>
      <c r="BP87" s="407"/>
      <c r="BQ87" s="407"/>
      <c r="BR87" s="407"/>
      <c r="BS87" s="407"/>
      <c r="BT87" s="407"/>
      <c r="BU87" s="407"/>
      <c r="BV87" s="407"/>
      <c r="BW87" s="407"/>
      <c r="BX87" s="407"/>
      <c r="BY87" s="407"/>
      <c r="BZ87" s="407"/>
      <c r="CA87" s="407"/>
      <c r="CB87" s="407"/>
      <c r="CC87" s="407"/>
      <c r="CD87" s="407"/>
      <c r="CE87" s="407"/>
      <c r="CF87" s="407"/>
      <c r="CG87" s="407"/>
      <c r="CH87" s="407"/>
      <c r="CI87" s="407"/>
      <c r="CJ87" s="407"/>
      <c r="CK87" s="407"/>
      <c r="CL87" s="407"/>
      <c r="CM87" s="407"/>
      <c r="CN87" s="407"/>
      <c r="CO87" s="407"/>
      <c r="CP87" s="407"/>
      <c r="CQ87" s="407"/>
      <c r="CR87" s="407"/>
      <c r="CS87" s="407"/>
      <c r="CT87" s="407"/>
      <c r="CU87" s="407"/>
      <c r="CV87" s="407"/>
      <c r="CW87" s="407"/>
      <c r="CX87" s="407"/>
      <c r="CY87" s="407"/>
      <c r="CZ87" s="407"/>
      <c r="DA87" s="407"/>
      <c r="DB87" s="407"/>
      <c r="DC87" s="407"/>
      <c r="DD87" s="407"/>
      <c r="DE87" s="407"/>
      <c r="DF87" s="407"/>
      <c r="DG87" s="407"/>
      <c r="DH87" s="407"/>
      <c r="DI87" s="407"/>
      <c r="DJ87" s="407"/>
      <c r="DK87" s="407"/>
      <c r="DL87" s="407"/>
      <c r="DM87" s="407"/>
      <c r="DN87" s="407"/>
    </row>
    <row r="88" spans="37:118" x14ac:dyDescent="0.35">
      <c r="AK88" s="407"/>
      <c r="AL88" s="111"/>
      <c r="AM88" s="407"/>
      <c r="AN88" s="407"/>
      <c r="AO88" s="407"/>
      <c r="AP88" s="407"/>
      <c r="AQ88" s="407"/>
      <c r="AR88" s="407"/>
      <c r="AS88" s="407"/>
      <c r="AT88" s="407"/>
      <c r="AU88" s="407"/>
      <c r="AV88" s="407"/>
      <c r="AW88" s="407"/>
      <c r="AX88" s="407"/>
      <c r="AY88" s="407"/>
      <c r="AZ88" s="407"/>
      <c r="BA88" s="407"/>
      <c r="BB88" s="407"/>
      <c r="BC88" s="407"/>
      <c r="BD88" s="407"/>
      <c r="BE88" s="407"/>
      <c r="BF88" s="407"/>
      <c r="BG88" s="407"/>
      <c r="BH88" s="407"/>
      <c r="BI88" s="407"/>
      <c r="BJ88" s="407"/>
      <c r="BK88" s="407"/>
      <c r="BL88" s="407"/>
      <c r="BM88" s="407"/>
      <c r="BN88" s="407"/>
      <c r="BO88" s="407"/>
      <c r="BP88" s="407"/>
      <c r="BQ88" s="407"/>
      <c r="BR88" s="407"/>
      <c r="BS88" s="407"/>
      <c r="BT88" s="407"/>
      <c r="BU88" s="407"/>
      <c r="BV88" s="407"/>
      <c r="BW88" s="407"/>
      <c r="BX88" s="407"/>
      <c r="BY88" s="407"/>
      <c r="BZ88" s="407"/>
      <c r="CA88" s="407"/>
      <c r="CB88" s="407"/>
      <c r="CC88" s="407"/>
      <c r="CD88" s="407"/>
      <c r="CE88" s="407"/>
      <c r="CF88" s="407"/>
      <c r="CG88" s="407"/>
      <c r="CH88" s="407"/>
      <c r="CI88" s="407"/>
      <c r="CJ88" s="407"/>
      <c r="CK88" s="407"/>
      <c r="CL88" s="407"/>
      <c r="CM88" s="407"/>
      <c r="CN88" s="407"/>
      <c r="CO88" s="407"/>
      <c r="CP88" s="407"/>
      <c r="CQ88" s="407"/>
      <c r="CR88" s="407"/>
      <c r="CS88" s="407"/>
      <c r="CT88" s="407"/>
      <c r="CU88" s="407"/>
      <c r="CV88" s="407"/>
      <c r="CW88" s="407"/>
      <c r="CX88" s="407"/>
      <c r="CY88" s="407"/>
      <c r="CZ88" s="407"/>
      <c r="DA88" s="407"/>
      <c r="DB88" s="407"/>
      <c r="DC88" s="407"/>
      <c r="DD88" s="407"/>
      <c r="DE88" s="407"/>
      <c r="DF88" s="407"/>
      <c r="DG88" s="407"/>
      <c r="DH88" s="407"/>
      <c r="DI88" s="407"/>
      <c r="DJ88" s="407"/>
      <c r="DK88" s="407"/>
      <c r="DL88" s="407"/>
      <c r="DM88" s="407"/>
      <c r="DN88" s="407"/>
    </row>
    <row r="89" spans="37:118" x14ac:dyDescent="0.35">
      <c r="AK89" s="407"/>
      <c r="AL89" s="111"/>
      <c r="AM89" s="407"/>
      <c r="AN89" s="407"/>
      <c r="AO89" s="407"/>
      <c r="AP89" s="407"/>
      <c r="AQ89" s="407"/>
      <c r="AR89" s="407"/>
      <c r="AS89" s="407"/>
      <c r="AT89" s="407"/>
      <c r="AU89" s="407"/>
      <c r="AV89" s="407"/>
      <c r="AW89" s="407"/>
      <c r="AX89" s="407"/>
      <c r="AY89" s="407"/>
      <c r="AZ89" s="407"/>
      <c r="BA89" s="407"/>
      <c r="BB89" s="407"/>
      <c r="BC89" s="407"/>
      <c r="BD89" s="407"/>
      <c r="BE89" s="407"/>
      <c r="BF89" s="407"/>
      <c r="BG89" s="407"/>
      <c r="BH89" s="407"/>
      <c r="BI89" s="407"/>
      <c r="BJ89" s="407"/>
      <c r="BK89" s="407"/>
      <c r="BL89" s="407"/>
      <c r="BM89" s="407"/>
      <c r="BN89" s="407"/>
      <c r="BO89" s="407"/>
      <c r="BP89" s="407"/>
      <c r="BQ89" s="407"/>
      <c r="BR89" s="407"/>
      <c r="BS89" s="407"/>
      <c r="BT89" s="407"/>
      <c r="BU89" s="407"/>
      <c r="BV89" s="407"/>
      <c r="BW89" s="407"/>
      <c r="BX89" s="407"/>
      <c r="BY89" s="407"/>
      <c r="BZ89" s="407"/>
      <c r="CA89" s="407"/>
      <c r="CB89" s="407"/>
      <c r="CC89" s="407"/>
      <c r="CD89" s="407"/>
      <c r="CE89" s="407"/>
      <c r="CF89" s="407"/>
      <c r="CG89" s="407"/>
      <c r="CH89" s="407"/>
      <c r="CI89" s="407"/>
      <c r="CJ89" s="407"/>
      <c r="CK89" s="407"/>
      <c r="CL89" s="407"/>
      <c r="CM89" s="407"/>
      <c r="CN89" s="407"/>
      <c r="CO89" s="407"/>
      <c r="CP89" s="407"/>
      <c r="CQ89" s="407"/>
      <c r="CR89" s="407"/>
      <c r="CS89" s="407"/>
      <c r="CT89" s="407"/>
      <c r="CU89" s="407"/>
      <c r="CV89" s="407"/>
      <c r="CW89" s="407"/>
      <c r="CX89" s="407"/>
      <c r="CY89" s="407"/>
      <c r="CZ89" s="407"/>
      <c r="DA89" s="407"/>
      <c r="DB89" s="407"/>
      <c r="DC89" s="407"/>
      <c r="DD89" s="407"/>
      <c r="DE89" s="407"/>
      <c r="DF89" s="407"/>
      <c r="DG89" s="407"/>
      <c r="DH89" s="407"/>
      <c r="DI89" s="407"/>
      <c r="DJ89" s="407"/>
      <c r="DK89" s="407"/>
      <c r="DL89" s="407"/>
      <c r="DM89" s="407"/>
      <c r="DN89" s="407"/>
    </row>
    <row r="90" spans="37:118" x14ac:dyDescent="0.35">
      <c r="AK90" s="407"/>
      <c r="AL90" s="111"/>
      <c r="AM90" s="407"/>
      <c r="AN90" s="407"/>
      <c r="AO90" s="407"/>
      <c r="AP90" s="407"/>
      <c r="AQ90" s="407"/>
      <c r="AR90" s="407"/>
      <c r="AS90" s="407"/>
      <c r="AT90" s="407"/>
      <c r="AU90" s="407"/>
      <c r="AV90" s="407"/>
      <c r="AW90" s="407"/>
      <c r="AX90" s="407"/>
      <c r="AY90" s="407"/>
      <c r="AZ90" s="407"/>
      <c r="BA90" s="407"/>
      <c r="BB90" s="407"/>
      <c r="BC90" s="407"/>
      <c r="BD90" s="407"/>
      <c r="BE90" s="407"/>
      <c r="BF90" s="407"/>
      <c r="BG90" s="407"/>
      <c r="BH90" s="407"/>
      <c r="BI90" s="407"/>
      <c r="BJ90" s="407"/>
      <c r="BK90" s="407"/>
      <c r="BL90" s="407"/>
      <c r="BM90" s="407"/>
      <c r="BN90" s="407"/>
      <c r="BO90" s="407"/>
      <c r="BP90" s="407"/>
      <c r="BQ90" s="407"/>
      <c r="BR90" s="407"/>
      <c r="BS90" s="407"/>
      <c r="BT90" s="407"/>
      <c r="BU90" s="407"/>
      <c r="BV90" s="407"/>
      <c r="BW90" s="407"/>
      <c r="BX90" s="407"/>
      <c r="BY90" s="407"/>
      <c r="BZ90" s="407"/>
      <c r="CA90" s="407"/>
      <c r="CB90" s="407"/>
      <c r="CC90" s="407"/>
      <c r="CD90" s="407"/>
      <c r="CE90" s="407"/>
      <c r="CF90" s="407"/>
      <c r="CG90" s="407"/>
      <c r="CH90" s="407"/>
      <c r="CI90" s="407"/>
      <c r="CJ90" s="407"/>
      <c r="CK90" s="407"/>
      <c r="CL90" s="407"/>
      <c r="CM90" s="407"/>
      <c r="CN90" s="407"/>
      <c r="CO90" s="407"/>
      <c r="CP90" s="407"/>
      <c r="CQ90" s="407"/>
      <c r="CR90" s="407"/>
      <c r="CS90" s="407"/>
      <c r="CT90" s="407"/>
      <c r="CU90" s="407"/>
      <c r="CV90" s="407"/>
      <c r="CW90" s="407"/>
      <c r="CX90" s="407"/>
      <c r="CY90" s="407"/>
      <c r="CZ90" s="407"/>
      <c r="DA90" s="407"/>
      <c r="DB90" s="407"/>
      <c r="DC90" s="407"/>
      <c r="DD90" s="407"/>
      <c r="DE90" s="407"/>
      <c r="DF90" s="407"/>
      <c r="DG90" s="407"/>
      <c r="DH90" s="407"/>
      <c r="DI90" s="407"/>
      <c r="DJ90" s="407"/>
      <c r="DK90" s="407"/>
      <c r="DL90" s="407"/>
      <c r="DM90" s="407"/>
      <c r="DN90" s="407"/>
    </row>
    <row r="91" spans="37:118" x14ac:dyDescent="0.35">
      <c r="AK91" s="407"/>
      <c r="AL91" s="111"/>
      <c r="AM91" s="407"/>
      <c r="AN91" s="407"/>
      <c r="AO91" s="407"/>
      <c r="AP91" s="407"/>
      <c r="AQ91" s="407"/>
      <c r="AR91" s="407"/>
      <c r="AS91" s="407"/>
      <c r="AT91" s="407"/>
      <c r="AU91" s="407"/>
      <c r="AV91" s="407"/>
      <c r="AW91" s="407"/>
      <c r="AX91" s="407"/>
      <c r="AY91" s="407"/>
      <c r="AZ91" s="407"/>
      <c r="BA91" s="407"/>
      <c r="BB91" s="407"/>
      <c r="BC91" s="407"/>
      <c r="BD91" s="407"/>
      <c r="BE91" s="407"/>
      <c r="BF91" s="407"/>
      <c r="BG91" s="407"/>
      <c r="BH91" s="407"/>
      <c r="BI91" s="407"/>
      <c r="BJ91" s="407"/>
      <c r="BK91" s="407"/>
      <c r="BL91" s="407"/>
      <c r="BM91" s="407"/>
      <c r="BN91" s="407"/>
      <c r="BO91" s="407"/>
      <c r="BP91" s="407"/>
      <c r="BQ91" s="407"/>
      <c r="BR91" s="407"/>
      <c r="BS91" s="407"/>
      <c r="BT91" s="407"/>
      <c r="BU91" s="407"/>
      <c r="BV91" s="407"/>
      <c r="BW91" s="407"/>
      <c r="BX91" s="407"/>
      <c r="BY91" s="407"/>
      <c r="BZ91" s="407"/>
      <c r="CA91" s="407"/>
      <c r="CB91" s="407"/>
      <c r="CC91" s="407"/>
      <c r="CD91" s="407"/>
      <c r="CE91" s="407"/>
      <c r="CF91" s="407"/>
      <c r="CG91" s="407"/>
      <c r="CH91" s="407"/>
      <c r="CI91" s="407"/>
      <c r="CJ91" s="407"/>
      <c r="CK91" s="407"/>
      <c r="CL91" s="407"/>
      <c r="CM91" s="407"/>
      <c r="CN91" s="407"/>
      <c r="CO91" s="407"/>
      <c r="CP91" s="407"/>
      <c r="CQ91" s="407"/>
      <c r="CR91" s="407"/>
      <c r="CS91" s="407"/>
      <c r="CT91" s="407"/>
      <c r="CU91" s="407"/>
      <c r="CV91" s="407"/>
      <c r="CW91" s="407"/>
      <c r="CX91" s="407"/>
      <c r="CY91" s="407"/>
      <c r="CZ91" s="407"/>
      <c r="DA91" s="407"/>
      <c r="DB91" s="407"/>
      <c r="DC91" s="407"/>
      <c r="DD91" s="407"/>
      <c r="DE91" s="407"/>
      <c r="DF91" s="407"/>
      <c r="DG91" s="407"/>
      <c r="DH91" s="407"/>
      <c r="DI91" s="407"/>
      <c r="DJ91" s="407"/>
      <c r="DK91" s="407"/>
      <c r="DL91" s="407"/>
      <c r="DM91" s="407"/>
      <c r="DN91" s="407"/>
    </row>
    <row r="92" spans="37:118" x14ac:dyDescent="0.35">
      <c r="AK92" s="407"/>
      <c r="AL92" s="111"/>
      <c r="AM92" s="407"/>
      <c r="AN92" s="407"/>
      <c r="AO92" s="407"/>
      <c r="AP92" s="407"/>
      <c r="AQ92" s="407"/>
      <c r="AR92" s="407"/>
      <c r="AS92" s="407"/>
      <c r="AT92" s="407"/>
      <c r="AU92" s="407"/>
      <c r="AV92" s="407"/>
      <c r="AW92" s="407"/>
      <c r="AX92" s="407"/>
      <c r="AY92" s="407"/>
      <c r="AZ92" s="407"/>
      <c r="BA92" s="407"/>
      <c r="BB92" s="407"/>
      <c r="BC92" s="407"/>
      <c r="BD92" s="407"/>
      <c r="BE92" s="407"/>
      <c r="BF92" s="407"/>
      <c r="BG92" s="407"/>
      <c r="BH92" s="407"/>
      <c r="BI92" s="407"/>
      <c r="BJ92" s="407"/>
      <c r="BK92" s="407"/>
      <c r="BL92" s="407"/>
      <c r="BM92" s="407"/>
      <c r="BN92" s="407"/>
      <c r="BO92" s="407"/>
      <c r="BP92" s="407"/>
      <c r="BQ92" s="407"/>
      <c r="BR92" s="407"/>
      <c r="BS92" s="407"/>
      <c r="BT92" s="407"/>
      <c r="BU92" s="407"/>
      <c r="BV92" s="407"/>
      <c r="BW92" s="407"/>
      <c r="BX92" s="407"/>
      <c r="BY92" s="407"/>
      <c r="BZ92" s="407"/>
      <c r="CA92" s="407"/>
      <c r="CB92" s="407"/>
      <c r="CC92" s="407"/>
      <c r="CD92" s="407"/>
      <c r="CE92" s="407"/>
      <c r="CF92" s="407"/>
      <c r="CG92" s="407"/>
      <c r="CH92" s="407"/>
      <c r="CI92" s="407"/>
      <c r="CJ92" s="407"/>
      <c r="CK92" s="407"/>
      <c r="CL92" s="407"/>
      <c r="CM92" s="407"/>
      <c r="CN92" s="407"/>
      <c r="CO92" s="407"/>
      <c r="CP92" s="407"/>
      <c r="CQ92" s="407"/>
      <c r="CR92" s="407"/>
      <c r="CS92" s="407"/>
      <c r="CT92" s="407"/>
      <c r="CU92" s="407"/>
      <c r="CV92" s="407"/>
      <c r="CW92" s="407"/>
      <c r="CX92" s="407"/>
      <c r="CY92" s="407"/>
      <c r="CZ92" s="407"/>
      <c r="DA92" s="407"/>
      <c r="DB92" s="407"/>
      <c r="DC92" s="407"/>
      <c r="DD92" s="407"/>
      <c r="DE92" s="407"/>
      <c r="DF92" s="407"/>
      <c r="DG92" s="407"/>
      <c r="DH92" s="407"/>
      <c r="DI92" s="407"/>
      <c r="DJ92" s="407"/>
      <c r="DK92" s="407"/>
      <c r="DL92" s="407"/>
      <c r="DM92" s="407"/>
      <c r="DN92" s="407"/>
    </row>
    <row r="93" spans="37:118" x14ac:dyDescent="0.35">
      <c r="AK93" s="407"/>
      <c r="AL93" s="111"/>
      <c r="AM93" s="407"/>
      <c r="AN93" s="407"/>
      <c r="AO93" s="407"/>
      <c r="AP93" s="407"/>
      <c r="AQ93" s="407"/>
      <c r="AR93" s="407"/>
      <c r="AS93" s="407"/>
      <c r="AT93" s="407"/>
      <c r="AU93" s="407"/>
      <c r="AV93" s="407"/>
      <c r="AW93" s="407"/>
      <c r="AX93" s="407"/>
      <c r="AY93" s="407"/>
      <c r="AZ93" s="407"/>
      <c r="BA93" s="407"/>
      <c r="BB93" s="407"/>
      <c r="BC93" s="407"/>
      <c r="BD93" s="407"/>
      <c r="BE93" s="407"/>
      <c r="BF93" s="407"/>
      <c r="BG93" s="407"/>
      <c r="BH93" s="407"/>
      <c r="BI93" s="407"/>
      <c r="BJ93" s="407"/>
      <c r="BK93" s="407"/>
      <c r="BL93" s="407"/>
      <c r="BM93" s="407"/>
      <c r="BN93" s="407"/>
      <c r="BO93" s="407"/>
      <c r="BP93" s="407"/>
      <c r="BQ93" s="407"/>
      <c r="BR93" s="407"/>
      <c r="BS93" s="407"/>
      <c r="BT93" s="407"/>
      <c r="BU93" s="407"/>
      <c r="BV93" s="407"/>
      <c r="BW93" s="407"/>
      <c r="BX93" s="407"/>
      <c r="BY93" s="407"/>
      <c r="BZ93" s="407"/>
      <c r="CA93" s="407"/>
      <c r="CB93" s="407"/>
      <c r="CC93" s="407"/>
      <c r="CD93" s="407"/>
      <c r="CE93" s="407"/>
      <c r="CF93" s="407"/>
      <c r="CG93" s="407"/>
      <c r="CH93" s="407"/>
      <c r="CI93" s="407"/>
      <c r="CJ93" s="407"/>
      <c r="CK93" s="407"/>
      <c r="CL93" s="407"/>
      <c r="CM93" s="407"/>
      <c r="CN93" s="407"/>
      <c r="CO93" s="407"/>
      <c r="CP93" s="407"/>
      <c r="CQ93" s="407"/>
      <c r="CR93" s="407"/>
      <c r="CS93" s="407"/>
      <c r="CT93" s="407"/>
      <c r="CU93" s="407"/>
      <c r="CV93" s="407"/>
      <c r="CW93" s="407"/>
      <c r="CX93" s="407"/>
      <c r="CY93" s="407"/>
      <c r="CZ93" s="407"/>
      <c r="DA93" s="407"/>
      <c r="DB93" s="407"/>
      <c r="DC93" s="407"/>
      <c r="DD93" s="407"/>
      <c r="DE93" s="407"/>
      <c r="DF93" s="407"/>
      <c r="DG93" s="407"/>
      <c r="DH93" s="407"/>
      <c r="DI93" s="407"/>
      <c r="DJ93" s="407"/>
      <c r="DK93" s="407"/>
      <c r="DL93" s="407"/>
      <c r="DM93" s="407"/>
      <c r="DN93" s="407"/>
    </row>
    <row r="94" spans="37:118" x14ac:dyDescent="0.35">
      <c r="AK94" s="407"/>
      <c r="AL94" s="111"/>
      <c r="AM94" s="407"/>
      <c r="AN94" s="407"/>
      <c r="AO94" s="407"/>
      <c r="AP94" s="407"/>
      <c r="AQ94" s="407"/>
      <c r="AR94" s="407"/>
      <c r="AS94" s="407"/>
      <c r="AT94" s="407"/>
      <c r="AU94" s="407"/>
      <c r="AV94" s="407"/>
      <c r="AW94" s="407"/>
      <c r="AX94" s="407"/>
      <c r="AY94" s="407"/>
      <c r="AZ94" s="407"/>
      <c r="BA94" s="407"/>
      <c r="BB94" s="407"/>
      <c r="BC94" s="407"/>
      <c r="BD94" s="407"/>
      <c r="BE94" s="407"/>
      <c r="BF94" s="407"/>
      <c r="BG94" s="407"/>
      <c r="BH94" s="407"/>
      <c r="BI94" s="407"/>
      <c r="BJ94" s="407"/>
      <c r="BK94" s="407"/>
      <c r="BL94" s="407"/>
      <c r="BM94" s="407"/>
      <c r="BN94" s="407"/>
      <c r="BO94" s="407"/>
      <c r="BP94" s="407"/>
      <c r="BQ94" s="407"/>
      <c r="BR94" s="407"/>
      <c r="BS94" s="407"/>
      <c r="BT94" s="407"/>
      <c r="BU94" s="407"/>
      <c r="BV94" s="407"/>
      <c r="BW94" s="407"/>
      <c r="BX94" s="407"/>
      <c r="BY94" s="407"/>
      <c r="BZ94" s="407"/>
      <c r="CA94" s="407"/>
      <c r="CB94" s="407"/>
      <c r="CC94" s="407"/>
      <c r="CD94" s="407"/>
      <c r="CE94" s="407"/>
      <c r="CF94" s="407"/>
      <c r="CG94" s="407"/>
      <c r="CH94" s="407"/>
      <c r="CI94" s="407"/>
      <c r="CJ94" s="407"/>
      <c r="CK94" s="407"/>
      <c r="CL94" s="407"/>
      <c r="CM94" s="407"/>
      <c r="CN94" s="407"/>
      <c r="CO94" s="407"/>
      <c r="CP94" s="407"/>
      <c r="CQ94" s="407"/>
      <c r="CR94" s="407"/>
      <c r="CS94" s="407"/>
      <c r="CT94" s="407"/>
      <c r="CU94" s="407"/>
      <c r="CV94" s="407"/>
      <c r="CW94" s="407"/>
      <c r="CX94" s="407"/>
      <c r="CY94" s="407"/>
      <c r="CZ94" s="407"/>
      <c r="DA94" s="407"/>
      <c r="DB94" s="407"/>
      <c r="DC94" s="407"/>
      <c r="DD94" s="407"/>
      <c r="DE94" s="407"/>
      <c r="DF94" s="407"/>
      <c r="DG94" s="407"/>
      <c r="DH94" s="407"/>
      <c r="DI94" s="407"/>
      <c r="DJ94" s="407"/>
      <c r="DK94" s="407"/>
      <c r="DL94" s="407"/>
      <c r="DM94" s="407"/>
      <c r="DN94" s="407"/>
    </row>
    <row r="95" spans="37:118" x14ac:dyDescent="0.35">
      <c r="AK95" s="407"/>
      <c r="AL95" s="111"/>
      <c r="AM95" s="407"/>
      <c r="AN95" s="407"/>
      <c r="AO95" s="407"/>
      <c r="AP95" s="407"/>
      <c r="AQ95" s="407"/>
      <c r="AR95" s="407"/>
      <c r="AS95" s="407"/>
      <c r="AT95" s="407"/>
      <c r="AU95" s="407"/>
      <c r="AV95" s="407"/>
      <c r="AW95" s="407"/>
      <c r="AX95" s="407"/>
      <c r="AY95" s="407"/>
      <c r="AZ95" s="407"/>
      <c r="BA95" s="407"/>
      <c r="BB95" s="407"/>
      <c r="BC95" s="407"/>
      <c r="BD95" s="407"/>
      <c r="BE95" s="407"/>
      <c r="BF95" s="407"/>
      <c r="BG95" s="407"/>
      <c r="BH95" s="407"/>
      <c r="BI95" s="407"/>
      <c r="BJ95" s="407"/>
      <c r="BK95" s="407"/>
      <c r="BL95" s="407"/>
      <c r="BM95" s="407"/>
      <c r="BN95" s="407"/>
      <c r="BO95" s="407"/>
      <c r="BP95" s="407"/>
      <c r="BQ95" s="407"/>
      <c r="BR95" s="407"/>
      <c r="BS95" s="407"/>
      <c r="BT95" s="407"/>
      <c r="BU95" s="407"/>
      <c r="BV95" s="407"/>
      <c r="BW95" s="407"/>
      <c r="BX95" s="407"/>
      <c r="BY95" s="407"/>
      <c r="BZ95" s="407"/>
      <c r="CA95" s="407"/>
      <c r="CB95" s="407"/>
      <c r="CC95" s="407"/>
      <c r="CD95" s="407"/>
      <c r="CE95" s="407"/>
      <c r="CF95" s="407"/>
      <c r="CG95" s="407"/>
      <c r="CH95" s="407"/>
      <c r="CI95" s="407"/>
      <c r="CJ95" s="407"/>
      <c r="CK95" s="407"/>
      <c r="CL95" s="407"/>
      <c r="CM95" s="407"/>
      <c r="CN95" s="407"/>
      <c r="CO95" s="407"/>
      <c r="CP95" s="407"/>
      <c r="CQ95" s="407"/>
      <c r="CR95" s="407"/>
      <c r="CS95" s="407"/>
      <c r="CT95" s="407"/>
      <c r="CU95" s="407"/>
      <c r="CV95" s="407"/>
      <c r="CW95" s="407"/>
      <c r="CX95" s="407"/>
      <c r="CY95" s="407"/>
      <c r="CZ95" s="407"/>
      <c r="DA95" s="407"/>
      <c r="DB95" s="407"/>
      <c r="DC95" s="407"/>
      <c r="DD95" s="407"/>
      <c r="DE95" s="407"/>
      <c r="DF95" s="407"/>
      <c r="DG95" s="407"/>
      <c r="DH95" s="407"/>
      <c r="DI95" s="407"/>
      <c r="DJ95" s="407"/>
      <c r="DK95" s="407"/>
      <c r="DL95" s="407"/>
      <c r="DM95" s="407"/>
      <c r="DN95" s="407"/>
    </row>
    <row r="96" spans="37:118" x14ac:dyDescent="0.35">
      <c r="AK96" s="407"/>
      <c r="AL96" s="111"/>
      <c r="AM96" s="407"/>
      <c r="AN96" s="407"/>
      <c r="AO96" s="407"/>
      <c r="AP96" s="407"/>
      <c r="AQ96" s="407"/>
      <c r="AR96" s="407"/>
      <c r="AS96" s="407"/>
      <c r="AT96" s="407"/>
      <c r="AU96" s="407"/>
      <c r="AV96" s="407"/>
      <c r="AW96" s="407"/>
      <c r="AX96" s="407"/>
      <c r="AY96" s="407"/>
      <c r="AZ96" s="407"/>
      <c r="BA96" s="407"/>
      <c r="BB96" s="407"/>
      <c r="BC96" s="407"/>
      <c r="BD96" s="407"/>
      <c r="BE96" s="407"/>
      <c r="BF96" s="407"/>
      <c r="BG96" s="407"/>
      <c r="BH96" s="407"/>
      <c r="BI96" s="407"/>
      <c r="BJ96" s="407"/>
      <c r="BK96" s="407"/>
      <c r="BL96" s="407"/>
      <c r="BM96" s="407"/>
      <c r="BN96" s="407"/>
      <c r="BO96" s="407"/>
      <c r="BP96" s="407"/>
      <c r="BQ96" s="407"/>
      <c r="BR96" s="407"/>
      <c r="BS96" s="407"/>
      <c r="BT96" s="407"/>
      <c r="BU96" s="407"/>
      <c r="BV96" s="407"/>
      <c r="BW96" s="407"/>
      <c r="BX96" s="407"/>
      <c r="BY96" s="407"/>
      <c r="BZ96" s="407"/>
      <c r="CA96" s="407"/>
      <c r="CB96" s="407"/>
      <c r="CC96" s="407"/>
      <c r="CD96" s="407"/>
      <c r="CE96" s="407"/>
      <c r="CF96" s="407"/>
      <c r="CG96" s="407"/>
      <c r="CH96" s="407"/>
      <c r="CI96" s="407"/>
      <c r="CJ96" s="407"/>
      <c r="CK96" s="407"/>
      <c r="CL96" s="407"/>
      <c r="CM96" s="407"/>
      <c r="CN96" s="407"/>
      <c r="CO96" s="407"/>
      <c r="CP96" s="407"/>
      <c r="CQ96" s="407"/>
      <c r="CR96" s="407"/>
      <c r="CS96" s="407"/>
      <c r="CT96" s="407"/>
      <c r="CU96" s="407"/>
      <c r="CV96" s="407"/>
      <c r="CW96" s="407"/>
      <c r="CX96" s="407"/>
      <c r="CY96" s="407"/>
      <c r="CZ96" s="407"/>
      <c r="DA96" s="407"/>
      <c r="DB96" s="407"/>
      <c r="DC96" s="407"/>
      <c r="DD96" s="407"/>
      <c r="DE96" s="407"/>
      <c r="DF96" s="407"/>
      <c r="DG96" s="407"/>
      <c r="DH96" s="407"/>
      <c r="DI96" s="407"/>
      <c r="DJ96" s="407"/>
      <c r="DK96" s="407"/>
      <c r="DL96" s="407"/>
      <c r="DM96" s="407"/>
      <c r="DN96" s="407"/>
    </row>
    <row r="97" spans="37:118" x14ac:dyDescent="0.35">
      <c r="AK97" s="407"/>
      <c r="AL97" s="111"/>
      <c r="AM97" s="407"/>
      <c r="AN97" s="407"/>
      <c r="AO97" s="407"/>
      <c r="AP97" s="407"/>
      <c r="AQ97" s="407"/>
      <c r="AR97" s="407"/>
      <c r="AS97" s="407"/>
      <c r="AT97" s="407"/>
      <c r="AU97" s="407"/>
      <c r="AV97" s="407"/>
      <c r="AW97" s="407"/>
      <c r="AX97" s="407"/>
      <c r="AY97" s="407"/>
      <c r="AZ97" s="407"/>
      <c r="BA97" s="407"/>
      <c r="BB97" s="407"/>
      <c r="BC97" s="407"/>
      <c r="BD97" s="407"/>
      <c r="BE97" s="407"/>
      <c r="BF97" s="407"/>
      <c r="BG97" s="407"/>
      <c r="BH97" s="407"/>
      <c r="BI97" s="407"/>
      <c r="BJ97" s="407"/>
      <c r="BK97" s="407"/>
      <c r="BL97" s="407"/>
      <c r="BM97" s="407"/>
      <c r="BN97" s="407"/>
      <c r="BO97" s="407"/>
      <c r="BP97" s="407"/>
      <c r="BQ97" s="407"/>
      <c r="BR97" s="407"/>
      <c r="BS97" s="407"/>
      <c r="BT97" s="407"/>
      <c r="BU97" s="407"/>
      <c r="BV97" s="407"/>
      <c r="BW97" s="407"/>
      <c r="BX97" s="407"/>
      <c r="BY97" s="407"/>
      <c r="BZ97" s="407"/>
      <c r="CA97" s="407"/>
      <c r="CB97" s="407"/>
      <c r="CC97" s="407"/>
      <c r="CD97" s="407"/>
      <c r="CE97" s="407"/>
      <c r="CF97" s="407"/>
      <c r="CG97" s="407"/>
      <c r="CH97" s="407"/>
      <c r="CI97" s="407"/>
      <c r="CJ97" s="407"/>
      <c r="CK97" s="407"/>
      <c r="CL97" s="407"/>
      <c r="CM97" s="407"/>
      <c r="CN97" s="407"/>
      <c r="CO97" s="407"/>
      <c r="CP97" s="407"/>
      <c r="CQ97" s="407"/>
      <c r="CR97" s="407"/>
      <c r="CS97" s="407"/>
      <c r="CT97" s="407"/>
      <c r="CU97" s="407"/>
      <c r="CV97" s="407"/>
      <c r="CW97" s="407"/>
      <c r="CX97" s="407"/>
      <c r="CY97" s="407"/>
      <c r="CZ97" s="407"/>
      <c r="DA97" s="407"/>
      <c r="DB97" s="407"/>
      <c r="DC97" s="407"/>
      <c r="DD97" s="407"/>
      <c r="DE97" s="407"/>
      <c r="DF97" s="407"/>
      <c r="DG97" s="407"/>
      <c r="DH97" s="407"/>
      <c r="DI97" s="407"/>
      <c r="DJ97" s="407"/>
      <c r="DK97" s="407"/>
      <c r="DL97" s="407"/>
      <c r="DM97" s="407"/>
      <c r="DN97" s="407"/>
    </row>
    <row r="98" spans="37:118" x14ac:dyDescent="0.35">
      <c r="AK98" s="407"/>
      <c r="AL98" s="111"/>
      <c r="AM98" s="407"/>
      <c r="AN98" s="407"/>
      <c r="AO98" s="407"/>
      <c r="AP98" s="407"/>
      <c r="AQ98" s="407"/>
      <c r="AR98" s="407"/>
      <c r="AS98" s="407"/>
      <c r="AT98" s="407"/>
      <c r="AU98" s="407"/>
      <c r="AV98" s="407"/>
      <c r="AW98" s="407"/>
      <c r="AX98" s="407"/>
      <c r="AY98" s="407"/>
      <c r="AZ98" s="407"/>
      <c r="BA98" s="407"/>
      <c r="BB98" s="407"/>
      <c r="BC98" s="407"/>
      <c r="BD98" s="407"/>
      <c r="BE98" s="407"/>
      <c r="BF98" s="407"/>
      <c r="BG98" s="407"/>
      <c r="BH98" s="407"/>
      <c r="BI98" s="407"/>
      <c r="BJ98" s="407"/>
      <c r="BK98" s="407"/>
      <c r="BL98" s="407"/>
      <c r="BM98" s="407"/>
      <c r="BN98" s="407"/>
      <c r="BO98" s="407"/>
      <c r="BP98" s="407"/>
      <c r="BQ98" s="407"/>
      <c r="BR98" s="407"/>
      <c r="BS98" s="407"/>
      <c r="BT98" s="407"/>
      <c r="BU98" s="407"/>
      <c r="BV98" s="407"/>
      <c r="BW98" s="407"/>
      <c r="BX98" s="407"/>
      <c r="BY98" s="407"/>
      <c r="BZ98" s="407"/>
      <c r="CA98" s="407"/>
      <c r="CB98" s="407"/>
      <c r="CC98" s="407"/>
      <c r="CD98" s="407"/>
      <c r="CE98" s="407"/>
      <c r="CF98" s="407"/>
      <c r="CG98" s="407"/>
      <c r="CH98" s="407"/>
      <c r="CI98" s="407"/>
      <c r="CJ98" s="407"/>
      <c r="CK98" s="407"/>
      <c r="CL98" s="407"/>
      <c r="CM98" s="407"/>
      <c r="CN98" s="407"/>
      <c r="CO98" s="407"/>
      <c r="CP98" s="407"/>
      <c r="CQ98" s="407"/>
      <c r="CR98" s="407"/>
      <c r="CS98" s="407"/>
      <c r="CT98" s="407"/>
      <c r="CU98" s="407"/>
      <c r="CV98" s="407"/>
      <c r="CW98" s="407"/>
      <c r="CX98" s="407"/>
      <c r="CY98" s="407"/>
      <c r="CZ98" s="407"/>
      <c r="DA98" s="407"/>
      <c r="DB98" s="407"/>
      <c r="DC98" s="407"/>
      <c r="DD98" s="407"/>
      <c r="DE98" s="407"/>
      <c r="DF98" s="407"/>
      <c r="DG98" s="407"/>
      <c r="DH98" s="407"/>
      <c r="DI98" s="407"/>
      <c r="DJ98" s="407"/>
      <c r="DK98" s="407"/>
      <c r="DL98" s="407"/>
      <c r="DM98" s="407"/>
      <c r="DN98" s="407"/>
    </row>
    <row r="99" spans="37:118" x14ac:dyDescent="0.35">
      <c r="AK99" s="407"/>
      <c r="AL99" s="111"/>
      <c r="AM99" s="407"/>
      <c r="AN99" s="407"/>
      <c r="AO99" s="407"/>
      <c r="AP99" s="407"/>
      <c r="AQ99" s="407"/>
      <c r="AR99" s="407"/>
      <c r="AS99" s="407"/>
      <c r="AT99" s="407"/>
      <c r="AU99" s="407"/>
      <c r="AV99" s="407"/>
      <c r="AW99" s="407"/>
      <c r="AX99" s="407"/>
      <c r="AY99" s="407"/>
      <c r="AZ99" s="407"/>
      <c r="BA99" s="407"/>
      <c r="BB99" s="407"/>
      <c r="BC99" s="407"/>
      <c r="BD99" s="407"/>
      <c r="BE99" s="407"/>
      <c r="BF99" s="407"/>
      <c r="BG99" s="407"/>
      <c r="BH99" s="407"/>
      <c r="BI99" s="407"/>
      <c r="BJ99" s="407"/>
      <c r="BK99" s="407"/>
      <c r="BL99" s="407"/>
      <c r="BM99" s="407"/>
      <c r="BN99" s="407"/>
      <c r="BO99" s="407"/>
      <c r="BP99" s="407"/>
      <c r="BQ99" s="407"/>
      <c r="BR99" s="407"/>
      <c r="BS99" s="407"/>
      <c r="BT99" s="407"/>
      <c r="BU99" s="407"/>
      <c r="BV99" s="407"/>
      <c r="BW99" s="407"/>
      <c r="BX99" s="407"/>
      <c r="BY99" s="407"/>
      <c r="BZ99" s="407"/>
      <c r="CA99" s="407"/>
      <c r="CB99" s="407"/>
      <c r="CC99" s="407"/>
      <c r="CD99" s="407"/>
      <c r="CE99" s="407"/>
      <c r="CF99" s="407"/>
      <c r="CG99" s="407"/>
      <c r="CH99" s="407"/>
      <c r="CI99" s="407"/>
      <c r="CJ99" s="407"/>
      <c r="CK99" s="407"/>
      <c r="CL99" s="407"/>
      <c r="CM99" s="407"/>
      <c r="CN99" s="407"/>
      <c r="CO99" s="407"/>
      <c r="CP99" s="407"/>
      <c r="CQ99" s="407"/>
      <c r="CR99" s="407"/>
      <c r="CS99" s="407"/>
      <c r="CT99" s="407"/>
      <c r="CU99" s="407"/>
      <c r="CV99" s="407"/>
      <c r="CW99" s="407"/>
      <c r="CX99" s="407"/>
      <c r="CY99" s="407"/>
      <c r="CZ99" s="407"/>
      <c r="DA99" s="407"/>
      <c r="DB99" s="407"/>
      <c r="DC99" s="407"/>
      <c r="DD99" s="407"/>
      <c r="DE99" s="407"/>
      <c r="DF99" s="407"/>
      <c r="DG99" s="407"/>
      <c r="DH99" s="407"/>
      <c r="DI99" s="407"/>
      <c r="DJ99" s="407"/>
      <c r="DK99" s="407"/>
      <c r="DL99" s="407"/>
      <c r="DM99" s="407"/>
      <c r="DN99" s="407"/>
    </row>
    <row r="100" spans="37:118" x14ac:dyDescent="0.35">
      <c r="AK100" s="407"/>
      <c r="AL100" s="111"/>
      <c r="AM100" s="407"/>
      <c r="AN100" s="407"/>
      <c r="AO100" s="407"/>
      <c r="AP100" s="407"/>
      <c r="AQ100" s="407"/>
      <c r="AR100" s="407"/>
      <c r="AS100" s="407"/>
      <c r="AT100" s="407"/>
      <c r="AU100" s="407"/>
      <c r="AV100" s="407"/>
      <c r="AW100" s="407"/>
      <c r="AX100" s="407"/>
      <c r="AY100" s="407"/>
      <c r="AZ100" s="407"/>
      <c r="BA100" s="407"/>
      <c r="BB100" s="407"/>
      <c r="BC100" s="407"/>
      <c r="BD100" s="407"/>
      <c r="BE100" s="407"/>
      <c r="BF100" s="407"/>
      <c r="BG100" s="407"/>
      <c r="BH100" s="407"/>
      <c r="BI100" s="407"/>
      <c r="BJ100" s="407"/>
      <c r="BK100" s="407"/>
      <c r="BL100" s="407"/>
      <c r="BM100" s="407"/>
      <c r="BN100" s="407"/>
      <c r="BO100" s="407"/>
      <c r="BP100" s="407"/>
      <c r="BQ100" s="407"/>
      <c r="BR100" s="407"/>
      <c r="BS100" s="407"/>
      <c r="BT100" s="407"/>
      <c r="BU100" s="407"/>
      <c r="BV100" s="407"/>
      <c r="BW100" s="407"/>
      <c r="BX100" s="407"/>
      <c r="BY100" s="407"/>
      <c r="BZ100" s="407"/>
      <c r="CA100" s="407"/>
      <c r="CB100" s="407"/>
      <c r="CC100" s="407"/>
      <c r="CD100" s="407"/>
      <c r="CE100" s="407"/>
      <c r="CF100" s="407"/>
      <c r="CG100" s="407"/>
      <c r="CH100" s="407"/>
      <c r="CI100" s="407"/>
      <c r="CJ100" s="407"/>
      <c r="CK100" s="407"/>
      <c r="CL100" s="407"/>
      <c r="CM100" s="407"/>
      <c r="CN100" s="407"/>
      <c r="CO100" s="407"/>
      <c r="CP100" s="407"/>
      <c r="CQ100" s="407"/>
      <c r="CR100" s="407"/>
      <c r="CS100" s="407"/>
      <c r="CT100" s="407"/>
      <c r="CU100" s="407"/>
      <c r="CV100" s="407"/>
      <c r="CW100" s="407"/>
      <c r="CX100" s="407"/>
      <c r="CY100" s="407"/>
      <c r="CZ100" s="407"/>
      <c r="DA100" s="407"/>
      <c r="DB100" s="407"/>
      <c r="DC100" s="407"/>
      <c r="DD100" s="407"/>
      <c r="DE100" s="407"/>
      <c r="DF100" s="407"/>
      <c r="DG100" s="407"/>
      <c r="DH100" s="407"/>
      <c r="DI100" s="407"/>
      <c r="DJ100" s="407"/>
      <c r="DK100" s="407"/>
      <c r="DL100" s="407"/>
      <c r="DM100" s="407"/>
      <c r="DN100" s="407"/>
    </row>
    <row r="101" spans="37:118" x14ac:dyDescent="0.35">
      <c r="AK101" s="407"/>
      <c r="AL101" s="111"/>
      <c r="AM101" s="407"/>
      <c r="AN101" s="407"/>
      <c r="AO101" s="407"/>
      <c r="AP101" s="407"/>
      <c r="AQ101" s="407"/>
      <c r="AR101" s="407"/>
      <c r="AS101" s="407"/>
      <c r="AT101" s="407"/>
      <c r="AU101" s="407"/>
      <c r="AV101" s="407"/>
      <c r="AW101" s="407"/>
      <c r="AX101" s="407"/>
      <c r="AY101" s="407"/>
      <c r="AZ101" s="407"/>
      <c r="BA101" s="407"/>
      <c r="BB101" s="407"/>
      <c r="BC101" s="407"/>
      <c r="BD101" s="407"/>
      <c r="BE101" s="407"/>
      <c r="BF101" s="407"/>
      <c r="BG101" s="407"/>
      <c r="BH101" s="407"/>
      <c r="BI101" s="407"/>
      <c r="BJ101" s="407"/>
      <c r="BK101" s="407"/>
      <c r="BL101" s="407"/>
      <c r="BM101" s="407"/>
      <c r="BN101" s="407"/>
      <c r="BO101" s="407"/>
      <c r="BP101" s="407"/>
      <c r="BQ101" s="407"/>
      <c r="BR101" s="407"/>
      <c r="BS101" s="407"/>
      <c r="BT101" s="407"/>
      <c r="BU101" s="407"/>
      <c r="BV101" s="407"/>
      <c r="BW101" s="407"/>
      <c r="BX101" s="407"/>
      <c r="BY101" s="407"/>
      <c r="BZ101" s="407"/>
      <c r="CA101" s="407"/>
      <c r="CB101" s="407"/>
      <c r="CC101" s="407"/>
      <c r="CD101" s="407"/>
      <c r="CE101" s="407"/>
      <c r="CF101" s="407"/>
      <c r="CG101" s="407"/>
      <c r="CH101" s="407"/>
      <c r="CI101" s="407"/>
      <c r="CJ101" s="407"/>
      <c r="CK101" s="407"/>
      <c r="CL101" s="407"/>
      <c r="CM101" s="407"/>
      <c r="CN101" s="407"/>
      <c r="CO101" s="407"/>
      <c r="CP101" s="407"/>
      <c r="CQ101" s="407"/>
      <c r="CR101" s="407"/>
      <c r="CS101" s="407"/>
      <c r="CT101" s="407"/>
      <c r="CU101" s="407"/>
      <c r="CV101" s="407"/>
      <c r="CW101" s="407"/>
      <c r="CX101" s="407"/>
      <c r="CY101" s="407"/>
      <c r="CZ101" s="407"/>
      <c r="DA101" s="407"/>
      <c r="DB101" s="407"/>
      <c r="DC101" s="407"/>
      <c r="DD101" s="407"/>
      <c r="DE101" s="407"/>
      <c r="DF101" s="407"/>
      <c r="DG101" s="407"/>
      <c r="DH101" s="407"/>
      <c r="DI101" s="407"/>
      <c r="DJ101" s="407"/>
      <c r="DK101" s="407"/>
      <c r="DL101" s="407"/>
      <c r="DM101" s="407"/>
      <c r="DN101" s="407"/>
    </row>
    <row r="102" spans="37:118" x14ac:dyDescent="0.35">
      <c r="AK102" s="407"/>
      <c r="AL102" s="111"/>
      <c r="AM102" s="407"/>
      <c r="AN102" s="407"/>
      <c r="AO102" s="407"/>
      <c r="AP102" s="407"/>
      <c r="AQ102" s="407"/>
      <c r="AR102" s="407"/>
      <c r="AS102" s="407"/>
      <c r="AT102" s="407"/>
      <c r="AU102" s="407"/>
      <c r="AV102" s="407"/>
      <c r="AW102" s="407"/>
      <c r="AX102" s="407"/>
      <c r="AY102" s="407"/>
      <c r="AZ102" s="407"/>
      <c r="BA102" s="407"/>
      <c r="BB102" s="407"/>
      <c r="BC102" s="407"/>
      <c r="BD102" s="407"/>
      <c r="BE102" s="407"/>
      <c r="BF102" s="407"/>
      <c r="BG102" s="407"/>
      <c r="BH102" s="407"/>
      <c r="BI102" s="407"/>
      <c r="BJ102" s="407"/>
      <c r="BK102" s="407"/>
      <c r="BL102" s="407"/>
      <c r="BM102" s="407"/>
      <c r="BN102" s="407"/>
      <c r="BO102" s="407"/>
      <c r="BP102" s="407"/>
      <c r="BQ102" s="407"/>
      <c r="BR102" s="407"/>
      <c r="BS102" s="407"/>
      <c r="BT102" s="407"/>
      <c r="BU102" s="407"/>
      <c r="BV102" s="407"/>
      <c r="BW102" s="407"/>
      <c r="BX102" s="407"/>
      <c r="BY102" s="407"/>
      <c r="BZ102" s="407"/>
      <c r="CA102" s="407"/>
      <c r="CB102" s="407"/>
      <c r="CC102" s="407"/>
      <c r="CD102" s="407"/>
      <c r="CE102" s="407"/>
      <c r="CF102" s="407"/>
      <c r="CG102" s="407"/>
      <c r="CH102" s="407"/>
      <c r="CI102" s="407"/>
      <c r="CJ102" s="407"/>
      <c r="CK102" s="407"/>
      <c r="CL102" s="407"/>
      <c r="CM102" s="407"/>
      <c r="CN102" s="407"/>
      <c r="CO102" s="407"/>
      <c r="CP102" s="407"/>
      <c r="CQ102" s="407"/>
      <c r="CR102" s="407"/>
      <c r="CS102" s="407"/>
      <c r="CT102" s="407"/>
      <c r="CU102" s="407"/>
      <c r="CV102" s="407"/>
      <c r="CW102" s="407"/>
      <c r="CX102" s="407"/>
      <c r="CY102" s="407"/>
      <c r="CZ102" s="407"/>
      <c r="DA102" s="407"/>
      <c r="DB102" s="407"/>
      <c r="DC102" s="407"/>
      <c r="DD102" s="407"/>
      <c r="DE102" s="407"/>
      <c r="DF102" s="407"/>
      <c r="DG102" s="407"/>
      <c r="DH102" s="407"/>
      <c r="DI102" s="407"/>
      <c r="DJ102" s="407"/>
      <c r="DK102" s="407"/>
      <c r="DL102" s="407"/>
      <c r="DM102" s="407"/>
      <c r="DN102" s="407"/>
    </row>
    <row r="103" spans="37:118" x14ac:dyDescent="0.35">
      <c r="AK103" s="407"/>
      <c r="AL103" s="111"/>
      <c r="AM103" s="407"/>
      <c r="AN103" s="407"/>
      <c r="AO103" s="407"/>
      <c r="AP103" s="407"/>
      <c r="AQ103" s="407"/>
      <c r="AR103" s="407"/>
      <c r="AS103" s="407"/>
      <c r="AT103" s="407"/>
      <c r="AU103" s="407"/>
      <c r="AV103" s="407"/>
      <c r="AW103" s="407"/>
      <c r="AX103" s="407"/>
      <c r="AY103" s="407"/>
      <c r="AZ103" s="407"/>
      <c r="BA103" s="407"/>
      <c r="BB103" s="407"/>
      <c r="BC103" s="407"/>
      <c r="BD103" s="407"/>
      <c r="BE103" s="407"/>
      <c r="BF103" s="407"/>
      <c r="BG103" s="407"/>
      <c r="BH103" s="407"/>
      <c r="BI103" s="407"/>
      <c r="BJ103" s="407"/>
      <c r="BK103" s="407"/>
      <c r="BL103" s="407"/>
      <c r="BM103" s="407"/>
      <c r="BN103" s="407"/>
      <c r="BO103" s="407"/>
      <c r="BP103" s="407"/>
      <c r="BQ103" s="407"/>
      <c r="BR103" s="407"/>
      <c r="BS103" s="407"/>
      <c r="BT103" s="407"/>
      <c r="BU103" s="407"/>
      <c r="BV103" s="407"/>
      <c r="BW103" s="407"/>
      <c r="BX103" s="407"/>
      <c r="BY103" s="407"/>
      <c r="BZ103" s="407"/>
      <c r="CA103" s="407"/>
      <c r="CB103" s="407"/>
      <c r="CC103" s="407"/>
      <c r="CD103" s="407"/>
      <c r="CE103" s="407"/>
      <c r="CF103" s="407"/>
      <c r="CG103" s="407"/>
      <c r="CH103" s="407"/>
      <c r="CI103" s="407"/>
      <c r="CJ103" s="407"/>
      <c r="CK103" s="407"/>
      <c r="CL103" s="407"/>
      <c r="CM103" s="407"/>
      <c r="CN103" s="407"/>
      <c r="CO103" s="407"/>
      <c r="CP103" s="407"/>
      <c r="CQ103" s="407"/>
      <c r="CR103" s="407"/>
      <c r="CS103" s="407"/>
      <c r="CT103" s="407"/>
      <c r="CU103" s="407"/>
      <c r="CV103" s="407"/>
      <c r="CW103" s="407"/>
      <c r="CX103" s="407"/>
      <c r="CY103" s="407"/>
      <c r="CZ103" s="407"/>
      <c r="DA103" s="407"/>
      <c r="DB103" s="407"/>
      <c r="DC103" s="407"/>
      <c r="DD103" s="407"/>
      <c r="DE103" s="407"/>
      <c r="DF103" s="407"/>
      <c r="DG103" s="407"/>
      <c r="DH103" s="407"/>
      <c r="DI103" s="407"/>
      <c r="DJ103" s="407"/>
      <c r="DK103" s="407"/>
      <c r="DL103" s="407"/>
      <c r="DM103" s="407"/>
      <c r="DN103" s="407"/>
    </row>
    <row r="104" spans="37:118" x14ac:dyDescent="0.35">
      <c r="AK104" s="407"/>
      <c r="AL104" s="111"/>
      <c r="AM104" s="407"/>
      <c r="AN104" s="407"/>
      <c r="AO104" s="407"/>
      <c r="AP104" s="407"/>
      <c r="AQ104" s="407"/>
      <c r="AR104" s="407"/>
      <c r="AS104" s="407"/>
      <c r="AT104" s="407"/>
      <c r="AU104" s="407"/>
      <c r="AV104" s="407"/>
      <c r="AW104" s="407"/>
      <c r="AX104" s="407"/>
      <c r="AY104" s="407"/>
      <c r="AZ104" s="407"/>
      <c r="BA104" s="407"/>
      <c r="BB104" s="407"/>
      <c r="BC104" s="407"/>
      <c r="BD104" s="407"/>
      <c r="BE104" s="407"/>
      <c r="BF104" s="407"/>
      <c r="BG104" s="407"/>
      <c r="BH104" s="407"/>
      <c r="BI104" s="407"/>
      <c r="BJ104" s="407"/>
      <c r="BK104" s="407"/>
      <c r="BL104" s="407"/>
      <c r="BM104" s="407"/>
      <c r="BN104" s="407"/>
      <c r="BO104" s="407"/>
      <c r="BP104" s="407"/>
      <c r="BQ104" s="407"/>
      <c r="BR104" s="407"/>
      <c r="BS104" s="407"/>
      <c r="BT104" s="407"/>
      <c r="BU104" s="407"/>
      <c r="BV104" s="407"/>
      <c r="BW104" s="407"/>
      <c r="BX104" s="407"/>
      <c r="BY104" s="407"/>
      <c r="BZ104" s="407"/>
      <c r="CA104" s="407"/>
      <c r="CB104" s="407"/>
      <c r="CC104" s="407"/>
      <c r="CD104" s="407"/>
      <c r="CE104" s="407"/>
      <c r="CF104" s="407"/>
      <c r="CG104" s="407"/>
      <c r="CH104" s="407"/>
      <c r="CI104" s="407"/>
      <c r="CJ104" s="407"/>
      <c r="CK104" s="407"/>
      <c r="CL104" s="407"/>
      <c r="CM104" s="407"/>
      <c r="CN104" s="407"/>
      <c r="CO104" s="407"/>
      <c r="CP104" s="407"/>
      <c r="CQ104" s="407"/>
      <c r="CR104" s="407"/>
      <c r="CS104" s="407"/>
      <c r="CT104" s="407"/>
      <c r="CU104" s="407"/>
      <c r="CV104" s="407"/>
      <c r="CW104" s="407"/>
      <c r="CX104" s="407"/>
      <c r="CY104" s="407"/>
      <c r="CZ104" s="407"/>
      <c r="DA104" s="407"/>
      <c r="DB104" s="407"/>
      <c r="DC104" s="407"/>
      <c r="DD104" s="407"/>
      <c r="DE104" s="407"/>
      <c r="DF104" s="407"/>
      <c r="DG104" s="407"/>
      <c r="DH104" s="407"/>
      <c r="DI104" s="407"/>
      <c r="DJ104" s="407"/>
      <c r="DK104" s="407"/>
      <c r="DL104" s="407"/>
      <c r="DM104" s="407"/>
      <c r="DN104" s="407"/>
    </row>
    <row r="105" spans="37:118" x14ac:dyDescent="0.35">
      <c r="AK105" s="407"/>
      <c r="AL105" s="111"/>
      <c r="AM105" s="407"/>
      <c r="AN105" s="407"/>
      <c r="AO105" s="407"/>
      <c r="AP105" s="407"/>
      <c r="AQ105" s="407"/>
      <c r="AR105" s="407"/>
      <c r="AS105" s="407"/>
      <c r="AT105" s="407"/>
      <c r="AU105" s="407"/>
      <c r="AV105" s="407"/>
      <c r="AW105" s="407"/>
      <c r="AX105" s="407"/>
      <c r="AY105" s="407"/>
      <c r="AZ105" s="407"/>
      <c r="BA105" s="407"/>
      <c r="BB105" s="407"/>
      <c r="BC105" s="407"/>
      <c r="BD105" s="407"/>
      <c r="BE105" s="407"/>
      <c r="BF105" s="407"/>
      <c r="BG105" s="407"/>
      <c r="BH105" s="407"/>
      <c r="BI105" s="407"/>
      <c r="BJ105" s="407"/>
      <c r="BK105" s="407"/>
      <c r="BL105" s="407"/>
      <c r="BM105" s="407"/>
      <c r="BN105" s="407"/>
      <c r="BO105" s="407"/>
      <c r="BP105" s="407"/>
      <c r="BQ105" s="407"/>
      <c r="BR105" s="407"/>
      <c r="BS105" s="407"/>
      <c r="BT105" s="407"/>
      <c r="BU105" s="407"/>
      <c r="BV105" s="407"/>
      <c r="BW105" s="407"/>
      <c r="BX105" s="407"/>
      <c r="BY105" s="407"/>
      <c r="BZ105" s="407"/>
      <c r="CA105" s="407"/>
      <c r="CB105" s="407"/>
      <c r="CC105" s="407"/>
      <c r="CD105" s="407"/>
      <c r="CE105" s="407"/>
      <c r="CF105" s="407"/>
      <c r="CG105" s="407"/>
      <c r="CH105" s="407"/>
      <c r="CI105" s="407"/>
      <c r="CJ105" s="407"/>
      <c r="CK105" s="407"/>
      <c r="CL105" s="407"/>
      <c r="CM105" s="407"/>
      <c r="CN105" s="407"/>
      <c r="CO105" s="407"/>
      <c r="CP105" s="407"/>
      <c r="CQ105" s="407"/>
      <c r="CR105" s="407"/>
      <c r="CS105" s="407"/>
      <c r="CT105" s="407"/>
      <c r="CU105" s="407"/>
      <c r="CV105" s="407"/>
      <c r="CW105" s="407"/>
      <c r="CX105" s="407"/>
      <c r="CY105" s="407"/>
      <c r="CZ105" s="407"/>
      <c r="DA105" s="407"/>
      <c r="DB105" s="407"/>
      <c r="DC105" s="407"/>
      <c r="DD105" s="407"/>
      <c r="DE105" s="407"/>
      <c r="DF105" s="407"/>
      <c r="DG105" s="407"/>
      <c r="DH105" s="407"/>
      <c r="DI105" s="407"/>
      <c r="DJ105" s="407"/>
      <c r="DK105" s="407"/>
      <c r="DL105" s="407"/>
      <c r="DM105" s="407"/>
      <c r="DN105" s="407"/>
    </row>
    <row r="106" spans="37:118" x14ac:dyDescent="0.35">
      <c r="AK106" s="407"/>
      <c r="AL106" s="111"/>
      <c r="AM106" s="407"/>
      <c r="AN106" s="407"/>
      <c r="AO106" s="407"/>
      <c r="AP106" s="407"/>
      <c r="AQ106" s="407"/>
      <c r="AR106" s="407"/>
      <c r="AS106" s="407"/>
      <c r="AT106" s="407"/>
      <c r="AU106" s="407"/>
      <c r="AV106" s="407"/>
      <c r="AW106" s="407"/>
      <c r="AX106" s="407"/>
      <c r="AY106" s="407"/>
      <c r="AZ106" s="407"/>
      <c r="BA106" s="407"/>
      <c r="BB106" s="407"/>
      <c r="BC106" s="407"/>
      <c r="BD106" s="407"/>
      <c r="BE106" s="407"/>
      <c r="BF106" s="407"/>
      <c r="BG106" s="407"/>
      <c r="BH106" s="407"/>
      <c r="BI106" s="407"/>
      <c r="BJ106" s="407"/>
      <c r="BK106" s="407"/>
      <c r="BL106" s="407"/>
      <c r="BM106" s="407"/>
      <c r="BN106" s="407"/>
      <c r="BO106" s="407"/>
      <c r="BP106" s="407"/>
      <c r="BQ106" s="407"/>
      <c r="BR106" s="407"/>
      <c r="BS106" s="407"/>
      <c r="BT106" s="407"/>
      <c r="BU106" s="407"/>
      <c r="BV106" s="407"/>
      <c r="BW106" s="407"/>
      <c r="BX106" s="407"/>
      <c r="BY106" s="407"/>
      <c r="BZ106" s="407"/>
      <c r="CA106" s="407"/>
      <c r="CB106" s="407"/>
      <c r="CC106" s="407"/>
      <c r="CD106" s="407"/>
      <c r="CE106" s="407"/>
      <c r="CF106" s="407"/>
      <c r="CG106" s="407"/>
      <c r="CH106" s="407"/>
      <c r="CI106" s="407"/>
      <c r="CJ106" s="407"/>
      <c r="CK106" s="407"/>
      <c r="CL106" s="407"/>
      <c r="CM106" s="407"/>
      <c r="CN106" s="407"/>
      <c r="CO106" s="407"/>
      <c r="CP106" s="407"/>
      <c r="CQ106" s="407"/>
      <c r="CR106" s="407"/>
      <c r="CS106" s="407"/>
      <c r="CT106" s="407"/>
      <c r="CU106" s="407"/>
      <c r="CV106" s="407"/>
      <c r="CW106" s="407"/>
      <c r="CX106" s="407"/>
      <c r="CY106" s="407"/>
      <c r="CZ106" s="407"/>
      <c r="DA106" s="407"/>
      <c r="DB106" s="407"/>
      <c r="DC106" s="407"/>
      <c r="DD106" s="407"/>
      <c r="DE106" s="407"/>
      <c r="DF106" s="407"/>
      <c r="DG106" s="407"/>
      <c r="DH106" s="407"/>
      <c r="DI106" s="407"/>
      <c r="DJ106" s="407"/>
      <c r="DK106" s="407"/>
      <c r="DL106" s="407"/>
      <c r="DM106" s="407"/>
      <c r="DN106" s="407"/>
    </row>
    <row r="107" spans="37:118" x14ac:dyDescent="0.35">
      <c r="AK107" s="407"/>
      <c r="AL107" s="111"/>
      <c r="AM107" s="407"/>
      <c r="AN107" s="407"/>
      <c r="AO107" s="407"/>
      <c r="AP107" s="407"/>
      <c r="AQ107" s="407"/>
      <c r="AR107" s="407"/>
      <c r="AS107" s="407"/>
      <c r="AT107" s="407"/>
      <c r="AU107" s="407"/>
      <c r="AV107" s="407"/>
      <c r="AW107" s="407"/>
      <c r="AX107" s="407"/>
      <c r="AY107" s="407"/>
      <c r="AZ107" s="407"/>
      <c r="BA107" s="407"/>
      <c r="BB107" s="407"/>
      <c r="BC107" s="407"/>
      <c r="BD107" s="407"/>
      <c r="BE107" s="407"/>
      <c r="BF107" s="407"/>
      <c r="BG107" s="407"/>
      <c r="BH107" s="407"/>
      <c r="BI107" s="407"/>
      <c r="BJ107" s="407"/>
      <c r="BK107" s="407"/>
      <c r="BL107" s="407"/>
      <c r="BM107" s="407"/>
      <c r="BN107" s="407"/>
      <c r="BO107" s="407"/>
      <c r="BP107" s="407"/>
      <c r="BQ107" s="407"/>
      <c r="BR107" s="407"/>
      <c r="BS107" s="407"/>
      <c r="BT107" s="407"/>
      <c r="BU107" s="407"/>
      <c r="BV107" s="407"/>
      <c r="BW107" s="407"/>
      <c r="BX107" s="407"/>
      <c r="BY107" s="407"/>
      <c r="BZ107" s="407"/>
      <c r="CA107" s="407"/>
      <c r="CB107" s="407"/>
      <c r="CC107" s="407"/>
      <c r="CD107" s="407"/>
      <c r="CE107" s="407"/>
      <c r="CF107" s="407"/>
      <c r="CG107" s="407"/>
      <c r="CH107" s="407"/>
      <c r="CI107" s="407"/>
      <c r="CJ107" s="407"/>
      <c r="CK107" s="407"/>
      <c r="CL107" s="407"/>
      <c r="CM107" s="407"/>
      <c r="CN107" s="407"/>
      <c r="CO107" s="407"/>
      <c r="CP107" s="407"/>
      <c r="CQ107" s="407"/>
      <c r="CR107" s="407"/>
      <c r="CS107" s="407"/>
      <c r="CT107" s="407"/>
      <c r="CU107" s="407"/>
      <c r="CV107" s="407"/>
      <c r="CW107" s="407"/>
      <c r="CX107" s="407"/>
      <c r="CY107" s="407"/>
      <c r="CZ107" s="407"/>
      <c r="DA107" s="407"/>
      <c r="DB107" s="407"/>
      <c r="DC107" s="407"/>
      <c r="DD107" s="407"/>
      <c r="DE107" s="407"/>
      <c r="DF107" s="407"/>
      <c r="DG107" s="407"/>
      <c r="DH107" s="407"/>
      <c r="DI107" s="407"/>
      <c r="DJ107" s="407"/>
      <c r="DK107" s="407"/>
      <c r="DL107" s="407"/>
      <c r="DM107" s="407"/>
      <c r="DN107" s="407"/>
    </row>
    <row r="108" spans="37:118" x14ac:dyDescent="0.35">
      <c r="AK108" s="407"/>
      <c r="AL108" s="111"/>
      <c r="AM108" s="407"/>
      <c r="AN108" s="407"/>
      <c r="AO108" s="407"/>
      <c r="AP108" s="407"/>
      <c r="AQ108" s="407"/>
      <c r="AR108" s="407"/>
      <c r="AS108" s="407"/>
      <c r="AT108" s="407"/>
      <c r="AU108" s="407"/>
      <c r="AV108" s="407"/>
      <c r="AW108" s="407"/>
      <c r="AX108" s="407"/>
      <c r="AY108" s="407"/>
      <c r="AZ108" s="407"/>
      <c r="BA108" s="407"/>
      <c r="BB108" s="407"/>
      <c r="BC108" s="407"/>
      <c r="BD108" s="407"/>
      <c r="BE108" s="407"/>
      <c r="BF108" s="407"/>
      <c r="BG108" s="407"/>
      <c r="BH108" s="407"/>
      <c r="BI108" s="407"/>
      <c r="BJ108" s="407"/>
      <c r="BK108" s="407"/>
      <c r="BL108" s="407"/>
      <c r="BM108" s="407"/>
      <c r="BN108" s="407"/>
      <c r="BO108" s="407"/>
      <c r="BP108" s="407"/>
      <c r="BQ108" s="407"/>
      <c r="BR108" s="407"/>
      <c r="BS108" s="407"/>
      <c r="BT108" s="407"/>
      <c r="BU108" s="407"/>
      <c r="BV108" s="407"/>
      <c r="BW108" s="407"/>
      <c r="BX108" s="407"/>
      <c r="BY108" s="407"/>
      <c r="BZ108" s="407"/>
      <c r="CA108" s="407"/>
      <c r="CB108" s="407"/>
      <c r="CC108" s="407"/>
      <c r="CD108" s="407"/>
      <c r="CE108" s="407"/>
      <c r="CF108" s="407"/>
      <c r="CG108" s="407"/>
      <c r="CH108" s="407"/>
      <c r="CI108" s="407"/>
      <c r="CJ108" s="407"/>
      <c r="CK108" s="407"/>
      <c r="CL108" s="407"/>
      <c r="CM108" s="407"/>
      <c r="CN108" s="407"/>
      <c r="CO108" s="407"/>
      <c r="CP108" s="407"/>
      <c r="CQ108" s="407"/>
      <c r="CR108" s="407"/>
      <c r="CS108" s="407"/>
      <c r="CT108" s="407"/>
      <c r="CU108" s="407"/>
      <c r="CV108" s="407"/>
      <c r="CW108" s="407"/>
      <c r="CX108" s="407"/>
      <c r="CY108" s="407"/>
      <c r="CZ108" s="407"/>
      <c r="DA108" s="407"/>
      <c r="DB108" s="407"/>
      <c r="DC108" s="407"/>
      <c r="DD108" s="407"/>
      <c r="DE108" s="407"/>
      <c r="DF108" s="407"/>
      <c r="DG108" s="407"/>
      <c r="DH108" s="407"/>
      <c r="DI108" s="407"/>
      <c r="DJ108" s="407"/>
      <c r="DK108" s="407"/>
      <c r="DL108" s="407"/>
      <c r="DM108" s="407"/>
      <c r="DN108" s="407"/>
    </row>
    <row r="109" spans="37:118" x14ac:dyDescent="0.35">
      <c r="AK109" s="407"/>
      <c r="AL109" s="111"/>
      <c r="AM109" s="407"/>
      <c r="AN109" s="407"/>
      <c r="AO109" s="407"/>
      <c r="AP109" s="407"/>
      <c r="AQ109" s="407"/>
      <c r="AR109" s="407"/>
      <c r="AS109" s="407"/>
      <c r="AT109" s="407"/>
      <c r="AU109" s="407"/>
      <c r="AV109" s="407"/>
      <c r="AW109" s="407"/>
      <c r="AX109" s="407"/>
      <c r="AY109" s="407"/>
      <c r="AZ109" s="407"/>
      <c r="BA109" s="407"/>
      <c r="BB109" s="407"/>
      <c r="BC109" s="407"/>
      <c r="BD109" s="407"/>
      <c r="BE109" s="407"/>
      <c r="BF109" s="407"/>
      <c r="BG109" s="407"/>
      <c r="BH109" s="407"/>
      <c r="BI109" s="407"/>
      <c r="BJ109" s="407"/>
      <c r="BK109" s="407"/>
      <c r="BL109" s="407"/>
      <c r="BM109" s="407"/>
      <c r="BN109" s="407"/>
      <c r="BO109" s="407"/>
      <c r="BP109" s="407"/>
      <c r="BQ109" s="407"/>
      <c r="BR109" s="407"/>
      <c r="BS109" s="407"/>
      <c r="BT109" s="407"/>
      <c r="BU109" s="407"/>
      <c r="BV109" s="407"/>
      <c r="BW109" s="407"/>
      <c r="BX109" s="407"/>
      <c r="BY109" s="407"/>
      <c r="BZ109" s="407"/>
      <c r="CA109" s="407"/>
      <c r="CB109" s="407"/>
      <c r="CC109" s="407"/>
      <c r="CD109" s="407"/>
      <c r="CE109" s="407"/>
      <c r="CF109" s="407"/>
      <c r="CG109" s="407"/>
      <c r="CH109" s="407"/>
      <c r="CI109" s="407"/>
      <c r="CJ109" s="407"/>
      <c r="CK109" s="407"/>
      <c r="CL109" s="407"/>
      <c r="CM109" s="407"/>
      <c r="CN109" s="407"/>
      <c r="CO109" s="407"/>
      <c r="CP109" s="407"/>
      <c r="CQ109" s="407"/>
      <c r="CR109" s="407"/>
      <c r="CS109" s="407"/>
      <c r="CT109" s="407"/>
      <c r="CU109" s="407"/>
      <c r="CV109" s="407"/>
      <c r="CW109" s="407"/>
      <c r="CX109" s="407"/>
      <c r="CY109" s="407"/>
      <c r="CZ109" s="407"/>
      <c r="DA109" s="407"/>
      <c r="DB109" s="407"/>
      <c r="DC109" s="407"/>
      <c r="DD109" s="407"/>
      <c r="DE109" s="407"/>
      <c r="DF109" s="407"/>
      <c r="DG109" s="407"/>
      <c r="DH109" s="407"/>
      <c r="DI109" s="407"/>
      <c r="DJ109" s="407"/>
      <c r="DK109" s="407"/>
      <c r="DL109" s="407"/>
      <c r="DM109" s="407"/>
      <c r="DN109" s="407"/>
    </row>
    <row r="110" spans="37:118" x14ac:dyDescent="0.35">
      <c r="AK110" s="407"/>
      <c r="AL110" s="111"/>
      <c r="AM110" s="407"/>
      <c r="AN110" s="407"/>
      <c r="AO110" s="407"/>
      <c r="AP110" s="407"/>
      <c r="AQ110" s="407"/>
      <c r="AR110" s="407"/>
      <c r="AS110" s="407"/>
      <c r="AT110" s="407"/>
      <c r="AU110" s="407"/>
      <c r="AV110" s="407"/>
      <c r="AW110" s="407"/>
      <c r="AX110" s="407"/>
      <c r="AY110" s="407"/>
      <c r="AZ110" s="407"/>
      <c r="BA110" s="407"/>
      <c r="BB110" s="407"/>
      <c r="BC110" s="407"/>
      <c r="BD110" s="407"/>
      <c r="BE110" s="407"/>
      <c r="BF110" s="407"/>
      <c r="BG110" s="407"/>
      <c r="BH110" s="407"/>
      <c r="BI110" s="407"/>
      <c r="BJ110" s="407"/>
      <c r="BK110" s="407"/>
      <c r="BL110" s="407"/>
      <c r="BM110" s="407"/>
      <c r="BN110" s="407"/>
      <c r="BO110" s="407"/>
      <c r="BP110" s="407"/>
      <c r="BQ110" s="407"/>
      <c r="BR110" s="407"/>
      <c r="BS110" s="407"/>
      <c r="BT110" s="407"/>
      <c r="BU110" s="407"/>
      <c r="BV110" s="407"/>
      <c r="BW110" s="407"/>
      <c r="BX110" s="407"/>
      <c r="BY110" s="407"/>
      <c r="BZ110" s="407"/>
      <c r="CA110" s="407"/>
      <c r="CB110" s="407"/>
      <c r="CC110" s="407"/>
      <c r="CD110" s="407"/>
      <c r="CE110" s="407"/>
      <c r="CF110" s="407"/>
      <c r="CG110" s="407"/>
      <c r="CH110" s="407"/>
      <c r="CI110" s="407"/>
      <c r="CJ110" s="407"/>
      <c r="CK110" s="407"/>
      <c r="CL110" s="407"/>
      <c r="CM110" s="407"/>
      <c r="CN110" s="407"/>
      <c r="CO110" s="407"/>
      <c r="CP110" s="407"/>
      <c r="CQ110" s="407"/>
      <c r="CR110" s="407"/>
      <c r="CS110" s="407"/>
      <c r="CT110" s="407"/>
      <c r="CU110" s="407"/>
      <c r="CV110" s="407"/>
      <c r="CW110" s="407"/>
      <c r="CX110" s="407"/>
      <c r="CY110" s="407"/>
      <c r="CZ110" s="407"/>
      <c r="DA110" s="407"/>
      <c r="DB110" s="407"/>
      <c r="DC110" s="407"/>
      <c r="DD110" s="407"/>
      <c r="DE110" s="407"/>
      <c r="DF110" s="407"/>
      <c r="DG110" s="407"/>
      <c r="DH110" s="407"/>
      <c r="DI110" s="407"/>
      <c r="DJ110" s="407"/>
      <c r="DK110" s="407"/>
      <c r="DL110" s="407"/>
      <c r="DM110" s="407"/>
      <c r="DN110" s="407"/>
    </row>
    <row r="111" spans="37:118" x14ac:dyDescent="0.35">
      <c r="AK111" s="407"/>
      <c r="AL111" s="111"/>
      <c r="AM111" s="407"/>
      <c r="AN111" s="407"/>
      <c r="AO111" s="407"/>
      <c r="AP111" s="407"/>
      <c r="AQ111" s="407"/>
      <c r="AR111" s="407"/>
      <c r="AS111" s="407"/>
      <c r="AT111" s="407"/>
      <c r="AU111" s="407"/>
      <c r="AV111" s="407"/>
      <c r="AW111" s="407"/>
      <c r="AX111" s="407"/>
      <c r="AY111" s="407"/>
      <c r="AZ111" s="407"/>
      <c r="BA111" s="407"/>
      <c r="BB111" s="407"/>
      <c r="BC111" s="407"/>
      <c r="BD111" s="407"/>
      <c r="BE111" s="407"/>
      <c r="BF111" s="407"/>
      <c r="BG111" s="407"/>
      <c r="BH111" s="407"/>
      <c r="BI111" s="407"/>
      <c r="BJ111" s="407"/>
      <c r="BK111" s="407"/>
      <c r="BL111" s="407"/>
      <c r="BM111" s="407"/>
      <c r="BN111" s="407"/>
      <c r="BO111" s="407"/>
      <c r="BP111" s="407"/>
      <c r="BQ111" s="407"/>
      <c r="BR111" s="407"/>
      <c r="BS111" s="407"/>
      <c r="BT111" s="407"/>
      <c r="BU111" s="407"/>
      <c r="BV111" s="407"/>
      <c r="BW111" s="407"/>
      <c r="BX111" s="407"/>
      <c r="BY111" s="407"/>
      <c r="BZ111" s="407"/>
      <c r="CA111" s="407"/>
      <c r="CB111" s="407"/>
      <c r="CC111" s="407"/>
      <c r="CD111" s="407"/>
      <c r="CE111" s="407"/>
      <c r="CF111" s="407"/>
      <c r="CG111" s="407"/>
      <c r="CH111" s="407"/>
      <c r="CI111" s="407"/>
      <c r="CJ111" s="407"/>
      <c r="CK111" s="407"/>
      <c r="CL111" s="407"/>
      <c r="CM111" s="407"/>
      <c r="CN111" s="407"/>
      <c r="CO111" s="407"/>
      <c r="CP111" s="407"/>
      <c r="CQ111" s="407"/>
      <c r="CR111" s="407"/>
      <c r="CS111" s="407"/>
      <c r="CT111" s="407"/>
      <c r="CU111" s="407"/>
      <c r="CV111" s="407"/>
      <c r="CW111" s="407"/>
      <c r="CX111" s="407"/>
      <c r="CY111" s="407"/>
      <c r="CZ111" s="407"/>
      <c r="DA111" s="407"/>
      <c r="DB111" s="407"/>
      <c r="DC111" s="407"/>
      <c r="DD111" s="407"/>
      <c r="DE111" s="407"/>
      <c r="DF111" s="407"/>
      <c r="DG111" s="407"/>
      <c r="DH111" s="407"/>
      <c r="DI111" s="407"/>
      <c r="DJ111" s="407"/>
      <c r="DK111" s="407"/>
      <c r="DL111" s="407"/>
      <c r="DM111" s="407"/>
      <c r="DN111" s="407"/>
    </row>
    <row r="112" spans="37:118" x14ac:dyDescent="0.35">
      <c r="AK112" s="407"/>
      <c r="AL112" s="111"/>
      <c r="AM112" s="407"/>
      <c r="AN112" s="407"/>
      <c r="AO112" s="407"/>
      <c r="AP112" s="407"/>
      <c r="AQ112" s="407"/>
      <c r="AR112" s="407"/>
      <c r="AS112" s="407"/>
      <c r="AT112" s="407"/>
      <c r="AU112" s="407"/>
      <c r="AV112" s="407"/>
      <c r="AW112" s="407"/>
      <c r="AX112" s="407"/>
      <c r="AY112" s="407"/>
      <c r="AZ112" s="407"/>
      <c r="BA112" s="407"/>
      <c r="BB112" s="407"/>
      <c r="BC112" s="407"/>
      <c r="BD112" s="407"/>
      <c r="BE112" s="407"/>
      <c r="BF112" s="407"/>
      <c r="BG112" s="407"/>
      <c r="BH112" s="407"/>
      <c r="BI112" s="407"/>
      <c r="BJ112" s="407"/>
      <c r="BK112" s="407"/>
      <c r="BL112" s="407"/>
      <c r="BM112" s="407"/>
      <c r="BN112" s="407"/>
      <c r="BO112" s="407"/>
      <c r="BP112" s="407"/>
      <c r="BQ112" s="407"/>
      <c r="BR112" s="407"/>
      <c r="BS112" s="407"/>
      <c r="BT112" s="407"/>
      <c r="BU112" s="407"/>
      <c r="BV112" s="407"/>
      <c r="BW112" s="407"/>
      <c r="BX112" s="407"/>
      <c r="BY112" s="407"/>
      <c r="BZ112" s="407"/>
      <c r="CA112" s="407"/>
      <c r="CB112" s="407"/>
      <c r="CC112" s="407"/>
      <c r="CD112" s="407"/>
      <c r="CE112" s="407"/>
      <c r="CF112" s="407"/>
      <c r="CG112" s="407"/>
      <c r="CH112" s="407"/>
      <c r="CI112" s="407"/>
      <c r="CJ112" s="407"/>
      <c r="CK112" s="407"/>
      <c r="CL112" s="407"/>
      <c r="CM112" s="407"/>
      <c r="CN112" s="407"/>
      <c r="CO112" s="407"/>
      <c r="CP112" s="407"/>
      <c r="CQ112" s="407"/>
      <c r="CR112" s="407"/>
      <c r="CS112" s="407"/>
      <c r="CT112" s="407"/>
      <c r="CU112" s="407"/>
      <c r="CV112" s="407"/>
      <c r="CW112" s="407"/>
      <c r="CX112" s="407"/>
      <c r="CY112" s="407"/>
      <c r="CZ112" s="407"/>
      <c r="DA112" s="407"/>
      <c r="DB112" s="407"/>
      <c r="DC112" s="407"/>
      <c r="DD112" s="407"/>
      <c r="DE112" s="407"/>
      <c r="DF112" s="407"/>
      <c r="DG112" s="407"/>
      <c r="DH112" s="407"/>
      <c r="DI112" s="407"/>
      <c r="DJ112" s="407"/>
      <c r="DK112" s="407"/>
      <c r="DL112" s="407"/>
      <c r="DM112" s="407"/>
      <c r="DN112" s="407"/>
    </row>
    <row r="113" spans="37:118" x14ac:dyDescent="0.35">
      <c r="AK113" s="407"/>
      <c r="AL113" s="111"/>
      <c r="AM113" s="407"/>
      <c r="AN113" s="407"/>
      <c r="AO113" s="407"/>
      <c r="AP113" s="407"/>
      <c r="AQ113" s="407"/>
      <c r="AR113" s="407"/>
      <c r="AS113" s="407"/>
      <c r="AT113" s="407"/>
      <c r="AU113" s="407"/>
      <c r="AV113" s="407"/>
      <c r="AW113" s="407"/>
      <c r="AX113" s="407"/>
      <c r="AY113" s="407"/>
      <c r="AZ113" s="407"/>
      <c r="BA113" s="407"/>
      <c r="BB113" s="407"/>
      <c r="BC113" s="407"/>
      <c r="BD113" s="407"/>
      <c r="BE113" s="407"/>
      <c r="BF113" s="407"/>
      <c r="BG113" s="407"/>
      <c r="BH113" s="407"/>
      <c r="BI113" s="407"/>
      <c r="BJ113" s="407"/>
      <c r="BK113" s="407"/>
      <c r="BL113" s="407"/>
      <c r="BM113" s="407"/>
      <c r="BN113" s="407"/>
      <c r="BO113" s="407"/>
      <c r="BP113" s="407"/>
      <c r="BQ113" s="407"/>
      <c r="BR113" s="407"/>
      <c r="BS113" s="407"/>
      <c r="BT113" s="407"/>
      <c r="BU113" s="407"/>
      <c r="BV113" s="407"/>
      <c r="BW113" s="407"/>
      <c r="BX113" s="407"/>
      <c r="BY113" s="407"/>
      <c r="BZ113" s="407"/>
      <c r="CA113" s="407"/>
      <c r="CB113" s="407"/>
      <c r="CC113" s="407"/>
      <c r="CD113" s="407"/>
      <c r="CE113" s="407"/>
      <c r="CF113" s="407"/>
      <c r="CG113" s="407"/>
      <c r="CH113" s="407"/>
      <c r="CI113" s="407"/>
      <c r="CJ113" s="407"/>
      <c r="CK113" s="407"/>
      <c r="CL113" s="407"/>
      <c r="CM113" s="407"/>
      <c r="CN113" s="407"/>
      <c r="CO113" s="407"/>
      <c r="CP113" s="407"/>
      <c r="CQ113" s="407"/>
      <c r="CR113" s="407"/>
      <c r="CS113" s="407"/>
      <c r="CT113" s="407"/>
      <c r="CU113" s="407"/>
      <c r="CV113" s="407"/>
      <c r="CW113" s="407"/>
      <c r="CX113" s="407"/>
      <c r="CY113" s="407"/>
      <c r="CZ113" s="407"/>
      <c r="DA113" s="407"/>
      <c r="DB113" s="407"/>
      <c r="DC113" s="407"/>
      <c r="DD113" s="407"/>
      <c r="DE113" s="407"/>
      <c r="DF113" s="407"/>
      <c r="DG113" s="407"/>
      <c r="DH113" s="407"/>
      <c r="DI113" s="407"/>
      <c r="DJ113" s="407"/>
      <c r="DK113" s="407"/>
      <c r="DL113" s="407"/>
      <c r="DM113" s="407"/>
      <c r="DN113" s="407"/>
    </row>
    <row r="114" spans="37:118" x14ac:dyDescent="0.35">
      <c r="AK114" s="407"/>
      <c r="AL114" s="111"/>
      <c r="AM114" s="407"/>
      <c r="AN114" s="407"/>
      <c r="AO114" s="407"/>
      <c r="AP114" s="407"/>
      <c r="AQ114" s="407"/>
      <c r="AR114" s="407"/>
      <c r="AS114" s="407"/>
      <c r="AT114" s="407"/>
      <c r="AU114" s="407"/>
      <c r="AV114" s="407"/>
      <c r="AW114" s="407"/>
      <c r="AX114" s="407"/>
      <c r="AY114" s="407"/>
      <c r="AZ114" s="407"/>
      <c r="BA114" s="407"/>
      <c r="BB114" s="407"/>
      <c r="BC114" s="407"/>
      <c r="BD114" s="407"/>
      <c r="BE114" s="407"/>
      <c r="BF114" s="407"/>
      <c r="BG114" s="407"/>
      <c r="BH114" s="407"/>
      <c r="BI114" s="407"/>
      <c r="BJ114" s="407"/>
      <c r="BK114" s="407"/>
      <c r="BL114" s="407"/>
      <c r="BM114" s="407"/>
      <c r="BN114" s="407"/>
      <c r="BO114" s="407"/>
      <c r="BP114" s="407"/>
      <c r="BQ114" s="407"/>
      <c r="BR114" s="407"/>
      <c r="BS114" s="407"/>
      <c r="BT114" s="407"/>
      <c r="BU114" s="407"/>
      <c r="BV114" s="407"/>
      <c r="BW114" s="407"/>
      <c r="BX114" s="407"/>
      <c r="BY114" s="407"/>
      <c r="BZ114" s="407"/>
      <c r="CA114" s="407"/>
      <c r="CB114" s="407"/>
      <c r="CC114" s="407"/>
      <c r="CD114" s="407"/>
      <c r="CE114" s="407"/>
      <c r="CF114" s="407"/>
      <c r="CG114" s="407"/>
      <c r="CH114" s="407"/>
      <c r="CI114" s="407"/>
      <c r="CJ114" s="407"/>
      <c r="CK114" s="407"/>
      <c r="CL114" s="407"/>
      <c r="CM114" s="407"/>
      <c r="CN114" s="407"/>
      <c r="CO114" s="407"/>
      <c r="CP114" s="407"/>
      <c r="CQ114" s="407"/>
      <c r="CR114" s="407"/>
      <c r="CS114" s="407"/>
      <c r="CT114" s="407"/>
      <c r="CU114" s="407"/>
      <c r="CV114" s="407"/>
      <c r="CW114" s="407"/>
      <c r="CX114" s="407"/>
      <c r="CY114" s="407"/>
      <c r="CZ114" s="407"/>
      <c r="DA114" s="407"/>
      <c r="DB114" s="407"/>
      <c r="DC114" s="407"/>
      <c r="DD114" s="407"/>
      <c r="DE114" s="407"/>
      <c r="DF114" s="407"/>
      <c r="DG114" s="407"/>
      <c r="DH114" s="407"/>
      <c r="DI114" s="407"/>
      <c r="DJ114" s="407"/>
      <c r="DK114" s="407"/>
      <c r="DL114" s="407"/>
      <c r="DM114" s="407"/>
      <c r="DN114" s="407"/>
    </row>
    <row r="115" spans="37:118" x14ac:dyDescent="0.35">
      <c r="AK115" s="407"/>
      <c r="AL115" s="111"/>
      <c r="AM115" s="407"/>
      <c r="AN115" s="407"/>
      <c r="AO115" s="407"/>
      <c r="AP115" s="407"/>
      <c r="AQ115" s="407"/>
      <c r="AR115" s="407"/>
      <c r="AS115" s="407"/>
      <c r="AT115" s="407"/>
      <c r="AU115" s="407"/>
      <c r="AV115" s="407"/>
      <c r="AW115" s="407"/>
      <c r="AX115" s="407"/>
      <c r="AY115" s="407"/>
      <c r="AZ115" s="407"/>
      <c r="BA115" s="407"/>
      <c r="BB115" s="407"/>
      <c r="BC115" s="407"/>
      <c r="BD115" s="407"/>
      <c r="BE115" s="407"/>
      <c r="BF115" s="407"/>
      <c r="BG115" s="407"/>
      <c r="BH115" s="407"/>
      <c r="BI115" s="407"/>
      <c r="BJ115" s="407"/>
      <c r="BK115" s="407"/>
      <c r="BL115" s="407"/>
      <c r="BM115" s="407"/>
      <c r="BN115" s="407"/>
      <c r="BO115" s="407"/>
      <c r="BP115" s="407"/>
      <c r="BQ115" s="407"/>
      <c r="BR115" s="407"/>
      <c r="BS115" s="407"/>
      <c r="BT115" s="407"/>
      <c r="BU115" s="407"/>
      <c r="BV115" s="407"/>
      <c r="BW115" s="407"/>
      <c r="BX115" s="407"/>
      <c r="BY115" s="407"/>
      <c r="BZ115" s="407"/>
      <c r="CA115" s="407"/>
      <c r="CB115" s="407"/>
      <c r="CC115" s="407"/>
      <c r="CD115" s="407"/>
      <c r="CE115" s="407"/>
      <c r="CF115" s="407"/>
      <c r="CG115" s="407"/>
      <c r="CH115" s="407"/>
      <c r="CI115" s="407"/>
      <c r="CJ115" s="407"/>
      <c r="CK115" s="407"/>
      <c r="CL115" s="407"/>
      <c r="CM115" s="407"/>
      <c r="CN115" s="407"/>
      <c r="CO115" s="407"/>
      <c r="CP115" s="407"/>
      <c r="CQ115" s="407"/>
      <c r="CR115" s="407"/>
      <c r="CS115" s="407"/>
      <c r="CT115" s="407"/>
      <c r="CU115" s="407"/>
      <c r="CV115" s="407"/>
      <c r="CW115" s="407"/>
      <c r="CX115" s="407"/>
      <c r="CY115" s="407"/>
      <c r="CZ115" s="407"/>
      <c r="DA115" s="407"/>
      <c r="DB115" s="407"/>
      <c r="DC115" s="407"/>
      <c r="DD115" s="407"/>
      <c r="DE115" s="407"/>
      <c r="DF115" s="407"/>
      <c r="DG115" s="407"/>
      <c r="DH115" s="407"/>
      <c r="DI115" s="407"/>
      <c r="DJ115" s="407"/>
      <c r="DK115" s="407"/>
      <c r="DL115" s="407"/>
      <c r="DM115" s="407"/>
      <c r="DN115" s="407"/>
    </row>
    <row r="116" spans="37:118" x14ac:dyDescent="0.35">
      <c r="AK116" s="407"/>
      <c r="AL116" s="111"/>
      <c r="AM116" s="407"/>
      <c r="AN116" s="407"/>
      <c r="AO116" s="407"/>
      <c r="AP116" s="407"/>
      <c r="AQ116" s="407"/>
      <c r="AR116" s="407"/>
      <c r="AS116" s="407"/>
      <c r="AT116" s="407"/>
      <c r="AU116" s="407"/>
      <c r="AV116" s="407"/>
      <c r="AW116" s="407"/>
      <c r="AX116" s="407"/>
      <c r="AY116" s="407"/>
      <c r="AZ116" s="407"/>
      <c r="BA116" s="407"/>
      <c r="BB116" s="407"/>
      <c r="BC116" s="407"/>
      <c r="BD116" s="407"/>
      <c r="BE116" s="407"/>
      <c r="BF116" s="407"/>
      <c r="BG116" s="407"/>
      <c r="BH116" s="407"/>
      <c r="BI116" s="407"/>
      <c r="BJ116" s="407"/>
      <c r="BK116" s="407"/>
      <c r="BL116" s="407"/>
      <c r="BM116" s="407"/>
      <c r="BN116" s="407"/>
      <c r="BO116" s="407"/>
      <c r="BP116" s="407"/>
      <c r="BQ116" s="407"/>
      <c r="BR116" s="407"/>
      <c r="BS116" s="407"/>
      <c r="BT116" s="407"/>
      <c r="BU116" s="407"/>
      <c r="BV116" s="407"/>
      <c r="BW116" s="407"/>
      <c r="BX116" s="407"/>
      <c r="BY116" s="407"/>
      <c r="BZ116" s="407"/>
      <c r="CA116" s="407"/>
      <c r="CB116" s="407"/>
      <c r="CC116" s="407"/>
      <c r="CD116" s="407"/>
      <c r="CE116" s="407"/>
      <c r="CF116" s="407"/>
      <c r="CG116" s="407"/>
      <c r="CH116" s="407"/>
      <c r="CI116" s="407"/>
      <c r="CJ116" s="407"/>
      <c r="CK116" s="407"/>
      <c r="CL116" s="407"/>
      <c r="CM116" s="407"/>
      <c r="CN116" s="407"/>
      <c r="CO116" s="407"/>
      <c r="CP116" s="407"/>
      <c r="CQ116" s="407"/>
      <c r="CR116" s="407"/>
      <c r="CS116" s="407"/>
      <c r="CT116" s="407"/>
      <c r="CU116" s="407"/>
      <c r="CV116" s="407"/>
      <c r="CW116" s="407"/>
      <c r="CX116" s="407"/>
      <c r="CY116" s="407"/>
      <c r="CZ116" s="407"/>
      <c r="DA116" s="407"/>
      <c r="DB116" s="407"/>
      <c r="DC116" s="407"/>
      <c r="DD116" s="407"/>
      <c r="DE116" s="407"/>
      <c r="DF116" s="407"/>
      <c r="DG116" s="407"/>
      <c r="DH116" s="407"/>
      <c r="DI116" s="407"/>
      <c r="DJ116" s="407"/>
      <c r="DK116" s="407"/>
      <c r="DL116" s="407"/>
      <c r="DM116" s="407"/>
      <c r="DN116" s="407"/>
    </row>
    <row r="117" spans="37:118" x14ac:dyDescent="0.35">
      <c r="AK117" s="407"/>
      <c r="AL117" s="111"/>
      <c r="AM117" s="407"/>
      <c r="AN117" s="407"/>
      <c r="AO117" s="407"/>
      <c r="AP117" s="407"/>
      <c r="AQ117" s="407"/>
      <c r="AR117" s="407"/>
      <c r="AS117" s="407"/>
      <c r="AT117" s="407"/>
      <c r="AU117" s="407"/>
      <c r="AV117" s="407"/>
      <c r="AW117" s="407"/>
      <c r="AX117" s="407"/>
      <c r="AY117" s="407"/>
      <c r="AZ117" s="407"/>
      <c r="BA117" s="407"/>
      <c r="BB117" s="407"/>
      <c r="BC117" s="407"/>
      <c r="BD117" s="407"/>
      <c r="BE117" s="407"/>
      <c r="BF117" s="407"/>
      <c r="BG117" s="407"/>
      <c r="BH117" s="407"/>
      <c r="BI117" s="407"/>
      <c r="BJ117" s="407"/>
      <c r="BK117" s="407"/>
      <c r="BL117" s="407"/>
      <c r="BM117" s="407"/>
      <c r="BN117" s="407"/>
      <c r="BO117" s="407"/>
      <c r="BP117" s="407"/>
      <c r="BQ117" s="407"/>
      <c r="BR117" s="407"/>
      <c r="BS117" s="407"/>
      <c r="BT117" s="407"/>
      <c r="BU117" s="407"/>
      <c r="BV117" s="407"/>
      <c r="BW117" s="407"/>
      <c r="BX117" s="407"/>
      <c r="BY117" s="407"/>
      <c r="BZ117" s="407"/>
      <c r="CA117" s="407"/>
      <c r="CB117" s="407"/>
      <c r="CC117" s="407"/>
      <c r="CD117" s="407"/>
      <c r="CE117" s="407"/>
      <c r="CF117" s="407"/>
      <c r="CG117" s="407"/>
      <c r="CH117" s="407"/>
      <c r="CI117" s="407"/>
      <c r="CJ117" s="407"/>
      <c r="CK117" s="407"/>
      <c r="CL117" s="407"/>
      <c r="CM117" s="407"/>
      <c r="CN117" s="407"/>
      <c r="CO117" s="407"/>
      <c r="CP117" s="407"/>
      <c r="CQ117" s="407"/>
      <c r="CR117" s="407"/>
      <c r="CS117" s="407"/>
      <c r="CT117" s="407"/>
      <c r="CU117" s="407"/>
      <c r="CV117" s="407"/>
      <c r="CW117" s="407"/>
      <c r="CX117" s="407"/>
      <c r="CY117" s="407"/>
      <c r="CZ117" s="407"/>
      <c r="DA117" s="407"/>
      <c r="DB117" s="407"/>
      <c r="DC117" s="407"/>
      <c r="DD117" s="407"/>
      <c r="DE117" s="407"/>
      <c r="DF117" s="407"/>
      <c r="DG117" s="407"/>
      <c r="DH117" s="407"/>
      <c r="DI117" s="407"/>
      <c r="DJ117" s="407"/>
      <c r="DK117" s="407"/>
      <c r="DL117" s="407"/>
      <c r="DM117" s="407"/>
      <c r="DN117" s="407"/>
    </row>
    <row r="118" spans="37:118" x14ac:dyDescent="0.35">
      <c r="AK118" s="407"/>
      <c r="AL118" s="111"/>
      <c r="AM118" s="407"/>
      <c r="AN118" s="407"/>
      <c r="AO118" s="407"/>
      <c r="AP118" s="407"/>
      <c r="AQ118" s="407"/>
      <c r="AR118" s="407"/>
      <c r="AS118" s="407"/>
      <c r="AT118" s="407"/>
      <c r="AU118" s="407"/>
      <c r="AV118" s="407"/>
      <c r="AW118" s="407"/>
      <c r="AX118" s="407"/>
      <c r="AY118" s="407"/>
      <c r="AZ118" s="407"/>
      <c r="BA118" s="407"/>
      <c r="BB118" s="407"/>
      <c r="BC118" s="407"/>
      <c r="BD118" s="407"/>
      <c r="BE118" s="407"/>
      <c r="BF118" s="407"/>
      <c r="BG118" s="407"/>
      <c r="BH118" s="407"/>
      <c r="BI118" s="407"/>
      <c r="BJ118" s="407"/>
      <c r="BK118" s="407"/>
      <c r="BL118" s="407"/>
      <c r="BM118" s="407"/>
      <c r="BN118" s="407"/>
      <c r="BO118" s="407"/>
      <c r="BP118" s="407"/>
      <c r="BQ118" s="407"/>
      <c r="BR118" s="407"/>
      <c r="BS118" s="407"/>
      <c r="BT118" s="407"/>
      <c r="BU118" s="407"/>
      <c r="BV118" s="407"/>
      <c r="BW118" s="407"/>
      <c r="BX118" s="407"/>
      <c r="BY118" s="407"/>
      <c r="BZ118" s="407"/>
      <c r="CA118" s="407"/>
      <c r="CB118" s="407"/>
      <c r="CC118" s="407"/>
      <c r="CD118" s="407"/>
      <c r="CE118" s="407"/>
      <c r="CF118" s="407"/>
      <c r="CG118" s="407"/>
      <c r="CH118" s="407"/>
      <c r="CI118" s="407"/>
      <c r="CJ118" s="407"/>
      <c r="CK118" s="407"/>
      <c r="CL118" s="407"/>
      <c r="CM118" s="407"/>
      <c r="CN118" s="407"/>
      <c r="CO118" s="407"/>
      <c r="CP118" s="407"/>
      <c r="CQ118" s="407"/>
      <c r="CR118" s="407"/>
      <c r="CS118" s="407"/>
      <c r="CT118" s="407"/>
      <c r="CU118" s="407"/>
      <c r="CV118" s="407"/>
      <c r="CW118" s="407"/>
      <c r="CX118" s="407"/>
      <c r="CY118" s="407"/>
      <c r="CZ118" s="407"/>
      <c r="DA118" s="407"/>
      <c r="DB118" s="407"/>
      <c r="DC118" s="407"/>
      <c r="DD118" s="407"/>
      <c r="DE118" s="407"/>
      <c r="DF118" s="407"/>
      <c r="DG118" s="407"/>
      <c r="DH118" s="407"/>
      <c r="DI118" s="407"/>
      <c r="DJ118" s="407"/>
      <c r="DK118" s="407"/>
      <c r="DL118" s="407"/>
      <c r="DM118" s="407"/>
      <c r="DN118" s="407"/>
    </row>
    <row r="119" spans="37:118" x14ac:dyDescent="0.35">
      <c r="AK119" s="407"/>
      <c r="AL119" s="111"/>
      <c r="AM119" s="407"/>
      <c r="AN119" s="407"/>
      <c r="AO119" s="407"/>
      <c r="AP119" s="407"/>
      <c r="AQ119" s="407"/>
      <c r="AR119" s="407"/>
      <c r="AS119" s="407"/>
      <c r="AT119" s="407"/>
      <c r="AU119" s="407"/>
      <c r="AV119" s="407"/>
      <c r="AW119" s="407"/>
      <c r="AX119" s="407"/>
      <c r="AY119" s="407"/>
      <c r="AZ119" s="407"/>
      <c r="BA119" s="407"/>
      <c r="BB119" s="407"/>
      <c r="BC119" s="407"/>
      <c r="BD119" s="407"/>
      <c r="BE119" s="407"/>
      <c r="BF119" s="407"/>
      <c r="BG119" s="407"/>
      <c r="BH119" s="407"/>
      <c r="BI119" s="407"/>
      <c r="BJ119" s="407"/>
      <c r="BK119" s="407"/>
      <c r="BL119" s="407"/>
      <c r="BM119" s="407"/>
      <c r="BN119" s="407"/>
      <c r="BO119" s="407"/>
      <c r="BP119" s="407"/>
      <c r="BQ119" s="407"/>
      <c r="BR119" s="407"/>
      <c r="BS119" s="407"/>
      <c r="BT119" s="407"/>
      <c r="BU119" s="407"/>
      <c r="BV119" s="407"/>
      <c r="BW119" s="407"/>
      <c r="BX119" s="407"/>
      <c r="BY119" s="407"/>
      <c r="BZ119" s="407"/>
      <c r="CA119" s="407"/>
      <c r="CB119" s="407"/>
      <c r="CC119" s="407"/>
      <c r="CD119" s="407"/>
      <c r="CE119" s="407"/>
      <c r="CF119" s="407"/>
      <c r="CG119" s="407"/>
      <c r="CH119" s="407"/>
      <c r="CI119" s="407"/>
      <c r="CJ119" s="407"/>
      <c r="CK119" s="407"/>
      <c r="CL119" s="407"/>
      <c r="CM119" s="407"/>
      <c r="CN119" s="407"/>
      <c r="CO119" s="407"/>
      <c r="CP119" s="407"/>
      <c r="CQ119" s="407"/>
      <c r="CR119" s="407"/>
      <c r="CS119" s="407"/>
      <c r="CT119" s="407"/>
      <c r="CU119" s="407"/>
      <c r="CV119" s="407"/>
      <c r="CW119" s="407"/>
      <c r="CX119" s="407"/>
      <c r="CY119" s="407"/>
      <c r="CZ119" s="407"/>
      <c r="DA119" s="407"/>
      <c r="DB119" s="407"/>
      <c r="DC119" s="407"/>
      <c r="DD119" s="407"/>
      <c r="DE119" s="407"/>
      <c r="DF119" s="407"/>
      <c r="DG119" s="407"/>
      <c r="DH119" s="407"/>
      <c r="DI119" s="407"/>
      <c r="DJ119" s="407"/>
      <c r="DK119" s="407"/>
      <c r="DL119" s="407"/>
      <c r="DM119" s="407"/>
      <c r="DN119" s="407"/>
    </row>
    <row r="120" spans="37:118" x14ac:dyDescent="0.35">
      <c r="AK120" s="407"/>
      <c r="AL120" s="111"/>
      <c r="AM120" s="407"/>
      <c r="AN120" s="407"/>
      <c r="AO120" s="407"/>
      <c r="AP120" s="407"/>
      <c r="AQ120" s="407"/>
      <c r="AR120" s="407"/>
      <c r="AS120" s="407"/>
      <c r="AT120" s="407"/>
      <c r="AU120" s="407"/>
      <c r="AV120" s="407"/>
      <c r="AW120" s="407"/>
      <c r="AX120" s="407"/>
      <c r="AY120" s="407"/>
      <c r="AZ120" s="407"/>
      <c r="BA120" s="407"/>
      <c r="BB120" s="407"/>
      <c r="BC120" s="407"/>
      <c r="BD120" s="407"/>
      <c r="BE120" s="407"/>
      <c r="BF120" s="407"/>
      <c r="BG120" s="407"/>
      <c r="BH120" s="407"/>
      <c r="BI120" s="407"/>
      <c r="BJ120" s="407"/>
      <c r="BK120" s="407"/>
      <c r="BL120" s="407"/>
      <c r="BM120" s="407"/>
      <c r="BN120" s="407"/>
      <c r="BO120" s="407"/>
      <c r="BP120" s="407"/>
      <c r="BQ120" s="407"/>
      <c r="BR120" s="407"/>
      <c r="BS120" s="407"/>
      <c r="BT120" s="407"/>
      <c r="BU120" s="407"/>
      <c r="BV120" s="407"/>
      <c r="BW120" s="407"/>
      <c r="BX120" s="407"/>
      <c r="BY120" s="407"/>
      <c r="BZ120" s="407"/>
      <c r="CA120" s="407"/>
      <c r="CB120" s="407"/>
      <c r="CC120" s="407"/>
      <c r="CD120" s="407"/>
      <c r="CE120" s="407"/>
      <c r="CF120" s="407"/>
      <c r="CG120" s="407"/>
      <c r="CH120" s="407"/>
      <c r="CI120" s="407"/>
      <c r="CJ120" s="407"/>
      <c r="CK120" s="407"/>
      <c r="CL120" s="407"/>
      <c r="CM120" s="407"/>
      <c r="CN120" s="407"/>
      <c r="CO120" s="407"/>
      <c r="CP120" s="407"/>
      <c r="CQ120" s="407"/>
      <c r="CR120" s="407"/>
      <c r="CS120" s="407"/>
      <c r="CT120" s="407"/>
      <c r="CU120" s="407"/>
      <c r="CV120" s="407"/>
      <c r="CW120" s="407"/>
      <c r="CX120" s="407"/>
      <c r="CY120" s="407"/>
      <c r="CZ120" s="407"/>
      <c r="DA120" s="407"/>
      <c r="DB120" s="407"/>
      <c r="DC120" s="407"/>
      <c r="DD120" s="407"/>
      <c r="DE120" s="407"/>
      <c r="DF120" s="407"/>
      <c r="DG120" s="407"/>
      <c r="DH120" s="407"/>
      <c r="DI120" s="407"/>
      <c r="DJ120" s="407"/>
      <c r="DK120" s="407"/>
      <c r="DL120" s="407"/>
      <c r="DM120" s="407"/>
      <c r="DN120" s="407"/>
    </row>
    <row r="121" spans="37:118" x14ac:dyDescent="0.35">
      <c r="AK121" s="407"/>
      <c r="AL121" s="111"/>
      <c r="AM121" s="407"/>
      <c r="AN121" s="407"/>
      <c r="AO121" s="407"/>
      <c r="AP121" s="407"/>
      <c r="AQ121" s="407"/>
      <c r="AR121" s="407"/>
      <c r="AS121" s="407"/>
      <c r="AT121" s="407"/>
      <c r="AU121" s="407"/>
      <c r="AV121" s="407"/>
      <c r="AW121" s="407"/>
      <c r="AX121" s="407"/>
      <c r="AY121" s="407"/>
      <c r="AZ121" s="407"/>
      <c r="BA121" s="407"/>
      <c r="BB121" s="407"/>
      <c r="BC121" s="407"/>
      <c r="BD121" s="407"/>
      <c r="BE121" s="407"/>
      <c r="BF121" s="407"/>
      <c r="BG121" s="407"/>
      <c r="BH121" s="407"/>
      <c r="BI121" s="407"/>
      <c r="BJ121" s="407"/>
      <c r="BK121" s="407"/>
      <c r="BL121" s="407"/>
      <c r="BM121" s="407"/>
      <c r="BN121" s="407"/>
      <c r="BO121" s="407"/>
      <c r="BP121" s="407"/>
      <c r="BQ121" s="407"/>
      <c r="BR121" s="407"/>
      <c r="BS121" s="407"/>
      <c r="BT121" s="407"/>
      <c r="BU121" s="407"/>
      <c r="BV121" s="407"/>
      <c r="BW121" s="407"/>
      <c r="BX121" s="407"/>
      <c r="BY121" s="407"/>
      <c r="BZ121" s="407"/>
      <c r="CA121" s="407"/>
      <c r="CB121" s="407"/>
      <c r="CC121" s="407"/>
      <c r="CD121" s="407"/>
      <c r="CE121" s="407"/>
      <c r="CF121" s="407"/>
      <c r="CG121" s="407"/>
      <c r="CH121" s="407"/>
      <c r="CI121" s="407"/>
      <c r="CJ121" s="407"/>
      <c r="CK121" s="407"/>
      <c r="CL121" s="407"/>
      <c r="CM121" s="407"/>
      <c r="CN121" s="407"/>
      <c r="CO121" s="407"/>
      <c r="CP121" s="407"/>
      <c r="CQ121" s="407"/>
      <c r="CR121" s="407"/>
      <c r="CS121" s="407"/>
      <c r="CT121" s="407"/>
      <c r="CU121" s="407"/>
      <c r="CV121" s="407"/>
      <c r="CW121" s="407"/>
      <c r="CX121" s="407"/>
      <c r="CY121" s="407"/>
      <c r="CZ121" s="407"/>
      <c r="DA121" s="407"/>
      <c r="DB121" s="407"/>
      <c r="DC121" s="407"/>
      <c r="DD121" s="407"/>
      <c r="DE121" s="407"/>
      <c r="DF121" s="407"/>
      <c r="DG121" s="407"/>
      <c r="DH121" s="407"/>
      <c r="DI121" s="407"/>
      <c r="DJ121" s="407"/>
      <c r="DK121" s="407"/>
      <c r="DL121" s="407"/>
      <c r="DM121" s="407"/>
      <c r="DN121" s="407"/>
    </row>
    <row r="122" spans="37:118" x14ac:dyDescent="0.35">
      <c r="AK122" s="407"/>
      <c r="AL122" s="111"/>
      <c r="AM122" s="407"/>
      <c r="AN122" s="407"/>
      <c r="AO122" s="407"/>
      <c r="AP122" s="407"/>
      <c r="AQ122" s="407"/>
      <c r="AR122" s="407"/>
      <c r="AS122" s="407"/>
      <c r="AT122" s="407"/>
      <c r="AU122" s="407"/>
      <c r="AV122" s="407"/>
      <c r="AW122" s="407"/>
      <c r="AX122" s="407"/>
      <c r="AY122" s="407"/>
      <c r="AZ122" s="407"/>
      <c r="BA122" s="407"/>
      <c r="BB122" s="407"/>
      <c r="BC122" s="407"/>
      <c r="BD122" s="407"/>
      <c r="BE122" s="407"/>
      <c r="BF122" s="407"/>
      <c r="BG122" s="407"/>
      <c r="BH122" s="407"/>
      <c r="BI122" s="407"/>
      <c r="BJ122" s="407"/>
      <c r="BK122" s="407"/>
      <c r="BL122" s="407"/>
      <c r="BM122" s="407"/>
      <c r="BN122" s="407"/>
      <c r="BO122" s="407"/>
      <c r="BP122" s="407"/>
      <c r="BQ122" s="407"/>
      <c r="BR122" s="407"/>
      <c r="BS122" s="407"/>
      <c r="BT122" s="407"/>
      <c r="BU122" s="407"/>
      <c r="BV122" s="407"/>
      <c r="BW122" s="407"/>
      <c r="BX122" s="407"/>
      <c r="BY122" s="407"/>
      <c r="BZ122" s="407"/>
      <c r="CA122" s="407"/>
      <c r="CB122" s="407"/>
      <c r="CC122" s="407"/>
      <c r="CD122" s="407"/>
      <c r="CE122" s="407"/>
      <c r="CF122" s="407"/>
      <c r="CG122" s="407"/>
      <c r="CH122" s="407"/>
      <c r="CI122" s="407"/>
      <c r="CJ122" s="407"/>
      <c r="CK122" s="407"/>
      <c r="CL122" s="407"/>
      <c r="CM122" s="407"/>
      <c r="CN122" s="407"/>
      <c r="CO122" s="407"/>
      <c r="CP122" s="407"/>
      <c r="CQ122" s="407"/>
      <c r="CR122" s="407"/>
      <c r="CS122" s="407"/>
      <c r="CT122" s="407"/>
      <c r="CU122" s="407"/>
      <c r="CV122" s="407"/>
      <c r="CW122" s="407"/>
      <c r="CX122" s="407"/>
      <c r="CY122" s="407"/>
      <c r="CZ122" s="407"/>
      <c r="DA122" s="407"/>
      <c r="DB122" s="407"/>
      <c r="DC122" s="407"/>
      <c r="DD122" s="407"/>
      <c r="DE122" s="407"/>
      <c r="DF122" s="407"/>
      <c r="DG122" s="407"/>
      <c r="DH122" s="407"/>
      <c r="DI122" s="407"/>
      <c r="DJ122" s="407"/>
      <c r="DK122" s="407"/>
      <c r="DL122" s="407"/>
      <c r="DM122" s="407"/>
      <c r="DN122" s="407"/>
    </row>
    <row r="123" spans="37:118" x14ac:dyDescent="0.35">
      <c r="AK123" s="407"/>
      <c r="AL123" s="111"/>
      <c r="AM123" s="407"/>
      <c r="AN123" s="407"/>
      <c r="AO123" s="407"/>
      <c r="AP123" s="407"/>
      <c r="AQ123" s="407"/>
      <c r="AR123" s="407"/>
      <c r="AS123" s="407"/>
      <c r="AT123" s="407"/>
      <c r="AU123" s="407"/>
      <c r="AV123" s="407"/>
      <c r="AW123" s="407"/>
      <c r="AX123" s="407"/>
      <c r="AY123" s="407"/>
      <c r="AZ123" s="407"/>
      <c r="BA123" s="407"/>
      <c r="BB123" s="407"/>
      <c r="BC123" s="407"/>
      <c r="BD123" s="407"/>
      <c r="BE123" s="407"/>
      <c r="BF123" s="407"/>
      <c r="BG123" s="407"/>
      <c r="BH123" s="407"/>
      <c r="BI123" s="407"/>
      <c r="BJ123" s="407"/>
      <c r="BK123" s="407"/>
      <c r="BL123" s="407"/>
      <c r="BM123" s="407"/>
      <c r="BN123" s="407"/>
      <c r="BO123" s="407"/>
      <c r="BP123" s="407"/>
      <c r="BQ123" s="407"/>
      <c r="BR123" s="407"/>
      <c r="BS123" s="407"/>
      <c r="BT123" s="407"/>
      <c r="BU123" s="407"/>
      <c r="BV123" s="407"/>
      <c r="BW123" s="407"/>
      <c r="BX123" s="407"/>
      <c r="BY123" s="407"/>
      <c r="BZ123" s="407"/>
      <c r="CA123" s="407"/>
      <c r="CB123" s="407"/>
      <c r="CC123" s="407"/>
      <c r="CD123" s="407"/>
      <c r="CE123" s="407"/>
      <c r="CF123" s="407"/>
      <c r="CG123" s="407"/>
      <c r="CH123" s="407"/>
      <c r="CI123" s="407"/>
      <c r="CJ123" s="407"/>
      <c r="CK123" s="407"/>
      <c r="CL123" s="407"/>
      <c r="CM123" s="407"/>
      <c r="CN123" s="407"/>
      <c r="CO123" s="407"/>
      <c r="CP123" s="407"/>
      <c r="CQ123" s="407"/>
      <c r="CR123" s="407"/>
      <c r="CS123" s="407"/>
      <c r="CT123" s="407"/>
      <c r="CU123" s="407"/>
      <c r="CV123" s="407"/>
      <c r="CW123" s="407"/>
      <c r="CX123" s="407"/>
      <c r="CY123" s="407"/>
      <c r="CZ123" s="407"/>
      <c r="DA123" s="407"/>
      <c r="DB123" s="407"/>
      <c r="DC123" s="407"/>
      <c r="DD123" s="407"/>
      <c r="DE123" s="407"/>
      <c r="DF123" s="407"/>
      <c r="DG123" s="407"/>
      <c r="DH123" s="407"/>
      <c r="DI123" s="407"/>
      <c r="DJ123" s="407"/>
      <c r="DK123" s="407"/>
      <c r="DL123" s="407"/>
      <c r="DM123" s="407"/>
      <c r="DN123" s="407"/>
    </row>
    <row r="124" spans="37:118" x14ac:dyDescent="0.35">
      <c r="AK124" s="407"/>
      <c r="AL124" s="111"/>
      <c r="AM124" s="407"/>
      <c r="AN124" s="407"/>
      <c r="AO124" s="407"/>
      <c r="AP124" s="407"/>
      <c r="AQ124" s="407"/>
      <c r="AR124" s="407"/>
      <c r="AS124" s="407"/>
      <c r="AT124" s="407"/>
      <c r="AU124" s="407"/>
      <c r="AV124" s="407"/>
      <c r="AW124" s="407"/>
      <c r="AX124" s="407"/>
      <c r="AY124" s="407"/>
      <c r="AZ124" s="407"/>
      <c r="BA124" s="407"/>
      <c r="BB124" s="407"/>
      <c r="BC124" s="407"/>
      <c r="BD124" s="407"/>
      <c r="BE124" s="407"/>
      <c r="BF124" s="407"/>
      <c r="BG124" s="407"/>
      <c r="BH124" s="407"/>
      <c r="BI124" s="407"/>
      <c r="BJ124" s="407"/>
      <c r="BK124" s="407"/>
      <c r="BL124" s="407"/>
      <c r="BM124" s="407"/>
      <c r="BN124" s="407"/>
      <c r="BO124" s="407"/>
      <c r="BP124" s="407"/>
      <c r="BQ124" s="407"/>
      <c r="BR124" s="407"/>
      <c r="BS124" s="407"/>
      <c r="BT124" s="407"/>
      <c r="BU124" s="407"/>
      <c r="BV124" s="407"/>
      <c r="BW124" s="407"/>
      <c r="BX124" s="407"/>
      <c r="BY124" s="407"/>
      <c r="BZ124" s="407"/>
      <c r="CA124" s="407"/>
      <c r="CB124" s="407"/>
      <c r="CC124" s="407"/>
      <c r="CD124" s="407"/>
      <c r="CE124" s="407"/>
      <c r="CF124" s="407"/>
      <c r="CG124" s="407"/>
      <c r="CH124" s="407"/>
      <c r="CI124" s="407"/>
      <c r="CJ124" s="407"/>
      <c r="CK124" s="407"/>
      <c r="CL124" s="407"/>
      <c r="CM124" s="407"/>
      <c r="CN124" s="407"/>
      <c r="CO124" s="407"/>
      <c r="CP124" s="407"/>
      <c r="CQ124" s="407"/>
      <c r="CR124" s="407"/>
      <c r="CS124" s="407"/>
      <c r="CT124" s="407"/>
      <c r="CU124" s="407"/>
      <c r="CV124" s="407"/>
      <c r="CW124" s="407"/>
      <c r="CX124" s="407"/>
      <c r="CY124" s="407"/>
      <c r="CZ124" s="407"/>
      <c r="DA124" s="407"/>
      <c r="DB124" s="407"/>
      <c r="DC124" s="407"/>
      <c r="DD124" s="407"/>
      <c r="DE124" s="407"/>
      <c r="DF124" s="407"/>
      <c r="DG124" s="407"/>
      <c r="DH124" s="407"/>
      <c r="DI124" s="407"/>
      <c r="DJ124" s="407"/>
      <c r="DK124" s="407"/>
      <c r="DL124" s="407"/>
      <c r="DM124" s="407"/>
      <c r="DN124" s="407"/>
    </row>
    <row r="125" spans="37:118" x14ac:dyDescent="0.35">
      <c r="AK125" s="407"/>
      <c r="AL125" s="111"/>
      <c r="AM125" s="407"/>
      <c r="AN125" s="407"/>
      <c r="AO125" s="407"/>
      <c r="AP125" s="407"/>
      <c r="AQ125" s="407"/>
      <c r="AR125" s="407"/>
      <c r="AS125" s="407"/>
      <c r="AT125" s="407"/>
      <c r="AU125" s="407"/>
      <c r="AV125" s="407"/>
      <c r="AW125" s="407"/>
      <c r="AX125" s="407"/>
      <c r="AY125" s="407"/>
      <c r="AZ125" s="407"/>
      <c r="BA125" s="407"/>
      <c r="BB125" s="407"/>
      <c r="BC125" s="407"/>
      <c r="BD125" s="407"/>
      <c r="BE125" s="407"/>
      <c r="BF125" s="407"/>
      <c r="BG125" s="407"/>
      <c r="BH125" s="407"/>
      <c r="BI125" s="407"/>
      <c r="BJ125" s="407"/>
      <c r="BK125" s="407"/>
      <c r="BL125" s="407"/>
      <c r="BM125" s="407"/>
      <c r="BN125" s="407"/>
      <c r="BO125" s="407"/>
      <c r="BP125" s="407"/>
      <c r="BQ125" s="407"/>
      <c r="BR125" s="407"/>
      <c r="BS125" s="407"/>
      <c r="BT125" s="407"/>
      <c r="BU125" s="407"/>
      <c r="BV125" s="407"/>
      <c r="BW125" s="407"/>
      <c r="BX125" s="407"/>
      <c r="BY125" s="407"/>
      <c r="BZ125" s="407"/>
      <c r="CA125" s="407"/>
      <c r="CB125" s="407"/>
      <c r="CC125" s="407"/>
      <c r="CD125" s="407"/>
      <c r="CE125" s="407"/>
      <c r="CF125" s="407"/>
      <c r="CG125" s="407"/>
      <c r="CH125" s="407"/>
      <c r="CI125" s="407"/>
      <c r="CJ125" s="407"/>
      <c r="CK125" s="407"/>
      <c r="CL125" s="407"/>
      <c r="CM125" s="407"/>
      <c r="CN125" s="407"/>
      <c r="CO125" s="407"/>
      <c r="CP125" s="407"/>
      <c r="CQ125" s="407"/>
      <c r="CR125" s="407"/>
      <c r="CS125" s="407"/>
      <c r="CT125" s="407"/>
      <c r="CU125" s="407"/>
      <c r="CV125" s="407"/>
      <c r="CW125" s="407"/>
      <c r="CX125" s="407"/>
      <c r="CY125" s="407"/>
      <c r="CZ125" s="407"/>
      <c r="DA125" s="407"/>
      <c r="DB125" s="407"/>
      <c r="DC125" s="407"/>
      <c r="DD125" s="407"/>
      <c r="DE125" s="407"/>
      <c r="DF125" s="407"/>
      <c r="DG125" s="407"/>
      <c r="DH125" s="407"/>
      <c r="DI125" s="407"/>
      <c r="DJ125" s="407"/>
      <c r="DK125" s="407"/>
      <c r="DL125" s="407"/>
      <c r="DM125" s="407"/>
      <c r="DN125" s="407"/>
    </row>
    <row r="126" spans="37:118" x14ac:dyDescent="0.35">
      <c r="AK126" s="407"/>
      <c r="AL126" s="111"/>
      <c r="AM126" s="407"/>
      <c r="AN126" s="407"/>
      <c r="AO126" s="407"/>
      <c r="AP126" s="407"/>
      <c r="AQ126" s="407"/>
      <c r="AR126" s="407"/>
      <c r="AS126" s="407"/>
      <c r="AT126" s="407"/>
      <c r="AU126" s="407"/>
      <c r="AV126" s="407"/>
      <c r="AW126" s="407"/>
      <c r="AX126" s="407"/>
      <c r="AY126" s="407"/>
      <c r="AZ126" s="407"/>
      <c r="BA126" s="407"/>
      <c r="BB126" s="407"/>
      <c r="BC126" s="407"/>
      <c r="BD126" s="407"/>
      <c r="BE126" s="407"/>
      <c r="BF126" s="407"/>
      <c r="BG126" s="407"/>
      <c r="BH126" s="407"/>
      <c r="BI126" s="407"/>
      <c r="BJ126" s="407"/>
      <c r="BK126" s="407"/>
      <c r="BL126" s="407"/>
      <c r="BM126" s="407"/>
      <c r="BN126" s="407"/>
      <c r="BO126" s="407"/>
      <c r="BP126" s="407"/>
      <c r="BQ126" s="407"/>
      <c r="BR126" s="407"/>
      <c r="BS126" s="407"/>
      <c r="BT126" s="407"/>
      <c r="BU126" s="407"/>
      <c r="BV126" s="407"/>
      <c r="BW126" s="407"/>
      <c r="BX126" s="407"/>
      <c r="BY126" s="407"/>
      <c r="BZ126" s="407"/>
      <c r="CA126" s="407"/>
      <c r="CB126" s="407"/>
      <c r="CC126" s="407"/>
      <c r="CD126" s="407"/>
      <c r="CE126" s="407"/>
      <c r="CF126" s="407"/>
      <c r="CG126" s="407"/>
      <c r="CH126" s="407"/>
      <c r="CI126" s="407"/>
      <c r="CJ126" s="407"/>
      <c r="CK126" s="407"/>
      <c r="CL126" s="407"/>
      <c r="CM126" s="407"/>
      <c r="CN126" s="407"/>
      <c r="CO126" s="407"/>
      <c r="CP126" s="407"/>
      <c r="CQ126" s="407"/>
      <c r="CR126" s="407"/>
      <c r="CS126" s="407"/>
      <c r="CT126" s="407"/>
      <c r="CU126" s="407"/>
      <c r="CV126" s="407"/>
      <c r="CW126" s="407"/>
      <c r="CX126" s="407"/>
      <c r="CY126" s="407"/>
      <c r="CZ126" s="407"/>
      <c r="DA126" s="407"/>
      <c r="DB126" s="407"/>
      <c r="DC126" s="407"/>
      <c r="DD126" s="407"/>
      <c r="DE126" s="407"/>
      <c r="DF126" s="407"/>
      <c r="DG126" s="407"/>
      <c r="DH126" s="407"/>
      <c r="DI126" s="407"/>
      <c r="DJ126" s="407"/>
      <c r="DK126" s="407"/>
      <c r="DL126" s="407"/>
      <c r="DM126" s="407"/>
      <c r="DN126" s="407"/>
    </row>
    <row r="127" spans="37:118" x14ac:dyDescent="0.35">
      <c r="AK127" s="407"/>
      <c r="AL127" s="111"/>
      <c r="AM127" s="407"/>
      <c r="AN127" s="407"/>
      <c r="AO127" s="407"/>
      <c r="AP127" s="407"/>
      <c r="AQ127" s="407"/>
      <c r="AR127" s="407"/>
      <c r="AS127" s="407"/>
      <c r="AT127" s="407"/>
      <c r="AU127" s="407"/>
      <c r="AV127" s="407"/>
      <c r="AW127" s="407"/>
      <c r="AX127" s="407"/>
      <c r="AY127" s="407"/>
      <c r="AZ127" s="407"/>
      <c r="BA127" s="407"/>
      <c r="BB127" s="407"/>
      <c r="BC127" s="407"/>
      <c r="BD127" s="407"/>
      <c r="BE127" s="407"/>
      <c r="BF127" s="407"/>
      <c r="BG127" s="407"/>
      <c r="BH127" s="407"/>
      <c r="BI127" s="407"/>
      <c r="BJ127" s="407"/>
      <c r="BK127" s="407"/>
      <c r="BL127" s="407"/>
      <c r="BM127" s="407"/>
      <c r="BN127" s="407"/>
      <c r="BO127" s="407"/>
      <c r="BP127" s="407"/>
      <c r="BQ127" s="407"/>
      <c r="BR127" s="407"/>
      <c r="BS127" s="407"/>
      <c r="BT127" s="407"/>
      <c r="BU127" s="407"/>
      <c r="BV127" s="407"/>
      <c r="BW127" s="407"/>
      <c r="BX127" s="407"/>
      <c r="BY127" s="407"/>
      <c r="BZ127" s="407"/>
      <c r="CA127" s="407"/>
      <c r="CB127" s="407"/>
      <c r="CC127" s="407"/>
      <c r="CD127" s="407"/>
      <c r="CE127" s="407"/>
      <c r="CF127" s="407"/>
      <c r="CG127" s="407"/>
      <c r="CH127" s="407"/>
      <c r="CI127" s="407"/>
      <c r="CJ127" s="407"/>
      <c r="CK127" s="407"/>
      <c r="CL127" s="407"/>
      <c r="CM127" s="407"/>
      <c r="CN127" s="407"/>
      <c r="CO127" s="407"/>
      <c r="CP127" s="407"/>
      <c r="CQ127" s="407"/>
      <c r="CR127" s="407"/>
      <c r="CS127" s="407"/>
      <c r="CT127" s="407"/>
      <c r="CU127" s="407"/>
      <c r="CV127" s="407"/>
      <c r="CW127" s="407"/>
      <c r="CX127" s="407"/>
      <c r="CY127" s="407"/>
      <c r="CZ127" s="407"/>
      <c r="DA127" s="407"/>
      <c r="DB127" s="407"/>
      <c r="DC127" s="407"/>
      <c r="DD127" s="407"/>
      <c r="DE127" s="407"/>
      <c r="DF127" s="407"/>
      <c r="DG127" s="407"/>
      <c r="DH127" s="407"/>
      <c r="DI127" s="407"/>
      <c r="DJ127" s="407"/>
      <c r="DK127" s="407"/>
      <c r="DL127" s="407"/>
      <c r="DM127" s="407"/>
      <c r="DN127" s="407"/>
    </row>
    <row r="128" spans="37:118" x14ac:dyDescent="0.35">
      <c r="AK128" s="407"/>
      <c r="AL128" s="111"/>
      <c r="AM128" s="407"/>
      <c r="AN128" s="407"/>
      <c r="AO128" s="407"/>
      <c r="AP128" s="407"/>
      <c r="AQ128" s="407"/>
      <c r="AR128" s="407"/>
      <c r="AS128" s="407"/>
      <c r="AT128" s="407"/>
      <c r="AU128" s="407"/>
      <c r="AV128" s="407"/>
      <c r="AW128" s="407"/>
      <c r="AX128" s="407"/>
      <c r="AY128" s="407"/>
      <c r="AZ128" s="407"/>
      <c r="BA128" s="407"/>
      <c r="BB128" s="407"/>
      <c r="BC128" s="407"/>
      <c r="BD128" s="407"/>
      <c r="BE128" s="407"/>
      <c r="BF128" s="407"/>
      <c r="BG128" s="407"/>
      <c r="BH128" s="407"/>
      <c r="BI128" s="407"/>
      <c r="BJ128" s="407"/>
      <c r="BK128" s="407"/>
      <c r="BL128" s="407"/>
      <c r="BM128" s="407"/>
      <c r="BN128" s="407"/>
      <c r="BO128" s="407"/>
      <c r="BP128" s="407"/>
      <c r="BQ128" s="407"/>
      <c r="BR128" s="407"/>
      <c r="BS128" s="407"/>
      <c r="BT128" s="407"/>
      <c r="BU128" s="407"/>
      <c r="BV128" s="407"/>
      <c r="BW128" s="407"/>
      <c r="BX128" s="407"/>
      <c r="BY128" s="407"/>
      <c r="BZ128" s="407"/>
      <c r="CA128" s="407"/>
      <c r="CB128" s="407"/>
      <c r="CC128" s="407"/>
      <c r="CD128" s="407"/>
      <c r="CE128" s="407"/>
      <c r="CF128" s="407"/>
      <c r="CG128" s="407"/>
      <c r="CH128" s="407"/>
      <c r="CI128" s="407"/>
      <c r="CJ128" s="407"/>
      <c r="CK128" s="407"/>
      <c r="CL128" s="407"/>
      <c r="CM128" s="407"/>
      <c r="CN128" s="407"/>
      <c r="CO128" s="407"/>
      <c r="CP128" s="407"/>
      <c r="CQ128" s="407"/>
      <c r="CR128" s="407"/>
      <c r="CS128" s="407"/>
      <c r="CT128" s="407"/>
      <c r="CU128" s="407"/>
      <c r="CV128" s="407"/>
      <c r="CW128" s="407"/>
      <c r="CX128" s="407"/>
      <c r="CY128" s="407"/>
      <c r="CZ128" s="407"/>
      <c r="DA128" s="407"/>
      <c r="DB128" s="407"/>
      <c r="DC128" s="407"/>
      <c r="DD128" s="407"/>
      <c r="DE128" s="407"/>
      <c r="DF128" s="407"/>
      <c r="DG128" s="407"/>
      <c r="DH128" s="407"/>
      <c r="DI128" s="407"/>
      <c r="DJ128" s="407"/>
      <c r="DK128" s="407"/>
      <c r="DL128" s="407"/>
      <c r="DM128" s="407"/>
      <c r="DN128" s="407"/>
    </row>
    <row r="129" spans="37:118" x14ac:dyDescent="0.35">
      <c r="AK129" s="407"/>
      <c r="AL129" s="111"/>
      <c r="AM129" s="407"/>
      <c r="AN129" s="407"/>
      <c r="AO129" s="407"/>
      <c r="AP129" s="407"/>
      <c r="AQ129" s="407"/>
      <c r="AR129" s="407"/>
      <c r="AS129" s="407"/>
      <c r="AT129" s="407"/>
      <c r="AU129" s="407"/>
      <c r="AV129" s="407"/>
      <c r="AW129" s="407"/>
      <c r="AX129" s="407"/>
      <c r="AY129" s="407"/>
      <c r="AZ129" s="407"/>
      <c r="BA129" s="407"/>
      <c r="BB129" s="407"/>
      <c r="BC129" s="407"/>
      <c r="BD129" s="407"/>
      <c r="BE129" s="407"/>
      <c r="BF129" s="407"/>
      <c r="BG129" s="407"/>
      <c r="BH129" s="407"/>
      <c r="BI129" s="407"/>
      <c r="BJ129" s="407"/>
      <c r="BK129" s="407"/>
      <c r="BL129" s="407"/>
      <c r="BM129" s="407"/>
      <c r="BN129" s="407"/>
      <c r="BO129" s="407"/>
      <c r="BP129" s="407"/>
      <c r="BQ129" s="407"/>
      <c r="BR129" s="407"/>
      <c r="BS129" s="407"/>
      <c r="BT129" s="407"/>
      <c r="BU129" s="407"/>
      <c r="BV129" s="407"/>
      <c r="BW129" s="407"/>
      <c r="BX129" s="407"/>
      <c r="BY129" s="407"/>
      <c r="BZ129" s="407"/>
      <c r="CA129" s="407"/>
      <c r="CB129" s="407"/>
      <c r="CC129" s="407"/>
      <c r="CD129" s="407"/>
      <c r="CE129" s="407"/>
      <c r="CF129" s="407"/>
      <c r="CG129" s="407"/>
      <c r="CH129" s="407"/>
      <c r="CI129" s="407"/>
      <c r="CJ129" s="407"/>
      <c r="CK129" s="407"/>
      <c r="CL129" s="407"/>
      <c r="CM129" s="407"/>
      <c r="CN129" s="407"/>
      <c r="CO129" s="407"/>
      <c r="CP129" s="407"/>
      <c r="CQ129" s="407"/>
      <c r="CR129" s="407"/>
      <c r="CS129" s="407"/>
      <c r="CT129" s="407"/>
      <c r="CU129" s="407"/>
      <c r="CV129" s="407"/>
      <c r="CW129" s="407"/>
      <c r="CX129" s="407"/>
      <c r="CY129" s="407"/>
      <c r="CZ129" s="407"/>
      <c r="DA129" s="407"/>
      <c r="DB129" s="407"/>
      <c r="DC129" s="407"/>
      <c r="DD129" s="407"/>
      <c r="DE129" s="407"/>
      <c r="DF129" s="407"/>
      <c r="DG129" s="407"/>
      <c r="DH129" s="407"/>
      <c r="DI129" s="407"/>
      <c r="DJ129" s="407"/>
      <c r="DK129" s="407"/>
      <c r="DL129" s="407"/>
      <c r="DM129" s="407"/>
      <c r="DN129" s="407"/>
    </row>
    <row r="130" spans="37:118" x14ac:dyDescent="0.35">
      <c r="AK130" s="407"/>
      <c r="AL130" s="111"/>
      <c r="AM130" s="407"/>
      <c r="AN130" s="407"/>
      <c r="AO130" s="407"/>
      <c r="AP130" s="407"/>
      <c r="AQ130" s="407"/>
      <c r="AR130" s="407"/>
      <c r="AS130" s="407"/>
      <c r="AT130" s="407"/>
      <c r="AU130" s="407"/>
      <c r="AV130" s="407"/>
      <c r="AW130" s="407"/>
      <c r="AX130" s="407"/>
      <c r="AY130" s="407"/>
      <c r="AZ130" s="407"/>
      <c r="BA130" s="407"/>
      <c r="BB130" s="407"/>
      <c r="BC130" s="407"/>
      <c r="BD130" s="407"/>
      <c r="BE130" s="407"/>
      <c r="BF130" s="407"/>
      <c r="BG130" s="407"/>
      <c r="BH130" s="407"/>
      <c r="BI130" s="407"/>
      <c r="BJ130" s="407"/>
      <c r="BK130" s="407"/>
      <c r="BL130" s="407"/>
      <c r="BM130" s="407"/>
      <c r="BN130" s="407"/>
      <c r="BO130" s="407"/>
      <c r="BP130" s="407"/>
      <c r="BQ130" s="407"/>
      <c r="BR130" s="407"/>
      <c r="BS130" s="407"/>
      <c r="BT130" s="407"/>
      <c r="BU130" s="407"/>
      <c r="BV130" s="407"/>
      <c r="BW130" s="407"/>
      <c r="BX130" s="407"/>
      <c r="BY130" s="407"/>
      <c r="BZ130" s="407"/>
      <c r="CA130" s="407"/>
      <c r="CB130" s="407"/>
      <c r="CC130" s="407"/>
      <c r="CD130" s="407"/>
      <c r="CE130" s="407"/>
      <c r="CF130" s="407"/>
      <c r="CG130" s="407"/>
      <c r="CH130" s="407"/>
      <c r="CI130" s="407"/>
      <c r="CJ130" s="407"/>
      <c r="CK130" s="407"/>
      <c r="CL130" s="407"/>
      <c r="CM130" s="407"/>
      <c r="CN130" s="407"/>
      <c r="CO130" s="407"/>
      <c r="CP130" s="407"/>
      <c r="CQ130" s="407"/>
      <c r="CR130" s="407"/>
      <c r="CS130" s="407"/>
      <c r="CT130" s="407"/>
      <c r="CU130" s="407"/>
      <c r="CV130" s="407"/>
      <c r="CW130" s="407"/>
      <c r="CX130" s="407"/>
      <c r="CY130" s="407"/>
      <c r="CZ130" s="407"/>
      <c r="DA130" s="407"/>
      <c r="DB130" s="407"/>
      <c r="DC130" s="407"/>
      <c r="DD130" s="407"/>
      <c r="DE130" s="407"/>
      <c r="DF130" s="407"/>
      <c r="DG130" s="407"/>
      <c r="DH130" s="407"/>
      <c r="DI130" s="407"/>
      <c r="DJ130" s="407"/>
      <c r="DK130" s="407"/>
      <c r="DL130" s="407"/>
      <c r="DM130" s="407"/>
      <c r="DN130" s="407"/>
    </row>
    <row r="131" spans="37:118" x14ac:dyDescent="0.35">
      <c r="AK131" s="407"/>
      <c r="AL131" s="111"/>
      <c r="AM131" s="407"/>
      <c r="AN131" s="407"/>
      <c r="AO131" s="407"/>
      <c r="AP131" s="407"/>
      <c r="AQ131" s="407"/>
      <c r="AR131" s="407"/>
      <c r="AS131" s="407"/>
      <c r="AT131" s="407"/>
      <c r="AU131" s="407"/>
      <c r="AV131" s="407"/>
      <c r="AW131" s="407"/>
      <c r="AX131" s="407"/>
      <c r="AY131" s="407"/>
      <c r="AZ131" s="407"/>
      <c r="BA131" s="407"/>
      <c r="BB131" s="407"/>
      <c r="BC131" s="407"/>
      <c r="BD131" s="407"/>
      <c r="BE131" s="407"/>
      <c r="BF131" s="407"/>
      <c r="BG131" s="407"/>
      <c r="BH131" s="407"/>
      <c r="BI131" s="407"/>
      <c r="BJ131" s="407"/>
      <c r="BK131" s="407"/>
      <c r="BL131" s="407"/>
      <c r="BM131" s="407"/>
      <c r="BN131" s="407"/>
      <c r="BO131" s="407"/>
      <c r="BP131" s="407"/>
      <c r="BQ131" s="407"/>
      <c r="BR131" s="407"/>
      <c r="BS131" s="407"/>
      <c r="BT131" s="407"/>
      <c r="BU131" s="407"/>
      <c r="BV131" s="407"/>
      <c r="BW131" s="407"/>
      <c r="BX131" s="407"/>
      <c r="BY131" s="407"/>
      <c r="BZ131" s="407"/>
      <c r="CA131" s="407"/>
      <c r="CB131" s="407"/>
      <c r="CC131" s="407"/>
      <c r="CD131" s="407"/>
      <c r="CE131" s="407"/>
      <c r="CF131" s="407"/>
      <c r="CG131" s="407"/>
      <c r="CH131" s="407"/>
      <c r="CI131" s="407"/>
      <c r="CJ131" s="407"/>
      <c r="CK131" s="407"/>
      <c r="CL131" s="407"/>
      <c r="CM131" s="407"/>
      <c r="CN131" s="407"/>
      <c r="CO131" s="407"/>
      <c r="CP131" s="407"/>
      <c r="CQ131" s="407"/>
      <c r="CR131" s="407"/>
      <c r="CS131" s="407"/>
      <c r="CT131" s="407"/>
      <c r="CU131" s="407"/>
      <c r="CV131" s="407"/>
      <c r="CW131" s="407"/>
      <c r="CX131" s="407"/>
      <c r="CY131" s="407"/>
      <c r="CZ131" s="407"/>
      <c r="DA131" s="407"/>
      <c r="DB131" s="407"/>
      <c r="DC131" s="407"/>
      <c r="DD131" s="407"/>
      <c r="DE131" s="407"/>
      <c r="DF131" s="407"/>
      <c r="DG131" s="407"/>
      <c r="DH131" s="407"/>
      <c r="DI131" s="407"/>
      <c r="DJ131" s="407"/>
      <c r="DK131" s="407"/>
      <c r="DL131" s="407"/>
      <c r="DM131" s="407"/>
      <c r="DN131" s="407"/>
    </row>
    <row r="132" spans="37:118" x14ac:dyDescent="0.35">
      <c r="AK132" s="407"/>
      <c r="AL132" s="111"/>
      <c r="AM132" s="407"/>
      <c r="AN132" s="407"/>
      <c r="AO132" s="407"/>
      <c r="AP132" s="407"/>
      <c r="AQ132" s="407"/>
      <c r="AR132" s="407"/>
      <c r="AS132" s="407"/>
      <c r="AT132" s="407"/>
      <c r="AU132" s="407"/>
      <c r="AV132" s="407"/>
      <c r="AW132" s="407"/>
      <c r="AX132" s="407"/>
      <c r="AY132" s="407"/>
      <c r="AZ132" s="407"/>
      <c r="BA132" s="407"/>
      <c r="BB132" s="407"/>
      <c r="BC132" s="407"/>
      <c r="BD132" s="407"/>
      <c r="BE132" s="407"/>
      <c r="BF132" s="407"/>
      <c r="BG132" s="407"/>
      <c r="BH132" s="407"/>
      <c r="BI132" s="407"/>
      <c r="BJ132" s="407"/>
      <c r="BK132" s="407"/>
      <c r="BL132" s="407"/>
      <c r="BM132" s="407"/>
      <c r="BN132" s="407"/>
      <c r="BO132" s="407"/>
      <c r="BP132" s="407"/>
      <c r="BQ132" s="407"/>
      <c r="BR132" s="407"/>
      <c r="BS132" s="407"/>
      <c r="BT132" s="407"/>
      <c r="BU132" s="407"/>
      <c r="BV132" s="407"/>
      <c r="BW132" s="407"/>
      <c r="BX132" s="407"/>
      <c r="BY132" s="407"/>
      <c r="BZ132" s="407"/>
      <c r="CA132" s="407"/>
      <c r="CB132" s="407"/>
      <c r="CC132" s="407"/>
      <c r="CD132" s="407"/>
      <c r="CE132" s="407"/>
      <c r="CF132" s="407"/>
      <c r="CG132" s="407"/>
      <c r="CH132" s="407"/>
      <c r="CI132" s="407"/>
      <c r="CJ132" s="407"/>
      <c r="CK132" s="407"/>
      <c r="CL132" s="407"/>
      <c r="CM132" s="407"/>
      <c r="CN132" s="407"/>
      <c r="CO132" s="407"/>
      <c r="CP132" s="407"/>
      <c r="CQ132" s="407"/>
      <c r="CR132" s="407"/>
      <c r="CS132" s="407"/>
      <c r="CT132" s="407"/>
      <c r="CU132" s="407"/>
      <c r="CV132" s="407"/>
      <c r="CW132" s="407"/>
      <c r="CX132" s="407"/>
      <c r="CY132" s="407"/>
      <c r="CZ132" s="407"/>
      <c r="DA132" s="407"/>
      <c r="DB132" s="407"/>
      <c r="DC132" s="407"/>
      <c r="DD132" s="407"/>
      <c r="DE132" s="407"/>
      <c r="DF132" s="407"/>
      <c r="DG132" s="407"/>
      <c r="DH132" s="407"/>
      <c r="DI132" s="407"/>
      <c r="DJ132" s="407"/>
      <c r="DK132" s="407"/>
      <c r="DL132" s="407"/>
      <c r="DM132" s="407"/>
      <c r="DN132" s="407"/>
    </row>
    <row r="133" spans="37:118" x14ac:dyDescent="0.35">
      <c r="AK133" s="407"/>
      <c r="AL133" s="111"/>
      <c r="AM133" s="407"/>
      <c r="AN133" s="407"/>
      <c r="AO133" s="407"/>
      <c r="AP133" s="407"/>
      <c r="AQ133" s="407"/>
      <c r="AR133" s="407"/>
      <c r="AS133" s="407"/>
      <c r="AT133" s="407"/>
      <c r="AU133" s="407"/>
      <c r="AV133" s="407"/>
      <c r="AW133" s="407"/>
      <c r="AX133" s="407"/>
      <c r="AY133" s="407"/>
      <c r="AZ133" s="407"/>
      <c r="BA133" s="407"/>
      <c r="BB133" s="407"/>
      <c r="BC133" s="407"/>
      <c r="BD133" s="407"/>
      <c r="BE133" s="407"/>
      <c r="BF133" s="407"/>
      <c r="BG133" s="407"/>
      <c r="BH133" s="407"/>
      <c r="BI133" s="407"/>
      <c r="BJ133" s="407"/>
      <c r="BK133" s="407"/>
      <c r="BL133" s="407"/>
      <c r="BM133" s="407"/>
      <c r="BN133" s="407"/>
      <c r="BO133" s="407"/>
      <c r="BP133" s="407"/>
      <c r="BQ133" s="407"/>
      <c r="BR133" s="407"/>
      <c r="BS133" s="407"/>
      <c r="BT133" s="407"/>
      <c r="BU133" s="407"/>
      <c r="BV133" s="407"/>
      <c r="BW133" s="407"/>
      <c r="BX133" s="407"/>
      <c r="BY133" s="407"/>
      <c r="BZ133" s="407"/>
      <c r="CA133" s="407"/>
      <c r="CB133" s="407"/>
      <c r="CC133" s="407"/>
      <c r="CD133" s="407"/>
      <c r="CE133" s="407"/>
      <c r="CF133" s="407"/>
      <c r="CG133" s="407"/>
      <c r="CH133" s="407"/>
      <c r="CI133" s="407"/>
      <c r="CJ133" s="407"/>
      <c r="CK133" s="407"/>
      <c r="CL133" s="407"/>
      <c r="CM133" s="407"/>
      <c r="CN133" s="407"/>
      <c r="CO133" s="407"/>
      <c r="CP133" s="407"/>
      <c r="CQ133" s="407"/>
      <c r="CR133" s="407"/>
      <c r="CS133" s="407"/>
      <c r="CT133" s="407"/>
      <c r="CU133" s="407"/>
      <c r="CV133" s="407"/>
      <c r="CW133" s="407"/>
      <c r="CX133" s="407"/>
      <c r="CY133" s="407"/>
      <c r="CZ133" s="407"/>
      <c r="DA133" s="407"/>
      <c r="DB133" s="407"/>
      <c r="DC133" s="407"/>
      <c r="DD133" s="407"/>
      <c r="DE133" s="407"/>
      <c r="DF133" s="407"/>
      <c r="DG133" s="407"/>
      <c r="DH133" s="407"/>
      <c r="DI133" s="407"/>
      <c r="DJ133" s="407"/>
      <c r="DK133" s="407"/>
      <c r="DL133" s="407"/>
      <c r="DM133" s="407"/>
      <c r="DN133" s="407"/>
    </row>
    <row r="134" spans="37:118" x14ac:dyDescent="0.35">
      <c r="AK134" s="407"/>
      <c r="AL134" s="111"/>
      <c r="AM134" s="407"/>
      <c r="AN134" s="407"/>
      <c r="AO134" s="407"/>
      <c r="AP134" s="407"/>
      <c r="AQ134" s="407"/>
      <c r="AR134" s="407"/>
      <c r="AS134" s="407"/>
      <c r="AT134" s="407"/>
      <c r="AU134" s="407"/>
      <c r="AV134" s="407"/>
      <c r="AW134" s="407"/>
      <c r="AX134" s="407"/>
      <c r="AY134" s="407"/>
      <c r="AZ134" s="407"/>
      <c r="BA134" s="407"/>
      <c r="BB134" s="407"/>
      <c r="BC134" s="407"/>
      <c r="BD134" s="407"/>
      <c r="BE134" s="407"/>
      <c r="BF134" s="407"/>
      <c r="BG134" s="407"/>
      <c r="BH134" s="407"/>
      <c r="BI134" s="407"/>
      <c r="BJ134" s="407"/>
      <c r="BK134" s="407"/>
      <c r="BL134" s="407"/>
      <c r="BM134" s="407"/>
      <c r="BN134" s="407"/>
      <c r="BO134" s="407"/>
      <c r="BP134" s="407"/>
      <c r="BQ134" s="407"/>
      <c r="BR134" s="407"/>
      <c r="BS134" s="407"/>
      <c r="BT134" s="407"/>
      <c r="BU134" s="407"/>
      <c r="BV134" s="407"/>
      <c r="BW134" s="407"/>
      <c r="BX134" s="407"/>
      <c r="BY134" s="407"/>
      <c r="BZ134" s="407"/>
      <c r="CA134" s="407"/>
      <c r="CB134" s="407"/>
      <c r="CC134" s="407"/>
      <c r="CD134" s="407"/>
      <c r="CE134" s="407"/>
      <c r="CF134" s="407"/>
      <c r="CG134" s="407"/>
      <c r="CH134" s="407"/>
      <c r="CI134" s="407"/>
      <c r="CJ134" s="407"/>
      <c r="CK134" s="407"/>
      <c r="CL134" s="407"/>
      <c r="CM134" s="407"/>
      <c r="CN134" s="407"/>
      <c r="CO134" s="407"/>
      <c r="CP134" s="407"/>
      <c r="CQ134" s="407"/>
      <c r="CR134" s="407"/>
      <c r="CS134" s="407"/>
      <c r="CT134" s="407"/>
      <c r="CU134" s="407"/>
      <c r="CV134" s="407"/>
      <c r="CW134" s="407"/>
      <c r="CX134" s="407"/>
      <c r="CY134" s="407"/>
      <c r="CZ134" s="407"/>
      <c r="DA134" s="407"/>
      <c r="DB134" s="407"/>
      <c r="DC134" s="407"/>
      <c r="DD134" s="407"/>
      <c r="DE134" s="407"/>
      <c r="DF134" s="407"/>
      <c r="DG134" s="407"/>
      <c r="DH134" s="407"/>
      <c r="DI134" s="407"/>
      <c r="DJ134" s="407"/>
      <c r="DK134" s="407"/>
      <c r="DL134" s="407"/>
      <c r="DM134" s="407"/>
      <c r="DN134" s="407"/>
    </row>
    <row r="135" spans="37:118" x14ac:dyDescent="0.35">
      <c r="AK135" s="407"/>
      <c r="AL135" s="111"/>
      <c r="AM135" s="407"/>
      <c r="AN135" s="407"/>
      <c r="AO135" s="407"/>
      <c r="AP135" s="407"/>
      <c r="AQ135" s="407"/>
      <c r="AR135" s="407"/>
      <c r="AS135" s="407"/>
      <c r="AT135" s="407"/>
      <c r="AU135" s="407"/>
      <c r="AV135" s="407"/>
      <c r="AW135" s="407"/>
      <c r="AX135" s="407"/>
      <c r="AY135" s="407"/>
      <c r="AZ135" s="407"/>
      <c r="BA135" s="407"/>
      <c r="BB135" s="407"/>
      <c r="BC135" s="407"/>
      <c r="BD135" s="407"/>
      <c r="BE135" s="407"/>
      <c r="BF135" s="407"/>
      <c r="BG135" s="407"/>
      <c r="BH135" s="407"/>
      <c r="BI135" s="407"/>
      <c r="BJ135" s="407"/>
      <c r="BK135" s="407"/>
      <c r="BL135" s="407"/>
      <c r="BM135" s="407"/>
      <c r="BN135" s="407"/>
      <c r="BO135" s="407"/>
      <c r="BP135" s="407"/>
      <c r="BQ135" s="407"/>
      <c r="BR135" s="407"/>
      <c r="BS135" s="407"/>
      <c r="BT135" s="407"/>
      <c r="BU135" s="407"/>
      <c r="BV135" s="407"/>
      <c r="BW135" s="407"/>
      <c r="BX135" s="407"/>
      <c r="BY135" s="407"/>
      <c r="BZ135" s="407"/>
      <c r="CA135" s="407"/>
      <c r="CB135" s="407"/>
      <c r="CC135" s="407"/>
      <c r="CD135" s="407"/>
      <c r="CE135" s="407"/>
      <c r="CF135" s="407"/>
      <c r="CG135" s="407"/>
      <c r="CH135" s="407"/>
      <c r="CI135" s="407"/>
      <c r="CJ135" s="407"/>
      <c r="CK135" s="407"/>
      <c r="CL135" s="407"/>
      <c r="CM135" s="407"/>
      <c r="CN135" s="407"/>
      <c r="CO135" s="407"/>
      <c r="CP135" s="407"/>
      <c r="CQ135" s="407"/>
      <c r="CR135" s="407"/>
      <c r="CS135" s="407"/>
      <c r="CT135" s="407"/>
      <c r="CU135" s="407"/>
      <c r="CV135" s="407"/>
      <c r="CW135" s="407"/>
      <c r="CX135" s="407"/>
      <c r="CY135" s="407"/>
      <c r="CZ135" s="407"/>
      <c r="DA135" s="407"/>
      <c r="DB135" s="407"/>
      <c r="DC135" s="407"/>
      <c r="DD135" s="407"/>
      <c r="DE135" s="407"/>
      <c r="DF135" s="407"/>
      <c r="DG135" s="407"/>
      <c r="DH135" s="407"/>
      <c r="DI135" s="407"/>
      <c r="DJ135" s="407"/>
      <c r="DK135" s="407"/>
      <c r="DL135" s="407"/>
      <c r="DM135" s="407"/>
      <c r="DN135" s="407"/>
    </row>
    <row r="136" spans="37:118" x14ac:dyDescent="0.35">
      <c r="AK136" s="407"/>
      <c r="AL136" s="111"/>
      <c r="AM136" s="407"/>
      <c r="AN136" s="407"/>
      <c r="AO136" s="407"/>
      <c r="AP136" s="407"/>
      <c r="AQ136" s="407"/>
      <c r="AR136" s="407"/>
      <c r="AS136" s="407"/>
      <c r="AT136" s="407"/>
      <c r="AU136" s="407"/>
      <c r="AV136" s="407"/>
      <c r="AW136" s="407"/>
      <c r="AX136" s="407"/>
      <c r="AY136" s="407"/>
      <c r="AZ136" s="407"/>
      <c r="BA136" s="407"/>
      <c r="BB136" s="407"/>
      <c r="BC136" s="407"/>
      <c r="BD136" s="407"/>
      <c r="BE136" s="407"/>
      <c r="BF136" s="407"/>
      <c r="BG136" s="407"/>
      <c r="BH136" s="407"/>
      <c r="BI136" s="407"/>
      <c r="BJ136" s="407"/>
      <c r="BK136" s="407"/>
      <c r="BL136" s="407"/>
      <c r="BM136" s="407"/>
      <c r="BN136" s="407"/>
      <c r="BO136" s="407"/>
      <c r="BP136" s="407"/>
      <c r="BQ136" s="407"/>
      <c r="BR136" s="407"/>
      <c r="BS136" s="407"/>
      <c r="BT136" s="407"/>
      <c r="BU136" s="407"/>
      <c r="BV136" s="407"/>
      <c r="BW136" s="407"/>
      <c r="BX136" s="407"/>
      <c r="BY136" s="407"/>
      <c r="BZ136" s="407"/>
      <c r="CA136" s="407"/>
      <c r="CB136" s="407"/>
      <c r="CC136" s="407"/>
      <c r="CD136" s="407"/>
      <c r="CE136" s="407"/>
      <c r="CF136" s="407"/>
      <c r="CG136" s="407"/>
      <c r="CH136" s="407"/>
      <c r="CI136" s="407"/>
      <c r="CJ136" s="407"/>
      <c r="CK136" s="407"/>
      <c r="CL136" s="407"/>
      <c r="CM136" s="407"/>
      <c r="CN136" s="407"/>
      <c r="CO136" s="407"/>
      <c r="CP136" s="407"/>
      <c r="CQ136" s="407"/>
      <c r="CR136" s="407"/>
      <c r="CS136" s="407"/>
      <c r="CT136" s="407"/>
      <c r="CU136" s="407"/>
      <c r="CV136" s="407"/>
      <c r="CW136" s="407"/>
      <c r="CX136" s="407"/>
      <c r="CY136" s="407"/>
      <c r="CZ136" s="407"/>
      <c r="DA136" s="407"/>
      <c r="DB136" s="407"/>
      <c r="DC136" s="407"/>
      <c r="DD136" s="407"/>
      <c r="DE136" s="407"/>
      <c r="DF136" s="407"/>
      <c r="DG136" s="407"/>
      <c r="DH136" s="407"/>
      <c r="DI136" s="407"/>
      <c r="DJ136" s="407"/>
      <c r="DK136" s="407"/>
      <c r="DL136" s="407"/>
      <c r="DM136" s="407"/>
      <c r="DN136" s="407"/>
    </row>
    <row r="137" spans="37:118" x14ac:dyDescent="0.35">
      <c r="AK137" s="407"/>
      <c r="AL137" s="111"/>
      <c r="AM137" s="407"/>
      <c r="AN137" s="407"/>
      <c r="AO137" s="407"/>
      <c r="AP137" s="407"/>
      <c r="AQ137" s="407"/>
      <c r="AR137" s="407"/>
      <c r="AS137" s="407"/>
      <c r="AT137" s="407"/>
      <c r="AU137" s="407"/>
      <c r="AV137" s="407"/>
      <c r="AW137" s="407"/>
      <c r="AX137" s="407"/>
      <c r="AY137" s="407"/>
      <c r="AZ137" s="407"/>
      <c r="BA137" s="407"/>
      <c r="BB137" s="407"/>
      <c r="BC137" s="407"/>
      <c r="BD137" s="407"/>
      <c r="BE137" s="407"/>
      <c r="BF137" s="407"/>
      <c r="BG137" s="407"/>
      <c r="BH137" s="407"/>
      <c r="BI137" s="407"/>
      <c r="BJ137" s="407"/>
      <c r="BK137" s="407"/>
      <c r="BL137" s="407"/>
      <c r="BM137" s="407"/>
      <c r="BN137" s="407"/>
      <c r="BO137" s="407"/>
      <c r="BP137" s="407"/>
      <c r="BQ137" s="407"/>
      <c r="BR137" s="407"/>
      <c r="BS137" s="407"/>
      <c r="BT137" s="407"/>
      <c r="BU137" s="407"/>
      <c r="BV137" s="407"/>
      <c r="BW137" s="407"/>
      <c r="BX137" s="407"/>
      <c r="BY137" s="407"/>
      <c r="BZ137" s="407"/>
      <c r="CA137" s="407"/>
      <c r="CB137" s="407"/>
      <c r="CC137" s="407"/>
      <c r="CD137" s="407"/>
      <c r="CE137" s="407"/>
      <c r="CF137" s="407"/>
      <c r="CG137" s="407"/>
      <c r="CH137" s="407"/>
      <c r="CI137" s="407"/>
      <c r="CJ137" s="407"/>
      <c r="CK137" s="407"/>
      <c r="CL137" s="407"/>
      <c r="CM137" s="407"/>
      <c r="CN137" s="407"/>
      <c r="CO137" s="407"/>
      <c r="CP137" s="407"/>
      <c r="CQ137" s="407"/>
      <c r="CR137" s="407"/>
      <c r="CS137" s="407"/>
      <c r="CT137" s="407"/>
      <c r="CU137" s="407"/>
      <c r="CV137" s="407"/>
      <c r="CW137" s="407"/>
      <c r="CX137" s="407"/>
      <c r="CY137" s="407"/>
      <c r="CZ137" s="407"/>
      <c r="DA137" s="407"/>
      <c r="DB137" s="407"/>
      <c r="DC137" s="407"/>
      <c r="DD137" s="407"/>
      <c r="DE137" s="407"/>
      <c r="DF137" s="407"/>
      <c r="DG137" s="407"/>
      <c r="DH137" s="407"/>
      <c r="DI137" s="407"/>
      <c r="DJ137" s="407"/>
      <c r="DK137" s="407"/>
      <c r="DL137" s="407"/>
      <c r="DM137" s="407"/>
      <c r="DN137" s="407"/>
    </row>
    <row r="138" spans="37:118" x14ac:dyDescent="0.35">
      <c r="AK138" s="407"/>
      <c r="AL138" s="111"/>
      <c r="AM138" s="407"/>
      <c r="AN138" s="407"/>
      <c r="AO138" s="407"/>
      <c r="AP138" s="407"/>
      <c r="AQ138" s="407"/>
      <c r="AR138" s="407"/>
      <c r="AS138" s="407"/>
      <c r="AT138" s="407"/>
      <c r="AU138" s="407"/>
      <c r="AV138" s="407"/>
      <c r="AW138" s="407"/>
      <c r="AX138" s="407"/>
      <c r="AY138" s="407"/>
      <c r="AZ138" s="407"/>
      <c r="BA138" s="407"/>
      <c r="BB138" s="407"/>
      <c r="BC138" s="407"/>
      <c r="BD138" s="407"/>
      <c r="BE138" s="407"/>
      <c r="BF138" s="407"/>
      <c r="BG138" s="407"/>
      <c r="BH138" s="407"/>
      <c r="BI138" s="407"/>
      <c r="BJ138" s="407"/>
      <c r="BK138" s="407"/>
      <c r="BL138" s="407"/>
      <c r="BM138" s="407"/>
      <c r="BN138" s="407"/>
      <c r="BO138" s="407"/>
      <c r="BP138" s="407"/>
      <c r="BQ138" s="407"/>
      <c r="BR138" s="407"/>
      <c r="BS138" s="407"/>
      <c r="BT138" s="407"/>
      <c r="BU138" s="407"/>
      <c r="BV138" s="407"/>
      <c r="BW138" s="407"/>
      <c r="BX138" s="407"/>
      <c r="BY138" s="407"/>
      <c r="BZ138" s="407"/>
      <c r="CA138" s="407"/>
      <c r="CB138" s="407"/>
      <c r="CC138" s="407"/>
      <c r="CD138" s="407"/>
      <c r="CE138" s="407"/>
      <c r="CF138" s="407"/>
      <c r="CG138" s="407"/>
      <c r="CH138" s="407"/>
      <c r="CI138" s="407"/>
      <c r="CJ138" s="407"/>
      <c r="CK138" s="407"/>
      <c r="CL138" s="407"/>
      <c r="CM138" s="407"/>
      <c r="CN138" s="407"/>
      <c r="CO138" s="407"/>
      <c r="CP138" s="407"/>
      <c r="CQ138" s="407"/>
      <c r="CR138" s="407"/>
      <c r="CS138" s="407"/>
      <c r="CT138" s="407"/>
      <c r="CU138" s="407"/>
      <c r="CV138" s="407"/>
      <c r="CW138" s="407"/>
      <c r="CX138" s="407"/>
      <c r="CY138" s="407"/>
      <c r="CZ138" s="407"/>
      <c r="DA138" s="407"/>
      <c r="DB138" s="407"/>
      <c r="DC138" s="407"/>
      <c r="DD138" s="407"/>
      <c r="DE138" s="407"/>
      <c r="DF138" s="407"/>
      <c r="DG138" s="407"/>
      <c r="DH138" s="407"/>
      <c r="DI138" s="407"/>
      <c r="DJ138" s="407"/>
      <c r="DK138" s="407"/>
      <c r="DL138" s="407"/>
      <c r="DM138" s="407"/>
      <c r="DN138" s="407"/>
    </row>
    <row r="139" spans="37:118" x14ac:dyDescent="0.35">
      <c r="AK139" s="407"/>
      <c r="AL139" s="111"/>
      <c r="AM139" s="407"/>
      <c r="AN139" s="407"/>
      <c r="AO139" s="407"/>
      <c r="AP139" s="407"/>
      <c r="AQ139" s="407"/>
      <c r="AR139" s="407"/>
      <c r="AS139" s="407"/>
      <c r="AT139" s="407"/>
      <c r="AU139" s="407"/>
      <c r="AV139" s="407"/>
      <c r="AW139" s="407"/>
      <c r="AX139" s="407"/>
      <c r="AY139" s="407"/>
      <c r="AZ139" s="407"/>
      <c r="BA139" s="407"/>
      <c r="BB139" s="407"/>
      <c r="BC139" s="407"/>
      <c r="BD139" s="407"/>
      <c r="BE139" s="407"/>
      <c r="BF139" s="407"/>
      <c r="BG139" s="407"/>
      <c r="BH139" s="407"/>
      <c r="BI139" s="407"/>
      <c r="BJ139" s="407"/>
      <c r="BK139" s="407"/>
      <c r="BL139" s="407"/>
      <c r="BM139" s="407"/>
      <c r="BN139" s="407"/>
      <c r="BO139" s="407"/>
      <c r="BP139" s="407"/>
      <c r="BQ139" s="407"/>
      <c r="BR139" s="407"/>
      <c r="BS139" s="407"/>
      <c r="BT139" s="407"/>
      <c r="BU139" s="407"/>
      <c r="BV139" s="407"/>
      <c r="BW139" s="407"/>
      <c r="BX139" s="407"/>
      <c r="BY139" s="407"/>
      <c r="BZ139" s="407"/>
      <c r="CA139" s="407"/>
      <c r="CB139" s="407"/>
      <c r="CC139" s="407"/>
      <c r="CD139" s="407"/>
      <c r="CE139" s="407"/>
      <c r="CF139" s="407"/>
      <c r="CG139" s="407"/>
      <c r="CH139" s="407"/>
      <c r="CI139" s="407"/>
      <c r="CJ139" s="407"/>
      <c r="CK139" s="407"/>
      <c r="CL139" s="407"/>
      <c r="CM139" s="407"/>
      <c r="CN139" s="407"/>
      <c r="CO139" s="407"/>
      <c r="CP139" s="407"/>
      <c r="CQ139" s="407"/>
      <c r="CR139" s="407"/>
      <c r="CS139" s="407"/>
      <c r="CT139" s="407"/>
      <c r="CU139" s="407"/>
      <c r="CV139" s="407"/>
      <c r="CW139" s="407"/>
      <c r="CX139" s="407"/>
      <c r="CY139" s="407"/>
      <c r="CZ139" s="407"/>
      <c r="DA139" s="407"/>
      <c r="DB139" s="407"/>
      <c r="DC139" s="407"/>
      <c r="DD139" s="407"/>
      <c r="DE139" s="407"/>
      <c r="DF139" s="407"/>
      <c r="DG139" s="407"/>
      <c r="DH139" s="407"/>
      <c r="DI139" s="407"/>
      <c r="DJ139" s="407"/>
      <c r="DK139" s="407"/>
      <c r="DL139" s="407"/>
      <c r="DM139" s="407"/>
      <c r="DN139" s="407"/>
    </row>
    <row r="140" spans="37:118" x14ac:dyDescent="0.35">
      <c r="AK140" s="407"/>
      <c r="AL140" s="111"/>
      <c r="AM140" s="407"/>
      <c r="AN140" s="407"/>
      <c r="AO140" s="407"/>
      <c r="AP140" s="407"/>
      <c r="AQ140" s="407"/>
      <c r="AR140" s="407"/>
      <c r="AS140" s="407"/>
      <c r="AT140" s="407"/>
      <c r="AU140" s="407"/>
      <c r="AV140" s="407"/>
      <c r="AW140" s="407"/>
      <c r="AX140" s="407"/>
      <c r="AY140" s="407"/>
      <c r="AZ140" s="407"/>
      <c r="BA140" s="407"/>
      <c r="BB140" s="407"/>
      <c r="BC140" s="407"/>
      <c r="BD140" s="407"/>
      <c r="BE140" s="407"/>
      <c r="BF140" s="407"/>
      <c r="BG140" s="407"/>
      <c r="BH140" s="407"/>
      <c r="BI140" s="407"/>
      <c r="BJ140" s="407"/>
      <c r="BK140" s="407"/>
      <c r="BL140" s="407"/>
      <c r="BM140" s="407"/>
      <c r="BN140" s="407"/>
      <c r="BO140" s="407"/>
      <c r="BP140" s="407"/>
      <c r="BQ140" s="407"/>
      <c r="BR140" s="407"/>
      <c r="BS140" s="407"/>
      <c r="BT140" s="407"/>
      <c r="BU140" s="407"/>
      <c r="BV140" s="407"/>
      <c r="BW140" s="407"/>
      <c r="BX140" s="407"/>
      <c r="BY140" s="407"/>
      <c r="BZ140" s="407"/>
      <c r="CA140" s="407"/>
      <c r="CB140" s="407"/>
      <c r="CC140" s="407"/>
      <c r="CD140" s="407"/>
      <c r="CE140" s="407"/>
      <c r="CF140" s="407"/>
      <c r="CG140" s="407"/>
      <c r="CH140" s="407"/>
      <c r="CI140" s="407"/>
      <c r="CJ140" s="407"/>
      <c r="CK140" s="407"/>
      <c r="CL140" s="407"/>
      <c r="CM140" s="407"/>
      <c r="CN140" s="407"/>
      <c r="CO140" s="407"/>
      <c r="CP140" s="407"/>
      <c r="CQ140" s="407"/>
      <c r="CR140" s="407"/>
      <c r="CS140" s="407"/>
      <c r="CT140" s="407"/>
      <c r="CU140" s="407"/>
      <c r="CV140" s="407"/>
      <c r="CW140" s="407"/>
      <c r="CX140" s="407"/>
      <c r="CY140" s="407"/>
      <c r="CZ140" s="407"/>
      <c r="DA140" s="407"/>
      <c r="DB140" s="407"/>
      <c r="DC140" s="407"/>
      <c r="DD140" s="407"/>
      <c r="DE140" s="407"/>
      <c r="DF140" s="407"/>
      <c r="DG140" s="407"/>
      <c r="DH140" s="407"/>
      <c r="DI140" s="407"/>
      <c r="DJ140" s="407"/>
      <c r="DK140" s="407"/>
      <c r="DL140" s="407"/>
      <c r="DM140" s="407"/>
      <c r="DN140" s="407"/>
    </row>
    <row r="141" spans="37:118" x14ac:dyDescent="0.35">
      <c r="AK141" s="407"/>
      <c r="AL141" s="111"/>
      <c r="AM141" s="407"/>
      <c r="AN141" s="407"/>
      <c r="AO141" s="407"/>
      <c r="AP141" s="407"/>
      <c r="AQ141" s="407"/>
      <c r="AR141" s="407"/>
      <c r="AS141" s="407"/>
      <c r="AT141" s="407"/>
      <c r="AU141" s="407"/>
      <c r="AV141" s="407"/>
      <c r="AW141" s="407"/>
      <c r="AX141" s="407"/>
      <c r="AY141" s="407"/>
      <c r="AZ141" s="407"/>
      <c r="BA141" s="407"/>
      <c r="BB141" s="407"/>
      <c r="BC141" s="407"/>
      <c r="BD141" s="407"/>
      <c r="BE141" s="407"/>
      <c r="BF141" s="407"/>
      <c r="BG141" s="407"/>
      <c r="BH141" s="407"/>
      <c r="BI141" s="407"/>
      <c r="BJ141" s="407"/>
      <c r="BK141" s="407"/>
      <c r="BL141" s="407"/>
      <c r="BM141" s="407"/>
      <c r="BN141" s="407"/>
      <c r="BO141" s="407"/>
      <c r="BP141" s="407"/>
      <c r="BQ141" s="407"/>
      <c r="BR141" s="407"/>
      <c r="BS141" s="407"/>
      <c r="BT141" s="407"/>
      <c r="BU141" s="407"/>
      <c r="BV141" s="407"/>
      <c r="BW141" s="407"/>
      <c r="BX141" s="407"/>
      <c r="BY141" s="407"/>
      <c r="BZ141" s="407"/>
      <c r="CA141" s="407"/>
      <c r="CB141" s="407"/>
      <c r="CC141" s="407"/>
      <c r="CD141" s="407"/>
      <c r="CE141" s="407"/>
      <c r="CF141" s="407"/>
      <c r="CG141" s="407"/>
      <c r="CH141" s="407"/>
      <c r="CI141" s="407"/>
      <c r="CJ141" s="407"/>
      <c r="CK141" s="407"/>
      <c r="CL141" s="407"/>
      <c r="CM141" s="407"/>
      <c r="CN141" s="407"/>
      <c r="CO141" s="407"/>
      <c r="CP141" s="407"/>
      <c r="CQ141" s="407"/>
      <c r="CR141" s="407"/>
      <c r="CS141" s="407"/>
      <c r="CT141" s="407"/>
      <c r="CU141" s="407"/>
      <c r="CV141" s="407"/>
      <c r="CW141" s="407"/>
      <c r="CX141" s="407"/>
      <c r="CY141" s="407"/>
      <c r="CZ141" s="407"/>
      <c r="DA141" s="407"/>
      <c r="DB141" s="407"/>
      <c r="DC141" s="407"/>
      <c r="DD141" s="407"/>
      <c r="DE141" s="407"/>
      <c r="DF141" s="407"/>
      <c r="DG141" s="407"/>
      <c r="DH141" s="407"/>
      <c r="DI141" s="407"/>
      <c r="DJ141" s="407"/>
      <c r="DK141" s="407"/>
      <c r="DL141" s="407"/>
      <c r="DM141" s="407"/>
      <c r="DN141" s="407"/>
    </row>
    <row r="142" spans="37:118" x14ac:dyDescent="0.35">
      <c r="AK142" s="407"/>
      <c r="AL142" s="111"/>
      <c r="AM142" s="407"/>
      <c r="AN142" s="407"/>
      <c r="AO142" s="407"/>
      <c r="AP142" s="407"/>
      <c r="AQ142" s="407"/>
      <c r="AR142" s="407"/>
      <c r="AS142" s="407"/>
      <c r="AT142" s="407"/>
      <c r="AU142" s="407"/>
      <c r="AV142" s="407"/>
      <c r="AW142" s="407"/>
      <c r="AX142" s="407"/>
      <c r="AY142" s="407"/>
      <c r="AZ142" s="407"/>
      <c r="BA142" s="407"/>
      <c r="BB142" s="407"/>
      <c r="BC142" s="407"/>
      <c r="BD142" s="407"/>
      <c r="BE142" s="407"/>
      <c r="BF142" s="407"/>
      <c r="BG142" s="407"/>
      <c r="BH142" s="407"/>
      <c r="BI142" s="407"/>
      <c r="BJ142" s="407"/>
      <c r="BK142" s="407"/>
      <c r="BL142" s="407"/>
      <c r="BM142" s="407"/>
      <c r="BN142" s="407"/>
      <c r="BO142" s="407"/>
      <c r="BP142" s="407"/>
      <c r="BQ142" s="407"/>
      <c r="BR142" s="407"/>
      <c r="BS142" s="407"/>
      <c r="BT142" s="407"/>
      <c r="BU142" s="407"/>
      <c r="BV142" s="407"/>
      <c r="BW142" s="407"/>
      <c r="BX142" s="407"/>
      <c r="BY142" s="407"/>
      <c r="BZ142" s="407"/>
      <c r="CA142" s="407"/>
      <c r="CB142" s="407"/>
      <c r="CC142" s="407"/>
      <c r="CD142" s="407"/>
      <c r="CE142" s="407"/>
      <c r="CF142" s="407"/>
      <c r="CG142" s="407"/>
      <c r="CH142" s="407"/>
      <c r="CI142" s="407"/>
      <c r="CJ142" s="407"/>
      <c r="CK142" s="407"/>
      <c r="CL142" s="407"/>
      <c r="CM142" s="407"/>
      <c r="CN142" s="407"/>
      <c r="CO142" s="407"/>
      <c r="CP142" s="407"/>
      <c r="CQ142" s="407"/>
      <c r="CR142" s="407"/>
      <c r="CS142" s="407"/>
      <c r="CT142" s="407"/>
      <c r="CU142" s="407"/>
      <c r="CV142" s="407"/>
      <c r="CW142" s="407"/>
      <c r="CX142" s="407"/>
      <c r="CY142" s="407"/>
      <c r="CZ142" s="407"/>
      <c r="DA142" s="407"/>
      <c r="DB142" s="407"/>
      <c r="DC142" s="407"/>
      <c r="DD142" s="407"/>
      <c r="DE142" s="407"/>
      <c r="DF142" s="407"/>
      <c r="DG142" s="407"/>
      <c r="DH142" s="407"/>
      <c r="DI142" s="407"/>
      <c r="DJ142" s="407"/>
      <c r="DK142" s="407"/>
      <c r="DL142" s="407"/>
      <c r="DM142" s="407"/>
      <c r="DN142" s="407"/>
    </row>
    <row r="143" spans="37:118" x14ac:dyDescent="0.35">
      <c r="AK143" s="407"/>
      <c r="AL143" s="111"/>
      <c r="AM143" s="407"/>
      <c r="AN143" s="407"/>
      <c r="AO143" s="407"/>
      <c r="AP143" s="407"/>
      <c r="AQ143" s="407"/>
      <c r="AR143" s="407"/>
      <c r="AS143" s="407"/>
      <c r="AT143" s="407"/>
      <c r="AU143" s="407"/>
      <c r="AV143" s="407"/>
      <c r="AW143" s="407"/>
      <c r="AX143" s="407"/>
      <c r="AY143" s="407"/>
      <c r="AZ143" s="407"/>
      <c r="BA143" s="407"/>
      <c r="BB143" s="407"/>
      <c r="BC143" s="407"/>
      <c r="BD143" s="407"/>
      <c r="BE143" s="407"/>
      <c r="BF143" s="407"/>
      <c r="BG143" s="407"/>
      <c r="BH143" s="407"/>
      <c r="BI143" s="407"/>
      <c r="BJ143" s="407"/>
      <c r="BK143" s="407"/>
      <c r="BL143" s="407"/>
      <c r="BM143" s="407"/>
      <c r="BN143" s="407"/>
      <c r="BO143" s="407"/>
      <c r="BP143" s="407"/>
      <c r="BQ143" s="407"/>
      <c r="BR143" s="407"/>
      <c r="BS143" s="407"/>
      <c r="BT143" s="407"/>
      <c r="BU143" s="407"/>
      <c r="BV143" s="407"/>
      <c r="BW143" s="407"/>
      <c r="BX143" s="407"/>
      <c r="BY143" s="407"/>
      <c r="BZ143" s="407"/>
      <c r="CA143" s="407"/>
      <c r="CB143" s="407"/>
      <c r="CC143" s="407"/>
      <c r="CD143" s="407"/>
      <c r="CE143" s="407"/>
      <c r="CF143" s="407"/>
      <c r="CG143" s="407"/>
      <c r="CH143" s="407"/>
      <c r="CI143" s="407"/>
      <c r="CJ143" s="407"/>
      <c r="CK143" s="407"/>
      <c r="CL143" s="407"/>
      <c r="CM143" s="407"/>
      <c r="CN143" s="407"/>
      <c r="CO143" s="407"/>
      <c r="CP143" s="407"/>
      <c r="CQ143" s="407"/>
      <c r="CR143" s="407"/>
      <c r="CS143" s="407"/>
      <c r="CT143" s="407"/>
      <c r="CU143" s="407"/>
      <c r="CV143" s="407"/>
      <c r="CW143" s="407"/>
      <c r="CX143" s="407"/>
      <c r="CY143" s="407"/>
      <c r="CZ143" s="407"/>
      <c r="DA143" s="407"/>
      <c r="DB143" s="407"/>
      <c r="DC143" s="407"/>
      <c r="DD143" s="407"/>
      <c r="DE143" s="407"/>
      <c r="DF143" s="407"/>
      <c r="DG143" s="407"/>
      <c r="DH143" s="407"/>
      <c r="DI143" s="407"/>
      <c r="DJ143" s="407"/>
      <c r="DK143" s="407"/>
      <c r="DL143" s="407"/>
      <c r="DM143" s="407"/>
      <c r="DN143" s="407"/>
    </row>
    <row r="144" spans="37:118" x14ac:dyDescent="0.35">
      <c r="AK144" s="407"/>
      <c r="AL144" s="111"/>
      <c r="AM144" s="407"/>
      <c r="AN144" s="407"/>
      <c r="AO144" s="407"/>
      <c r="AP144" s="407"/>
      <c r="AQ144" s="407"/>
      <c r="AR144" s="407"/>
      <c r="AS144" s="407"/>
      <c r="AT144" s="407"/>
      <c r="AU144" s="407"/>
      <c r="AV144" s="407"/>
      <c r="AW144" s="407"/>
      <c r="AX144" s="407"/>
      <c r="AY144" s="407"/>
      <c r="AZ144" s="407"/>
      <c r="BA144" s="407"/>
      <c r="BB144" s="407"/>
      <c r="BC144" s="407"/>
      <c r="BD144" s="407"/>
      <c r="BE144" s="407"/>
      <c r="BF144" s="407"/>
      <c r="BG144" s="407"/>
      <c r="BH144" s="407"/>
      <c r="BI144" s="407"/>
      <c r="BJ144" s="407"/>
      <c r="BK144" s="407"/>
      <c r="BL144" s="407"/>
      <c r="BM144" s="407"/>
      <c r="BN144" s="407"/>
      <c r="BO144" s="407"/>
      <c r="BP144" s="407"/>
      <c r="BQ144" s="407"/>
      <c r="BR144" s="407"/>
      <c r="BS144" s="407"/>
      <c r="BT144" s="407"/>
      <c r="BU144" s="407"/>
      <c r="BV144" s="407"/>
      <c r="BW144" s="407"/>
      <c r="BX144" s="407"/>
      <c r="BY144" s="407"/>
      <c r="BZ144" s="407"/>
      <c r="CA144" s="407"/>
      <c r="CB144" s="407"/>
      <c r="CC144" s="407"/>
      <c r="CD144" s="407"/>
      <c r="CE144" s="407"/>
      <c r="CF144" s="407"/>
      <c r="CG144" s="407"/>
      <c r="CH144" s="407"/>
      <c r="CI144" s="407"/>
      <c r="CJ144" s="407"/>
      <c r="CK144" s="407"/>
      <c r="CL144" s="407"/>
      <c r="CM144" s="407"/>
      <c r="CN144" s="407"/>
      <c r="CO144" s="407"/>
      <c r="CP144" s="407"/>
      <c r="CQ144" s="407"/>
      <c r="CR144" s="407"/>
      <c r="CS144" s="407"/>
      <c r="CT144" s="407"/>
      <c r="CU144" s="407"/>
      <c r="CV144" s="407"/>
      <c r="CW144" s="407"/>
      <c r="CX144" s="407"/>
      <c r="CY144" s="407"/>
      <c r="CZ144" s="407"/>
      <c r="DA144" s="407"/>
      <c r="DB144" s="407"/>
      <c r="DC144" s="407"/>
      <c r="DD144" s="407"/>
      <c r="DE144" s="407"/>
      <c r="DF144" s="407"/>
      <c r="DG144" s="407"/>
      <c r="DH144" s="407"/>
      <c r="DI144" s="407"/>
      <c r="DJ144" s="407"/>
      <c r="DK144" s="407"/>
      <c r="DL144" s="407"/>
      <c r="DM144" s="407"/>
      <c r="DN144" s="407"/>
    </row>
    <row r="145" spans="37:118" x14ac:dyDescent="0.35">
      <c r="AK145" s="407"/>
      <c r="AL145" s="111"/>
      <c r="AM145" s="407"/>
      <c r="AN145" s="407"/>
      <c r="AO145" s="407"/>
      <c r="AP145" s="407"/>
      <c r="AQ145" s="407"/>
      <c r="AR145" s="407"/>
      <c r="AS145" s="407"/>
      <c r="AT145" s="407"/>
      <c r="AU145" s="407"/>
      <c r="AV145" s="407"/>
      <c r="AW145" s="407"/>
      <c r="AX145" s="407"/>
      <c r="AY145" s="407"/>
      <c r="AZ145" s="407"/>
      <c r="BA145" s="407"/>
      <c r="BB145" s="407"/>
      <c r="BC145" s="407"/>
      <c r="BD145" s="407"/>
      <c r="BE145" s="407"/>
      <c r="BF145" s="407"/>
      <c r="BG145" s="407"/>
      <c r="BH145" s="407"/>
      <c r="BI145" s="407"/>
      <c r="BJ145" s="407"/>
      <c r="BK145" s="407"/>
      <c r="BL145" s="407"/>
      <c r="BM145" s="407"/>
      <c r="BN145" s="407"/>
      <c r="BO145" s="407"/>
      <c r="BP145" s="407"/>
      <c r="BQ145" s="407"/>
      <c r="BR145" s="407"/>
      <c r="BS145" s="407"/>
      <c r="BT145" s="407"/>
      <c r="BU145" s="407"/>
      <c r="BV145" s="407"/>
      <c r="BW145" s="407"/>
      <c r="BX145" s="407"/>
      <c r="BY145" s="407"/>
      <c r="BZ145" s="407"/>
      <c r="CA145" s="407"/>
      <c r="CB145" s="407"/>
      <c r="CC145" s="407"/>
      <c r="CD145" s="407"/>
      <c r="CE145" s="407"/>
      <c r="CF145" s="407"/>
      <c r="CG145" s="407"/>
      <c r="CH145" s="407"/>
      <c r="CI145" s="407"/>
      <c r="CJ145" s="407"/>
      <c r="CK145" s="407"/>
      <c r="CL145" s="407"/>
      <c r="CM145" s="407"/>
      <c r="CN145" s="407"/>
      <c r="CO145" s="407"/>
      <c r="CP145" s="407"/>
      <c r="CQ145" s="407"/>
      <c r="CR145" s="407"/>
      <c r="CS145" s="407"/>
      <c r="CT145" s="407"/>
      <c r="CU145" s="407"/>
      <c r="CV145" s="407"/>
      <c r="CW145" s="407"/>
      <c r="CX145" s="407"/>
      <c r="CY145" s="407"/>
      <c r="CZ145" s="407"/>
      <c r="DA145" s="407"/>
      <c r="DB145" s="407"/>
      <c r="DC145" s="407"/>
      <c r="DD145" s="407"/>
      <c r="DE145" s="407"/>
      <c r="DF145" s="407"/>
      <c r="DG145" s="407"/>
      <c r="DH145" s="407"/>
      <c r="DI145" s="407"/>
      <c r="DJ145" s="407"/>
      <c r="DK145" s="407"/>
      <c r="DL145" s="407"/>
      <c r="DM145" s="407"/>
      <c r="DN145" s="407"/>
    </row>
    <row r="146" spans="37:118" x14ac:dyDescent="0.35">
      <c r="AK146" s="407"/>
      <c r="AL146" s="111"/>
      <c r="AM146" s="407"/>
      <c r="AN146" s="407"/>
      <c r="AO146" s="407"/>
      <c r="AP146" s="407"/>
      <c r="AQ146" s="407"/>
      <c r="AR146" s="407"/>
      <c r="AS146" s="407"/>
      <c r="AT146" s="407"/>
      <c r="AU146" s="407"/>
      <c r="AV146" s="407"/>
      <c r="AW146" s="407"/>
      <c r="AX146" s="407"/>
      <c r="AY146" s="407"/>
      <c r="AZ146" s="407"/>
      <c r="BA146" s="407"/>
      <c r="BB146" s="407"/>
      <c r="BC146" s="407"/>
      <c r="BD146" s="407"/>
      <c r="BE146" s="407"/>
      <c r="BF146" s="407"/>
      <c r="BG146" s="407"/>
      <c r="BH146" s="407"/>
      <c r="BI146" s="407"/>
      <c r="BJ146" s="407"/>
      <c r="BK146" s="407"/>
      <c r="BL146" s="407"/>
      <c r="BM146" s="407"/>
      <c r="BN146" s="407"/>
      <c r="BO146" s="407"/>
      <c r="BP146" s="407"/>
      <c r="BQ146" s="407"/>
      <c r="BR146" s="407"/>
      <c r="BS146" s="407"/>
      <c r="BT146" s="407"/>
      <c r="BU146" s="407"/>
      <c r="BV146" s="407"/>
      <c r="BW146" s="407"/>
      <c r="BX146" s="407"/>
      <c r="BY146" s="407"/>
      <c r="BZ146" s="407"/>
      <c r="CA146" s="407"/>
      <c r="CB146" s="407"/>
      <c r="CC146" s="407"/>
      <c r="CD146" s="407"/>
      <c r="CE146" s="407"/>
      <c r="CF146" s="407"/>
      <c r="CG146" s="407"/>
      <c r="CH146" s="407"/>
      <c r="CI146" s="407"/>
      <c r="CJ146" s="407"/>
      <c r="CK146" s="407"/>
      <c r="CL146" s="407"/>
      <c r="CM146" s="407"/>
      <c r="CN146" s="407"/>
      <c r="CO146" s="407"/>
      <c r="CP146" s="407"/>
      <c r="CQ146" s="407"/>
      <c r="CR146" s="407"/>
      <c r="CS146" s="407"/>
      <c r="CT146" s="407"/>
      <c r="CU146" s="407"/>
      <c r="CV146" s="407"/>
      <c r="CW146" s="407"/>
      <c r="CX146" s="407"/>
      <c r="CY146" s="407"/>
      <c r="CZ146" s="407"/>
      <c r="DA146" s="407"/>
      <c r="DB146" s="407"/>
      <c r="DC146" s="407"/>
      <c r="DD146" s="407"/>
      <c r="DE146" s="407"/>
      <c r="DF146" s="407"/>
      <c r="DG146" s="407"/>
      <c r="DH146" s="407"/>
      <c r="DI146" s="407"/>
      <c r="DJ146" s="407"/>
      <c r="DK146" s="407"/>
      <c r="DL146" s="407"/>
      <c r="DM146" s="407"/>
      <c r="DN146" s="407"/>
    </row>
    <row r="147" spans="37:118" x14ac:dyDescent="0.35">
      <c r="AK147" s="407"/>
      <c r="AL147" s="111"/>
      <c r="AM147" s="407"/>
      <c r="AN147" s="407"/>
      <c r="AO147" s="407"/>
      <c r="AP147" s="407"/>
      <c r="AQ147" s="407"/>
      <c r="AR147" s="407"/>
      <c r="AS147" s="407"/>
      <c r="AT147" s="407"/>
      <c r="AU147" s="407"/>
      <c r="AV147" s="407"/>
      <c r="AW147" s="407"/>
      <c r="AX147" s="407"/>
      <c r="AY147" s="407"/>
      <c r="AZ147" s="407"/>
      <c r="BA147" s="407"/>
      <c r="BB147" s="407"/>
      <c r="BC147" s="407"/>
      <c r="BD147" s="407"/>
      <c r="BE147" s="407"/>
      <c r="BF147" s="407"/>
      <c r="BG147" s="407"/>
      <c r="BH147" s="407"/>
      <c r="BI147" s="407"/>
      <c r="BJ147" s="407"/>
      <c r="BK147" s="407"/>
      <c r="BL147" s="407"/>
      <c r="BM147" s="407"/>
      <c r="BN147" s="407"/>
      <c r="BO147" s="407"/>
      <c r="BP147" s="407"/>
      <c r="BQ147" s="407"/>
      <c r="BR147" s="407"/>
      <c r="BS147" s="407"/>
      <c r="BT147" s="407"/>
      <c r="BU147" s="407"/>
      <c r="BV147" s="407"/>
      <c r="BW147" s="407"/>
      <c r="BX147" s="407"/>
      <c r="BY147" s="407"/>
      <c r="BZ147" s="407"/>
      <c r="CA147" s="407"/>
      <c r="CB147" s="407"/>
      <c r="CC147" s="407"/>
      <c r="CD147" s="407"/>
      <c r="CE147" s="407"/>
      <c r="CF147" s="407"/>
      <c r="CG147" s="407"/>
      <c r="CH147" s="407"/>
      <c r="CI147" s="407"/>
      <c r="CJ147" s="407"/>
      <c r="CK147" s="407"/>
      <c r="CL147" s="407"/>
      <c r="CM147" s="407"/>
      <c r="CN147" s="407"/>
      <c r="CO147" s="407"/>
      <c r="CP147" s="407"/>
      <c r="CQ147" s="407"/>
      <c r="CR147" s="407"/>
      <c r="CS147" s="407"/>
      <c r="CT147" s="407"/>
      <c r="CU147" s="407"/>
      <c r="CV147" s="407"/>
      <c r="CW147" s="407"/>
      <c r="CX147" s="407"/>
      <c r="CY147" s="407"/>
      <c r="CZ147" s="407"/>
      <c r="DA147" s="407"/>
      <c r="DB147" s="407"/>
      <c r="DC147" s="407"/>
      <c r="DD147" s="407"/>
      <c r="DE147" s="407"/>
      <c r="DF147" s="407"/>
      <c r="DG147" s="407"/>
      <c r="DH147" s="407"/>
      <c r="DI147" s="407"/>
      <c r="DJ147" s="407"/>
      <c r="DK147" s="407"/>
      <c r="DL147" s="407"/>
      <c r="DM147" s="407"/>
      <c r="DN147" s="407"/>
    </row>
    <row r="148" spans="37:118" x14ac:dyDescent="0.35">
      <c r="AK148" s="407"/>
      <c r="AL148" s="111"/>
      <c r="AM148" s="407"/>
      <c r="AN148" s="407"/>
      <c r="AO148" s="407"/>
      <c r="AP148" s="407"/>
      <c r="AQ148" s="407"/>
      <c r="AR148" s="407"/>
      <c r="AS148" s="407"/>
      <c r="AT148" s="407"/>
      <c r="AU148" s="407"/>
      <c r="AV148" s="407"/>
      <c r="AW148" s="407"/>
      <c r="AX148" s="407"/>
      <c r="AY148" s="407"/>
      <c r="AZ148" s="407"/>
      <c r="BA148" s="407"/>
      <c r="BB148" s="407"/>
      <c r="BC148" s="407"/>
      <c r="BD148" s="407"/>
      <c r="BE148" s="407"/>
      <c r="BF148" s="407"/>
      <c r="BG148" s="407"/>
      <c r="BH148" s="407"/>
      <c r="BI148" s="407"/>
      <c r="BJ148" s="407"/>
      <c r="BK148" s="407"/>
      <c r="BL148" s="407"/>
      <c r="BM148" s="407"/>
      <c r="BN148" s="407"/>
      <c r="BO148" s="407"/>
      <c r="BP148" s="407"/>
      <c r="BQ148" s="407"/>
      <c r="BR148" s="407"/>
      <c r="BS148" s="407"/>
      <c r="BT148" s="407"/>
      <c r="BU148" s="407"/>
      <c r="BV148" s="407"/>
      <c r="BW148" s="407"/>
      <c r="BX148" s="407"/>
      <c r="BY148" s="407"/>
      <c r="BZ148" s="407"/>
      <c r="CA148" s="407"/>
      <c r="CB148" s="407"/>
      <c r="CC148" s="407"/>
      <c r="CD148" s="407"/>
      <c r="CE148" s="407"/>
      <c r="CF148" s="407"/>
      <c r="CG148" s="407"/>
      <c r="CH148" s="407"/>
      <c r="CI148" s="407"/>
      <c r="CJ148" s="407"/>
      <c r="CK148" s="407"/>
      <c r="CL148" s="407"/>
      <c r="CM148" s="407"/>
      <c r="CN148" s="407"/>
      <c r="CO148" s="407"/>
      <c r="CP148" s="407"/>
      <c r="CQ148" s="407"/>
      <c r="CR148" s="407"/>
      <c r="CS148" s="407"/>
      <c r="CT148" s="407"/>
      <c r="CU148" s="407"/>
      <c r="CV148" s="407"/>
      <c r="CW148" s="407"/>
      <c r="CX148" s="407"/>
      <c r="CY148" s="407"/>
      <c r="CZ148" s="407"/>
      <c r="DA148" s="407"/>
      <c r="DB148" s="407"/>
      <c r="DC148" s="407"/>
      <c r="DD148" s="407"/>
      <c r="DE148" s="407"/>
      <c r="DF148" s="407"/>
      <c r="DG148" s="407"/>
      <c r="DH148" s="407"/>
      <c r="DI148" s="407"/>
      <c r="DJ148" s="407"/>
      <c r="DK148" s="407"/>
      <c r="DL148" s="407"/>
      <c r="DM148" s="407"/>
      <c r="DN148" s="407"/>
    </row>
    <row r="149" spans="37:118" x14ac:dyDescent="0.35">
      <c r="AK149" s="407"/>
      <c r="AL149" s="111"/>
      <c r="AM149" s="407"/>
      <c r="AN149" s="407"/>
      <c r="AO149" s="407"/>
      <c r="AP149" s="407"/>
      <c r="AQ149" s="407"/>
      <c r="AR149" s="407"/>
      <c r="AS149" s="407"/>
      <c r="AT149" s="407"/>
      <c r="AU149" s="407"/>
      <c r="AV149" s="407"/>
      <c r="AW149" s="407"/>
      <c r="AX149" s="407"/>
      <c r="AY149" s="407"/>
      <c r="AZ149" s="407"/>
      <c r="BA149" s="407"/>
      <c r="BB149" s="407"/>
      <c r="BC149" s="407"/>
      <c r="BD149" s="407"/>
      <c r="BE149" s="407"/>
      <c r="BF149" s="407"/>
      <c r="BG149" s="407"/>
      <c r="BH149" s="407"/>
      <c r="BI149" s="407"/>
      <c r="BJ149" s="407"/>
      <c r="BK149" s="407"/>
      <c r="BL149" s="407"/>
      <c r="BM149" s="407"/>
      <c r="BN149" s="407"/>
      <c r="BO149" s="407"/>
      <c r="BP149" s="407"/>
      <c r="BQ149" s="407"/>
      <c r="BR149" s="407"/>
      <c r="BS149" s="407"/>
      <c r="BT149" s="407"/>
      <c r="BU149" s="407"/>
      <c r="BV149" s="407"/>
      <c r="BW149" s="407"/>
      <c r="BX149" s="407"/>
      <c r="BY149" s="407"/>
      <c r="BZ149" s="407"/>
      <c r="CA149" s="407"/>
      <c r="CB149" s="407"/>
      <c r="CC149" s="407"/>
      <c r="CD149" s="407"/>
      <c r="CE149" s="407"/>
      <c r="CF149" s="407"/>
      <c r="CG149" s="407"/>
      <c r="CH149" s="407"/>
      <c r="CI149" s="407"/>
      <c r="CJ149" s="407"/>
      <c r="CK149" s="407"/>
      <c r="CL149" s="407"/>
      <c r="CM149" s="407"/>
      <c r="CN149" s="407"/>
      <c r="CO149" s="407"/>
      <c r="CP149" s="407"/>
      <c r="CQ149" s="407"/>
      <c r="CR149" s="407"/>
      <c r="CS149" s="407"/>
      <c r="CT149" s="407"/>
      <c r="CU149" s="407"/>
      <c r="CV149" s="407"/>
      <c r="CW149" s="407"/>
      <c r="CX149" s="407"/>
      <c r="CY149" s="407"/>
      <c r="CZ149" s="407"/>
      <c r="DA149" s="407"/>
      <c r="DB149" s="407"/>
      <c r="DC149" s="407"/>
      <c r="DD149" s="407"/>
      <c r="DE149" s="407"/>
      <c r="DF149" s="407"/>
      <c r="DG149" s="407"/>
      <c r="DH149" s="407"/>
      <c r="DI149" s="407"/>
      <c r="DJ149" s="407"/>
      <c r="DK149" s="407"/>
      <c r="DL149" s="407"/>
      <c r="DM149" s="407"/>
      <c r="DN149" s="407"/>
    </row>
    <row r="150" spans="37:118" x14ac:dyDescent="0.35">
      <c r="AK150" s="407"/>
      <c r="AL150" s="111"/>
      <c r="AM150" s="407"/>
      <c r="AN150" s="407"/>
      <c r="AO150" s="407"/>
      <c r="AP150" s="407"/>
      <c r="AQ150" s="407"/>
      <c r="AR150" s="407"/>
      <c r="AS150" s="407"/>
      <c r="AT150" s="407"/>
      <c r="AU150" s="407"/>
      <c r="AV150" s="407"/>
      <c r="AW150" s="407"/>
      <c r="AX150" s="407"/>
      <c r="AY150" s="407"/>
      <c r="AZ150" s="407"/>
      <c r="BA150" s="407"/>
      <c r="BB150" s="407"/>
      <c r="BC150" s="407"/>
      <c r="BD150" s="407"/>
      <c r="BE150" s="407"/>
      <c r="BF150" s="407"/>
      <c r="BG150" s="407"/>
      <c r="BH150" s="407"/>
      <c r="BI150" s="407"/>
      <c r="BJ150" s="407"/>
      <c r="BK150" s="407"/>
      <c r="BL150" s="407"/>
      <c r="BM150" s="407"/>
      <c r="BN150" s="407"/>
      <c r="BO150" s="407"/>
      <c r="BP150" s="407"/>
      <c r="BQ150" s="407"/>
      <c r="BR150" s="407"/>
      <c r="BS150" s="407"/>
      <c r="BT150" s="407"/>
      <c r="BU150" s="407"/>
      <c r="BV150" s="407"/>
      <c r="BW150" s="407"/>
      <c r="BX150" s="407"/>
      <c r="BY150" s="407"/>
      <c r="BZ150" s="407"/>
      <c r="CA150" s="407"/>
      <c r="CB150" s="407"/>
      <c r="CC150" s="407"/>
      <c r="CD150" s="407"/>
      <c r="CE150" s="407"/>
      <c r="CF150" s="407"/>
      <c r="CG150" s="407"/>
      <c r="CH150" s="407"/>
      <c r="CI150" s="407"/>
      <c r="CJ150" s="407"/>
      <c r="CK150" s="407"/>
      <c r="CL150" s="407"/>
      <c r="CM150" s="407"/>
      <c r="CN150" s="407"/>
      <c r="CO150" s="407"/>
      <c r="CP150" s="407"/>
      <c r="CQ150" s="407"/>
      <c r="CR150" s="407"/>
      <c r="CS150" s="407"/>
      <c r="CT150" s="407"/>
      <c r="CU150" s="407"/>
      <c r="CV150" s="407"/>
      <c r="CW150" s="407"/>
      <c r="CX150" s="407"/>
      <c r="CY150" s="407"/>
      <c r="CZ150" s="407"/>
      <c r="DA150" s="407"/>
      <c r="DB150" s="407"/>
      <c r="DC150" s="407"/>
      <c r="DD150" s="407"/>
      <c r="DE150" s="407"/>
      <c r="DF150" s="407"/>
      <c r="DG150" s="407"/>
      <c r="DH150" s="407"/>
      <c r="DI150" s="407"/>
      <c r="DJ150" s="407"/>
      <c r="DK150" s="407"/>
      <c r="DL150" s="407"/>
      <c r="DM150" s="407"/>
      <c r="DN150" s="407"/>
    </row>
    <row r="151" spans="37:118" x14ac:dyDescent="0.35">
      <c r="AK151" s="407"/>
      <c r="AL151" s="111"/>
      <c r="AM151" s="407"/>
      <c r="AN151" s="407"/>
      <c r="AO151" s="407"/>
      <c r="AP151" s="407"/>
      <c r="AQ151" s="407"/>
      <c r="AR151" s="407"/>
      <c r="AS151" s="407"/>
      <c r="AT151" s="407"/>
      <c r="AU151" s="407"/>
      <c r="AV151" s="407"/>
      <c r="AW151" s="407"/>
      <c r="AX151" s="407"/>
      <c r="AY151" s="407"/>
      <c r="AZ151" s="407"/>
      <c r="BA151" s="407"/>
      <c r="BB151" s="407"/>
      <c r="BC151" s="407"/>
      <c r="BD151" s="407"/>
      <c r="BE151" s="407"/>
      <c r="BF151" s="407"/>
      <c r="BG151" s="407"/>
      <c r="BH151" s="407"/>
      <c r="BI151" s="407"/>
      <c r="BJ151" s="407"/>
      <c r="BK151" s="407"/>
      <c r="BL151" s="407"/>
      <c r="BM151" s="407"/>
      <c r="BN151" s="407"/>
      <c r="BO151" s="407"/>
      <c r="BP151" s="407"/>
      <c r="BQ151" s="407"/>
      <c r="BR151" s="407"/>
      <c r="BS151" s="407"/>
      <c r="BT151" s="407"/>
      <c r="BU151" s="407"/>
      <c r="BV151" s="407"/>
      <c r="BW151" s="407"/>
      <c r="BX151" s="407"/>
      <c r="BY151" s="407"/>
      <c r="BZ151" s="407"/>
      <c r="CA151" s="407"/>
      <c r="CB151" s="407"/>
      <c r="CC151" s="407"/>
      <c r="CD151" s="407"/>
      <c r="CE151" s="407"/>
      <c r="CF151" s="407"/>
      <c r="CG151" s="407"/>
      <c r="CH151" s="407"/>
      <c r="CI151" s="407"/>
      <c r="CJ151" s="407"/>
      <c r="CK151" s="407"/>
      <c r="CL151" s="407"/>
      <c r="CM151" s="407"/>
      <c r="CN151" s="407"/>
      <c r="CO151" s="407"/>
      <c r="CP151" s="407"/>
      <c r="CQ151" s="407"/>
      <c r="CR151" s="407"/>
      <c r="CS151" s="407"/>
      <c r="CT151" s="407"/>
      <c r="CU151" s="407"/>
      <c r="CV151" s="407"/>
      <c r="CW151" s="407"/>
      <c r="CX151" s="407"/>
      <c r="CY151" s="407"/>
      <c r="CZ151" s="407"/>
      <c r="DA151" s="407"/>
      <c r="DB151" s="407"/>
      <c r="DC151" s="407"/>
      <c r="DD151" s="407"/>
      <c r="DE151" s="407"/>
      <c r="DF151" s="407"/>
      <c r="DG151" s="407"/>
      <c r="DH151" s="407"/>
      <c r="DI151" s="407"/>
      <c r="DJ151" s="407"/>
      <c r="DK151" s="407"/>
      <c r="DL151" s="407"/>
      <c r="DM151" s="407"/>
      <c r="DN151" s="407"/>
    </row>
    <row r="152" spans="37:118" x14ac:dyDescent="0.35">
      <c r="AK152" s="407"/>
      <c r="AL152" s="111"/>
      <c r="AM152" s="407"/>
      <c r="AN152" s="407"/>
      <c r="AO152" s="407"/>
      <c r="AP152" s="407"/>
      <c r="AQ152" s="407"/>
      <c r="AR152" s="407"/>
      <c r="AS152" s="407"/>
      <c r="AT152" s="407"/>
      <c r="AU152" s="407"/>
      <c r="AV152" s="407"/>
      <c r="AW152" s="407"/>
      <c r="AX152" s="407"/>
      <c r="AY152" s="407"/>
      <c r="AZ152" s="407"/>
      <c r="BA152" s="407"/>
      <c r="BB152" s="407"/>
      <c r="BC152" s="407"/>
      <c r="BD152" s="407"/>
      <c r="BE152" s="407"/>
      <c r="BF152" s="407"/>
      <c r="BG152" s="407"/>
      <c r="BH152" s="407"/>
      <c r="BI152" s="407"/>
      <c r="BJ152" s="407"/>
      <c r="BK152" s="407"/>
      <c r="BL152" s="407"/>
      <c r="BM152" s="407"/>
      <c r="BN152" s="407"/>
      <c r="BO152" s="407"/>
      <c r="BP152" s="407"/>
      <c r="BQ152" s="407"/>
      <c r="BR152" s="407"/>
      <c r="BS152" s="407"/>
      <c r="BT152" s="407"/>
      <c r="BU152" s="407"/>
      <c r="BV152" s="407"/>
      <c r="BW152" s="407"/>
      <c r="BX152" s="407"/>
      <c r="BY152" s="407"/>
      <c r="BZ152" s="407"/>
      <c r="CA152" s="407"/>
      <c r="CB152" s="407"/>
      <c r="CC152" s="407"/>
      <c r="CD152" s="407"/>
      <c r="CE152" s="407"/>
      <c r="CF152" s="407"/>
      <c r="CG152" s="407"/>
      <c r="CH152" s="407"/>
      <c r="CI152" s="407"/>
      <c r="CJ152" s="407"/>
      <c r="CK152" s="407"/>
      <c r="CL152" s="407"/>
      <c r="CM152" s="407"/>
      <c r="CN152" s="407"/>
      <c r="CO152" s="407"/>
      <c r="CP152" s="407"/>
      <c r="CQ152" s="407"/>
      <c r="CR152" s="407"/>
      <c r="CS152" s="407"/>
      <c r="CT152" s="407"/>
      <c r="CU152" s="407"/>
      <c r="CV152" s="407"/>
      <c r="CW152" s="407"/>
      <c r="CX152" s="407"/>
      <c r="CY152" s="407"/>
      <c r="CZ152" s="407"/>
      <c r="DA152" s="407"/>
      <c r="DB152" s="407"/>
      <c r="DC152" s="407"/>
      <c r="DD152" s="407"/>
      <c r="DE152" s="407"/>
      <c r="DF152" s="407"/>
      <c r="DG152" s="407"/>
      <c r="DH152" s="407"/>
      <c r="DI152" s="407"/>
      <c r="DJ152" s="407"/>
      <c r="DK152" s="407"/>
      <c r="DL152" s="407"/>
      <c r="DM152" s="407"/>
      <c r="DN152" s="407"/>
    </row>
    <row r="153" spans="37:118" x14ac:dyDescent="0.35">
      <c r="AK153" s="407"/>
      <c r="AL153" s="111"/>
      <c r="AM153" s="407"/>
      <c r="AN153" s="407"/>
      <c r="AO153" s="407"/>
      <c r="AP153" s="407"/>
      <c r="AQ153" s="407"/>
      <c r="AR153" s="407"/>
      <c r="AS153" s="407"/>
      <c r="AT153" s="407"/>
      <c r="AU153" s="407"/>
      <c r="AV153" s="407"/>
      <c r="AW153" s="407"/>
      <c r="AX153" s="407"/>
      <c r="AY153" s="407"/>
      <c r="AZ153" s="407"/>
      <c r="BA153" s="407"/>
      <c r="BB153" s="407"/>
      <c r="BC153" s="407"/>
      <c r="BD153" s="407"/>
      <c r="BE153" s="407"/>
      <c r="BF153" s="407"/>
      <c r="BG153" s="407"/>
      <c r="BH153" s="407"/>
      <c r="BI153" s="407"/>
      <c r="BJ153" s="407"/>
      <c r="BK153" s="407"/>
      <c r="BL153" s="407"/>
      <c r="BM153" s="407"/>
      <c r="BN153" s="407"/>
      <c r="BO153" s="407"/>
      <c r="BP153" s="407"/>
      <c r="BQ153" s="407"/>
      <c r="BR153" s="407"/>
      <c r="BS153" s="407"/>
      <c r="BT153" s="407"/>
      <c r="BU153" s="407"/>
      <c r="BV153" s="407"/>
      <c r="BW153" s="407"/>
      <c r="BX153" s="407"/>
      <c r="BY153" s="407"/>
      <c r="BZ153" s="407"/>
      <c r="CA153" s="407"/>
      <c r="CB153" s="407"/>
      <c r="CC153" s="407"/>
      <c r="CD153" s="407"/>
      <c r="CE153" s="407"/>
      <c r="CF153" s="407"/>
      <c r="CG153" s="407"/>
      <c r="CH153" s="407"/>
      <c r="CI153" s="407"/>
      <c r="CJ153" s="407"/>
      <c r="CK153" s="407"/>
      <c r="CL153" s="407"/>
      <c r="CM153" s="407"/>
      <c r="CN153" s="407"/>
      <c r="CO153" s="407"/>
      <c r="CP153" s="407"/>
      <c r="CQ153" s="407"/>
      <c r="CR153" s="407"/>
      <c r="CS153" s="407"/>
      <c r="CT153" s="407"/>
      <c r="CU153" s="407"/>
      <c r="CV153" s="407"/>
      <c r="CW153" s="407"/>
      <c r="CX153" s="407"/>
      <c r="CY153" s="407"/>
      <c r="CZ153" s="407"/>
      <c r="DA153" s="407"/>
      <c r="DB153" s="407"/>
      <c r="DC153" s="407"/>
      <c r="DD153" s="407"/>
      <c r="DE153" s="407"/>
      <c r="DF153" s="407"/>
      <c r="DG153" s="407"/>
      <c r="DH153" s="407"/>
      <c r="DI153" s="407"/>
      <c r="DJ153" s="407"/>
      <c r="DK153" s="407"/>
      <c r="DL153" s="407"/>
      <c r="DM153" s="407"/>
      <c r="DN153" s="407"/>
    </row>
    <row r="154" spans="37:118" x14ac:dyDescent="0.35">
      <c r="AK154" s="407"/>
      <c r="AL154" s="111"/>
      <c r="AM154" s="407"/>
      <c r="AN154" s="407"/>
      <c r="AO154" s="407"/>
      <c r="AP154" s="407"/>
      <c r="AQ154" s="407"/>
      <c r="AR154" s="407"/>
      <c r="AS154" s="407"/>
      <c r="AT154" s="407"/>
      <c r="AU154" s="407"/>
      <c r="AV154" s="407"/>
      <c r="AW154" s="407"/>
      <c r="AX154" s="407"/>
      <c r="AY154" s="407"/>
      <c r="AZ154" s="407"/>
      <c r="BA154" s="407"/>
      <c r="BB154" s="407"/>
      <c r="BC154" s="407"/>
      <c r="BD154" s="407"/>
      <c r="BE154" s="407"/>
      <c r="BF154" s="407"/>
      <c r="BG154" s="407"/>
      <c r="BH154" s="407"/>
      <c r="BI154" s="407"/>
      <c r="BJ154" s="407"/>
      <c r="BK154" s="407"/>
      <c r="BL154" s="407"/>
      <c r="BM154" s="407"/>
      <c r="BN154" s="407"/>
      <c r="BO154" s="407"/>
      <c r="BP154" s="407"/>
      <c r="BQ154" s="407"/>
      <c r="BR154" s="407"/>
      <c r="BS154" s="407"/>
      <c r="BT154" s="407"/>
      <c r="BU154" s="407"/>
      <c r="BV154" s="407"/>
      <c r="BW154" s="407"/>
      <c r="BX154" s="407"/>
      <c r="BY154" s="407"/>
      <c r="BZ154" s="407"/>
      <c r="CA154" s="407"/>
      <c r="CB154" s="407"/>
      <c r="CC154" s="407"/>
      <c r="CD154" s="407"/>
      <c r="CE154" s="407"/>
      <c r="CF154" s="407"/>
      <c r="CG154" s="407"/>
      <c r="CH154" s="407"/>
      <c r="CI154" s="407"/>
      <c r="CJ154" s="407"/>
      <c r="CK154" s="407"/>
      <c r="CL154" s="407"/>
      <c r="CM154" s="407"/>
      <c r="CN154" s="407"/>
      <c r="CO154" s="407"/>
      <c r="CP154" s="407"/>
      <c r="CQ154" s="407"/>
      <c r="CR154" s="407"/>
      <c r="CS154" s="407"/>
      <c r="CT154" s="407"/>
      <c r="CU154" s="407"/>
      <c r="CV154" s="407"/>
      <c r="CW154" s="407"/>
      <c r="CX154" s="407"/>
      <c r="CY154" s="407"/>
      <c r="CZ154" s="407"/>
      <c r="DA154" s="407"/>
      <c r="DB154" s="407"/>
      <c r="DC154" s="407"/>
      <c r="DD154" s="407"/>
      <c r="DE154" s="407"/>
      <c r="DF154" s="407"/>
      <c r="DG154" s="407"/>
      <c r="DH154" s="407"/>
      <c r="DI154" s="407"/>
      <c r="DJ154" s="407"/>
      <c r="DK154" s="407"/>
      <c r="DL154" s="407"/>
      <c r="DM154" s="407"/>
      <c r="DN154" s="407"/>
    </row>
    <row r="155" spans="37:118" x14ac:dyDescent="0.35">
      <c r="AK155" s="407"/>
      <c r="AL155" s="111"/>
      <c r="AM155" s="407"/>
      <c r="AN155" s="407"/>
      <c r="AO155" s="407"/>
      <c r="AP155" s="407"/>
      <c r="AQ155" s="407"/>
      <c r="AR155" s="407"/>
      <c r="AS155" s="407"/>
      <c r="AT155" s="407"/>
      <c r="AU155" s="407"/>
      <c r="AV155" s="407"/>
      <c r="AW155" s="407"/>
      <c r="AX155" s="407"/>
      <c r="AY155" s="407"/>
      <c r="AZ155" s="407"/>
      <c r="BA155" s="407"/>
      <c r="BB155" s="407"/>
      <c r="BC155" s="407"/>
      <c r="BD155" s="407"/>
      <c r="BE155" s="407"/>
      <c r="BF155" s="407"/>
      <c r="BG155" s="407"/>
      <c r="BH155" s="407"/>
      <c r="BI155" s="407"/>
      <c r="BJ155" s="407"/>
      <c r="BK155" s="407"/>
      <c r="BL155" s="407"/>
      <c r="BM155" s="407"/>
      <c r="BN155" s="407"/>
      <c r="BO155" s="407"/>
      <c r="BP155" s="407"/>
      <c r="BQ155" s="407"/>
      <c r="BR155" s="407"/>
      <c r="BS155" s="407"/>
      <c r="BT155" s="407"/>
      <c r="BU155" s="407"/>
      <c r="BV155" s="407"/>
      <c r="BW155" s="407"/>
      <c r="BX155" s="407"/>
      <c r="BY155" s="407"/>
      <c r="BZ155" s="407"/>
      <c r="CA155" s="407"/>
      <c r="CB155" s="407"/>
      <c r="CC155" s="407"/>
      <c r="CD155" s="407"/>
      <c r="CE155" s="407"/>
      <c r="CF155" s="407"/>
      <c r="CG155" s="407"/>
      <c r="CH155" s="407"/>
      <c r="CI155" s="407"/>
      <c r="CJ155" s="407"/>
      <c r="CK155" s="407"/>
      <c r="CL155" s="407"/>
      <c r="CM155" s="407"/>
      <c r="CN155" s="407"/>
      <c r="CO155" s="407"/>
      <c r="CP155" s="407"/>
      <c r="CQ155" s="407"/>
      <c r="CR155" s="407"/>
      <c r="CS155" s="407"/>
      <c r="CT155" s="407"/>
      <c r="CU155" s="407"/>
      <c r="CV155" s="407"/>
      <c r="CW155" s="407"/>
      <c r="CX155" s="407"/>
      <c r="CY155" s="407"/>
      <c r="CZ155" s="407"/>
      <c r="DA155" s="407"/>
      <c r="DB155" s="407"/>
      <c r="DC155" s="407"/>
      <c r="DD155" s="407"/>
      <c r="DE155" s="407"/>
      <c r="DF155" s="407"/>
      <c r="DG155" s="407"/>
      <c r="DH155" s="407"/>
      <c r="DI155" s="407"/>
      <c r="DJ155" s="407"/>
      <c r="DK155" s="407"/>
      <c r="DL155" s="407"/>
      <c r="DM155" s="407"/>
      <c r="DN155" s="407"/>
    </row>
    <row r="156" spans="37:118" x14ac:dyDescent="0.35">
      <c r="AK156" s="407"/>
      <c r="AL156" s="111"/>
      <c r="AM156" s="407"/>
      <c r="AN156" s="407"/>
      <c r="AO156" s="407"/>
      <c r="AP156" s="407"/>
      <c r="AQ156" s="407"/>
      <c r="AR156" s="407"/>
      <c r="AS156" s="407"/>
      <c r="AT156" s="407"/>
      <c r="AU156" s="407"/>
      <c r="AV156" s="407"/>
      <c r="AW156" s="407"/>
      <c r="AX156" s="407"/>
      <c r="AY156" s="407"/>
      <c r="AZ156" s="407"/>
      <c r="BA156" s="407"/>
      <c r="BB156" s="407"/>
      <c r="BC156" s="407"/>
      <c r="BD156" s="407"/>
      <c r="BE156" s="407"/>
      <c r="BF156" s="407"/>
      <c r="BG156" s="407"/>
      <c r="BH156" s="407"/>
      <c r="BI156" s="407"/>
      <c r="BJ156" s="407"/>
      <c r="BK156" s="407"/>
      <c r="BL156" s="407"/>
      <c r="BM156" s="407"/>
      <c r="BN156" s="407"/>
      <c r="BO156" s="407"/>
      <c r="BP156" s="407"/>
      <c r="BQ156" s="407"/>
      <c r="BR156" s="407"/>
      <c r="BS156" s="407"/>
      <c r="BT156" s="407"/>
      <c r="BU156" s="407"/>
      <c r="BV156" s="407"/>
      <c r="BW156" s="407"/>
      <c r="BX156" s="407"/>
      <c r="BY156" s="407"/>
      <c r="BZ156" s="407"/>
      <c r="CA156" s="407"/>
      <c r="CB156" s="407"/>
      <c r="CC156" s="407"/>
      <c r="CD156" s="407"/>
      <c r="CE156" s="407"/>
      <c r="CF156" s="407"/>
      <c r="CG156" s="407"/>
      <c r="CH156" s="407"/>
      <c r="CI156" s="407"/>
      <c r="CJ156" s="407"/>
      <c r="CK156" s="407"/>
      <c r="CL156" s="407"/>
      <c r="CM156" s="407"/>
      <c r="CN156" s="407"/>
      <c r="CO156" s="407"/>
      <c r="CP156" s="407"/>
      <c r="CQ156" s="407"/>
      <c r="CR156" s="407"/>
      <c r="CS156" s="407"/>
      <c r="CT156" s="407"/>
      <c r="CU156" s="407"/>
      <c r="CV156" s="407"/>
      <c r="CW156" s="407"/>
      <c r="CX156" s="407"/>
      <c r="CY156" s="407"/>
      <c r="CZ156" s="407"/>
      <c r="DA156" s="407"/>
      <c r="DB156" s="407"/>
      <c r="DC156" s="407"/>
      <c r="DD156" s="407"/>
      <c r="DE156" s="407"/>
      <c r="DF156" s="407"/>
      <c r="DG156" s="407"/>
      <c r="DH156" s="407"/>
      <c r="DI156" s="407"/>
      <c r="DJ156" s="407"/>
      <c r="DK156" s="407"/>
      <c r="DL156" s="407"/>
      <c r="DM156" s="407"/>
      <c r="DN156" s="407"/>
    </row>
    <row r="157" spans="37:118" x14ac:dyDescent="0.35">
      <c r="AK157" s="407"/>
      <c r="AL157" s="111"/>
      <c r="AM157" s="407"/>
      <c r="AN157" s="407"/>
      <c r="AO157" s="407"/>
      <c r="AP157" s="407"/>
      <c r="AQ157" s="407"/>
      <c r="AR157" s="407"/>
      <c r="AS157" s="407"/>
      <c r="AT157" s="407"/>
      <c r="AU157" s="407"/>
      <c r="AV157" s="407"/>
      <c r="AW157" s="407"/>
      <c r="AX157" s="407"/>
      <c r="AY157" s="407"/>
      <c r="AZ157" s="407"/>
      <c r="BA157" s="407"/>
      <c r="BB157" s="407"/>
      <c r="BC157" s="407"/>
      <c r="BD157" s="407"/>
      <c r="BE157" s="407"/>
      <c r="BF157" s="407"/>
      <c r="BG157" s="407"/>
      <c r="BH157" s="407"/>
      <c r="BI157" s="407"/>
      <c r="BJ157" s="407"/>
      <c r="BK157" s="407"/>
      <c r="BL157" s="407"/>
      <c r="BM157" s="407"/>
      <c r="BN157" s="407"/>
      <c r="BO157" s="407"/>
      <c r="BP157" s="407"/>
      <c r="BQ157" s="407"/>
      <c r="BR157" s="407"/>
      <c r="BS157" s="407"/>
      <c r="BT157" s="407"/>
      <c r="BU157" s="407"/>
      <c r="BV157" s="407"/>
      <c r="BW157" s="407"/>
      <c r="BX157" s="407"/>
      <c r="BY157" s="407"/>
      <c r="BZ157" s="407"/>
      <c r="CA157" s="407"/>
      <c r="CB157" s="407"/>
      <c r="CC157" s="407"/>
      <c r="CD157" s="407"/>
      <c r="CE157" s="407"/>
      <c r="CF157" s="407"/>
      <c r="CG157" s="407"/>
      <c r="CH157" s="407"/>
      <c r="CI157" s="407"/>
      <c r="CJ157" s="407"/>
      <c r="CK157" s="407"/>
      <c r="CL157" s="407"/>
      <c r="CM157" s="407"/>
      <c r="CN157" s="407"/>
      <c r="CO157" s="407"/>
      <c r="CP157" s="407"/>
      <c r="CQ157" s="407"/>
      <c r="CR157" s="407"/>
      <c r="CS157" s="407"/>
      <c r="CT157" s="407"/>
      <c r="CU157" s="407"/>
      <c r="CV157" s="407"/>
      <c r="CW157" s="407"/>
      <c r="CX157" s="407"/>
      <c r="CY157" s="407"/>
      <c r="CZ157" s="407"/>
      <c r="DA157" s="407"/>
      <c r="DB157" s="407"/>
      <c r="DC157" s="407"/>
      <c r="DD157" s="407"/>
      <c r="DE157" s="407"/>
      <c r="DF157" s="407"/>
      <c r="DG157" s="407"/>
      <c r="DH157" s="407"/>
      <c r="DI157" s="407"/>
      <c r="DJ157" s="407"/>
      <c r="DK157" s="407"/>
      <c r="DL157" s="407"/>
      <c r="DM157" s="407"/>
      <c r="DN157" s="407"/>
    </row>
    <row r="158" spans="37:118" x14ac:dyDescent="0.35">
      <c r="AK158" s="407"/>
      <c r="AL158" s="111"/>
      <c r="AM158" s="407"/>
      <c r="AN158" s="407"/>
      <c r="AO158" s="407"/>
      <c r="AP158" s="407"/>
      <c r="AQ158" s="407"/>
      <c r="AR158" s="407"/>
      <c r="AS158" s="407"/>
      <c r="AT158" s="407"/>
      <c r="AU158" s="407"/>
      <c r="AV158" s="407"/>
      <c r="AW158" s="407"/>
      <c r="AX158" s="407"/>
      <c r="AY158" s="407"/>
      <c r="AZ158" s="407"/>
      <c r="BA158" s="407"/>
      <c r="BB158" s="407"/>
      <c r="BC158" s="407"/>
      <c r="BD158" s="407"/>
      <c r="BE158" s="407"/>
      <c r="BF158" s="407"/>
      <c r="BG158" s="407"/>
      <c r="BH158" s="407"/>
      <c r="BI158" s="407"/>
      <c r="BJ158" s="407"/>
      <c r="BK158" s="407"/>
      <c r="BL158" s="407"/>
      <c r="BM158" s="407"/>
      <c r="BN158" s="407"/>
      <c r="BO158" s="407"/>
      <c r="BP158" s="407"/>
      <c r="BQ158" s="407"/>
      <c r="BR158" s="407"/>
      <c r="BS158" s="407"/>
      <c r="BT158" s="407"/>
      <c r="BU158" s="407"/>
      <c r="BV158" s="407"/>
      <c r="BW158" s="407"/>
      <c r="BX158" s="407"/>
      <c r="BY158" s="407"/>
      <c r="BZ158" s="407"/>
      <c r="CA158" s="407"/>
      <c r="CB158" s="407"/>
      <c r="CC158" s="407"/>
      <c r="CD158" s="407"/>
      <c r="CE158" s="407"/>
      <c r="CF158" s="407"/>
      <c r="CG158" s="407"/>
      <c r="CH158" s="407"/>
      <c r="CI158" s="407"/>
      <c r="CJ158" s="407"/>
      <c r="CK158" s="407"/>
      <c r="CL158" s="407"/>
      <c r="CM158" s="407"/>
      <c r="CN158" s="407"/>
      <c r="CO158" s="407"/>
      <c r="CP158" s="407"/>
      <c r="CQ158" s="407"/>
      <c r="CR158" s="407"/>
      <c r="CS158" s="407"/>
      <c r="CT158" s="407"/>
      <c r="CU158" s="407"/>
      <c r="CV158" s="407"/>
      <c r="CW158" s="407"/>
      <c r="CX158" s="407"/>
      <c r="CY158" s="407"/>
      <c r="CZ158" s="407"/>
      <c r="DA158" s="407"/>
      <c r="DB158" s="407"/>
      <c r="DC158" s="407"/>
      <c r="DD158" s="407"/>
      <c r="DE158" s="407"/>
      <c r="DF158" s="407"/>
      <c r="DG158" s="407"/>
      <c r="DH158" s="407"/>
      <c r="DI158" s="407"/>
      <c r="DJ158" s="407"/>
      <c r="DK158" s="407"/>
      <c r="DL158" s="407"/>
      <c r="DM158" s="407"/>
      <c r="DN158" s="407"/>
    </row>
  </sheetData>
  <mergeCells count="14">
    <mergeCell ref="AG8:AG10"/>
    <mergeCell ref="AI8:AI10"/>
    <mergeCell ref="AJ8:AJ10"/>
    <mergeCell ref="E8:G8"/>
    <mergeCell ref="K8:M8"/>
    <mergeCell ref="O8:S8"/>
    <mergeCell ref="AE8:AE10"/>
    <mergeCell ref="AF8:AF10"/>
    <mergeCell ref="U8:X9"/>
    <mergeCell ref="Z8:AB9"/>
    <mergeCell ref="AD8:AD10"/>
    <mergeCell ref="Q9:Q10"/>
    <mergeCell ref="R9:R10"/>
    <mergeCell ref="S9:S10"/>
  </mergeCells>
  <printOptions horizontalCentered="1"/>
  <pageMargins left="0.23622047244094491" right="0" top="1.0236220472440944" bottom="0.15748031496062992" header="0.74803149606299213" footer="0.15748031496062992"/>
  <pageSetup paperSize="9" scale="22" orientation="landscape" r:id="rId1"/>
  <headerFooter alignWithMargins="0">
    <oddHeader>&amp;R&amp;"Arial,Bold"&amp;28Appendix 6B</oddHead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J25"/>
  <sheetViews>
    <sheetView view="pageBreakPreview" zoomScale="45" zoomScaleNormal="75" zoomScaleSheetLayoutView="45" workbookViewId="0">
      <pane xSplit="6" ySplit="2" topLeftCell="U3" activePane="bottomRight" state="frozen"/>
      <selection pane="topRight" activeCell="G1" sqref="G1"/>
      <selection pane="bottomLeft" activeCell="A3" sqref="A3"/>
      <selection pane="bottomRight" activeCell="A12" sqref="A12:XFD13"/>
    </sheetView>
  </sheetViews>
  <sheetFormatPr defaultColWidth="9.1796875" defaultRowHeight="15.5" x14ac:dyDescent="0.35"/>
  <cols>
    <col min="1" max="1" width="48.54296875" style="393" customWidth="1"/>
    <col min="2" max="2" width="15.81640625" style="393" customWidth="1"/>
    <col min="3" max="3" width="11.54296875" style="393" hidden="1" customWidth="1"/>
    <col min="4" max="4" width="18.453125" style="393" hidden="1" customWidth="1"/>
    <col min="5" max="5" width="21.81640625" style="393" customWidth="1"/>
    <col min="6" max="6" width="28.54296875" style="394" bestFit="1" customWidth="1"/>
    <col min="7" max="7" width="26.54296875" style="393" bestFit="1" customWidth="1"/>
    <col min="8" max="8" width="0.453125" style="393" customWidth="1"/>
    <col min="9" max="9" width="17.453125" style="393" customWidth="1"/>
    <col min="10" max="10" width="3.1796875" style="393" customWidth="1"/>
    <col min="11" max="11" width="21.1796875" style="393" hidden="1" customWidth="1"/>
    <col min="12" max="12" width="17" style="393" hidden="1" customWidth="1"/>
    <col min="13" max="13" width="26.1796875" style="394" hidden="1" customWidth="1"/>
    <col min="14" max="14" width="3.1796875" style="393" hidden="1" customWidth="1"/>
    <col min="15" max="15" width="23.1796875" style="393" hidden="1" customWidth="1"/>
    <col min="16" max="16" width="28.453125" style="394" hidden="1" customWidth="1"/>
    <col min="17" max="17" width="27.81640625" style="395" hidden="1" customWidth="1"/>
    <col min="18" max="18" width="34" style="393" hidden="1" customWidth="1"/>
    <col min="19" max="19" width="40" style="1" hidden="1" customWidth="1"/>
    <col min="20" max="20" width="3" style="393" customWidth="1"/>
    <col min="21" max="21" width="23.1796875" style="393" customWidth="1"/>
    <col min="22" max="22" width="25.54296875" style="393" customWidth="1"/>
    <col min="23" max="23" width="27.1796875" style="394" customWidth="1"/>
    <col min="24" max="24" width="26.54296875" style="396" customWidth="1"/>
    <col min="25" max="25" width="1.1796875" style="396" customWidth="1"/>
    <col min="26" max="26" width="20.54296875" style="393" bestFit="1" customWidth="1"/>
    <col min="27" max="27" width="28.453125" style="393" bestFit="1" customWidth="1"/>
    <col min="28" max="28" width="22.81640625" style="396" bestFit="1" customWidth="1"/>
    <col min="29" max="29" width="0.81640625" style="396" customWidth="1"/>
    <col min="30" max="31" width="26.1796875" style="393" customWidth="1"/>
    <col min="32" max="32" width="27.81640625" style="393" customWidth="1"/>
    <col min="33" max="33" width="24.81640625" style="397" customWidth="1"/>
    <col min="34" max="34" width="1" style="393" customWidth="1"/>
    <col min="35" max="35" width="45.81640625" style="393" customWidth="1"/>
    <col min="36" max="36" width="24.453125" style="1" bestFit="1" customWidth="1"/>
    <col min="37" max="16384" width="9.1796875" style="393"/>
  </cols>
  <sheetData>
    <row r="1" spans="1:36" s="239" customFormat="1" ht="36" customHeight="1" x14ac:dyDescent="0.5">
      <c r="F1" s="240"/>
      <c r="M1" s="240"/>
      <c r="O1" s="240"/>
      <c r="P1" s="241"/>
      <c r="Q1" s="242"/>
      <c r="R1" s="240"/>
      <c r="S1" s="243"/>
      <c r="W1" s="240"/>
      <c r="X1" s="244"/>
      <c r="Y1" s="244"/>
      <c r="AA1" s="245"/>
      <c r="AB1" s="246"/>
      <c r="AC1" s="247"/>
      <c r="AD1" s="245"/>
      <c r="AE1" s="248"/>
      <c r="AG1" s="249"/>
      <c r="AJ1" s="243"/>
    </row>
    <row r="2" spans="1:36" s="239" customFormat="1" ht="36" customHeight="1" x14ac:dyDescent="0.5">
      <c r="A2" s="250" t="s">
        <v>16</v>
      </c>
      <c r="F2" s="240"/>
      <c r="M2" s="240"/>
      <c r="O2" s="241"/>
      <c r="P2" s="251"/>
      <c r="Q2" s="252"/>
      <c r="R2" s="253"/>
      <c r="S2" s="254"/>
      <c r="T2" s="255"/>
      <c r="U2" s="256"/>
      <c r="V2" s="257"/>
      <c r="W2" s="243"/>
      <c r="X2" s="258"/>
      <c r="Y2" s="244"/>
      <c r="AB2" s="259"/>
      <c r="AC2" s="244"/>
      <c r="AE2" s="248"/>
      <c r="AG2" s="249"/>
      <c r="AJ2" s="760"/>
    </row>
    <row r="3" spans="1:36" s="239" customFormat="1" ht="36" customHeight="1" x14ac:dyDescent="0.5">
      <c r="F3" s="240"/>
      <c r="M3" s="260"/>
      <c r="O3" s="261"/>
      <c r="P3" s="241"/>
      <c r="Q3" s="252"/>
      <c r="R3" s="262"/>
      <c r="S3" s="254"/>
      <c r="T3" s="255"/>
      <c r="U3" s="256"/>
      <c r="V3" s="263"/>
      <c r="W3" s="243"/>
      <c r="X3" s="264"/>
      <c r="Y3" s="244"/>
      <c r="AA3" s="265"/>
      <c r="AB3" s="266"/>
      <c r="AC3" s="244"/>
      <c r="AE3" s="248"/>
      <c r="AG3" s="249"/>
      <c r="AI3" s="243"/>
      <c r="AJ3" s="760"/>
    </row>
    <row r="4" spans="1:36" s="239" customFormat="1" ht="36" customHeight="1" x14ac:dyDescent="0.5">
      <c r="A4" s="267" t="s">
        <v>271</v>
      </c>
      <c r="F4" s="240"/>
      <c r="M4" s="260"/>
      <c r="O4" s="261"/>
      <c r="P4" s="241"/>
      <c r="Q4" s="252"/>
      <c r="R4" s="262"/>
      <c r="S4" s="254"/>
      <c r="T4" s="255"/>
      <c r="U4" s="255"/>
      <c r="V4" s="254"/>
      <c r="W4" s="262"/>
      <c r="X4" s="244"/>
      <c r="Y4" s="244"/>
      <c r="AA4" s="265"/>
      <c r="AB4" s="266"/>
      <c r="AC4" s="244"/>
      <c r="AE4" s="248"/>
      <c r="AG4" s="249"/>
      <c r="AI4" s="243"/>
      <c r="AJ4" s="760"/>
    </row>
    <row r="5" spans="1:36" s="239" customFormat="1" ht="36" customHeight="1" x14ac:dyDescent="0.5">
      <c r="A5" s="268" t="s">
        <v>272</v>
      </c>
      <c r="F5" s="240"/>
      <c r="M5" s="240"/>
      <c r="O5" s="255"/>
      <c r="P5" s="262"/>
      <c r="Q5" s="269"/>
      <c r="R5" s="269"/>
      <c r="S5" s="270"/>
      <c r="T5" s="255"/>
      <c r="U5" s="271"/>
      <c r="V5" s="255"/>
      <c r="W5" s="262"/>
      <c r="X5" s="244"/>
      <c r="Y5" s="244"/>
      <c r="AB5" s="244"/>
      <c r="AC5" s="244"/>
      <c r="AG5" s="249"/>
      <c r="AI5" s="243"/>
      <c r="AJ5" s="760"/>
    </row>
    <row r="6" spans="1:36" s="239" customFormat="1" ht="36" customHeight="1" x14ac:dyDescent="0.5">
      <c r="A6" s="272"/>
      <c r="E6" s="255"/>
      <c r="F6" s="240"/>
      <c r="M6" s="240"/>
      <c r="N6" s="255"/>
      <c r="O6" s="255"/>
      <c r="P6" s="262"/>
      <c r="Q6" s="273"/>
      <c r="R6" s="255"/>
      <c r="S6" s="254"/>
      <c r="T6" s="255"/>
      <c r="U6" s="255"/>
      <c r="V6" s="274"/>
      <c r="W6" s="262"/>
      <c r="X6" s="244"/>
      <c r="Y6" s="244"/>
      <c r="AB6" s="244"/>
      <c r="AC6" s="244"/>
      <c r="AG6" s="249"/>
      <c r="AI6" s="243"/>
      <c r="AJ6" s="760"/>
    </row>
    <row r="7" spans="1:36" s="239" customFormat="1" ht="36" customHeight="1" x14ac:dyDescent="0.5">
      <c r="A7" s="275"/>
      <c r="E7" s="255"/>
      <c r="F7" s="240"/>
      <c r="M7" s="240"/>
      <c r="N7" s="255"/>
      <c r="O7" s="276"/>
      <c r="P7" s="277"/>
      <c r="Q7" s="278"/>
      <c r="R7" s="276"/>
      <c r="S7" s="279"/>
      <c r="T7" s="255"/>
      <c r="W7" s="240"/>
      <c r="X7" s="244"/>
      <c r="Y7" s="244"/>
      <c r="AA7" s="255"/>
      <c r="AB7" s="760"/>
      <c r="AC7" s="244"/>
      <c r="AG7" s="280"/>
      <c r="AI7" s="243"/>
      <c r="AJ7" s="760"/>
    </row>
    <row r="8" spans="1:36" s="239" customFormat="1" ht="36" customHeight="1" x14ac:dyDescent="0.5">
      <c r="A8" s="281"/>
      <c r="B8" s="282"/>
      <c r="C8" s="283"/>
      <c r="D8" s="284"/>
      <c r="E8" s="876" t="s">
        <v>332</v>
      </c>
      <c r="F8" s="877"/>
      <c r="G8" s="878"/>
      <c r="H8" s="255"/>
      <c r="I8" s="285"/>
      <c r="J8" s="255"/>
      <c r="K8" s="879" t="s">
        <v>50</v>
      </c>
      <c r="L8" s="880"/>
      <c r="M8" s="881"/>
      <c r="N8" s="286"/>
      <c r="O8" s="879" t="s">
        <v>51</v>
      </c>
      <c r="P8" s="882"/>
      <c r="Q8" s="882"/>
      <c r="R8" s="882"/>
      <c r="S8" s="883"/>
      <c r="T8" s="287"/>
      <c r="U8" s="914" t="str">
        <f>'EQUITIES-LIFE '!U8:X9</f>
        <v>Balance at Cost as at 30.06.2023</v>
      </c>
      <c r="V8" s="885"/>
      <c r="W8" s="885"/>
      <c r="X8" s="886"/>
      <c r="Y8" s="288"/>
      <c r="Z8" s="915" t="str">
        <f>'EQUITIES-LIFE '!Z8:AB9</f>
        <v>Market Value as at  30.06.2023</v>
      </c>
      <c r="AA8" s="891"/>
      <c r="AB8" s="892"/>
      <c r="AC8" s="289"/>
      <c r="AD8" s="913" t="str">
        <f>'EQUITIES-LIFE '!AD8:AD10</f>
        <v>Appreciation/ (Diminuition) in value b/f 01.01.2023</v>
      </c>
      <c r="AE8" s="913" t="str">
        <f>'EQUITIES-LIFE '!AE8:AE10</f>
        <v>Movement between 01.01.2023 to 30.06.2023</v>
      </c>
      <c r="AF8" s="913" t="str">
        <f>'EQUITIES-LIFE '!AF8:AF10</f>
        <v>Appreciation/ (Diminuition) in value C/f  30.06.2023</v>
      </c>
      <c r="AG8" s="917" t="str">
        <f>'EQUITIES-LIFE '!AG8:AG10</f>
        <v>2023 Percentage Capital Gain/(Loss)</v>
      </c>
      <c r="AH8" s="248"/>
      <c r="AI8" s="872" t="s">
        <v>302</v>
      </c>
      <c r="AJ8" s="874" t="s">
        <v>301</v>
      </c>
    </row>
    <row r="9" spans="1:36" s="239" customFormat="1" ht="36" customHeight="1" x14ac:dyDescent="0.5">
      <c r="A9" s="290"/>
      <c r="C9" s="291" t="s">
        <v>52</v>
      </c>
      <c r="D9" s="292" t="s">
        <v>53</v>
      </c>
      <c r="E9" s="293" t="s">
        <v>54</v>
      </c>
      <c r="F9" s="294" t="s">
        <v>55</v>
      </c>
      <c r="G9" s="295" t="s">
        <v>56</v>
      </c>
      <c r="H9" s="248"/>
      <c r="I9" s="293" t="s">
        <v>57</v>
      </c>
      <c r="J9" s="248"/>
      <c r="K9" s="293" t="s">
        <v>58</v>
      </c>
      <c r="L9" s="294" t="s">
        <v>142</v>
      </c>
      <c r="M9" s="294" t="s">
        <v>55</v>
      </c>
      <c r="N9" s="296"/>
      <c r="O9" s="293" t="s">
        <v>58</v>
      </c>
      <c r="P9" s="294" t="s">
        <v>55</v>
      </c>
      <c r="Q9" s="294" t="s">
        <v>59</v>
      </c>
      <c r="R9" s="294" t="s">
        <v>60</v>
      </c>
      <c r="S9" s="294" t="s">
        <v>61</v>
      </c>
      <c r="T9" s="296"/>
      <c r="U9" s="887"/>
      <c r="V9" s="888"/>
      <c r="W9" s="888"/>
      <c r="X9" s="889"/>
      <c r="Y9" s="288"/>
      <c r="Z9" s="887"/>
      <c r="AA9" s="888"/>
      <c r="AB9" s="889"/>
      <c r="AC9" s="289"/>
      <c r="AD9" s="873"/>
      <c r="AE9" s="873"/>
      <c r="AF9" s="873"/>
      <c r="AG9" s="875"/>
      <c r="AH9" s="292"/>
      <c r="AI9" s="873"/>
      <c r="AJ9" s="916"/>
    </row>
    <row r="10" spans="1:36" s="239" customFormat="1" ht="41.25" customHeight="1" x14ac:dyDescent="0.5">
      <c r="A10" s="297" t="s">
        <v>62</v>
      </c>
      <c r="B10" s="298"/>
      <c r="C10" s="299" t="s">
        <v>63</v>
      </c>
      <c r="D10" s="300" t="s">
        <v>177</v>
      </c>
      <c r="E10" s="301" t="s">
        <v>64</v>
      </c>
      <c r="F10" s="302" t="s">
        <v>65</v>
      </c>
      <c r="G10" s="303" t="s">
        <v>63</v>
      </c>
      <c r="H10" s="248"/>
      <c r="I10" s="301" t="s">
        <v>66</v>
      </c>
      <c r="J10" s="248"/>
      <c r="K10" s="301" t="s">
        <v>66</v>
      </c>
      <c r="L10" s="302" t="s">
        <v>143</v>
      </c>
      <c r="M10" s="302" t="s">
        <v>65</v>
      </c>
      <c r="N10" s="248"/>
      <c r="O10" s="301" t="s">
        <v>66</v>
      </c>
      <c r="P10" s="302" t="s">
        <v>65</v>
      </c>
      <c r="Q10" s="302"/>
      <c r="R10" s="302"/>
      <c r="S10" s="302"/>
      <c r="T10" s="248"/>
      <c r="U10" s="304" t="s">
        <v>67</v>
      </c>
      <c r="V10" s="305" t="s">
        <v>59</v>
      </c>
      <c r="W10" s="302" t="s">
        <v>68</v>
      </c>
      <c r="X10" s="302" t="s">
        <v>69</v>
      </c>
      <c r="Y10" s="306"/>
      <c r="Z10" s="307" t="s">
        <v>70</v>
      </c>
      <c r="AA10" s="301" t="s">
        <v>71</v>
      </c>
      <c r="AB10" s="301" t="s">
        <v>69</v>
      </c>
      <c r="AC10" s="308"/>
      <c r="AD10" s="873"/>
      <c r="AE10" s="873"/>
      <c r="AF10" s="873"/>
      <c r="AG10" s="875"/>
      <c r="AH10" s="292"/>
      <c r="AI10" s="873"/>
      <c r="AJ10" s="916"/>
    </row>
    <row r="11" spans="1:36" s="239" customFormat="1" ht="36" customHeight="1" x14ac:dyDescent="0.5">
      <c r="A11" s="735"/>
      <c r="C11" s="338"/>
      <c r="D11" s="350"/>
      <c r="E11" s="362"/>
      <c r="F11" s="354"/>
      <c r="G11" s="354"/>
      <c r="H11" s="241"/>
      <c r="I11" s="340"/>
      <c r="J11" s="241"/>
      <c r="K11" s="354"/>
      <c r="L11" s="371"/>
      <c r="M11" s="372"/>
      <c r="N11" s="343"/>
      <c r="O11" s="354"/>
      <c r="P11" s="733"/>
      <c r="Q11" s="382"/>
      <c r="R11" s="372"/>
      <c r="S11" s="374"/>
      <c r="T11" s="343"/>
      <c r="U11" s="400"/>
      <c r="V11" s="372"/>
      <c r="W11" s="372"/>
      <c r="X11" s="358"/>
      <c r="Y11" s="375"/>
      <c r="Z11" s="339"/>
      <c r="AA11" s="372"/>
      <c r="AB11" s="359"/>
      <c r="AC11" s="375"/>
      <c r="AD11" s="354"/>
      <c r="AE11" s="354"/>
      <c r="AF11" s="354"/>
      <c r="AG11" s="360"/>
      <c r="AH11" s="376"/>
      <c r="AI11" s="323"/>
      <c r="AJ11" s="722"/>
    </row>
    <row r="12" spans="1:36" s="239" customFormat="1" ht="36" customHeight="1" x14ac:dyDescent="0.5">
      <c r="A12" s="309" t="s">
        <v>266</v>
      </c>
      <c r="C12" s="338"/>
      <c r="D12" s="339"/>
      <c r="E12" s="326">
        <v>6324682</v>
      </c>
      <c r="F12" s="326">
        <v>128753385.59999999</v>
      </c>
      <c r="G12" s="326">
        <v>132059360.16</v>
      </c>
      <c r="H12" s="340"/>
      <c r="I12" s="340"/>
      <c r="J12" s="340"/>
      <c r="K12" s="326"/>
      <c r="L12" s="378"/>
      <c r="M12" s="326"/>
      <c r="N12" s="356"/>
      <c r="O12" s="326">
        <f t="shared" ref="O12:S13" si="0">SUM(O11)</f>
        <v>0</v>
      </c>
      <c r="P12" s="344">
        <f t="shared" si="0"/>
        <v>0</v>
      </c>
      <c r="Q12" s="383">
        <f t="shared" si="0"/>
        <v>0</v>
      </c>
      <c r="R12" s="326">
        <f t="shared" si="0"/>
        <v>0</v>
      </c>
      <c r="S12" s="371">
        <f t="shared" si="0"/>
        <v>0</v>
      </c>
      <c r="T12" s="368"/>
      <c r="U12" s="379">
        <f>E12+I12+K12-O12</f>
        <v>6324682</v>
      </c>
      <c r="V12" s="379">
        <f>ROUND(W12/U12,1)</f>
        <v>20.399999999999999</v>
      </c>
      <c r="W12" s="326">
        <f>F12+M12-P12</f>
        <v>128753385.59999999</v>
      </c>
      <c r="X12" s="734">
        <f>W12/$W$16</f>
        <v>0.79727157990032116</v>
      </c>
      <c r="Y12" s="359"/>
      <c r="Z12" s="339">
        <v>21.59</v>
      </c>
      <c r="AA12" s="379">
        <f>U12*Z12</f>
        <v>136549884.38</v>
      </c>
      <c r="AB12" s="359">
        <v>0.10097344911288507</v>
      </c>
      <c r="AC12" s="359"/>
      <c r="AD12" s="326">
        <v>3305974.5600000024</v>
      </c>
      <c r="AE12" s="326">
        <f>AF12-AD12</f>
        <v>4490524.2199999988</v>
      </c>
      <c r="AF12" s="326">
        <f>+AA12-W12</f>
        <v>7796498.7800000012</v>
      </c>
      <c r="AG12" s="337">
        <f>AF12/W12</f>
        <v>6.0553738013705491E-2</v>
      </c>
      <c r="AH12" s="361"/>
      <c r="AI12" s="401">
        <v>3004223.9499999997</v>
      </c>
      <c r="AJ12" s="326"/>
    </row>
    <row r="13" spans="1:36" s="239" customFormat="1" ht="36" customHeight="1" x14ac:dyDescent="0.5">
      <c r="A13" s="309" t="s">
        <v>267</v>
      </c>
      <c r="C13" s="338"/>
      <c r="D13" s="350"/>
      <c r="E13" s="377">
        <v>1614896</v>
      </c>
      <c r="F13" s="326">
        <v>32739120.649999999</v>
      </c>
      <c r="G13" s="326">
        <v>38547567.520000003</v>
      </c>
      <c r="H13" s="241"/>
      <c r="I13" s="340"/>
      <c r="J13" s="241"/>
      <c r="K13" s="326"/>
      <c r="L13" s="378"/>
      <c r="M13" s="379"/>
      <c r="N13" s="343"/>
      <c r="O13" s="326">
        <f t="shared" si="0"/>
        <v>0</v>
      </c>
      <c r="P13" s="380">
        <f t="shared" si="0"/>
        <v>0</v>
      </c>
      <c r="Q13" s="383">
        <f t="shared" si="0"/>
        <v>0</v>
      </c>
      <c r="R13" s="379">
        <f t="shared" si="0"/>
        <v>0</v>
      </c>
      <c r="S13" s="374">
        <f t="shared" si="0"/>
        <v>0</v>
      </c>
      <c r="T13" s="343"/>
      <c r="U13" s="251">
        <f>E13+I13+K13-O13</f>
        <v>1614896</v>
      </c>
      <c r="V13" s="379">
        <f>ROUND(W13/U13,1)</f>
        <v>20.3</v>
      </c>
      <c r="W13" s="379">
        <f>F13+M13-P13</f>
        <v>32739120.649999999</v>
      </c>
      <c r="X13" s="734">
        <f>W13/$W$16</f>
        <v>0.20272842009967876</v>
      </c>
      <c r="Y13" s="375"/>
      <c r="Z13" s="339">
        <v>25.2</v>
      </c>
      <c r="AA13" s="379">
        <f>U13*Z13</f>
        <v>40695379.199999996</v>
      </c>
      <c r="AB13" s="359">
        <v>0.10097344911288507</v>
      </c>
      <c r="AC13" s="375"/>
      <c r="AD13" s="326">
        <v>5808446.8700000048</v>
      </c>
      <c r="AE13" s="326">
        <f>AF13-AD13</f>
        <v>2147811.6799999923</v>
      </c>
      <c r="AF13" s="326">
        <f>+AA13-W13</f>
        <v>7956258.549999997</v>
      </c>
      <c r="AG13" s="337">
        <f>AF13/W13</f>
        <v>0.24301992210044276</v>
      </c>
      <c r="AH13" s="376"/>
      <c r="AI13" s="323"/>
      <c r="AJ13" s="722"/>
    </row>
    <row r="14" spans="1:36" s="239" customFormat="1" ht="36" customHeight="1" x14ac:dyDescent="0.5">
      <c r="A14" s="255"/>
      <c r="C14" s="338"/>
      <c r="D14" s="350"/>
      <c r="E14" s="362">
        <f>SUM(E12:E13)</f>
        <v>7939578</v>
      </c>
      <c r="F14" s="354">
        <f>SUM(F12:F13)</f>
        <v>161492506.25</v>
      </c>
      <c r="G14" s="354">
        <f>SUM(G12:G13)</f>
        <v>170606927.68000001</v>
      </c>
      <c r="H14" s="241"/>
      <c r="I14" s="340"/>
      <c r="J14" s="241"/>
      <c r="K14" s="354">
        <f>SUM(K12:K13)</f>
        <v>0</v>
      </c>
      <c r="L14" s="371">
        <f>SUM(L12:L13)</f>
        <v>0</v>
      </c>
      <c r="M14" s="372">
        <f>SUM(M12:M13)</f>
        <v>0</v>
      </c>
      <c r="N14" s="343"/>
      <c r="O14" s="354">
        <f>SUM(O12:O13)</f>
        <v>0</v>
      </c>
      <c r="P14" s="733">
        <f>SUM(P12:P13)</f>
        <v>0</v>
      </c>
      <c r="Q14" s="382">
        <f>SUM(Q12:Q13)</f>
        <v>0</v>
      </c>
      <c r="R14" s="372">
        <f>SUM(R12:R13)</f>
        <v>0</v>
      </c>
      <c r="S14" s="374">
        <f>SUM(S12:S13)</f>
        <v>0</v>
      </c>
      <c r="T14" s="343"/>
      <c r="U14" s="400">
        <f>SUM(U12:U13)</f>
        <v>7939578</v>
      </c>
      <c r="V14" s="372">
        <f>SUM(V12:V13)</f>
        <v>40.700000000000003</v>
      </c>
      <c r="W14" s="372">
        <f>SUM(W12:W13)</f>
        <v>161492506.25</v>
      </c>
      <c r="X14" s="358">
        <f>SUM(X12:X13)</f>
        <v>0.99999999999999989</v>
      </c>
      <c r="Y14" s="375"/>
      <c r="Z14" s="339">
        <f>SUM(Z12:Z13)</f>
        <v>46.79</v>
      </c>
      <c r="AA14" s="372">
        <f>SUM(AA12:AA13)</f>
        <v>177245263.57999998</v>
      </c>
      <c r="AB14" s="359">
        <f>SUM(AB12:AB13)</f>
        <v>0.20194689822577014</v>
      </c>
      <c r="AC14" s="375"/>
      <c r="AD14" s="354">
        <f>SUM(AD12:AD13)</f>
        <v>9114421.4300000072</v>
      </c>
      <c r="AE14" s="354">
        <f>SUM(AE12:AE13)</f>
        <v>6638335.8999999911</v>
      </c>
      <c r="AF14" s="354">
        <f>SUM(AF12:AF13)</f>
        <v>15752757.329999998</v>
      </c>
      <c r="AG14" s="360">
        <f>SUM(AG12:AG13)</f>
        <v>0.30357366011414827</v>
      </c>
      <c r="AH14" s="376"/>
      <c r="AI14" s="323"/>
      <c r="AJ14" s="722"/>
    </row>
    <row r="15" spans="1:36" s="239" customFormat="1" ht="36" customHeight="1" x14ac:dyDescent="0.5">
      <c r="A15" s="255"/>
      <c r="C15" s="338"/>
      <c r="D15" s="350"/>
      <c r="E15" s="362"/>
      <c r="F15" s="354"/>
      <c r="G15" s="354"/>
      <c r="H15" s="241"/>
      <c r="I15" s="340"/>
      <c r="J15" s="241"/>
      <c r="K15" s="354"/>
      <c r="L15" s="354"/>
      <c r="M15" s="372"/>
      <c r="N15" s="343"/>
      <c r="O15" s="351"/>
      <c r="P15" s="372"/>
      <c r="Q15" s="373"/>
      <c r="R15" s="372"/>
      <c r="S15" s="374"/>
      <c r="T15" s="343"/>
      <c r="U15" s="362"/>
      <c r="V15" s="354"/>
      <c r="W15" s="372"/>
      <c r="X15" s="359"/>
      <c r="Y15" s="375"/>
      <c r="Z15" s="339"/>
      <c r="AA15" s="372"/>
      <c r="AB15" s="359"/>
      <c r="AC15" s="375"/>
      <c r="AD15" s="354"/>
      <c r="AE15" s="354"/>
      <c r="AF15" s="354"/>
      <c r="AG15" s="360"/>
      <c r="AH15" s="376"/>
      <c r="AI15" s="323"/>
      <c r="AJ15" s="722"/>
    </row>
    <row r="16" spans="1:36" s="239" customFormat="1" ht="36" customHeight="1" x14ac:dyDescent="0.5">
      <c r="A16" s="387"/>
      <c r="B16" s="276"/>
      <c r="C16" s="388"/>
      <c r="D16" s="389"/>
      <c r="E16" s="389">
        <f>+E14</f>
        <v>7939578</v>
      </c>
      <c r="F16" s="389">
        <f>+F14</f>
        <v>161492506.25</v>
      </c>
      <c r="G16" s="389">
        <f>+G14</f>
        <v>170606927.68000001</v>
      </c>
      <c r="H16" s="390"/>
      <c r="I16" s="391"/>
      <c r="J16" s="390"/>
      <c r="K16" s="389">
        <f>+K14</f>
        <v>0</v>
      </c>
      <c r="L16" s="389">
        <f>+L14</f>
        <v>0</v>
      </c>
      <c r="M16" s="389">
        <f>+M14</f>
        <v>0</v>
      </c>
      <c r="N16" s="390"/>
      <c r="O16" s="389">
        <f>+O14</f>
        <v>0</v>
      </c>
      <c r="P16" s="389">
        <f>+P14</f>
        <v>0</v>
      </c>
      <c r="Q16" s="389">
        <f>+Q14</f>
        <v>0</v>
      </c>
      <c r="R16" s="389">
        <f>+R14</f>
        <v>0</v>
      </c>
      <c r="S16" s="389">
        <f>+S14</f>
        <v>0</v>
      </c>
      <c r="T16" s="389"/>
      <c r="U16" s="389">
        <f>+U14</f>
        <v>7939578</v>
      </c>
      <c r="V16" s="389">
        <f>+V14</f>
        <v>40.700000000000003</v>
      </c>
      <c r="W16" s="389">
        <f>+W14</f>
        <v>161492506.25</v>
      </c>
      <c r="X16" s="537">
        <f>+X14</f>
        <v>0.99999999999999989</v>
      </c>
      <c r="Y16" s="389" t="e">
        <f>#REF!+#REF!+#REF!</f>
        <v>#REF!</v>
      </c>
      <c r="Z16" s="389"/>
      <c r="AA16" s="392">
        <f>+AA14</f>
        <v>177245263.57999998</v>
      </c>
      <c r="AB16" s="537">
        <f>+AB14</f>
        <v>0.20194689822577014</v>
      </c>
      <c r="AC16" s="389" t="e">
        <f>#REF!+#REF!+#REF!</f>
        <v>#REF!</v>
      </c>
      <c r="AD16" s="389">
        <f>+AD14</f>
        <v>9114421.4300000072</v>
      </c>
      <c r="AE16" s="389">
        <f>+AE14</f>
        <v>6638335.8999999911</v>
      </c>
      <c r="AF16" s="389">
        <f>+AF14</f>
        <v>15752757.329999998</v>
      </c>
      <c r="AG16" s="360">
        <f>+AG14</f>
        <v>0.30357366011414827</v>
      </c>
      <c r="AH16" s="784" t="e">
        <f>#REF!+#REF!+#REF!</f>
        <v>#REF!</v>
      </c>
      <c r="AI16" s="785">
        <f>SUM(AI12:AI14)</f>
        <v>3004223.9499999997</v>
      </c>
      <c r="AJ16" s="389">
        <f>SUM(AJ12:AJ14)</f>
        <v>0</v>
      </c>
    </row>
    <row r="18" spans="23:32" x14ac:dyDescent="0.35">
      <c r="Z18" s="393" t="s">
        <v>43</v>
      </c>
      <c r="AA18" s="398"/>
      <c r="AE18" s="806"/>
      <c r="AF18" s="610"/>
    </row>
    <row r="19" spans="23:32" x14ac:dyDescent="0.35">
      <c r="AD19" s="555"/>
      <c r="AE19" s="634"/>
      <c r="AF19" s="555"/>
    </row>
    <row r="20" spans="23:32" x14ac:dyDescent="0.35">
      <c r="W20" s="585"/>
    </row>
    <row r="22" spans="23:32" x14ac:dyDescent="0.35">
      <c r="AD22" s="610"/>
      <c r="AE22" s="610"/>
      <c r="AF22" s="610"/>
    </row>
    <row r="25" spans="23:32" x14ac:dyDescent="0.35">
      <c r="AE25" s="633"/>
    </row>
  </sheetData>
  <mergeCells count="11">
    <mergeCell ref="AI8:AI10"/>
    <mergeCell ref="AJ8:AJ10"/>
    <mergeCell ref="AE8:AE10"/>
    <mergeCell ref="AF8:AF10"/>
    <mergeCell ref="AG8:AG10"/>
    <mergeCell ref="AD8:AD10"/>
    <mergeCell ref="E8:G8"/>
    <mergeCell ref="K8:M8"/>
    <mergeCell ref="O8:S8"/>
    <mergeCell ref="U8:X9"/>
    <mergeCell ref="Z8:AB9"/>
  </mergeCells>
  <printOptions horizontalCentered="1"/>
  <pageMargins left="0.23622047244094491" right="0" top="1.0236220472440944" bottom="0.15748031496062992" header="0.78740157480314965" footer="0.15748031496062992"/>
  <pageSetup paperSize="9" scale="26" fitToHeight="0" orientation="landscape" r:id="rId1"/>
  <headerFooter alignWithMargins="0">
    <oddHeader>&amp;R&amp;"Arial,Bold"&amp;20Appendix 6A</oddHeader>
  </headerFooter>
  <colBreaks count="1" manualBreakCount="1">
    <brk id="35" max="38" man="1"/>
  </col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Named Ranges</vt:lpstr>
      </vt:variant>
      <vt:variant>
        <vt:i4>8</vt:i4>
      </vt:variant>
    </vt:vector>
  </HeadingPairs>
  <TitlesOfParts>
    <vt:vector size="18" baseType="lpstr">
      <vt:lpstr>LIEN 2022</vt:lpstr>
      <vt:lpstr>investment funds</vt:lpstr>
      <vt:lpstr>DATE</vt:lpstr>
      <vt:lpstr>INVESTMENT INCOME REPORT</vt:lpstr>
      <vt:lpstr>BONDS HELD (3)</vt:lpstr>
      <vt:lpstr>TBILLS</vt:lpstr>
      <vt:lpstr>BANK DEPOSITS</vt:lpstr>
      <vt:lpstr>EQUITIES-GEN </vt:lpstr>
      <vt:lpstr>EQUITIES-LIFE </vt:lpstr>
      <vt:lpstr>REITs</vt:lpstr>
      <vt:lpstr>'BONDS HELD (3)'!Print_Area</vt:lpstr>
      <vt:lpstr>'EQUITIES-GEN '!Print_Area</vt:lpstr>
      <vt:lpstr>'EQUITIES-LIFE '!Print_Area</vt:lpstr>
      <vt:lpstr>'investment funds'!Print_Area</vt:lpstr>
      <vt:lpstr>'INVESTMENT INCOME REPORT'!Print_Area</vt:lpstr>
      <vt:lpstr>'LIEN 2022'!Print_Area</vt:lpstr>
      <vt:lpstr>REITs!Print_Area</vt:lpstr>
      <vt:lpstr>'LIEN 2022'!Print_Titles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richard</dc:creator>
  <cp:lastModifiedBy>Adam M. Orangi</cp:lastModifiedBy>
  <cp:lastPrinted>2023-04-12T08:22:55Z</cp:lastPrinted>
  <dcterms:created xsi:type="dcterms:W3CDTF">2008-05-14T08:27:54Z</dcterms:created>
  <dcterms:modified xsi:type="dcterms:W3CDTF">2023-07-17T08:49:22Z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very_FFP" linkTarget="Prop_very_FFP">
    <vt:lpwstr>#REF!</vt:lpwstr>
  </property>
  <property fmtid="{D5CDD505-2E9C-101B-9397-08002B2CF9AE}" pid="3" name="very_WP" linkTarget="Prop_very_WP">
    <vt:lpwstr>#REF!</vt:lpwstr>
  </property>
</Properties>
</file>